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kalimasta mandir\"/>
    </mc:Choice>
  </mc:AlternateContent>
  <bookViews>
    <workbookView xWindow="-120" yWindow="-120" windowWidth="20736" windowHeight="11160" activeTab="2"/>
  </bookViews>
  <sheets>
    <sheet name="WCR" sheetId="6" r:id="rId1"/>
    <sheet name="kalimasta mandir final (2)" sheetId="18" r:id="rId2"/>
    <sheet name="250000" sheetId="19"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2">#REF!</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2">'250000'!$A$1:$K$59</definedName>
    <definedName name="_xlnm.Print_Area" localSheetId="1">'kalimasta mandir final (2)'!$A$1:$K$73</definedName>
    <definedName name="_xlnm.Print_Titles" localSheetId="2">'250000'!$1:$8</definedName>
    <definedName name="_xlnm.Print_Titles" localSheetId="1">'kalimasta mandir final (2)'!$1:$8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44" i="19" l="1"/>
  <c r="G45" i="19" s="1"/>
  <c r="E15" i="19"/>
  <c r="E25" i="19" s="1"/>
  <c r="E14" i="19"/>
  <c r="E24" i="19"/>
  <c r="G48" i="19"/>
  <c r="J48" i="19" s="1"/>
  <c r="C42" i="19"/>
  <c r="F42" i="19" s="1"/>
  <c r="G42" i="19" s="1"/>
  <c r="C43" i="19"/>
  <c r="E42" i="19"/>
  <c r="E43" i="19"/>
  <c r="D43" i="19"/>
  <c r="D42" i="19"/>
  <c r="C41" i="19"/>
  <c r="E41" i="19"/>
  <c r="D41" i="19"/>
  <c r="C40" i="19"/>
  <c r="D40" i="19"/>
  <c r="E40" i="19"/>
  <c r="E39" i="19"/>
  <c r="C39" i="19"/>
  <c r="C38" i="19"/>
  <c r="D38" i="19"/>
  <c r="E38" i="19"/>
  <c r="D39" i="19"/>
  <c r="B38" i="19"/>
  <c r="E37" i="19"/>
  <c r="D37" i="19"/>
  <c r="D35" i="19"/>
  <c r="D34" i="19"/>
  <c r="D36" i="19"/>
  <c r="C37" i="19" s="1"/>
  <c r="C33" i="19"/>
  <c r="C32" i="19"/>
  <c r="B32" i="19"/>
  <c r="C25" i="19"/>
  <c r="C24" i="19"/>
  <c r="B24" i="19"/>
  <c r="F23" i="19"/>
  <c r="C23" i="19"/>
  <c r="C36" i="19" s="1"/>
  <c r="B23" i="19"/>
  <c r="B36" i="19" s="1"/>
  <c r="F22" i="19"/>
  <c r="F21" i="19"/>
  <c r="C22" i="19"/>
  <c r="C21" i="19"/>
  <c r="B21" i="19"/>
  <c r="F20" i="19"/>
  <c r="C31" i="19" s="1"/>
  <c r="D20" i="19"/>
  <c r="C20" i="19"/>
  <c r="B20" i="19"/>
  <c r="D15" i="19"/>
  <c r="D14" i="19"/>
  <c r="D24" i="19" s="1"/>
  <c r="D13" i="19"/>
  <c r="G13" i="19" s="1"/>
  <c r="D12" i="19"/>
  <c r="G12" i="19" s="1"/>
  <c r="D11" i="19"/>
  <c r="D21" i="19" s="1"/>
  <c r="F10" i="19"/>
  <c r="F43" i="19" l="1"/>
  <c r="G43" i="19" s="1"/>
  <c r="F39" i="19"/>
  <c r="G39" i="19" s="1"/>
  <c r="F40" i="19"/>
  <c r="G40" i="19" s="1"/>
  <c r="F41" i="19"/>
  <c r="G41" i="19" s="1"/>
  <c r="C30" i="19"/>
  <c r="F37" i="19"/>
  <c r="G37" i="19" s="1"/>
  <c r="D33" i="19"/>
  <c r="C35" i="19"/>
  <c r="C34" i="19"/>
  <c r="D32" i="19"/>
  <c r="G24" i="19"/>
  <c r="G15" i="19"/>
  <c r="D25" i="19"/>
  <c r="G25" i="19" s="1"/>
  <c r="D22" i="19"/>
  <c r="G22" i="19" s="1"/>
  <c r="G21" i="19"/>
  <c r="D23" i="19"/>
  <c r="G23" i="19" s="1"/>
  <c r="G14" i="19"/>
  <c r="C59" i="19"/>
  <c r="C58" i="19"/>
  <c r="G50" i="19"/>
  <c r="J50" i="19" s="1"/>
  <c r="E36" i="19"/>
  <c r="E35" i="19"/>
  <c r="E34" i="19"/>
  <c r="E33" i="19"/>
  <c r="E32" i="19"/>
  <c r="E31" i="19"/>
  <c r="D31" i="19"/>
  <c r="E30" i="19"/>
  <c r="D30" i="19"/>
  <c r="G20" i="19"/>
  <c r="G11" i="19"/>
  <c r="G10" i="19"/>
  <c r="G26" i="19" l="1"/>
  <c r="G16" i="19"/>
  <c r="C56" i="19"/>
  <c r="F35" i="19"/>
  <c r="G35" i="19" s="1"/>
  <c r="F36" i="19"/>
  <c r="G36" i="19" s="1"/>
  <c r="F34" i="19"/>
  <c r="G34" i="19" s="1"/>
  <c r="F38" i="19"/>
  <c r="G38" i="19" s="1"/>
  <c r="F30" i="19"/>
  <c r="G30" i="19" s="1"/>
  <c r="F31" i="19"/>
  <c r="G31" i="19" s="1"/>
  <c r="F33" i="19"/>
  <c r="G33" i="19" s="1"/>
  <c r="F32" i="19"/>
  <c r="G32" i="19" s="1"/>
  <c r="C18" i="18"/>
  <c r="F59" i="18"/>
  <c r="G59" i="18" s="1"/>
  <c r="E59" i="18"/>
  <c r="C59" i="18"/>
  <c r="D59" i="18"/>
  <c r="C58" i="18"/>
  <c r="D58" i="18"/>
  <c r="D55" i="18"/>
  <c r="D54" i="18"/>
  <c r="D51" i="18"/>
  <c r="D50" i="18"/>
  <c r="E58" i="18"/>
  <c r="C57" i="18"/>
  <c r="F57" i="18" s="1"/>
  <c r="G57" i="18" s="1"/>
  <c r="C56" i="18"/>
  <c r="D57" i="18"/>
  <c r="E57" i="18"/>
  <c r="E56" i="18"/>
  <c r="D56" i="18"/>
  <c r="C55" i="18"/>
  <c r="C54" i="18"/>
  <c r="E51" i="18"/>
  <c r="C51" i="18"/>
  <c r="E50" i="18"/>
  <c r="C50" i="18"/>
  <c r="F50" i="18" s="1"/>
  <c r="G50" i="18" s="1"/>
  <c r="E55" i="18"/>
  <c r="E54" i="18"/>
  <c r="D53" i="18"/>
  <c r="D52" i="18"/>
  <c r="D48" i="18"/>
  <c r="D49" i="18"/>
  <c r="C53" i="18"/>
  <c r="E53" i="18"/>
  <c r="C49" i="18"/>
  <c r="E49" i="18"/>
  <c r="F48" i="18"/>
  <c r="G48" i="18" s="1"/>
  <c r="E52" i="18"/>
  <c r="E48" i="18"/>
  <c r="C52" i="18"/>
  <c r="C48" i="18"/>
  <c r="C47" i="18"/>
  <c r="C46" i="18"/>
  <c r="C45" i="18"/>
  <c r="E45" i="18"/>
  <c r="D45" i="18"/>
  <c r="D47" i="18"/>
  <c r="C44" i="18"/>
  <c r="C43" i="18"/>
  <c r="D44" i="18"/>
  <c r="D43" i="18"/>
  <c r="C42" i="18"/>
  <c r="C41" i="18"/>
  <c r="C40" i="18"/>
  <c r="D42" i="18"/>
  <c r="D41" i="18"/>
  <c r="E41" i="18"/>
  <c r="E42" i="18"/>
  <c r="D40" i="18"/>
  <c r="D35" i="18"/>
  <c r="D25" i="18"/>
  <c r="D26" i="18"/>
  <c r="D34" i="18"/>
  <c r="E32" i="18"/>
  <c r="E31" i="18"/>
  <c r="E29" i="18"/>
  <c r="E30" i="18"/>
  <c r="E28" i="18"/>
  <c r="E27" i="18"/>
  <c r="E26" i="18"/>
  <c r="D27" i="18"/>
  <c r="E11" i="18"/>
  <c r="D11" i="18"/>
  <c r="F35" i="18"/>
  <c r="F34" i="18"/>
  <c r="D33" i="18"/>
  <c r="G33" i="18" s="1"/>
  <c r="D32" i="18"/>
  <c r="C32" i="18"/>
  <c r="D31" i="18"/>
  <c r="C31" i="18"/>
  <c r="D30" i="18"/>
  <c r="D29" i="18"/>
  <c r="D28" i="18"/>
  <c r="E25" i="18"/>
  <c r="E10" i="18"/>
  <c r="D10" i="18"/>
  <c r="D18" i="18"/>
  <c r="C17" i="18"/>
  <c r="C16" i="18"/>
  <c r="D17" i="18"/>
  <c r="D16" i="18"/>
  <c r="D15" i="18"/>
  <c r="G15" i="18" s="1"/>
  <c r="D14" i="18"/>
  <c r="G14" i="18" s="1"/>
  <c r="F12" i="18"/>
  <c r="D13" i="18"/>
  <c r="D12" i="18"/>
  <c r="F20" i="18"/>
  <c r="G20" i="18" s="1"/>
  <c r="F19" i="18"/>
  <c r="J45" i="19" l="1"/>
  <c r="J17" i="19"/>
  <c r="J16" i="19"/>
  <c r="J27" i="19"/>
  <c r="J26" i="19"/>
  <c r="F55" i="18"/>
  <c r="G55" i="18" s="1"/>
  <c r="F51" i="18"/>
  <c r="G51" i="18" s="1"/>
  <c r="F56" i="18"/>
  <c r="G56" i="18" s="1"/>
  <c r="F58" i="18"/>
  <c r="G58" i="18" s="1"/>
  <c r="F54" i="18"/>
  <c r="G54" i="18" s="1"/>
  <c r="F45" i="18"/>
  <c r="G45" i="18" s="1"/>
  <c r="F53" i="18"/>
  <c r="G53" i="18" s="1"/>
  <c r="F49" i="18"/>
  <c r="G49" i="18" s="1"/>
  <c r="F52" i="18"/>
  <c r="G52" i="18" s="1"/>
  <c r="G18" i="18"/>
  <c r="F42" i="18"/>
  <c r="G42" i="18" s="1"/>
  <c r="F41" i="18"/>
  <c r="G41" i="18" s="1"/>
  <c r="G29" i="18"/>
  <c r="G11" i="18"/>
  <c r="G31" i="18"/>
  <c r="G28" i="18"/>
  <c r="G34" i="18"/>
  <c r="G32" i="18"/>
  <c r="G26" i="18"/>
  <c r="G27" i="18"/>
  <c r="G30" i="18"/>
  <c r="G35" i="18"/>
  <c r="G17" i="18"/>
  <c r="G25" i="18"/>
  <c r="G36" i="18" s="1"/>
  <c r="G16" i="18"/>
  <c r="N25" i="19" l="1"/>
  <c r="J46" i="19"/>
  <c r="J52" i="19" s="1"/>
  <c r="C54" i="19" s="1"/>
  <c r="C57" i="19" s="1"/>
  <c r="D46" i="18"/>
  <c r="E47" i="18"/>
  <c r="E46" i="18"/>
  <c r="G19" i="18"/>
  <c r="E43" i="18"/>
  <c r="E44" i="18"/>
  <c r="N43" i="18"/>
  <c r="O44" i="18"/>
  <c r="O43" i="18"/>
  <c r="M43" i="18"/>
  <c r="E40" i="18"/>
  <c r="C73" i="18"/>
  <c r="C72" i="18"/>
  <c r="G64" i="18"/>
  <c r="J64" i="18" s="1"/>
  <c r="G13" i="18"/>
  <c r="E56" i="19" l="1"/>
  <c r="E57" i="19" s="1"/>
  <c r="F46" i="18"/>
  <c r="G46" i="18" s="1"/>
  <c r="F47" i="18"/>
  <c r="G47" i="18" s="1"/>
  <c r="G10" i="18"/>
  <c r="G21" i="18" s="1"/>
  <c r="F44" i="18"/>
  <c r="G44" i="18" s="1"/>
  <c r="C70" i="18"/>
  <c r="F43" i="18"/>
  <c r="G43" i="18" s="1"/>
  <c r="F40" i="18"/>
  <c r="G12" i="18"/>
  <c r="J21" i="18" l="1"/>
  <c r="G40" i="18"/>
  <c r="G60" i="18" l="1"/>
  <c r="G61" i="18" s="1"/>
  <c r="J62" i="18" s="1"/>
  <c r="J22" i="18"/>
  <c r="J36" i="18"/>
  <c r="J37" i="18"/>
  <c r="J61" i="18" l="1"/>
  <c r="J66" i="18" s="1"/>
  <c r="C68" i="18" l="1"/>
  <c r="C71" i="18" l="1"/>
  <c r="E70" i="18"/>
  <c r="E71" i="18"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<sst xmlns="http://schemas.openxmlformats.org/spreadsheetml/2006/main" count="154" uniqueCount="72">
  <si>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</si>
  <si>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</si>
  <si>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</si>
  <si>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</si>
  <si>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</si>
  <si>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</si>
  <si>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</si>
  <si>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</si>
  <si>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</si>
  <si>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</si>
  <si>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</si>
  <si>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</si>
  <si>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</si>
  <si>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</si>
  <si>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</si>
  <si>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</si>
  <si>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</si>
  <si>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</si>
  <si>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</si>
  <si>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</si>
  <si>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</si>
  <si>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</si>
  <si>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</si>
  <si>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</si>
  <si>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</si>
  <si>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</si>
  <si>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</si>
  <si>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</si>
  <si>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</si>
  <si>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</si>
  <si>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</si>
  <si>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</si>
  <si>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</si>
  <si>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</si>
  <si>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</si>
  <si>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</si>
  <si>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</si>
  <si>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</si>
  <si>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</si>
  <si>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</si>
  <si>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</si>
  <si>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</si>
  <si>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</si>
  <si>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Total weight (kg)</t>
  </si>
  <si>
    <t>Length (m)</t>
  </si>
  <si>
    <t>F.Y.: 2081/2082</t>
  </si>
  <si>
    <t>d]lzgsf] k|of]u u/L ;'k/ :6«Sr/df l;d]G6 s+lqm6 ug]{ sfd -!M!=%M#_</t>
  </si>
  <si>
    <t>-slab</t>
  </si>
  <si>
    <t>-beam</t>
  </si>
  <si>
    <t>kmnfd]sf] kfOk / KnfOaf]8{af6 kmdf{ agfpg] sfd</t>
  </si>
  <si>
    <t>cf/=;L=;L= nflu kmnfd] 808L sf6\g], df]8\g] #) dL6/ ;Dd</t>
  </si>
  <si>
    <t>Unit length (kg/m)</t>
  </si>
  <si>
    <t>-stirrups</t>
  </si>
  <si>
    <t>-slab bottom bars</t>
  </si>
  <si>
    <t>MT</t>
  </si>
  <si>
    <t>-column</t>
  </si>
  <si>
    <t>Project:- कालीमस्ट मन्दिर निर्माण</t>
  </si>
  <si>
    <t>Date:2081/07/11</t>
  </si>
  <si>
    <t>-upper storey column</t>
  </si>
  <si>
    <t>-secondary beam</t>
  </si>
  <si>
    <t>-upper storey beam</t>
  </si>
  <si>
    <t>-inclined beam</t>
  </si>
  <si>
    <t>-upper-storey slab</t>
  </si>
  <si>
    <t>-upper storey slab</t>
  </si>
  <si>
    <t>-column stirrups</t>
  </si>
  <si>
    <t>-upper storey column stirrups</t>
  </si>
  <si>
    <t>-wastages 2%</t>
  </si>
  <si>
    <t>-inclined slab</t>
  </si>
  <si>
    <t>cantilever part</t>
  </si>
  <si>
    <t>PS</t>
  </si>
  <si>
    <t>Provisional sum for unforeseen works</t>
  </si>
  <si>
    <t>-wastages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</si>
</sst>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85">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164"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5"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4" fillId="0" borderId="0" xfId="0" applyNumberFormat="1" applyFont="1" applyBorder="1"/>
    <xf numFmtId="0" fontId="15" fillId="3" borderId="1" xfId="0" applyFont="1" applyFill="1" applyBorder="1" applyAlignment="1">
      <alignment wrapText="1"/>
    </xf>
    <xf numFmtId="0" fontId="3" fillId="0" borderId="1" xfId="0" quotePrefix="1" applyFont="1" applyBorder="1" applyAlignment="1">
      <alignment horizontal="right"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4" fillId="0" borderId="1" xfId="1" applyNumberFormat="1" applyFont="1" applyBorder="1" applyAlignment="1">
      <alignment horizontal="center" vertical="center"/>
    </xf>
    <xf numFmtId="2" fontId="0" fillId="0" borderId="0" xfId="0" applyNumberFormat="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2" t="s">
        <v>0</v>
      </c>
      <c r="B1" s="72"/>
      <c r="C1" s="72"/>
      <c r="D1" s="72"/>
      <c r="E1" s="72"/>
      <c r="F1" s="72"/>
      <c r="G1" s="72"/>
      <c r="H1" s="72"/>
      <c r="I1" s="72"/>
      <c r="J1" s="72"/>
      <c r="K1" s="72"/>
    </row>
    <row r="2" spans="1:11" ht="24.6" x14ac:dyDescent="0.4">
      <c r="A2" s="73" t="s">
        <v>1</v>
      </c>
      <c r="B2" s="73"/>
      <c r="C2" s="73"/>
      <c r="D2" s="73"/>
      <c r="E2" s="73"/>
      <c r="F2" s="73"/>
      <c r="G2" s="73"/>
      <c r="H2" s="73"/>
      <c r="I2" s="73"/>
      <c r="J2" s="73"/>
      <c r="K2" s="73"/>
    </row>
    <row r="3" spans="1:11" s="1" customFormat="1" x14ac:dyDescent="0.3">
      <c r="A3" s="74" t="s">
        <v>2</v>
      </c>
      <c r="B3" s="74"/>
      <c r="C3" s="74"/>
      <c r="D3" s="74"/>
      <c r="E3" s="74"/>
      <c r="F3" s="74"/>
      <c r="G3" s="74"/>
      <c r="H3" s="74"/>
      <c r="I3" s="74"/>
      <c r="J3" s="74"/>
      <c r="K3" s="74"/>
    </row>
    <row r="4" spans="1:11" s="1" customFormat="1" x14ac:dyDescent="0.3">
      <c r="A4" s="74" t="s">
        <v>3</v>
      </c>
      <c r="B4" s="74"/>
      <c r="C4" s="74"/>
      <c r="D4" s="74"/>
      <c r="E4" s="74"/>
      <c r="F4" s="74"/>
      <c r="G4" s="74"/>
      <c r="H4" s="74"/>
      <c r="I4" s="74"/>
      <c r="J4" s="74"/>
      <c r="K4" s="74"/>
    </row>
    <row r="5" spans="1:11" ht="18" x14ac:dyDescent="0.35">
      <c r="A5" s="75" t="s">
        <v>18</v>
      </c>
      <c r="B5" s="75"/>
      <c r="C5" s="75"/>
      <c r="D5" s="75"/>
      <c r="E5" s="75"/>
      <c r="F5" s="75"/>
      <c r="G5" s="75"/>
      <c r="H5" s="75"/>
      <c r="I5" s="75"/>
      <c r="J5" s="75"/>
      <c r="K5" s="75"/>
    </row>
    <row r="6" spans="1:11" ht="18" x14ac:dyDescent="0.35">
      <c r="A6" s="8" t="s">
        <v>19</v>
      </c>
      <c r="B6" s="8"/>
      <c r="C6" s="70" t="e">
        <f>F18</f>
        <v>#REF!</v>
      </c>
      <c r="D6" s="71"/>
      <c r="E6" s="9"/>
      <c r="F6" s="8"/>
      <c r="G6" s="8"/>
      <c r="H6" s="8" t="s">
        <v>20</v>
      </c>
      <c r="I6" s="8"/>
      <c r="J6" s="70" t="e">
        <f>I18</f>
        <v>#REF!</v>
      </c>
      <c r="K6" s="71"/>
    </row>
    <row r="7" spans="1:11" x14ac:dyDescent="0.3">
      <c r="A7" s="25" t="s">
        <v>29</v>
      </c>
      <c r="B7" s="10"/>
      <c r="C7" s="10"/>
      <c r="D7" s="10"/>
      <c r="F7" s="65"/>
      <c r="G7" s="65"/>
      <c r="I7" s="66" t="s">
        <v>37</v>
      </c>
      <c r="J7" s="66"/>
      <c r="K7" s="66"/>
    </row>
    <row r="8" spans="1:11" ht="15.6" x14ac:dyDescent="0.3">
      <c r="A8" s="64" t="e">
        <f>#REF!</f>
        <v>#REF!</v>
      </c>
      <c r="B8" s="64"/>
      <c r="C8" s="64"/>
      <c r="D8" s="64"/>
      <c r="E8" s="64"/>
      <c r="F8" s="64"/>
      <c r="I8" s="67" t="s">
        <v>38</v>
      </c>
      <c r="J8" s="67"/>
      <c r="K8" s="67"/>
    </row>
    <row r="9" spans="1:11" x14ac:dyDescent="0.3">
      <c r="A9" s="68" t="e">
        <f>#REF!</f>
        <v>#REF!</v>
      </c>
      <c r="B9" s="68"/>
      <c r="C9" s="68"/>
      <c r="D9" s="68"/>
      <c r="E9" s="68"/>
      <c r="F9" s="68"/>
      <c r="I9" s="67" t="s">
        <v>39</v>
      </c>
      <c r="J9" s="67"/>
      <c r="K9" s="67"/>
    </row>
    <row r="11" spans="1:11" x14ac:dyDescent="0.3">
      <c r="A11" s="62" t="s">
        <v>21</v>
      </c>
      <c r="B11" s="62" t="s">
        <v>22</v>
      </c>
      <c r="C11" s="62" t="s">
        <v>12</v>
      </c>
      <c r="D11" s="69" t="s">
        <v>23</v>
      </c>
      <c r="E11" s="69"/>
      <c r="F11" s="69"/>
      <c r="G11" s="69" t="s">
        <v>24</v>
      </c>
      <c r="H11" s="69"/>
      <c r="I11" s="69"/>
      <c r="J11" s="62" t="s">
        <v>25</v>
      </c>
      <c r="K11" s="63" t="s">
        <v>15</v>
      </c>
    </row>
    <row r="12" spans="1:11" x14ac:dyDescent="0.3">
      <c r="A12" s="62"/>
      <c r="B12" s="62"/>
      <c r="C12" s="62"/>
      <c r="D12" s="11" t="s">
        <v>26</v>
      </c>
      <c r="E12" s="11" t="s">
        <v>13</v>
      </c>
      <c r="F12" s="11" t="s">
        <v>14</v>
      </c>
      <c r="G12" s="11" t="s">
        <v>26</v>
      </c>
      <c r="H12" s="11" t="s">
        <v>13</v>
      </c>
      <c r="I12" s="11" t="s">
        <v>14</v>
      </c>
      <c r="J12" s="62"/>
      <c r="K12" s="63"/>
    </row>
    <row r="13" spans="1:11" s="1" customFormat="1" ht="15.6" x14ac:dyDescent="0.3">
      <c r="A13" s="26" t="e">
        <f>#REF!</f>
        <v>#REF!</v>
      </c>
      <c r="B13" s="31" t="e">
        <f>#REF!</f>
        <v>#REF!</v>
      </c>
      <c r="C13" s="12" t="e">
        <f>#REF!</f>
        <v>#REF!</v>
      </c>
      <c r="D13" s="12" t="e">
        <f>#REF!</f>
        <v>#REF!</v>
      </c>
      <c r="E13" s="12" t="e">
        <f>#REF!</f>
        <v>#REF!</v>
      </c>
      <c r="F13" s="12" t="e">
        <f>D13*E13</f>
        <v>#REF!</v>
      </c>
      <c r="G13" s="12" t="e">
        <f>#REF!</f>
        <v>#REF!</v>
      </c>
      <c r="H13" s="12" t="e">
        <f>#REF!</f>
        <v>#REF!</v>
      </c>
      <c r="I13" s="12" t="e">
        <f>G13*H13</f>
        <v>#REF!</v>
      </c>
      <c r="J13" s="27" t="e">
        <f>I13-F13</f>
        <v>#REF!</v>
      </c>
      <c r="K13" s="14"/>
    </row>
    <row r="14" spans="1:11" s="1" customFormat="1" ht="15.6" x14ac:dyDescent="0.3">
      <c r="A14" s="26"/>
      <c r="B14" s="32" t="e">
        <f>#REF!</f>
        <v>#REF!</v>
      </c>
      <c r="C14" s="12"/>
      <c r="D14" s="12"/>
      <c r="E14" s="12"/>
      <c r="F14" s="12" t="e">
        <f>#REF!</f>
        <v>#REF!</v>
      </c>
      <c r="G14" s="12"/>
      <c r="H14" s="12"/>
      <c r="I14" s="12" t="e">
        <f>#REF!</f>
        <v>#REF!</v>
      </c>
      <c r="J14" s="27"/>
      <c r="K14" s="14"/>
    </row>
    <row r="15" spans="1:11" s="1" customFormat="1" x14ac:dyDescent="0.3">
      <c r="A15" s="28"/>
      <c r="B15" s="28"/>
      <c r="C15" s="12"/>
      <c r="D15" s="12"/>
      <c r="E15" s="12"/>
      <c r="F15" s="12"/>
      <c r="G15" s="12"/>
      <c r="H15" s="12"/>
      <c r="I15" s="12"/>
      <c r="J15" s="27"/>
      <c r="K15" s="14"/>
    </row>
    <row r="16" spans="1:11" s="1" customFormat="1" x14ac:dyDescent="0.3">
      <c r="A16" s="26" t="e">
        <f>#REF!</f>
        <v>#REF!</v>
      </c>
      <c r="B16" s="30" t="e">
        <f>#REF!</f>
        <v>#REF!</v>
      </c>
      <c r="C16" s="12" t="e">
        <f>#REF!</f>
        <v>#REF!</v>
      </c>
      <c r="D16" s="12" t="e">
        <f>#REF!</f>
        <v>#REF!</v>
      </c>
      <c r="E16" s="12" t="e">
        <f>#REF!</f>
        <v>#REF!</v>
      </c>
      <c r="F16" s="12" t="e">
        <f>D16*E16</f>
        <v>#REF!</v>
      </c>
      <c r="G16" s="12" t="e">
        <f>#REF!</f>
        <v>#REF!</v>
      </c>
      <c r="H16" s="12" t="e">
        <f>#REF!</f>
        <v>#REF!</v>
      </c>
      <c r="I16" s="12" t="e">
        <f>G16*H16</f>
        <v>#REF!</v>
      </c>
      <c r="J16" s="27" t="e">
        <f>I16-F16</f>
        <v>#REF!</v>
      </c>
      <c r="K16" s="14"/>
    </row>
    <row r="17" spans="1:11" s="1" customFormat="1" x14ac:dyDescent="0.3">
      <c r="A17" s="28"/>
      <c r="B17" s="28"/>
      <c r="C17" s="12"/>
      <c r="D17" s="12"/>
      <c r="E17" s="12"/>
      <c r="F17" s="12"/>
      <c r="G17" s="12"/>
      <c r="H17" s="12"/>
      <c r="I17" s="12"/>
      <c r="J17" s="27"/>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0"/>
  <sheetViews>
    <sheetView topLeftCell="A55" zoomScaleNormal="100" workbookViewId="0">
      <selection activeCell="G9" sqref="G9"/>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44140625" customWidth="1"/>
    <col min="10" max="10" width="11.33203125" customWidth="1"/>
    <col min="11" max="11" width="8.33203125" customWidth="1"/>
  </cols>
  <sheetData>
    <row r="1" spans="1:16" s="1" customFormat="1" x14ac:dyDescent="0.3">
      <c r="A1" s="77" t="s">
        <v>0</v>
      </c>
      <c r="B1" s="77"/>
      <c r="C1" s="77"/>
      <c r="D1" s="77"/>
      <c r="E1" s="77"/>
      <c r="F1" s="77"/>
      <c r="G1" s="77"/>
      <c r="H1" s="77"/>
      <c r="I1" s="77"/>
      <c r="J1" s="77"/>
      <c r="K1" s="77"/>
    </row>
    <row r="2" spans="1:16" s="1" customFormat="1" ht="22.8" x14ac:dyDescent="0.3">
      <c r="A2" s="78" t="s">
        <v>1</v>
      </c>
      <c r="B2" s="78"/>
      <c r="C2" s="78"/>
      <c r="D2" s="78"/>
      <c r="E2" s="78"/>
      <c r="F2" s="78"/>
      <c r="G2" s="78"/>
      <c r="H2" s="78"/>
      <c r="I2" s="78"/>
      <c r="J2" s="78"/>
      <c r="K2" s="78"/>
    </row>
    <row r="3" spans="1:16" s="1" customFormat="1" x14ac:dyDescent="0.3">
      <c r="A3" s="74" t="s">
        <v>2</v>
      </c>
      <c r="B3" s="74"/>
      <c r="C3" s="74"/>
      <c r="D3" s="74"/>
      <c r="E3" s="74"/>
      <c r="F3" s="74"/>
      <c r="G3" s="74"/>
      <c r="H3" s="74"/>
      <c r="I3" s="74"/>
      <c r="J3" s="74"/>
      <c r="K3" s="74"/>
    </row>
    <row r="4" spans="1:16" s="1" customFormat="1" x14ac:dyDescent="0.3">
      <c r="A4" s="74" t="s">
        <v>3</v>
      </c>
      <c r="B4" s="74"/>
      <c r="C4" s="74"/>
      <c r="D4" s="74"/>
      <c r="E4" s="74"/>
      <c r="F4" s="74"/>
      <c r="G4" s="74"/>
      <c r="H4" s="74"/>
      <c r="I4" s="74"/>
      <c r="J4" s="74"/>
      <c r="K4" s="74"/>
    </row>
    <row r="5" spans="1:16" ht="17.399999999999999" x14ac:dyDescent="0.3">
      <c r="A5" s="79" t="s">
        <v>4</v>
      </c>
      <c r="B5" s="79"/>
      <c r="C5" s="79"/>
      <c r="D5" s="79"/>
      <c r="E5" s="79"/>
      <c r="F5" s="79"/>
      <c r="G5" s="79"/>
      <c r="H5" s="79"/>
      <c r="I5" s="79"/>
      <c r="J5" s="79"/>
      <c r="K5" s="79"/>
    </row>
    <row r="6" spans="1:16" ht="15.6" x14ac:dyDescent="0.3">
      <c r="A6" s="64" t="s">
        <v>56</v>
      </c>
      <c r="B6" s="64"/>
      <c r="C6" s="64"/>
      <c r="D6" s="64"/>
      <c r="E6" s="64"/>
      <c r="F6" s="64"/>
      <c r="G6" s="2"/>
      <c r="H6" s="76" t="s">
        <v>45</v>
      </c>
      <c r="I6" s="76"/>
      <c r="J6" s="76"/>
      <c r="K6" s="76"/>
    </row>
    <row r="7" spans="1:16" ht="15.6" x14ac:dyDescent="0.3">
      <c r="A7" s="81" t="s">
        <v>28</v>
      </c>
      <c r="B7" s="81"/>
      <c r="C7" s="81"/>
      <c r="D7" s="81"/>
      <c r="E7" s="81"/>
      <c r="F7" s="81"/>
      <c r="G7" s="3"/>
      <c r="H7" s="82" t="s">
        <v>57</v>
      </c>
      <c r="I7" s="82"/>
      <c r="J7" s="82"/>
      <c r="K7" s="82"/>
    </row>
    <row r="8" spans="1:16" ht="15" customHeight="1" x14ac:dyDescent="0.3">
      <c r="A8" s="4" t="s">
        <v>5</v>
      </c>
      <c r="B8" s="15" t="s">
        <v>6</v>
      </c>
      <c r="C8" s="4" t="s">
        <v>7</v>
      </c>
      <c r="D8" s="16" t="s">
        <v>8</v>
      </c>
      <c r="E8" s="16" t="s">
        <v>9</v>
      </c>
      <c r="F8" s="16" t="s">
        <v>10</v>
      </c>
      <c r="G8" s="16" t="s">
        <v>11</v>
      </c>
      <c r="H8" s="4" t="s">
        <v>12</v>
      </c>
      <c r="I8" s="16" t="s">
        <v>13</v>
      </c>
      <c r="J8" s="16" t="s">
        <v>14</v>
      </c>
      <c r="K8" s="17" t="s">
        <v>15</v>
      </c>
    </row>
    <row r="9" spans="1:16" ht="30.6" x14ac:dyDescent="0.3">
      <c r="A9" s="18">
        <v>1</v>
      </c>
      <c r="B9" s="60" t="s">
        <v>46</v>
      </c>
      <c r="C9" s="19"/>
      <c r="D9" s="20"/>
      <c r="E9" s="21"/>
      <c r="F9" s="21"/>
      <c r="G9" s="23"/>
      <c r="H9" s="22"/>
      <c r="I9" s="23"/>
      <c r="J9" s="42"/>
      <c r="K9" s="21"/>
      <c r="M9" s="1"/>
      <c r="N9" s="1"/>
      <c r="O9" s="1"/>
      <c r="P9" s="1"/>
    </row>
    <row r="10" spans="1:16" ht="15" customHeight="1" x14ac:dyDescent="0.3">
      <c r="A10" s="18"/>
      <c r="B10" s="38" t="s">
        <v>47</v>
      </c>
      <c r="C10" s="19">
        <v>4</v>
      </c>
      <c r="D10" s="20">
        <f>8.833/3.281</f>
        <v>2.6921670222493144</v>
      </c>
      <c r="E10" s="21">
        <f>19/3.281</f>
        <v>5.790917403230722</v>
      </c>
      <c r="F10" s="21">
        <v>0.125</v>
      </c>
      <c r="G10" s="40">
        <f>PRODUCT(C10:F10)</f>
        <v>7.7950584307736923</v>
      </c>
      <c r="H10" s="22"/>
      <c r="I10" s="23"/>
      <c r="J10" s="42"/>
      <c r="K10" s="21"/>
      <c r="M10" s="1"/>
      <c r="N10" s="1"/>
      <c r="O10" s="1"/>
      <c r="P10" s="1"/>
    </row>
    <row r="11" spans="1:16" ht="15" customHeight="1" x14ac:dyDescent="0.3">
      <c r="A11" s="18"/>
      <c r="B11" s="38" t="s">
        <v>62</v>
      </c>
      <c r="C11" s="19">
        <v>4</v>
      </c>
      <c r="D11" s="20">
        <f>6.333/3.281</f>
        <v>1.9302042060347455</v>
      </c>
      <c r="E11" s="21">
        <f>10/3.281</f>
        <v>3.047851264858275</v>
      </c>
      <c r="F11" s="21">
        <v>0.125</v>
      </c>
      <c r="G11" s="40">
        <f>PRODUCT(C11:F11)</f>
        <v>2.9414876653988808</v>
      </c>
      <c r="H11" s="22"/>
      <c r="I11" s="23"/>
      <c r="J11" s="42"/>
      <c r="K11" s="21"/>
      <c r="M11" s="1"/>
      <c r="N11" s="1"/>
      <c r="O11" s="1"/>
      <c r="P11" s="1"/>
    </row>
    <row r="12" spans="1:16" ht="15" customHeight="1" x14ac:dyDescent="0.3">
      <c r="A12" s="18"/>
      <c r="B12" s="38" t="s">
        <v>48</v>
      </c>
      <c r="C12" s="19">
        <v>2</v>
      </c>
      <c r="D12" s="20">
        <f>11.75/3.281</f>
        <v>3.5812252362084727</v>
      </c>
      <c r="E12" s="21">
        <v>0.23</v>
      </c>
      <c r="F12" s="21">
        <f>0.3</f>
        <v>0.3</v>
      </c>
      <c r="G12" s="40">
        <f t="shared" ref="G12:G20" si="0">PRODUCT(C12:F12)</f>
        <v>0.49420908259676927</v>
      </c>
      <c r="H12" s="22"/>
      <c r="I12" s="23"/>
      <c r="J12" s="42"/>
      <c r="K12" s="21"/>
      <c r="M12" s="1"/>
      <c r="N12" s="1"/>
      <c r="O12" s="1"/>
      <c r="P12" s="1"/>
    </row>
    <row r="13" spans="1:16" ht="15" customHeight="1" x14ac:dyDescent="0.3">
      <c r="A13" s="18"/>
      <c r="B13" s="38"/>
      <c r="C13" s="19">
        <v>2</v>
      </c>
      <c r="D13" s="20">
        <f>12/3.281</f>
        <v>3.6574215178299299</v>
      </c>
      <c r="E13" s="21">
        <v>0.23</v>
      </c>
      <c r="F13" s="21">
        <v>0.3</v>
      </c>
      <c r="G13" s="40">
        <f t="shared" si="0"/>
        <v>0.50472416946053034</v>
      </c>
      <c r="H13" s="22"/>
      <c r="I13" s="23"/>
      <c r="J13" s="42"/>
      <c r="K13" s="21"/>
      <c r="M13" s="1"/>
      <c r="N13" s="1"/>
      <c r="O13" s="1"/>
      <c r="P13" s="1"/>
    </row>
    <row r="14" spans="1:16" ht="15" customHeight="1" x14ac:dyDescent="0.3">
      <c r="A14" s="18"/>
      <c r="B14" s="38" t="s">
        <v>59</v>
      </c>
      <c r="C14" s="19">
        <v>2</v>
      </c>
      <c r="D14" s="20">
        <f>12.25/3.281</f>
        <v>3.7336177994513866</v>
      </c>
      <c r="E14" s="21">
        <v>0.23</v>
      </c>
      <c r="F14" s="21">
        <v>0.3</v>
      </c>
      <c r="G14" s="40">
        <f t="shared" ref="G14:G17" si="1">PRODUCT(C14:F14)</f>
        <v>0.51523925632429135</v>
      </c>
      <c r="H14" s="22"/>
      <c r="I14" s="23"/>
      <c r="J14" s="42"/>
      <c r="K14" s="21"/>
      <c r="M14" s="1"/>
      <c r="N14" s="1"/>
      <c r="O14" s="1"/>
      <c r="P14" s="1"/>
    </row>
    <row r="15" spans="1:16" ht="15" customHeight="1" x14ac:dyDescent="0.3">
      <c r="A15" s="18"/>
      <c r="B15" s="38"/>
      <c r="C15" s="19">
        <v>2</v>
      </c>
      <c r="D15" s="20">
        <f>(3.75*2+3.5)/3.281</f>
        <v>3.3526363913441024</v>
      </c>
      <c r="E15" s="21">
        <v>0.23</v>
      </c>
      <c r="F15" s="21">
        <v>0.3</v>
      </c>
      <c r="G15" s="40">
        <f t="shared" si="1"/>
        <v>0.46266382200548617</v>
      </c>
      <c r="H15" s="22"/>
      <c r="I15" s="23"/>
      <c r="J15" s="42"/>
      <c r="K15" s="21"/>
      <c r="M15" s="1"/>
      <c r="N15" s="1"/>
      <c r="O15" s="1"/>
      <c r="P15" s="1"/>
    </row>
    <row r="16" spans="1:16" ht="15" customHeight="1" x14ac:dyDescent="0.3">
      <c r="A16" s="18"/>
      <c r="B16" s="38" t="s">
        <v>60</v>
      </c>
      <c r="C16" s="19">
        <f>2*2</f>
        <v>4</v>
      </c>
      <c r="D16" s="20">
        <f>3.5/3.281</f>
        <v>1.0667479427003961</v>
      </c>
      <c r="E16" s="21">
        <v>0.23</v>
      </c>
      <c r="F16" s="21">
        <v>0.23</v>
      </c>
      <c r="G16" s="40">
        <f t="shared" si="1"/>
        <v>0.22572386467540384</v>
      </c>
      <c r="H16" s="22"/>
      <c r="I16" s="23"/>
      <c r="J16" s="42"/>
      <c r="K16" s="21"/>
      <c r="M16" s="1"/>
      <c r="N16" s="1"/>
      <c r="O16" s="1"/>
      <c r="P16" s="1"/>
    </row>
    <row r="17" spans="1:16" ht="15" customHeight="1" x14ac:dyDescent="0.3">
      <c r="A17" s="18"/>
      <c r="B17" s="38"/>
      <c r="C17" s="19">
        <f>2*2</f>
        <v>4</v>
      </c>
      <c r="D17" s="20">
        <f>3.5/3.281</f>
        <v>1.0667479427003961</v>
      </c>
      <c r="E17" s="21">
        <v>0.23</v>
      </c>
      <c r="F17" s="21">
        <v>0.23</v>
      </c>
      <c r="G17" s="40">
        <f t="shared" si="1"/>
        <v>0.22572386467540384</v>
      </c>
      <c r="H17" s="22"/>
      <c r="I17" s="23"/>
      <c r="J17" s="42"/>
      <c r="K17" s="21"/>
      <c r="M17" s="1"/>
      <c r="N17" s="1"/>
      <c r="O17" s="1"/>
      <c r="P17" s="1"/>
    </row>
    <row r="18" spans="1:16" ht="15" customHeight="1" x14ac:dyDescent="0.3">
      <c r="A18" s="18"/>
      <c r="B18" s="38" t="s">
        <v>61</v>
      </c>
      <c r="C18" s="19">
        <f>0*2*2</f>
        <v>0</v>
      </c>
      <c r="D18" s="20">
        <f>8/3.281</f>
        <v>2.4382810118866196</v>
      </c>
      <c r="E18" s="21">
        <v>0.125</v>
      </c>
      <c r="F18" s="21">
        <v>0.125</v>
      </c>
      <c r="G18" s="40">
        <f t="shared" ref="G18" si="2">PRODUCT(C18:F18)</f>
        <v>0</v>
      </c>
      <c r="H18" s="22"/>
      <c r="I18" s="23"/>
      <c r="J18" s="42"/>
      <c r="K18" s="21"/>
      <c r="M18" s="1"/>
      <c r="N18" s="1"/>
      <c r="O18" s="1"/>
      <c r="P18" s="1"/>
    </row>
    <row r="19" spans="1:16" ht="15" customHeight="1" x14ac:dyDescent="0.3">
      <c r="A19" s="18"/>
      <c r="B19" s="38" t="s">
        <v>55</v>
      </c>
      <c r="C19" s="19">
        <v>4</v>
      </c>
      <c r="D19" s="20">
        <v>0.3</v>
      </c>
      <c r="E19" s="21">
        <v>0.3</v>
      </c>
      <c r="F19" s="21">
        <f>11.5/3.281</f>
        <v>3.5050289545870159</v>
      </c>
      <c r="G19" s="40">
        <f t="shared" si="0"/>
        <v>1.2618104236513257</v>
      </c>
      <c r="H19" s="22"/>
      <c r="I19" s="23"/>
      <c r="J19" s="42"/>
      <c r="K19" s="21"/>
      <c r="M19" s="1"/>
      <c r="N19" s="1"/>
      <c r="O19" s="1"/>
      <c r="P19" s="1"/>
    </row>
    <row r="20" spans="1:16" ht="15" customHeight="1" x14ac:dyDescent="0.3">
      <c r="A20" s="18"/>
      <c r="B20" s="38" t="s">
        <v>58</v>
      </c>
      <c r="C20" s="19">
        <v>4</v>
      </c>
      <c r="D20" s="20">
        <v>0.23</v>
      </c>
      <c r="E20" s="21">
        <v>0.23</v>
      </c>
      <c r="F20" s="21">
        <f>8/3.281</f>
        <v>2.4382810118866196</v>
      </c>
      <c r="G20" s="40">
        <f t="shared" si="0"/>
        <v>0.51594026211520871</v>
      </c>
      <c r="H20" s="22"/>
      <c r="I20" s="23"/>
      <c r="J20" s="42"/>
      <c r="K20" s="21"/>
      <c r="M20" s="1"/>
      <c r="N20" s="1"/>
      <c r="O20" s="1"/>
      <c r="P20" s="1"/>
    </row>
    <row r="21" spans="1:16" ht="15" customHeight="1" x14ac:dyDescent="0.3">
      <c r="A21" s="18"/>
      <c r="B21" s="38" t="s">
        <v>42</v>
      </c>
      <c r="C21" s="19"/>
      <c r="D21" s="20"/>
      <c r="E21" s="21"/>
      <c r="F21" s="21"/>
      <c r="G21" s="23">
        <f>SUM(G10:G20)</f>
        <v>14.942580841676993</v>
      </c>
      <c r="H21" s="22" t="s">
        <v>41</v>
      </c>
      <c r="I21" s="23">
        <v>13568.9</v>
      </c>
      <c r="J21" s="42">
        <f>G21*I21</f>
        <v>202754.38518263094</v>
      </c>
      <c r="K21" s="21"/>
      <c r="M21" s="1"/>
      <c r="N21" s="1"/>
      <c r="O21" s="1"/>
      <c r="P21" s="1"/>
    </row>
    <row r="22" spans="1:16" ht="15" customHeight="1" x14ac:dyDescent="0.3">
      <c r="A22" s="18"/>
      <c r="B22" s="38" t="s">
        <v>40</v>
      </c>
      <c r="C22" s="19"/>
      <c r="D22" s="20"/>
      <c r="E22" s="21"/>
      <c r="F22" s="21"/>
      <c r="G22" s="23"/>
      <c r="H22" s="22"/>
      <c r="I22" s="23"/>
      <c r="J22" s="42">
        <f>0.13*G21*9524.2</f>
        <v>18501.096698799003</v>
      </c>
      <c r="K22" s="21"/>
      <c r="M22" s="1"/>
      <c r="N22" s="1"/>
      <c r="O22" s="1"/>
      <c r="P22" s="1"/>
    </row>
    <row r="23" spans="1:16" ht="15" customHeight="1" x14ac:dyDescent="0.3">
      <c r="A23" s="18"/>
      <c r="B23" s="38"/>
      <c r="C23" s="19"/>
      <c r="D23" s="20"/>
      <c r="E23" s="21"/>
      <c r="F23" s="21"/>
      <c r="G23" s="23"/>
      <c r="H23" s="22"/>
      <c r="I23" s="23"/>
      <c r="J23" s="42"/>
      <c r="K23" s="21"/>
      <c r="M23" s="1"/>
      <c r="N23" s="1"/>
      <c r="O23" s="1"/>
      <c r="P23" s="1"/>
    </row>
    <row r="24" spans="1:16" ht="30.6" x14ac:dyDescent="0.3">
      <c r="A24" s="18">
        <v>2</v>
      </c>
      <c r="B24" s="60" t="s">
        <v>49</v>
      </c>
      <c r="C24" s="19"/>
      <c r="D24" s="20"/>
      <c r="E24" s="21"/>
      <c r="F24" s="21"/>
      <c r="G24" s="23"/>
      <c r="H24" s="22"/>
      <c r="I24" s="23"/>
      <c r="J24" s="42"/>
      <c r="K24" s="21"/>
      <c r="M24" s="1"/>
      <c r="N24" s="1"/>
      <c r="O24" s="1"/>
      <c r="P24" s="1"/>
    </row>
    <row r="25" spans="1:16" ht="15" customHeight="1" x14ac:dyDescent="0.3">
      <c r="A25" s="18"/>
      <c r="B25" s="38" t="s">
        <v>47</v>
      </c>
      <c r="C25" s="19">
        <v>4</v>
      </c>
      <c r="D25" s="20">
        <f>8.833/3.281</f>
        <v>2.6921670222493144</v>
      </c>
      <c r="E25" s="21">
        <f>19/3.281</f>
        <v>5.790917403230722</v>
      </c>
      <c r="F25" s="21"/>
      <c r="G25" s="40">
        <f>PRODUCT(C25:F25)</f>
        <v>62.360467446189539</v>
      </c>
      <c r="H25" s="22"/>
      <c r="I25" s="23"/>
      <c r="J25" s="42"/>
      <c r="K25" s="21"/>
      <c r="M25" s="1"/>
      <c r="N25" s="1"/>
      <c r="O25" s="1"/>
      <c r="P25" s="1"/>
    </row>
    <row r="26" spans="1:16" ht="15" customHeight="1" x14ac:dyDescent="0.3">
      <c r="A26" s="18"/>
      <c r="B26" s="38" t="s">
        <v>62</v>
      </c>
      <c r="C26" s="19">
        <v>4</v>
      </c>
      <c r="D26" s="20">
        <f>6.333/3.281</f>
        <v>1.9302042060347455</v>
      </c>
      <c r="E26" s="21">
        <f>10/3.281</f>
        <v>3.047851264858275</v>
      </c>
      <c r="F26" s="21"/>
      <c r="G26" s="40">
        <f>PRODUCT(C26:F26)</f>
        <v>23.531901323191047</v>
      </c>
      <c r="H26" s="22"/>
      <c r="I26" s="23"/>
      <c r="J26" s="42"/>
      <c r="K26" s="21"/>
      <c r="M26" s="1"/>
      <c r="N26" s="1"/>
      <c r="O26" s="1"/>
      <c r="P26" s="1"/>
    </row>
    <row r="27" spans="1:16" ht="15" customHeight="1" x14ac:dyDescent="0.3">
      <c r="A27" s="18"/>
      <c r="B27" s="38" t="s">
        <v>48</v>
      </c>
      <c r="C27" s="19">
        <v>2</v>
      </c>
      <c r="D27" s="20">
        <f>11.75/3.281</f>
        <v>3.5812252362084727</v>
      </c>
      <c r="E27" s="21">
        <f>0.23+0.3*2</f>
        <v>0.83</v>
      </c>
      <c r="F27" s="21"/>
      <c r="G27" s="40">
        <f t="shared" ref="G27:G35" si="3">PRODUCT(C27:F27)</f>
        <v>5.9448338921060646</v>
      </c>
      <c r="H27" s="22"/>
      <c r="I27" s="23"/>
      <c r="J27" s="42"/>
      <c r="K27" s="21"/>
      <c r="M27" s="1"/>
      <c r="N27" s="1"/>
      <c r="O27" s="1"/>
      <c r="P27" s="1"/>
    </row>
    <row r="28" spans="1:16" ht="15" customHeight="1" x14ac:dyDescent="0.3">
      <c r="A28" s="18"/>
      <c r="B28" s="38"/>
      <c r="C28" s="19">
        <v>2</v>
      </c>
      <c r="D28" s="20">
        <f>12/3.281</f>
        <v>3.6574215178299299</v>
      </c>
      <c r="E28" s="21">
        <f>0.23+0.3*2</f>
        <v>0.83</v>
      </c>
      <c r="F28" s="21"/>
      <c r="G28" s="40">
        <f t="shared" si="3"/>
        <v>6.0713197195976836</v>
      </c>
      <c r="H28" s="22"/>
      <c r="I28" s="23"/>
      <c r="J28" s="42"/>
      <c r="K28" s="21"/>
      <c r="M28" s="1"/>
      <c r="N28" s="1"/>
      <c r="O28" s="1"/>
      <c r="P28" s="1"/>
    </row>
    <row r="29" spans="1:16" ht="15" customHeight="1" x14ac:dyDescent="0.3">
      <c r="A29" s="18"/>
      <c r="B29" s="38" t="s">
        <v>59</v>
      </c>
      <c r="C29" s="19">
        <v>2</v>
      </c>
      <c r="D29" s="20">
        <f>12.25/3.281</f>
        <v>3.7336177994513866</v>
      </c>
      <c r="E29" s="21">
        <f>0.23+0.3*2</f>
        <v>0.83</v>
      </c>
      <c r="F29" s="21"/>
      <c r="G29" s="40">
        <f t="shared" si="3"/>
        <v>6.1978055470893016</v>
      </c>
      <c r="H29" s="22"/>
      <c r="I29" s="23"/>
      <c r="J29" s="42"/>
      <c r="K29" s="21"/>
      <c r="M29" s="1"/>
      <c r="N29" s="1"/>
      <c r="O29" s="1"/>
      <c r="P29" s="1"/>
    </row>
    <row r="30" spans="1:16" ht="15" customHeight="1" x14ac:dyDescent="0.3">
      <c r="A30" s="18"/>
      <c r="B30" s="38"/>
      <c r="C30" s="19">
        <v>2</v>
      </c>
      <c r="D30" s="20">
        <f>(3.75*2+3.5)/3.281</f>
        <v>3.3526363913441024</v>
      </c>
      <c r="E30" s="21">
        <f>0.23+0.3*2</f>
        <v>0.83</v>
      </c>
      <c r="F30" s="21"/>
      <c r="G30" s="40">
        <f t="shared" si="3"/>
        <v>5.5653764096312095</v>
      </c>
      <c r="H30" s="22"/>
      <c r="I30" s="23"/>
      <c r="J30" s="42"/>
      <c r="K30" s="21"/>
      <c r="M30" s="1"/>
      <c r="N30" s="1"/>
      <c r="O30" s="1"/>
      <c r="P30" s="1"/>
    </row>
    <row r="31" spans="1:16" ht="15" customHeight="1" x14ac:dyDescent="0.3">
      <c r="A31" s="18"/>
      <c r="B31" s="38" t="s">
        <v>60</v>
      </c>
      <c r="C31" s="19">
        <f>2*2</f>
        <v>4</v>
      </c>
      <c r="D31" s="20">
        <f>3.5/3.281</f>
        <v>1.0667479427003961</v>
      </c>
      <c r="E31" s="21">
        <f>0.23*3</f>
        <v>0.69000000000000006</v>
      </c>
      <c r="F31" s="21"/>
      <c r="G31" s="40">
        <f t="shared" si="3"/>
        <v>2.9442243218530932</v>
      </c>
      <c r="H31" s="22"/>
      <c r="I31" s="23"/>
      <c r="J31" s="42"/>
      <c r="K31" s="21"/>
      <c r="M31" s="1"/>
      <c r="N31" s="1"/>
      <c r="O31" s="1"/>
      <c r="P31" s="1"/>
    </row>
    <row r="32" spans="1:16" ht="15" customHeight="1" x14ac:dyDescent="0.3">
      <c r="A32" s="18"/>
      <c r="B32" s="38"/>
      <c r="C32" s="19">
        <f>2*2</f>
        <v>4</v>
      </c>
      <c r="D32" s="20">
        <f>3.5/3.281</f>
        <v>1.0667479427003961</v>
      </c>
      <c r="E32" s="21">
        <f>0.23*3</f>
        <v>0.69000000000000006</v>
      </c>
      <c r="F32" s="21"/>
      <c r="G32" s="40">
        <f t="shared" si="3"/>
        <v>2.9442243218530932</v>
      </c>
      <c r="H32" s="22"/>
      <c r="I32" s="23"/>
      <c r="J32" s="42"/>
      <c r="K32" s="21"/>
      <c r="M32" s="1"/>
      <c r="N32" s="1"/>
      <c r="O32" s="1"/>
      <c r="P32" s="1"/>
    </row>
    <row r="33" spans="1:16" ht="15" customHeight="1" x14ac:dyDescent="0.3">
      <c r="A33" s="18"/>
      <c r="B33" s="38" t="s">
        <v>61</v>
      </c>
      <c r="C33" s="19">
        <v>0</v>
      </c>
      <c r="D33" s="20">
        <f>8/3.281</f>
        <v>2.4382810118866196</v>
      </c>
      <c r="E33" s="21">
        <v>0.125</v>
      </c>
      <c r="F33" s="21"/>
      <c r="G33" s="40">
        <f t="shared" si="3"/>
        <v>0</v>
      </c>
      <c r="H33" s="22"/>
      <c r="I33" s="23"/>
      <c r="J33" s="42"/>
      <c r="K33" s="21"/>
      <c r="M33" s="1"/>
      <c r="N33" s="1"/>
      <c r="O33" s="1"/>
      <c r="P33" s="1"/>
    </row>
    <row r="34" spans="1:16" ht="15" customHeight="1" x14ac:dyDescent="0.3">
      <c r="A34" s="18"/>
      <c r="B34" s="38" t="s">
        <v>55</v>
      </c>
      <c r="C34" s="19">
        <v>4</v>
      </c>
      <c r="D34" s="20">
        <f>0.3*4</f>
        <v>1.2</v>
      </c>
      <c r="E34" s="21"/>
      <c r="F34" s="21">
        <f>11.5/3.281</f>
        <v>3.5050289545870159</v>
      </c>
      <c r="G34" s="40">
        <f t="shared" si="3"/>
        <v>16.824138982017676</v>
      </c>
      <c r="H34" s="22"/>
      <c r="I34" s="23"/>
      <c r="J34" s="42"/>
      <c r="K34" s="21"/>
      <c r="M34" s="1"/>
      <c r="N34" s="1"/>
      <c r="O34" s="1"/>
      <c r="P34" s="1"/>
    </row>
    <row r="35" spans="1:16" ht="15" customHeight="1" x14ac:dyDescent="0.3">
      <c r="A35" s="18"/>
      <c r="B35" s="38" t="s">
        <v>58</v>
      </c>
      <c r="C35" s="19">
        <v>4</v>
      </c>
      <c r="D35" s="20">
        <f>4*0.23</f>
        <v>0.92</v>
      </c>
      <c r="E35" s="21"/>
      <c r="F35" s="21">
        <f>8/3.281</f>
        <v>2.4382810118866196</v>
      </c>
      <c r="G35" s="40">
        <f t="shared" si="3"/>
        <v>8.9728741237427609</v>
      </c>
      <c r="H35" s="22"/>
      <c r="I35" s="23"/>
      <c r="J35" s="42"/>
      <c r="K35" s="21"/>
      <c r="M35" s="1"/>
      <c r="N35" s="1"/>
      <c r="O35" s="1"/>
      <c r="P35" s="1"/>
    </row>
    <row r="36" spans="1:16" ht="15" customHeight="1" x14ac:dyDescent="0.3">
      <c r="A36" s="18"/>
      <c r="B36" s="38" t="s">
        <v>42</v>
      </c>
      <c r="C36" s="19"/>
      <c r="D36" s="20"/>
      <c r="E36" s="21"/>
      <c r="F36" s="21"/>
      <c r="G36" s="23">
        <f>SUM(G25:G35)</f>
        <v>141.35716608727148</v>
      </c>
      <c r="H36" s="22" t="s">
        <v>41</v>
      </c>
      <c r="I36" s="23">
        <v>915.42</v>
      </c>
      <c r="J36" s="42">
        <f>G36*I36</f>
        <v>129401.17697961006</v>
      </c>
      <c r="K36" s="21"/>
      <c r="M36" s="1"/>
      <c r="N36" s="1"/>
      <c r="O36" s="1"/>
      <c r="P36" s="1"/>
    </row>
    <row r="37" spans="1:16" ht="15" customHeight="1" x14ac:dyDescent="0.3">
      <c r="A37" s="18"/>
      <c r="B37" s="38" t="s">
        <v>40</v>
      </c>
      <c r="C37" s="19"/>
      <c r="D37" s="20"/>
      <c r="E37" s="21"/>
      <c r="F37" s="21"/>
      <c r="G37" s="23"/>
      <c r="H37" s="22"/>
      <c r="I37" s="23"/>
      <c r="J37" s="42">
        <f>0.13*G36*46827.87/100</f>
        <v>8605.2914962341074</v>
      </c>
      <c r="K37" s="21"/>
      <c r="M37" s="1"/>
      <c r="N37" s="1"/>
      <c r="O37" s="1"/>
      <c r="P37" s="1"/>
    </row>
    <row r="38" spans="1:16" ht="15" customHeight="1" x14ac:dyDescent="0.3">
      <c r="A38" s="18"/>
      <c r="B38" s="38"/>
      <c r="C38" s="19"/>
      <c r="D38" s="20"/>
      <c r="E38" s="21"/>
      <c r="F38" s="21"/>
      <c r="G38" s="23"/>
      <c r="H38" s="22"/>
      <c r="I38" s="23"/>
      <c r="J38" s="42"/>
      <c r="K38" s="21"/>
      <c r="M38" s="1"/>
      <c r="N38" s="1"/>
      <c r="O38" s="1"/>
      <c r="P38" s="1"/>
    </row>
    <row r="39" spans="1:16" ht="41.4" x14ac:dyDescent="0.3">
      <c r="A39" s="18">
        <v>3</v>
      </c>
      <c r="B39" s="60" t="s">
        <v>50</v>
      </c>
      <c r="C39" s="19" t="s">
        <v>7</v>
      </c>
      <c r="D39" s="34" t="s">
        <v>44</v>
      </c>
      <c r="E39" s="35" t="s">
        <v>51</v>
      </c>
      <c r="F39" s="35" t="s">
        <v>43</v>
      </c>
      <c r="G39" s="23"/>
      <c r="H39" s="22"/>
      <c r="I39" s="23"/>
      <c r="J39" s="42"/>
      <c r="K39" s="21"/>
      <c r="M39" s="1"/>
      <c r="N39" s="1"/>
      <c r="O39" s="1"/>
      <c r="P39" s="1"/>
    </row>
    <row r="40" spans="1:16" ht="15" customHeight="1" x14ac:dyDescent="0.3">
      <c r="A40" s="18"/>
      <c r="B40" s="38" t="s">
        <v>53</v>
      </c>
      <c r="C40" s="19">
        <f>2*4*TRUNC(8.833/0.5,0)</f>
        <v>136</v>
      </c>
      <c r="D40" s="20">
        <f>(12/3.281)</f>
        <v>3.6574215178299299</v>
      </c>
      <c r="E40" s="21">
        <f>8*8/162</f>
        <v>0.39506172839506171</v>
      </c>
      <c r="F40" s="40">
        <f>PRODUCT(C40:E40)</f>
        <v>196.50738821723277</v>
      </c>
      <c r="G40" s="40">
        <f>F40/1000</f>
        <v>0.19650738821723276</v>
      </c>
      <c r="H40" s="22"/>
      <c r="I40" s="23"/>
      <c r="J40" s="42"/>
      <c r="K40" s="21"/>
      <c r="M40" s="1"/>
      <c r="N40" s="1"/>
      <c r="O40" s="1"/>
      <c r="P40" s="1"/>
    </row>
    <row r="41" spans="1:16" ht="15" customHeight="1" x14ac:dyDescent="0.3">
      <c r="A41" s="18"/>
      <c r="B41" s="38"/>
      <c r="C41" s="19">
        <f>2*4*TRUNC(3.5/0.5,0)</f>
        <v>56</v>
      </c>
      <c r="D41" s="20">
        <f>(8.833/3.281)</f>
        <v>2.6921670222493144</v>
      </c>
      <c r="E41" s="21">
        <f t="shared" ref="E41:E42" si="4">8*8/162</f>
        <v>0.39506172839506171</v>
      </c>
      <c r="F41" s="40">
        <f t="shared" ref="F41:F42" si="5">PRODUCT(C41:E41)</f>
        <v>59.560040788528035</v>
      </c>
      <c r="G41" s="40">
        <f t="shared" ref="G41:G42" si="6">F41/1000</f>
        <v>5.9560040788528036E-2</v>
      </c>
      <c r="H41" s="22"/>
      <c r="I41" s="23"/>
      <c r="J41" s="42"/>
      <c r="K41" s="21"/>
      <c r="M41" s="1"/>
      <c r="N41" s="1"/>
      <c r="O41" s="1"/>
      <c r="P41" s="1"/>
    </row>
    <row r="42" spans="1:16" ht="15" customHeight="1" x14ac:dyDescent="0.3">
      <c r="A42" s="18"/>
      <c r="B42" s="38"/>
      <c r="C42" s="19">
        <f>2*2*4*TRUNC(6.5/0.5,0)</f>
        <v>208</v>
      </c>
      <c r="D42" s="20">
        <f>(3/3.281)</f>
        <v>0.91435537945748246</v>
      </c>
      <c r="E42" s="21">
        <f t="shared" si="4"/>
        <v>0.39506172839506171</v>
      </c>
      <c r="F42" s="40">
        <f t="shared" si="5"/>
        <v>75.135177847765476</v>
      </c>
      <c r="G42" s="40">
        <f t="shared" si="6"/>
        <v>7.513517784776548E-2</v>
      </c>
      <c r="H42" s="22"/>
      <c r="I42" s="23"/>
      <c r="J42" s="42"/>
      <c r="K42" s="21"/>
      <c r="M42" s="1"/>
      <c r="N42" s="1"/>
      <c r="O42" s="1"/>
      <c r="P42" s="1"/>
    </row>
    <row r="43" spans="1:16" ht="15" customHeight="1" x14ac:dyDescent="0.3">
      <c r="A43" s="18"/>
      <c r="B43" s="38" t="s">
        <v>63</v>
      </c>
      <c r="C43" s="19">
        <f>2*4*TRUNC(6.333/0.5,0)</f>
        <v>96</v>
      </c>
      <c r="D43" s="20">
        <f>5/3.281</f>
        <v>1.5239256324291375</v>
      </c>
      <c r="E43" s="21">
        <f t="shared" ref="E43:E44" si="7">8*8/162</f>
        <v>0.39506172839506171</v>
      </c>
      <c r="F43" s="40">
        <f t="shared" ref="F43:F44" si="8">PRODUCT(C43:E43)</f>
        <v>57.796290652127283</v>
      </c>
      <c r="G43" s="40">
        <f t="shared" ref="G43:G45" si="9">F43/1000</f>
        <v>5.7796290652127283E-2</v>
      </c>
      <c r="H43" s="22"/>
      <c r="I43" s="23"/>
      <c r="J43" s="42"/>
      <c r="K43" s="21"/>
      <c r="M43" s="1">
        <f>12.75*0.3</f>
        <v>3.8249999999999997</v>
      </c>
      <c r="N43" s="1">
        <f>13*0.3</f>
        <v>3.9</v>
      </c>
      <c r="O43" s="1">
        <f>13/3.281</f>
        <v>3.9622066443157573</v>
      </c>
      <c r="P43" s="1"/>
    </row>
    <row r="44" spans="1:16" ht="15" customHeight="1" x14ac:dyDescent="0.3">
      <c r="A44" s="18"/>
      <c r="B44" s="38"/>
      <c r="C44" s="19">
        <f>2*4*2*TRUNC(5.667/0.5,0)</f>
        <v>176</v>
      </c>
      <c r="D44" s="20">
        <f>(2.25/3.281)</f>
        <v>0.68576653459311188</v>
      </c>
      <c r="E44" s="21">
        <f t="shared" si="7"/>
        <v>0.39506172839506171</v>
      </c>
      <c r="F44" s="40">
        <f t="shared" si="8"/>
        <v>47.68193978800501</v>
      </c>
      <c r="G44" s="40">
        <f t="shared" si="9"/>
        <v>4.7681939788005008E-2</v>
      </c>
      <c r="H44" s="22"/>
      <c r="I44" s="23"/>
      <c r="J44" s="42"/>
      <c r="K44" s="21"/>
      <c r="M44" s="1"/>
      <c r="N44" s="1"/>
      <c r="O44" s="1">
        <f>12.75/3.281</f>
        <v>3.8860103626943006</v>
      </c>
      <c r="P44" s="1"/>
    </row>
    <row r="45" spans="1:16" ht="15" customHeight="1" x14ac:dyDescent="0.3">
      <c r="A45" s="18"/>
      <c r="B45" s="38" t="s">
        <v>65</v>
      </c>
      <c r="C45" s="19">
        <f>4*(TRUNC(((6.5/3.281)/0.125),0)+1)</f>
        <v>64</v>
      </c>
      <c r="D45" s="20">
        <f>(0.23*4+0.075*2)</f>
        <v>1.07</v>
      </c>
      <c r="E45" s="21">
        <f t="shared" ref="E45:E47" si="10">8*8/162</f>
        <v>0.39506172839506171</v>
      </c>
      <c r="F45" s="40">
        <f t="shared" ref="F45:F59" si="11">PRODUCT(C45:E45)</f>
        <v>27.053827160493828</v>
      </c>
      <c r="G45" s="40">
        <f t="shared" si="9"/>
        <v>2.7053827160493829E-2</v>
      </c>
      <c r="H45" s="22"/>
      <c r="I45" s="23"/>
      <c r="J45" s="42"/>
      <c r="K45" s="21"/>
      <c r="M45" s="1"/>
      <c r="N45" s="1"/>
      <c r="O45" s="1"/>
      <c r="P45" s="1"/>
    </row>
    <row r="46" spans="1:16" ht="15" customHeight="1" x14ac:dyDescent="0.3">
      <c r="A46" s="18"/>
      <c r="B46" s="38" t="s">
        <v>64</v>
      </c>
      <c r="C46" s="19">
        <f>4*((TRUNC(((10.5/3.281)/0.125),0)+1)-3)</f>
        <v>92</v>
      </c>
      <c r="D46" s="20">
        <f>(0.23*4+0.075*2)</f>
        <v>1.07</v>
      </c>
      <c r="E46" s="21">
        <f t="shared" si="10"/>
        <v>0.39506172839506171</v>
      </c>
      <c r="F46" s="40">
        <f t="shared" si="11"/>
        <v>38.88987654320988</v>
      </c>
      <c r="G46" s="40">
        <f t="shared" ref="G46:G48" si="12">F46/1000</f>
        <v>3.8889876543209877E-2</v>
      </c>
      <c r="H46" s="22"/>
      <c r="I46" s="23"/>
      <c r="J46" s="42"/>
      <c r="K46" s="21"/>
      <c r="M46" s="1"/>
      <c r="N46" s="1"/>
      <c r="O46" s="1"/>
      <c r="P46" s="1"/>
    </row>
    <row r="47" spans="1:16" ht="15" customHeight="1" x14ac:dyDescent="0.3">
      <c r="A47" s="18"/>
      <c r="B47" s="38"/>
      <c r="C47" s="19">
        <f>4*((TRUNC(((10.5/3.281)/0.125),0)+1)-3)</f>
        <v>92</v>
      </c>
      <c r="D47" s="20">
        <f>(0.15*4+0.075*2)</f>
        <v>0.75</v>
      </c>
      <c r="E47" s="21">
        <f t="shared" si="10"/>
        <v>0.39506172839506171</v>
      </c>
      <c r="F47" s="40">
        <f t="shared" si="11"/>
        <v>27.25925925925926</v>
      </c>
      <c r="G47" s="40">
        <f t="shared" si="12"/>
        <v>2.7259259259259261E-2</v>
      </c>
      <c r="H47" s="22"/>
      <c r="I47" s="23"/>
      <c r="J47" s="42"/>
      <c r="K47" s="21"/>
      <c r="M47" s="1"/>
      <c r="N47" s="1"/>
      <c r="O47" s="1"/>
      <c r="P47" s="1"/>
    </row>
    <row r="48" spans="1:16" ht="15" customHeight="1" x14ac:dyDescent="0.3">
      <c r="A48" s="18"/>
      <c r="B48" s="38" t="s">
        <v>48</v>
      </c>
      <c r="C48" s="19">
        <f>2*5</f>
        <v>10</v>
      </c>
      <c r="D48" s="20">
        <f>(14-0.333*2+0.75*2)/3.281</f>
        <v>4.521182566290765</v>
      </c>
      <c r="E48" s="21">
        <f>12*12/162</f>
        <v>0.88888888888888884</v>
      </c>
      <c r="F48" s="40">
        <f t="shared" si="11"/>
        <v>40.188289478140128</v>
      </c>
      <c r="G48" s="40">
        <f t="shared" si="12"/>
        <v>4.0188289478140127E-2</v>
      </c>
      <c r="H48" s="22"/>
      <c r="I48" s="23"/>
      <c r="J48" s="42"/>
      <c r="K48" s="21"/>
      <c r="M48" s="1"/>
      <c r="N48" s="1"/>
      <c r="O48" s="1"/>
      <c r="P48" s="1"/>
    </row>
    <row r="49" spans="1:16" ht="15" customHeight="1" x14ac:dyDescent="0.3">
      <c r="A49" s="18"/>
      <c r="B49" s="38"/>
      <c r="C49" s="19">
        <f>2*5</f>
        <v>10</v>
      </c>
      <c r="D49" s="20">
        <f>(13.75-0.333*2+0.75*2)/3.281</f>
        <v>4.4449862846693078</v>
      </c>
      <c r="E49" s="21">
        <f>12*12/162</f>
        <v>0.88888888888888884</v>
      </c>
      <c r="F49" s="40">
        <f t="shared" si="11"/>
        <v>39.51098919706051</v>
      </c>
      <c r="G49" s="40">
        <f t="shared" ref="G49:G51" si="13">F49/1000</f>
        <v>3.951098919706051E-2</v>
      </c>
      <c r="H49" s="22"/>
      <c r="I49" s="23"/>
      <c r="J49" s="42"/>
      <c r="K49" s="21"/>
      <c r="M49" s="1"/>
      <c r="N49" s="1"/>
      <c r="O49" s="1"/>
      <c r="P49" s="1"/>
    </row>
    <row r="50" spans="1:16" ht="15" customHeight="1" x14ac:dyDescent="0.3">
      <c r="A50" s="18"/>
      <c r="B50" s="38" t="s">
        <v>52</v>
      </c>
      <c r="C50" s="19">
        <f>(TRUNC(12/0.42,0))+1</f>
        <v>29</v>
      </c>
      <c r="D50" s="20">
        <f>(0.23*2+(0.583/3.281)*2)</f>
        <v>0.81537945748247487</v>
      </c>
      <c r="E50" s="21">
        <f t="shared" ref="E50:E51" si="14">8*8/162</f>
        <v>0.39506172839506171</v>
      </c>
      <c r="F50" s="40">
        <f t="shared" si="11"/>
        <v>9.341631315354773</v>
      </c>
      <c r="G50" s="40">
        <f t="shared" si="13"/>
        <v>9.3416313153547731E-3</v>
      </c>
      <c r="H50" s="22"/>
      <c r="I50" s="23"/>
      <c r="J50" s="42"/>
      <c r="K50" s="21"/>
      <c r="M50" s="1"/>
      <c r="N50" s="1"/>
      <c r="O50" s="1"/>
      <c r="P50" s="1"/>
    </row>
    <row r="51" spans="1:16" ht="15" customHeight="1" x14ac:dyDescent="0.3">
      <c r="A51" s="18"/>
      <c r="B51" s="38"/>
      <c r="C51" s="19">
        <f>(TRUNC(11.75/0.42,0))+1</f>
        <v>28</v>
      </c>
      <c r="D51" s="20">
        <f>(0.23*2+(0.583/3.281)*2)</f>
        <v>0.81537945748247487</v>
      </c>
      <c r="E51" s="21">
        <f t="shared" si="14"/>
        <v>0.39506172839506171</v>
      </c>
      <c r="F51" s="40">
        <f t="shared" si="11"/>
        <v>9.0195060975839194</v>
      </c>
      <c r="G51" s="40">
        <f t="shared" si="13"/>
        <v>9.0195060975839202E-3</v>
      </c>
      <c r="H51" s="22"/>
      <c r="I51" s="23"/>
      <c r="J51" s="42"/>
      <c r="K51" s="21"/>
      <c r="M51" s="1"/>
      <c r="N51" s="1"/>
      <c r="O51" s="1"/>
      <c r="P51" s="1"/>
    </row>
    <row r="52" spans="1:16" ht="15" customHeight="1" x14ac:dyDescent="0.3">
      <c r="A52" s="18"/>
      <c r="B52" s="38" t="s">
        <v>59</v>
      </c>
      <c r="C52" s="19">
        <f>2*5</f>
        <v>10</v>
      </c>
      <c r="D52" s="20">
        <f>(14-0.333*2+0.75*2)/3.281</f>
        <v>4.521182566290765</v>
      </c>
      <c r="E52" s="21">
        <f>12*12/162</f>
        <v>0.88888888888888884</v>
      </c>
      <c r="F52" s="40">
        <f t="shared" si="11"/>
        <v>40.188289478140128</v>
      </c>
      <c r="G52" s="40">
        <f t="shared" ref="G52" si="15">F52/1000</f>
        <v>4.0188289478140127E-2</v>
      </c>
      <c r="H52" s="22"/>
      <c r="I52" s="23"/>
      <c r="J52" s="42"/>
      <c r="K52" s="21"/>
      <c r="M52" s="1"/>
      <c r="N52" s="1"/>
      <c r="O52" s="1"/>
      <c r="P52" s="1"/>
    </row>
    <row r="53" spans="1:16" ht="15" customHeight="1" x14ac:dyDescent="0.3">
      <c r="A53" s="18"/>
      <c r="B53" s="38"/>
      <c r="C53" s="19">
        <f>2*5</f>
        <v>10</v>
      </c>
      <c r="D53" s="20">
        <f>(13.75-0.333*2+0.75*2)/3.281</f>
        <v>4.4449862846693078</v>
      </c>
      <c r="E53" s="21">
        <f>12*12/162</f>
        <v>0.88888888888888884</v>
      </c>
      <c r="F53" s="40">
        <f t="shared" si="11"/>
        <v>39.51098919706051</v>
      </c>
      <c r="G53" s="40">
        <f t="shared" ref="G53:G54" si="16">F53/1000</f>
        <v>3.951098919706051E-2</v>
      </c>
      <c r="H53" s="22"/>
      <c r="I53" s="23"/>
      <c r="J53" s="42"/>
      <c r="K53" s="21"/>
      <c r="M53" s="1"/>
      <c r="N53" s="1"/>
      <c r="O53" s="1"/>
      <c r="P53" s="1"/>
    </row>
    <row r="54" spans="1:16" ht="15" customHeight="1" x14ac:dyDescent="0.3">
      <c r="A54" s="18"/>
      <c r="B54" s="38" t="s">
        <v>52</v>
      </c>
      <c r="C54" s="19">
        <f>(TRUNC(12.25/0.42,0))+1</f>
        <v>30</v>
      </c>
      <c r="D54" s="20">
        <f>(0.23*2+(0.583/3.281)*2)</f>
        <v>0.81537945748247487</v>
      </c>
      <c r="E54" s="21">
        <f t="shared" ref="E54:E55" si="17">8*8/162</f>
        <v>0.39506172839506171</v>
      </c>
      <c r="F54" s="40">
        <f t="shared" si="11"/>
        <v>9.6637565331256265</v>
      </c>
      <c r="G54" s="40">
        <f t="shared" si="16"/>
        <v>9.663756533125626E-3</v>
      </c>
      <c r="H54" s="22"/>
      <c r="I54" s="23"/>
      <c r="J54" s="42"/>
      <c r="K54" s="21"/>
      <c r="M54" s="1"/>
      <c r="N54" s="1"/>
      <c r="O54" s="1"/>
      <c r="P54" s="1"/>
    </row>
    <row r="55" spans="1:16" ht="15" customHeight="1" x14ac:dyDescent="0.3">
      <c r="A55" s="18"/>
      <c r="B55" s="38"/>
      <c r="C55" s="19">
        <f>(TRUNC(12.5/0.42,0))+1</f>
        <v>30</v>
      </c>
      <c r="D55" s="20">
        <f>(0.23*2+(0.583/3.281)*2)</f>
        <v>0.81537945748247487</v>
      </c>
      <c r="E55" s="21">
        <f t="shared" si="17"/>
        <v>0.39506172839506171</v>
      </c>
      <c r="F55" s="40">
        <f t="shared" si="11"/>
        <v>9.6637565331256265</v>
      </c>
      <c r="G55" s="40">
        <f t="shared" ref="G55" si="18">F55/1000</f>
        <v>9.663756533125626E-3</v>
      </c>
      <c r="H55" s="22"/>
      <c r="I55" s="23"/>
      <c r="J55" s="42"/>
      <c r="K55" s="21"/>
      <c r="M55" s="1"/>
      <c r="N55" s="1"/>
      <c r="O55" s="1"/>
      <c r="P55" s="1"/>
    </row>
    <row r="56" spans="1:16" ht="15" customHeight="1" x14ac:dyDescent="0.3">
      <c r="A56" s="18"/>
      <c r="B56" s="38" t="s">
        <v>60</v>
      </c>
      <c r="C56" s="19">
        <f>2*2*5</f>
        <v>20</v>
      </c>
      <c r="D56" s="20">
        <f>(5-0.333*2+0.5*2)/3.281</f>
        <v>1.6257238646754038</v>
      </c>
      <c r="E56" s="21">
        <f>12*12/162</f>
        <v>0.88888888888888884</v>
      </c>
      <c r="F56" s="40">
        <f t="shared" si="11"/>
        <v>28.901757594229394</v>
      </c>
      <c r="G56" s="40">
        <f t="shared" ref="G56" si="19">F56/1000</f>
        <v>2.8901757594229395E-2</v>
      </c>
      <c r="H56" s="22"/>
      <c r="I56" s="23"/>
      <c r="J56" s="42"/>
      <c r="K56" s="21"/>
      <c r="M56" s="1"/>
      <c r="N56" s="1"/>
      <c r="O56" s="1"/>
      <c r="P56" s="1"/>
    </row>
    <row r="57" spans="1:16" ht="15" customHeight="1" x14ac:dyDescent="0.3">
      <c r="A57" s="18"/>
      <c r="B57" s="38"/>
      <c r="C57" s="19">
        <f>2*2*5</f>
        <v>20</v>
      </c>
      <c r="D57" s="20">
        <f>(5-0.333*2+0.5*2)/3.281</f>
        <v>1.6257238646754038</v>
      </c>
      <c r="E57" s="21">
        <f>12*12/162</f>
        <v>0.88888888888888884</v>
      </c>
      <c r="F57" s="40">
        <f t="shared" si="11"/>
        <v>28.901757594229394</v>
      </c>
      <c r="G57" s="40">
        <f t="shared" ref="G57:G58" si="20">F57/1000</f>
        <v>2.8901757594229395E-2</v>
      </c>
      <c r="H57" s="22"/>
      <c r="I57" s="23"/>
      <c r="J57" s="42"/>
      <c r="K57" s="21"/>
      <c r="M57" s="1"/>
      <c r="N57" s="1"/>
      <c r="O57" s="1"/>
      <c r="P57" s="1"/>
    </row>
    <row r="58" spans="1:16" ht="15" customHeight="1" x14ac:dyDescent="0.3">
      <c r="A58" s="18"/>
      <c r="B58" s="38" t="s">
        <v>52</v>
      </c>
      <c r="C58" s="19">
        <f>2*4*((TRUNC(3.5/0.42,0)))</f>
        <v>64</v>
      </c>
      <c r="D58" s="20">
        <f>(0.15*2+0.15*2)</f>
        <v>0.6</v>
      </c>
      <c r="E58" s="21">
        <f t="shared" ref="E58" si="21">8*8/162</f>
        <v>0.39506172839506171</v>
      </c>
      <c r="F58" s="40">
        <f t="shared" si="11"/>
        <v>15.170370370370369</v>
      </c>
      <c r="G58" s="40">
        <f t="shared" si="20"/>
        <v>1.5170370370370369E-2</v>
      </c>
      <c r="H58" s="22"/>
      <c r="I58" s="23"/>
      <c r="J58" s="42"/>
      <c r="K58" s="21"/>
      <c r="M58" s="1"/>
      <c r="N58" s="1"/>
      <c r="O58" s="1"/>
      <c r="P58" s="1"/>
    </row>
    <row r="59" spans="1:16" ht="15" customHeight="1" x14ac:dyDescent="0.3">
      <c r="A59" s="18"/>
      <c r="B59" s="38" t="s">
        <v>61</v>
      </c>
      <c r="C59" s="19">
        <f>4*4</f>
        <v>16</v>
      </c>
      <c r="D59" s="20">
        <f>8/3.281</f>
        <v>2.4382810118866196</v>
      </c>
      <c r="E59" s="21">
        <f>12*12/162</f>
        <v>0.88888888888888884</v>
      </c>
      <c r="F59" s="40">
        <f t="shared" si="11"/>
        <v>34.677774391276365</v>
      </c>
      <c r="G59" s="40">
        <f t="shared" ref="G59" si="22">F59/1000</f>
        <v>3.4677774391276367E-2</v>
      </c>
      <c r="H59" s="22"/>
      <c r="I59" s="23"/>
      <c r="J59" s="42"/>
      <c r="K59" s="21"/>
      <c r="M59" s="1"/>
      <c r="N59" s="1"/>
      <c r="O59" s="1"/>
      <c r="P59" s="1"/>
    </row>
    <row r="60" spans="1:16" ht="15" customHeight="1" x14ac:dyDescent="0.3">
      <c r="A60" s="18"/>
      <c r="B60" s="61" t="s">
        <v>66</v>
      </c>
      <c r="C60" s="19"/>
      <c r="D60" s="20"/>
      <c r="E60" s="21"/>
      <c r="F60" s="40"/>
      <c r="G60" s="33">
        <f>0.02*SUM(G40:G59)</f>
        <v>1.6692453360726372E-2</v>
      </c>
      <c r="H60" s="22"/>
      <c r="I60" s="23"/>
      <c r="J60" s="42"/>
      <c r="K60" s="21"/>
      <c r="M60" s="1"/>
      <c r="N60" s="1"/>
      <c r="O60" s="1"/>
      <c r="P60" s="1"/>
    </row>
    <row r="61" spans="1:16" ht="15" customHeight="1" x14ac:dyDescent="0.3">
      <c r="A61" s="18"/>
      <c r="B61" s="38" t="s">
        <v>42</v>
      </c>
      <c r="C61" s="19"/>
      <c r="D61" s="20"/>
      <c r="E61" s="21"/>
      <c r="F61" s="21"/>
      <c r="G61" s="23">
        <f>SUM(G40:G60)</f>
        <v>0.8513151213970449</v>
      </c>
      <c r="H61" s="22" t="s">
        <v>54</v>
      </c>
      <c r="I61" s="23">
        <v>131940</v>
      </c>
      <c r="J61" s="42">
        <f>G61*I61</f>
        <v>112322.5171171261</v>
      </c>
      <c r="K61" s="21"/>
      <c r="M61" s="1"/>
      <c r="N61" s="1"/>
      <c r="O61" s="1"/>
      <c r="P61" s="1"/>
    </row>
    <row r="62" spans="1:16" ht="15" customHeight="1" x14ac:dyDescent="0.3">
      <c r="A62" s="18"/>
      <c r="B62" s="38" t="s">
        <v>40</v>
      </c>
      <c r="C62" s="19"/>
      <c r="D62" s="20"/>
      <c r="E62" s="21"/>
      <c r="F62" s="21"/>
      <c r="G62" s="23"/>
      <c r="H62" s="22"/>
      <c r="I62" s="23"/>
      <c r="J62" s="42">
        <f>0.13*G61*106200</f>
        <v>11753.256566007602</v>
      </c>
      <c r="K62" s="21"/>
      <c r="M62" s="1"/>
      <c r="N62" s="1"/>
      <c r="O62" s="1"/>
      <c r="P62" s="1"/>
    </row>
    <row r="63" spans="1:16" ht="15" customHeight="1" x14ac:dyDescent="0.3">
      <c r="A63" s="18"/>
      <c r="B63" s="38"/>
      <c r="C63" s="19"/>
      <c r="D63" s="20"/>
      <c r="E63" s="21"/>
      <c r="F63" s="21"/>
      <c r="G63" s="23"/>
      <c r="H63" s="22"/>
      <c r="I63" s="23"/>
      <c r="J63" s="42"/>
      <c r="K63" s="21"/>
      <c r="M63" s="1"/>
      <c r="N63" s="1"/>
      <c r="O63" s="1"/>
      <c r="P63" s="1"/>
    </row>
    <row r="64" spans="1:16" ht="15" customHeight="1" x14ac:dyDescent="0.3">
      <c r="A64" s="18">
        <v>4</v>
      </c>
      <c r="B64" s="29" t="s">
        <v>30</v>
      </c>
      <c r="C64" s="19">
        <v>1</v>
      </c>
      <c r="D64" s="20"/>
      <c r="E64" s="21"/>
      <c r="F64" s="21"/>
      <c r="G64" s="33">
        <f t="shared" ref="G64" si="23">PRODUCT(C64:F64)</f>
        <v>1</v>
      </c>
      <c r="H64" s="22" t="s">
        <v>31</v>
      </c>
      <c r="I64" s="23">
        <v>500</v>
      </c>
      <c r="J64" s="33">
        <f>G64*I64</f>
        <v>500</v>
      </c>
      <c r="K64" s="21"/>
      <c r="M64" s="1"/>
      <c r="N64" s="1"/>
      <c r="O64" s="1"/>
      <c r="P64" s="1"/>
    </row>
    <row r="65" spans="1:16" ht="15" customHeight="1" x14ac:dyDescent="0.3">
      <c r="A65" s="18"/>
      <c r="B65" s="24"/>
      <c r="C65" s="19"/>
      <c r="D65" s="20"/>
      <c r="E65" s="21"/>
      <c r="F65" s="21"/>
      <c r="G65" s="23"/>
      <c r="H65" s="22"/>
      <c r="I65" s="23"/>
      <c r="J65" s="42"/>
      <c r="K65" s="21"/>
      <c r="M65" s="1"/>
      <c r="N65" s="1"/>
      <c r="O65" s="1"/>
      <c r="P65" s="1"/>
    </row>
    <row r="66" spans="1:16" x14ac:dyDescent="0.3">
      <c r="A66" s="41"/>
      <c r="B66" s="43" t="s">
        <v>17</v>
      </c>
      <c r="C66" s="44"/>
      <c r="D66" s="39"/>
      <c r="E66" s="39"/>
      <c r="F66" s="39"/>
      <c r="G66" s="42"/>
      <c r="H66" s="42"/>
      <c r="I66" s="42"/>
      <c r="J66" s="42">
        <f>SUM(J9:J64)</f>
        <v>483837.72404040786</v>
      </c>
      <c r="K66" s="37"/>
    </row>
    <row r="67" spans="1:16" x14ac:dyDescent="0.3">
      <c r="A67" s="55"/>
      <c r="B67" s="58"/>
      <c r="C67" s="59"/>
      <c r="D67" s="56"/>
      <c r="E67" s="56"/>
      <c r="F67" s="56"/>
      <c r="G67" s="57"/>
      <c r="H67" s="57"/>
      <c r="I67" s="57"/>
      <c r="J67" s="57"/>
      <c r="K67" s="54"/>
    </row>
    <row r="68" spans="1:16" s="1" customFormat="1" x14ac:dyDescent="0.3">
      <c r="A68" s="47"/>
      <c r="B68" s="28" t="s">
        <v>27</v>
      </c>
      <c r="C68" s="80">
        <f>J66</f>
        <v>483837.72404040786</v>
      </c>
      <c r="D68" s="80"/>
      <c r="E68" s="40">
        <v>100</v>
      </c>
      <c r="F68" s="48"/>
      <c r="G68" s="49"/>
      <c r="H68" s="48"/>
      <c r="I68" s="50"/>
      <c r="J68" s="51"/>
      <c r="K68" s="52"/>
    </row>
    <row r="69" spans="1:16" x14ac:dyDescent="0.3">
      <c r="A69" s="53"/>
      <c r="B69" s="28" t="s">
        <v>32</v>
      </c>
      <c r="C69" s="83">
        <v>430000</v>
      </c>
      <c r="D69" s="83"/>
      <c r="E69" s="40"/>
      <c r="F69" s="46"/>
      <c r="G69" s="45"/>
      <c r="H69" s="45"/>
      <c r="I69" s="45"/>
      <c r="J69" s="45"/>
      <c r="K69" s="46"/>
    </row>
    <row r="70" spans="1:16" x14ac:dyDescent="0.3">
      <c r="A70" s="53"/>
      <c r="B70" s="28" t="s">
        <v>33</v>
      </c>
      <c r="C70" s="83">
        <f>C69-C72-C73</f>
        <v>408500</v>
      </c>
      <c r="D70" s="83"/>
      <c r="E70" s="40">
        <f>C70/C68*100</f>
        <v>84.429133922985301</v>
      </c>
      <c r="F70" s="46"/>
      <c r="G70" s="45"/>
      <c r="H70" s="45"/>
      <c r="I70" s="45"/>
      <c r="J70" s="45"/>
      <c r="K70" s="46"/>
    </row>
    <row r="71" spans="1:16" x14ac:dyDescent="0.3">
      <c r="A71" s="53"/>
      <c r="B71" s="28" t="s">
        <v>34</v>
      </c>
      <c r="C71" s="80">
        <f>C68-C70</f>
        <v>75337.724040407862</v>
      </c>
      <c r="D71" s="80"/>
      <c r="E71" s="40">
        <f>100-E70</f>
        <v>15.570866077014699</v>
      </c>
      <c r="F71" s="46"/>
      <c r="G71" s="45"/>
      <c r="H71" s="45"/>
      <c r="I71" s="45"/>
      <c r="J71" s="45"/>
      <c r="K71" s="46"/>
    </row>
    <row r="72" spans="1:16" x14ac:dyDescent="0.3">
      <c r="A72" s="53"/>
      <c r="B72" s="28" t="s">
        <v>35</v>
      </c>
      <c r="C72" s="80">
        <f>C69*0.03</f>
        <v>12900</v>
      </c>
      <c r="D72" s="80"/>
      <c r="E72" s="40">
        <v>3</v>
      </c>
      <c r="F72" s="46"/>
      <c r="G72" s="45"/>
      <c r="H72" s="45"/>
      <c r="I72" s="45"/>
      <c r="J72" s="45"/>
      <c r="K72" s="46"/>
    </row>
    <row r="73" spans="1:16" x14ac:dyDescent="0.3">
      <c r="A73" s="53"/>
      <c r="B73" s="28" t="s">
        <v>36</v>
      </c>
      <c r="C73" s="80">
        <f>C69*0.02</f>
        <v>8600</v>
      </c>
      <c r="D73" s="80"/>
      <c r="E73" s="40">
        <v>2</v>
      </c>
      <c r="F73" s="46"/>
      <c r="G73" s="45"/>
      <c r="H73" s="45"/>
      <c r="I73" s="45"/>
      <c r="J73" s="45"/>
      <c r="K73" s="46"/>
    </row>
    <row r="74" spans="1:16" s="36" customFormat="1" x14ac:dyDescent="0.3">
      <c r="A74" s="54"/>
      <c r="B74" s="54"/>
      <c r="C74" s="54"/>
      <c r="D74" s="54"/>
      <c r="E74" s="54"/>
      <c r="F74" s="54"/>
      <c r="G74" s="54"/>
      <c r="H74" s="54"/>
      <c r="I74" s="54"/>
      <c r="J74" s="54"/>
      <c r="K74" s="54"/>
    </row>
    <row r="75" spans="1:16" s="36" customFormat="1" x14ac:dyDescent="0.3"/>
    <row r="76" spans="1:16" s="36" customFormat="1" x14ac:dyDescent="0.3"/>
    <row r="77" spans="1:16" s="36" customFormat="1" x14ac:dyDescent="0.3"/>
    <row r="78" spans="1:16" s="36" customFormat="1" x14ac:dyDescent="0.3"/>
    <row r="79" spans="1:16" s="36" customFormat="1" x14ac:dyDescent="0.3"/>
    <row r="80" spans="1:16"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row r="113" s="36" customFormat="1" x14ac:dyDescent="0.3"/>
    <row r="114" s="36" customFormat="1" x14ac:dyDescent="0.3"/>
    <row r="115" s="36" customFormat="1" x14ac:dyDescent="0.3"/>
    <row r="116" s="36" customFormat="1" x14ac:dyDescent="0.3"/>
    <row r="117" s="36" customFormat="1" x14ac:dyDescent="0.3"/>
    <row r="118" s="36" customFormat="1" x14ac:dyDescent="0.3"/>
    <row r="119" s="36" customFormat="1" x14ac:dyDescent="0.3"/>
    <row r="120" s="36" customFormat="1" x14ac:dyDescent="0.3"/>
    <row r="121" s="36" customFormat="1" x14ac:dyDescent="0.3"/>
    <row r="122" s="36" customFormat="1" x14ac:dyDescent="0.3"/>
    <row r="123" s="36" customFormat="1" x14ac:dyDescent="0.3"/>
    <row r="124" s="36" customFormat="1" x14ac:dyDescent="0.3"/>
    <row r="125" s="36" customFormat="1" x14ac:dyDescent="0.3"/>
    <row r="126" s="36" customFormat="1" x14ac:dyDescent="0.3"/>
    <row r="127" s="36" customFormat="1" x14ac:dyDescent="0.3"/>
    <row r="128" s="36" customFormat="1" x14ac:dyDescent="0.3"/>
    <row r="129" s="36" customFormat="1" x14ac:dyDescent="0.3"/>
    <row r="130" s="36" customFormat="1" x14ac:dyDescent="0.3"/>
  </sheetData>
  <mergeCells count="15">
    <mergeCell ref="C72:D72"/>
    <mergeCell ref="C73:D73"/>
    <mergeCell ref="A7:F7"/>
    <mergeCell ref="H7:K7"/>
    <mergeCell ref="C68:D68"/>
    <mergeCell ref="C69:D69"/>
    <mergeCell ref="C70:D70"/>
    <mergeCell ref="C71:D71"/>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6"/>
  <sheetViews>
    <sheetView tabSelected="1" topLeftCell="A38" zoomScaleNormal="100" workbookViewId="0">
      <selection activeCell="C39" sqref="C39"/>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44140625" customWidth="1"/>
    <col min="10" max="10" width="11.33203125" customWidth="1"/>
    <col min="11" max="11" width="8.33203125" customWidth="1"/>
    <col min="14" max="14" width="9.5546875" bestFit="1" customWidth="1"/>
  </cols>
  <sheetData>
    <row r="1" spans="1:16" s="1" customFormat="1" x14ac:dyDescent="0.3">
      <c r="A1" s="77" t="s">
        <v>0</v>
      </c>
      <c r="B1" s="77"/>
      <c r="C1" s="77"/>
      <c r="D1" s="77"/>
      <c r="E1" s="77"/>
      <c r="F1" s="77"/>
      <c r="G1" s="77"/>
      <c r="H1" s="77"/>
      <c r="I1" s="77"/>
      <c r="J1" s="77"/>
      <c r="K1" s="77"/>
    </row>
    <row r="2" spans="1:16" s="1" customFormat="1" ht="22.8" x14ac:dyDescent="0.3">
      <c r="A2" s="78" t="s">
        <v>1</v>
      </c>
      <c r="B2" s="78"/>
      <c r="C2" s="78"/>
      <c r="D2" s="78"/>
      <c r="E2" s="78"/>
      <c r="F2" s="78"/>
      <c r="G2" s="78"/>
      <c r="H2" s="78"/>
      <c r="I2" s="78"/>
      <c r="J2" s="78"/>
      <c r="K2" s="78"/>
    </row>
    <row r="3" spans="1:16" s="1" customFormat="1" x14ac:dyDescent="0.3">
      <c r="A3" s="74" t="s">
        <v>2</v>
      </c>
      <c r="B3" s="74"/>
      <c r="C3" s="74"/>
      <c r="D3" s="74"/>
      <c r="E3" s="74"/>
      <c r="F3" s="74"/>
      <c r="G3" s="74"/>
      <c r="H3" s="74"/>
      <c r="I3" s="74"/>
      <c r="J3" s="74"/>
      <c r="K3" s="74"/>
    </row>
    <row r="4" spans="1:16" s="1" customFormat="1" x14ac:dyDescent="0.3">
      <c r="A4" s="74" t="s">
        <v>3</v>
      </c>
      <c r="B4" s="74"/>
      <c r="C4" s="74"/>
      <c r="D4" s="74"/>
      <c r="E4" s="74"/>
      <c r="F4" s="74"/>
      <c r="G4" s="74"/>
      <c r="H4" s="74"/>
      <c r="I4" s="74"/>
      <c r="J4" s="74"/>
      <c r="K4" s="74"/>
    </row>
    <row r="5" spans="1:16" ht="17.399999999999999" x14ac:dyDescent="0.3">
      <c r="A5" s="79" t="s">
        <v>4</v>
      </c>
      <c r="B5" s="79"/>
      <c r="C5" s="79"/>
      <c r="D5" s="79"/>
      <c r="E5" s="79"/>
      <c r="F5" s="79"/>
      <c r="G5" s="79"/>
      <c r="H5" s="79"/>
      <c r="I5" s="79"/>
      <c r="J5" s="79"/>
      <c r="K5" s="79"/>
    </row>
    <row r="6" spans="1:16" ht="15.6" x14ac:dyDescent="0.3">
      <c r="A6" s="64" t="s">
        <v>56</v>
      </c>
      <c r="B6" s="64"/>
      <c r="C6" s="64"/>
      <c r="D6" s="64"/>
      <c r="E6" s="64"/>
      <c r="F6" s="64"/>
      <c r="G6" s="2"/>
      <c r="H6" s="76" t="s">
        <v>45</v>
      </c>
      <c r="I6" s="76"/>
      <c r="J6" s="76"/>
      <c r="K6" s="76"/>
    </row>
    <row r="7" spans="1:16" ht="15.6" x14ac:dyDescent="0.3">
      <c r="A7" s="81" t="s">
        <v>28</v>
      </c>
      <c r="B7" s="81"/>
      <c r="C7" s="81"/>
      <c r="D7" s="81"/>
      <c r="E7" s="81"/>
      <c r="F7" s="81"/>
      <c r="G7" s="3"/>
      <c r="H7" s="82" t="s">
        <v>57</v>
      </c>
      <c r="I7" s="82"/>
      <c r="J7" s="82"/>
      <c r="K7" s="82"/>
    </row>
    <row r="8" spans="1:16" ht="15" customHeight="1" x14ac:dyDescent="0.3">
      <c r="A8" s="4" t="s">
        <v>5</v>
      </c>
      <c r="B8" s="15" t="s">
        <v>6</v>
      </c>
      <c r="C8" s="4" t="s">
        <v>7</v>
      </c>
      <c r="D8" s="16" t="s">
        <v>8</v>
      </c>
      <c r="E8" s="16" t="s">
        <v>9</v>
      </c>
      <c r="F8" s="16" t="s">
        <v>10</v>
      </c>
      <c r="G8" s="16" t="s">
        <v>11</v>
      </c>
      <c r="H8" s="4" t="s">
        <v>12</v>
      </c>
      <c r="I8" s="16" t="s">
        <v>13</v>
      </c>
      <c r="J8" s="16" t="s">
        <v>14</v>
      </c>
      <c r="K8" s="17" t="s">
        <v>15</v>
      </c>
    </row>
    <row r="9" spans="1:16" ht="30.6" x14ac:dyDescent="0.3">
      <c r="A9" s="18">
        <v>1</v>
      </c>
      <c r="B9" s="60" t="s">
        <v>46</v>
      </c>
      <c r="C9" s="19"/>
      <c r="D9" s="20"/>
      <c r="E9" s="21"/>
      <c r="F9" s="21"/>
      <c r="G9" s="23"/>
      <c r="H9" s="22"/>
      <c r="I9" s="23"/>
      <c r="J9" s="42"/>
      <c r="K9" s="21"/>
      <c r="M9" s="1"/>
      <c r="N9" s="1"/>
      <c r="O9" s="1"/>
      <c r="P9" s="1"/>
    </row>
    <row r="10" spans="1:16" ht="15" customHeight="1" x14ac:dyDescent="0.3">
      <c r="A10" s="18"/>
      <c r="B10" s="38" t="s">
        <v>55</v>
      </c>
      <c r="C10" s="19">
        <v>4</v>
      </c>
      <c r="D10" s="20">
        <v>0.3</v>
      </c>
      <c r="E10" s="21">
        <v>0.3</v>
      </c>
      <c r="F10" s="21">
        <f>9/3.281</f>
        <v>2.7430661383724475</v>
      </c>
      <c r="G10" s="40">
        <f t="shared" ref="G10" si="0">PRODUCT(C10:F10)</f>
        <v>0.98750380981408103</v>
      </c>
      <c r="H10" s="22"/>
      <c r="I10" s="23"/>
      <c r="J10" s="42"/>
      <c r="K10" s="21"/>
      <c r="M10" s="1"/>
      <c r="N10" s="1"/>
      <c r="O10" s="1"/>
      <c r="P10" s="1"/>
    </row>
    <row r="11" spans="1:16" ht="15" customHeight="1" x14ac:dyDescent="0.3">
      <c r="A11" s="18"/>
      <c r="B11" s="38" t="s">
        <v>48</v>
      </c>
      <c r="C11" s="19">
        <v>2</v>
      </c>
      <c r="D11" s="21">
        <f>11.75/3.281</f>
        <v>3.5812252362084727</v>
      </c>
      <c r="E11" s="21">
        <v>0.23</v>
      </c>
      <c r="F11" s="21">
        <v>0.23</v>
      </c>
      <c r="G11" s="40">
        <f>PRODUCT(C11:E11)</f>
        <v>1.6473636086558976</v>
      </c>
      <c r="H11" s="22"/>
      <c r="I11" s="23"/>
      <c r="J11" s="42"/>
      <c r="K11" s="21"/>
      <c r="M11" s="1"/>
      <c r="N11" s="1"/>
      <c r="O11" s="1"/>
      <c r="P11" s="1"/>
    </row>
    <row r="12" spans="1:16" ht="15" customHeight="1" x14ac:dyDescent="0.3">
      <c r="A12" s="18"/>
      <c r="B12" s="38"/>
      <c r="C12" s="19">
        <v>2</v>
      </c>
      <c r="D12" s="21">
        <f>12/3.281</f>
        <v>3.6574215178299299</v>
      </c>
      <c r="E12" s="21">
        <v>0.23</v>
      </c>
      <c r="F12" s="21">
        <v>0.23</v>
      </c>
      <c r="G12" s="40">
        <f>PRODUCT(C12:E12)</f>
        <v>1.6824138982017678</v>
      </c>
      <c r="H12" s="22"/>
      <c r="I12" s="23"/>
      <c r="J12" s="42"/>
      <c r="K12" s="21"/>
      <c r="M12" s="1"/>
      <c r="N12" s="1"/>
      <c r="O12" s="1"/>
      <c r="P12" s="1"/>
    </row>
    <row r="13" spans="1:16" ht="15" customHeight="1" x14ac:dyDescent="0.3">
      <c r="A13" s="18"/>
      <c r="B13" s="38" t="s">
        <v>61</v>
      </c>
      <c r="C13" s="19">
        <v>4</v>
      </c>
      <c r="D13" s="20">
        <f>8.8333/3.281</f>
        <v>2.6922584577872599</v>
      </c>
      <c r="E13" s="21">
        <v>0.23</v>
      </c>
      <c r="F13" s="21">
        <v>0.23</v>
      </c>
      <c r="G13" s="40">
        <f t="shared" ref="G13" si="1">PRODUCT(C13:F13)</f>
        <v>0.56968188966778421</v>
      </c>
      <c r="H13" s="22"/>
      <c r="I13" s="23"/>
      <c r="J13" s="42"/>
      <c r="K13" s="21"/>
      <c r="M13" s="1"/>
      <c r="N13" s="1"/>
      <c r="O13" s="1"/>
      <c r="P13" s="1"/>
    </row>
    <row r="14" spans="1:16" ht="15" customHeight="1" x14ac:dyDescent="0.3">
      <c r="A14" s="18"/>
      <c r="B14" s="38" t="s">
        <v>67</v>
      </c>
      <c r="C14" s="19">
        <v>2</v>
      </c>
      <c r="D14" s="20">
        <f>10.083/3.281</f>
        <v>3.0731484303565986</v>
      </c>
      <c r="E14" s="21">
        <f>(9)/3.281</f>
        <v>2.7430661383724475</v>
      </c>
      <c r="F14" s="21">
        <v>0.1</v>
      </c>
      <c r="G14" s="40">
        <f t="shared" ref="G14" si="2">PRODUCT(C14:F14)</f>
        <v>1.6859698795007247</v>
      </c>
      <c r="H14" s="22"/>
      <c r="I14" s="23"/>
      <c r="J14" s="42"/>
      <c r="K14" s="21"/>
      <c r="M14" s="1"/>
      <c r="N14" s="1"/>
      <c r="O14" s="1"/>
      <c r="P14" s="1"/>
    </row>
    <row r="15" spans="1:16" ht="15" customHeight="1" x14ac:dyDescent="0.3">
      <c r="A15" s="18"/>
      <c r="B15" s="38"/>
      <c r="C15" s="19">
        <v>2</v>
      </c>
      <c r="D15" s="20">
        <f>(6.5+2.75)/3.281</f>
        <v>2.8192624199939043</v>
      </c>
      <c r="E15" s="21">
        <f>(9)/3.281</f>
        <v>2.7430661383724475</v>
      </c>
      <c r="F15" s="21">
        <v>0.1</v>
      </c>
      <c r="G15" s="40">
        <f t="shared" ref="G15" si="3">PRODUCT(C15:F15)</f>
        <v>1.5466846558942482</v>
      </c>
      <c r="H15" s="22"/>
      <c r="I15" s="23"/>
      <c r="J15" s="42"/>
      <c r="K15" s="21"/>
      <c r="M15" s="1"/>
      <c r="N15" s="1"/>
      <c r="O15" s="1"/>
      <c r="P15" s="1"/>
    </row>
    <row r="16" spans="1:16" ht="15" customHeight="1" x14ac:dyDescent="0.3">
      <c r="A16" s="18"/>
      <c r="B16" s="38" t="s">
        <v>42</v>
      </c>
      <c r="C16" s="19"/>
      <c r="D16" s="20"/>
      <c r="E16" s="21"/>
      <c r="F16" s="21"/>
      <c r="G16" s="23">
        <f>SUM(G10:G15)</f>
        <v>8.119617741734503</v>
      </c>
      <c r="H16" s="22" t="s">
        <v>41</v>
      </c>
      <c r="I16" s="23">
        <v>13568.9</v>
      </c>
      <c r="J16" s="42">
        <f>G16*I16</f>
        <v>110174.28117582129</v>
      </c>
      <c r="K16" s="21"/>
      <c r="M16" s="1"/>
      <c r="N16" s="1"/>
      <c r="O16" s="1"/>
      <c r="P16" s="1"/>
    </row>
    <row r="17" spans="1:16" ht="15" customHeight="1" x14ac:dyDescent="0.3">
      <c r="A17" s="18"/>
      <c r="B17" s="38" t="s">
        <v>40</v>
      </c>
      <c r="C17" s="19"/>
      <c r="D17" s="20"/>
      <c r="E17" s="21"/>
      <c r="F17" s="21"/>
      <c r="G17" s="23"/>
      <c r="H17" s="22"/>
      <c r="I17" s="23"/>
      <c r="J17" s="42">
        <f>0.13*G16*9524.2</f>
        <v>10053.272228457608</v>
      </c>
      <c r="K17" s="21"/>
      <c r="M17" s="1"/>
      <c r="N17" s="1"/>
      <c r="O17" s="1"/>
      <c r="P17" s="1"/>
    </row>
    <row r="18" spans="1:16" ht="15" customHeight="1" x14ac:dyDescent="0.3">
      <c r="A18" s="18"/>
      <c r="B18" s="38"/>
      <c r="C18" s="19"/>
      <c r="D18" s="20"/>
      <c r="E18" s="21"/>
      <c r="F18" s="21"/>
      <c r="G18" s="23"/>
      <c r="H18" s="22"/>
      <c r="I18" s="23"/>
      <c r="J18" s="42"/>
      <c r="K18" s="21"/>
      <c r="M18" s="1"/>
      <c r="N18" s="1"/>
      <c r="O18" s="1"/>
      <c r="P18" s="1"/>
    </row>
    <row r="19" spans="1:16" ht="30.6" x14ac:dyDescent="0.3">
      <c r="A19" s="18">
        <v>2</v>
      </c>
      <c r="B19" s="60" t="s">
        <v>49</v>
      </c>
      <c r="C19" s="19"/>
      <c r="D19" s="20"/>
      <c r="E19" s="21"/>
      <c r="F19" s="21"/>
      <c r="G19" s="23"/>
      <c r="H19" s="22"/>
      <c r="I19" s="23"/>
      <c r="J19" s="42"/>
      <c r="K19" s="21"/>
      <c r="M19" s="1"/>
      <c r="N19" s="1"/>
      <c r="O19" s="1"/>
      <c r="P19" s="1"/>
    </row>
    <row r="20" spans="1:16" ht="15" customHeight="1" x14ac:dyDescent="0.3">
      <c r="A20" s="18"/>
      <c r="B20" s="38" t="str">
        <f>B10</f>
        <v>-column</v>
      </c>
      <c r="C20" s="19">
        <f>C10</f>
        <v>4</v>
      </c>
      <c r="D20" s="20">
        <f>D10*4</f>
        <v>1.2</v>
      </c>
      <c r="E20" s="21"/>
      <c r="F20" s="21">
        <f>8.583/3.281</f>
        <v>2.6159707406278572</v>
      </c>
      <c r="G20" s="40">
        <f>PRODUCT(C20:F20)</f>
        <v>12.556659555013715</v>
      </c>
      <c r="H20" s="22"/>
      <c r="I20" s="23"/>
      <c r="J20" s="42"/>
      <c r="K20" s="21"/>
      <c r="M20" s="1"/>
      <c r="N20" s="1"/>
      <c r="O20" s="1"/>
      <c r="P20" s="1"/>
    </row>
    <row r="21" spans="1:16" ht="15" customHeight="1" x14ac:dyDescent="0.3">
      <c r="A21" s="18"/>
      <c r="B21" s="38" t="str">
        <f>B11</f>
        <v>-beam</v>
      </c>
      <c r="C21" s="19">
        <f>C11</f>
        <v>2</v>
      </c>
      <c r="D21" s="20">
        <f>D11</f>
        <v>3.5812252362084727</v>
      </c>
      <c r="E21" s="21"/>
      <c r="F21" s="21">
        <f>F11*3</f>
        <v>0.69000000000000006</v>
      </c>
      <c r="G21" s="40">
        <f t="shared" ref="G21:G25" si="4">PRODUCT(C21:F21)</f>
        <v>4.9420908259676928</v>
      </c>
      <c r="H21" s="22"/>
      <c r="I21" s="23"/>
      <c r="J21" s="42"/>
      <c r="K21" s="21"/>
      <c r="M21" s="1"/>
      <c r="N21" s="1"/>
      <c r="O21" s="1"/>
      <c r="P21" s="1"/>
    </row>
    <row r="22" spans="1:16" ht="15" customHeight="1" x14ac:dyDescent="0.3">
      <c r="A22" s="18"/>
      <c r="B22" s="38"/>
      <c r="C22" s="19">
        <f>C12</f>
        <v>2</v>
      </c>
      <c r="D22" s="20">
        <f>D12</f>
        <v>3.6574215178299299</v>
      </c>
      <c r="E22" s="21"/>
      <c r="F22" s="21">
        <f>F12*3</f>
        <v>0.69000000000000006</v>
      </c>
      <c r="G22" s="40">
        <f t="shared" si="4"/>
        <v>5.0472416946053036</v>
      </c>
      <c r="H22" s="22"/>
      <c r="I22" s="23"/>
      <c r="J22" s="42"/>
      <c r="K22" s="21"/>
      <c r="M22" s="1"/>
      <c r="N22" s="1"/>
      <c r="O22" s="1"/>
      <c r="P22" s="1"/>
    </row>
    <row r="23" spans="1:16" ht="15" customHeight="1" x14ac:dyDescent="0.3">
      <c r="A23" s="18"/>
      <c r="B23" s="38" t="str">
        <f>B13</f>
        <v>-inclined beam</v>
      </c>
      <c r="C23" s="19">
        <f>C13</f>
        <v>4</v>
      </c>
      <c r="D23" s="20">
        <f>D13</f>
        <v>2.6922584577872599</v>
      </c>
      <c r="E23" s="21"/>
      <c r="F23" s="21">
        <f>F13*3</f>
        <v>0.69000000000000006</v>
      </c>
      <c r="G23" s="40">
        <f t="shared" si="4"/>
        <v>7.430633343492838</v>
      </c>
      <c r="H23" s="22"/>
      <c r="I23" s="23"/>
      <c r="J23" s="42"/>
      <c r="K23" s="21"/>
      <c r="M23" s="1"/>
      <c r="N23" s="1"/>
      <c r="O23" s="1"/>
      <c r="P23" s="1"/>
    </row>
    <row r="24" spans="1:16" ht="15" customHeight="1" x14ac:dyDescent="0.3">
      <c r="A24" s="18"/>
      <c r="B24" s="38" t="str">
        <f>B14</f>
        <v>-inclined slab</v>
      </c>
      <c r="C24" s="19">
        <f>C14</f>
        <v>2</v>
      </c>
      <c r="D24" s="20">
        <f>D14</f>
        <v>3.0731484303565986</v>
      </c>
      <c r="E24" s="21">
        <f>E14</f>
        <v>2.7430661383724475</v>
      </c>
      <c r="F24" s="21"/>
      <c r="G24" s="40">
        <f t="shared" si="4"/>
        <v>16.859698795007247</v>
      </c>
      <c r="H24" s="22"/>
      <c r="I24" s="23"/>
      <c r="J24" s="42"/>
      <c r="K24" s="21"/>
      <c r="M24" s="1"/>
      <c r="N24" s="1"/>
      <c r="O24" s="1"/>
      <c r="P24" s="1"/>
    </row>
    <row r="25" spans="1:16" ht="15" customHeight="1" x14ac:dyDescent="0.3">
      <c r="A25" s="18"/>
      <c r="B25" s="38"/>
      <c r="C25" s="19">
        <f>C15</f>
        <v>2</v>
      </c>
      <c r="D25" s="20">
        <f>D15</f>
        <v>2.8192624199939043</v>
      </c>
      <c r="E25" s="21">
        <f>E15</f>
        <v>2.7430661383724475</v>
      </c>
      <c r="F25" s="21"/>
      <c r="G25" s="40">
        <f t="shared" si="4"/>
        <v>15.46684655894248</v>
      </c>
      <c r="H25" s="22"/>
      <c r="I25" s="23"/>
      <c r="J25" s="42"/>
      <c r="K25" s="21"/>
      <c r="M25" s="1"/>
      <c r="N25" s="84">
        <f>SUM(J16:J27)</f>
        <v>181053.90420933673</v>
      </c>
      <c r="O25" s="1"/>
      <c r="P25" s="1"/>
    </row>
    <row r="26" spans="1:16" ht="15" customHeight="1" x14ac:dyDescent="0.3">
      <c r="A26" s="18"/>
      <c r="B26" s="38" t="s">
        <v>42</v>
      </c>
      <c r="C26" s="19"/>
      <c r="D26" s="20"/>
      <c r="E26" s="21"/>
      <c r="F26" s="21"/>
      <c r="G26" s="23">
        <f>SUM(G20:G25)</f>
        <v>62.303170773029272</v>
      </c>
      <c r="H26" s="22" t="s">
        <v>41</v>
      </c>
      <c r="I26" s="23">
        <v>915.42</v>
      </c>
      <c r="J26" s="42">
        <f>G26*I26</f>
        <v>57033.568589046452</v>
      </c>
      <c r="K26" s="21"/>
      <c r="M26" s="1"/>
      <c r="N26" s="1"/>
      <c r="O26" s="1"/>
      <c r="P26" s="1"/>
    </row>
    <row r="27" spans="1:16" ht="15" customHeight="1" x14ac:dyDescent="0.3">
      <c r="A27" s="18"/>
      <c r="B27" s="38" t="s">
        <v>40</v>
      </c>
      <c r="C27" s="19"/>
      <c r="D27" s="20"/>
      <c r="E27" s="21"/>
      <c r="F27" s="21"/>
      <c r="G27" s="23"/>
      <c r="H27" s="22"/>
      <c r="I27" s="23"/>
      <c r="J27" s="42">
        <f>0.13*G26*46827.87/100</f>
        <v>3792.7822160113788</v>
      </c>
      <c r="K27" s="21"/>
      <c r="M27" s="1"/>
      <c r="N27" s="1"/>
      <c r="O27" s="1"/>
      <c r="P27" s="1"/>
    </row>
    <row r="28" spans="1:16" ht="15" customHeight="1" x14ac:dyDescent="0.3">
      <c r="A28" s="18"/>
      <c r="B28" s="38"/>
      <c r="C28" s="19"/>
      <c r="D28" s="20"/>
      <c r="E28" s="21"/>
      <c r="F28" s="21"/>
      <c r="G28" s="23"/>
      <c r="H28" s="22"/>
      <c r="I28" s="23"/>
      <c r="J28" s="42"/>
      <c r="K28" s="21"/>
      <c r="M28" s="1"/>
      <c r="N28" s="1"/>
      <c r="O28" s="1"/>
      <c r="P28" s="1"/>
    </row>
    <row r="29" spans="1:16" ht="41.4" x14ac:dyDescent="0.3">
      <c r="A29" s="18">
        <v>3</v>
      </c>
      <c r="B29" s="60" t="s">
        <v>50</v>
      </c>
      <c r="C29" s="19" t="s">
        <v>7</v>
      </c>
      <c r="D29" s="34" t="s">
        <v>44</v>
      </c>
      <c r="E29" s="35" t="s">
        <v>51</v>
      </c>
      <c r="F29" s="35" t="s">
        <v>43</v>
      </c>
      <c r="G29" s="23"/>
      <c r="H29" s="22"/>
      <c r="I29" s="23"/>
      <c r="J29" s="42"/>
      <c r="K29" s="21"/>
      <c r="M29" s="1"/>
      <c r="N29" s="1"/>
      <c r="O29" s="1"/>
      <c r="P29" s="1"/>
    </row>
    <row r="30" spans="1:16" ht="15" customHeight="1" x14ac:dyDescent="0.3">
      <c r="A30" s="18"/>
      <c r="B30" s="38" t="s">
        <v>64</v>
      </c>
      <c r="C30" s="19">
        <f>4*((TRUNC(((F20)/0.125),0)+1)-4)</f>
        <v>68</v>
      </c>
      <c r="D30" s="20">
        <f>(0.23*4+0.075*2)</f>
        <v>1.07</v>
      </c>
      <c r="E30" s="21">
        <f t="shared" ref="E30:E31" si="5">8*8/162</f>
        <v>0.39506172839506171</v>
      </c>
      <c r="F30" s="40">
        <f t="shared" ref="F30:F38" si="6">PRODUCT(C30:E30)</f>
        <v>28.744691358024692</v>
      </c>
      <c r="G30" s="40">
        <f t="shared" ref="G30:G38" si="7">F30/1000</f>
        <v>2.8744691358024693E-2</v>
      </c>
      <c r="H30" s="22"/>
      <c r="I30" s="23"/>
      <c r="J30" s="42"/>
      <c r="K30" s="21"/>
      <c r="M30" s="1"/>
      <c r="N30" s="1"/>
      <c r="O30" s="1"/>
      <c r="P30" s="1"/>
    </row>
    <row r="31" spans="1:16" ht="15" customHeight="1" x14ac:dyDescent="0.3">
      <c r="A31" s="18"/>
      <c r="B31" s="38"/>
      <c r="C31" s="19">
        <f>4*((TRUNC(((F20)/0.125),0)+1)-4)</f>
        <v>68</v>
      </c>
      <c r="D31" s="20">
        <f>(0.15*4+0.075*2)</f>
        <v>0.75</v>
      </c>
      <c r="E31" s="21">
        <f t="shared" si="5"/>
        <v>0.39506172839506171</v>
      </c>
      <c r="F31" s="40">
        <f t="shared" si="6"/>
        <v>20.148148148148145</v>
      </c>
      <c r="G31" s="40">
        <f t="shared" si="7"/>
        <v>2.0148148148148144E-2</v>
      </c>
      <c r="H31" s="22"/>
      <c r="I31" s="23"/>
      <c r="J31" s="42"/>
      <c r="K31" s="21"/>
      <c r="M31" s="1"/>
      <c r="N31" s="1"/>
      <c r="O31" s="1"/>
      <c r="P31" s="1"/>
    </row>
    <row r="32" spans="1:16" ht="15" customHeight="1" x14ac:dyDescent="0.3">
      <c r="A32" s="18"/>
      <c r="B32" s="38" t="str">
        <f>B11</f>
        <v>-beam</v>
      </c>
      <c r="C32" s="19">
        <f>C11*5</f>
        <v>10</v>
      </c>
      <c r="D32" s="20">
        <f>(D11+0.3*2-0.05*2+0.23*2-0.5*2)</f>
        <v>3.5412252362084731</v>
      </c>
      <c r="E32" s="21">
        <f>12*12/162</f>
        <v>0.88888888888888884</v>
      </c>
      <c r="F32" s="40">
        <f t="shared" si="6"/>
        <v>31.477557655186423</v>
      </c>
      <c r="G32" s="40">
        <f t="shared" si="7"/>
        <v>3.1477557655186422E-2</v>
      </c>
      <c r="H32" s="22"/>
      <c r="I32" s="23"/>
      <c r="J32" s="42"/>
      <c r="K32" s="21"/>
      <c r="M32" s="1"/>
      <c r="N32" s="1"/>
      <c r="O32" s="1"/>
      <c r="P32" s="1"/>
    </row>
    <row r="33" spans="1:16" ht="15" customHeight="1" x14ac:dyDescent="0.3">
      <c r="A33" s="18"/>
      <c r="B33" s="38"/>
      <c r="C33" s="19">
        <f>C12*5</f>
        <v>10</v>
      </c>
      <c r="D33" s="20">
        <f>(D12+0.3*2-0.05*2+0.23*2-0.5*2)</f>
        <v>3.6174215178299303</v>
      </c>
      <c r="E33" s="21">
        <f>12*12/162</f>
        <v>0.88888888888888884</v>
      </c>
      <c r="F33" s="40">
        <f t="shared" si="6"/>
        <v>32.154857936266048</v>
      </c>
      <c r="G33" s="40">
        <f t="shared" si="7"/>
        <v>3.2154857936266046E-2</v>
      </c>
      <c r="H33" s="22"/>
      <c r="I33" s="23"/>
      <c r="J33" s="42"/>
      <c r="K33" s="21"/>
      <c r="M33" s="1"/>
      <c r="N33" s="1"/>
      <c r="O33" s="1"/>
      <c r="P33" s="1"/>
    </row>
    <row r="34" spans="1:16" ht="15" customHeight="1" x14ac:dyDescent="0.3">
      <c r="A34" s="18"/>
      <c r="B34" s="38" t="s">
        <v>52</v>
      </c>
      <c r="C34" s="19">
        <f>2*((TRUNC((D11-0.1)/0.125,0))+1)</f>
        <v>56</v>
      </c>
      <c r="D34" s="20">
        <f>(0.583/3.281)*4+0.05*2</f>
        <v>0.81075891496494956</v>
      </c>
      <c r="E34" s="21">
        <f t="shared" ref="E34:E37" si="8">8*8/162</f>
        <v>0.39506172839506171</v>
      </c>
      <c r="F34" s="40">
        <f t="shared" si="6"/>
        <v>17.936789822434438</v>
      </c>
      <c r="G34" s="40">
        <f t="shared" si="7"/>
        <v>1.7936789822434438E-2</v>
      </c>
      <c r="H34" s="22"/>
      <c r="I34" s="23"/>
      <c r="J34" s="42"/>
      <c r="K34" s="21"/>
      <c r="M34" s="1"/>
      <c r="N34" s="1"/>
      <c r="O34" s="1"/>
      <c r="P34" s="1"/>
    </row>
    <row r="35" spans="1:16" ht="15" customHeight="1" x14ac:dyDescent="0.3">
      <c r="A35" s="18"/>
      <c r="B35" s="38"/>
      <c r="C35" s="19">
        <f>2*((TRUNC((D12-0.1)/0.125,0))+1)</f>
        <v>58</v>
      </c>
      <c r="D35" s="20">
        <f>(0.583/3.281)*4+0.05*2</f>
        <v>0.81075891496494956</v>
      </c>
      <c r="E35" s="21">
        <f t="shared" si="8"/>
        <v>0.39506172839506171</v>
      </c>
      <c r="F35" s="40">
        <f t="shared" si="6"/>
        <v>18.577389458949952</v>
      </c>
      <c r="G35" s="40">
        <f t="shared" si="7"/>
        <v>1.8577389458949951E-2</v>
      </c>
      <c r="H35" s="22"/>
      <c r="I35" s="23"/>
      <c r="J35" s="42"/>
      <c r="K35" s="21"/>
      <c r="M35" s="1"/>
      <c r="N35" s="1"/>
      <c r="O35" s="1"/>
      <c r="P35" s="1"/>
    </row>
    <row r="36" spans="1:16" ht="15" customHeight="1" x14ac:dyDescent="0.3">
      <c r="A36" s="18"/>
      <c r="B36" s="38" t="str">
        <f>B23</f>
        <v>-inclined beam</v>
      </c>
      <c r="C36" s="19">
        <f>C23*5</f>
        <v>20</v>
      </c>
      <c r="D36" s="20">
        <f>(9.583-0.333*2+0.75*2)/3.281</f>
        <v>3.1749466626028648</v>
      </c>
      <c r="E36" s="21">
        <f>12*12/162</f>
        <v>0.88888888888888884</v>
      </c>
      <c r="F36" s="40">
        <f>PRODUCT(C36:E36)</f>
        <v>56.443496224050932</v>
      </c>
      <c r="G36" s="40">
        <f>F36/1000</f>
        <v>5.6443496224050933E-2</v>
      </c>
      <c r="H36" s="22"/>
      <c r="I36" s="23"/>
      <c r="J36" s="42"/>
      <c r="K36" s="21"/>
      <c r="M36" s="1"/>
      <c r="N36" s="1"/>
      <c r="O36" s="1"/>
      <c r="P36" s="1"/>
    </row>
    <row r="37" spans="1:16" ht="15" customHeight="1" x14ac:dyDescent="0.3">
      <c r="A37" s="18"/>
      <c r="B37" s="38" t="s">
        <v>52</v>
      </c>
      <c r="C37" s="19">
        <f>4*((TRUNC((D36-0.3-0.1*2)/0.125,0))+1)</f>
        <v>88</v>
      </c>
      <c r="D37" s="20">
        <f>(0.583/3.281)*4+0.05*2</f>
        <v>0.81075891496494956</v>
      </c>
      <c r="E37" s="21">
        <f t="shared" si="8"/>
        <v>0.39506172839506171</v>
      </c>
      <c r="F37" s="40">
        <f t="shared" ref="F37" si="9">PRODUCT(C37:E37)</f>
        <v>28.18638400668269</v>
      </c>
      <c r="G37" s="40">
        <f t="shared" ref="G37" si="10">F37/1000</f>
        <v>2.8186384006682691E-2</v>
      </c>
      <c r="H37" s="22"/>
      <c r="I37" s="23"/>
      <c r="J37" s="42"/>
      <c r="K37" s="21"/>
      <c r="M37" s="1"/>
      <c r="N37" s="1"/>
      <c r="O37" s="1"/>
      <c r="P37" s="1"/>
    </row>
    <row r="38" spans="1:16" ht="15" customHeight="1" x14ac:dyDescent="0.3">
      <c r="A38" s="18"/>
      <c r="B38" s="38" t="str">
        <f>B14</f>
        <v>-inclined slab</v>
      </c>
      <c r="C38" s="19">
        <f>2*(TRUNC(((7/3.281)-0.1-0.3)/0.15,0)+1)</f>
        <v>24</v>
      </c>
      <c r="D38" s="20">
        <f>(7+6.833+7+6.833)/3.281</f>
        <v>8.4321853093569015</v>
      </c>
      <c r="E38" s="21">
        <f>8*8/162</f>
        <v>0.39506172839506171</v>
      </c>
      <c r="F38" s="40">
        <f t="shared" si="6"/>
        <v>79.949608859087647</v>
      </c>
      <c r="G38" s="40">
        <f t="shared" si="7"/>
        <v>7.9949608859087654E-2</v>
      </c>
      <c r="H38" s="22"/>
      <c r="I38" s="23"/>
      <c r="J38" s="42"/>
      <c r="K38" s="21"/>
      <c r="M38" s="1"/>
      <c r="N38" s="84"/>
      <c r="O38" s="1"/>
      <c r="P38" s="1"/>
    </row>
    <row r="39" spans="1:16" ht="15" customHeight="1" x14ac:dyDescent="0.3">
      <c r="A39" s="18"/>
      <c r="B39" s="38"/>
      <c r="C39" s="19">
        <f>2*2*2*(TRUNC(((7/3.281)-0.1-0.3)/0.15,0)+1)</f>
        <v>96</v>
      </c>
      <c r="D39" s="20">
        <f>3.833/3.281</f>
        <v>1.1682413898201769</v>
      </c>
      <c r="E39" s="21">
        <f>8*8/162</f>
        <v>0.39506172839506171</v>
      </c>
      <c r="F39" s="40">
        <f t="shared" ref="F39" si="11">PRODUCT(C39:E39)</f>
        <v>44.306636413920778</v>
      </c>
      <c r="G39" s="40">
        <f t="shared" ref="G39" si="12">F39/1000</f>
        <v>4.4306636413920776E-2</v>
      </c>
      <c r="H39" s="22"/>
      <c r="I39" s="23"/>
      <c r="J39" s="42"/>
      <c r="K39" s="21"/>
      <c r="M39" s="1"/>
      <c r="N39" s="1"/>
      <c r="O39" s="1"/>
      <c r="P39" s="1"/>
    </row>
    <row r="40" spans="1:16" ht="15" customHeight="1" x14ac:dyDescent="0.3">
      <c r="A40" s="18"/>
      <c r="B40" s="38"/>
      <c r="C40" s="19">
        <f>2*2*2*(TRUNC(((7/3.281)-0.1-0.3)/0.15,0)+1)</f>
        <v>96</v>
      </c>
      <c r="D40" s="20">
        <f>3.833/3.281</f>
        <v>1.1682413898201769</v>
      </c>
      <c r="E40" s="21">
        <f>8*8/162</f>
        <v>0.39506172839506171</v>
      </c>
      <c r="F40" s="40">
        <f t="shared" ref="F40" si="13">PRODUCT(C40:E40)</f>
        <v>44.306636413920778</v>
      </c>
      <c r="G40" s="40">
        <f t="shared" ref="G40" si="14">F40/1000</f>
        <v>4.4306636413920776E-2</v>
      </c>
      <c r="H40" s="22"/>
      <c r="I40" s="23"/>
      <c r="J40" s="42"/>
      <c r="K40" s="21"/>
      <c r="M40" s="1"/>
      <c r="N40" s="1"/>
      <c r="O40" s="1"/>
      <c r="P40" s="1"/>
    </row>
    <row r="41" spans="1:16" ht="15" customHeight="1" x14ac:dyDescent="0.3">
      <c r="A41" s="18"/>
      <c r="B41" s="38" t="s">
        <v>68</v>
      </c>
      <c r="C41" s="19">
        <f>2*(TRUNC((2.75-0.333)/0.5,0)+1)</f>
        <v>10</v>
      </c>
      <c r="D41" s="20">
        <f>((16.5+16.42)*2)/3.281</f>
        <v>20.067052727826884</v>
      </c>
      <c r="E41" s="21">
        <f>8*8/162</f>
        <v>0.39506172839506171</v>
      </c>
      <c r="F41" s="40">
        <f t="shared" ref="F41" si="15">PRODUCT(C41:E41)</f>
        <v>79.277245344501253</v>
      </c>
      <c r="G41" s="40">
        <f t="shared" ref="G41" si="16">F41/1000</f>
        <v>7.9277245344501257E-2</v>
      </c>
      <c r="H41" s="22"/>
      <c r="I41" s="23"/>
      <c r="J41" s="42"/>
      <c r="K41" s="21"/>
      <c r="M41" s="1"/>
      <c r="N41" s="1"/>
      <c r="O41" s="1"/>
      <c r="P41" s="1"/>
    </row>
    <row r="42" spans="1:16" ht="15" customHeight="1" x14ac:dyDescent="0.3">
      <c r="A42" s="18"/>
      <c r="B42" s="38"/>
      <c r="C42" s="19">
        <f>2*2*(TRUNC((16.5-0.333)/0.5,0))</f>
        <v>128</v>
      </c>
      <c r="D42" s="20">
        <f>2.75/3.281</f>
        <v>0.8381590978360256</v>
      </c>
      <c r="E42" s="21">
        <f t="shared" ref="E42:E43" si="17">8*8/162</f>
        <v>0.39506172839506171</v>
      </c>
      <c r="F42" s="40">
        <f t="shared" ref="F42:F43" si="18">PRODUCT(C42:E42)</f>
        <v>42.383946478226676</v>
      </c>
      <c r="G42" s="40">
        <f t="shared" ref="G42:G43" si="19">F42/1000</f>
        <v>4.2383946478226679E-2</v>
      </c>
      <c r="H42" s="22"/>
      <c r="I42" s="23"/>
      <c r="J42" s="42"/>
      <c r="K42" s="21"/>
      <c r="M42" s="1"/>
      <c r="N42" s="1"/>
      <c r="O42" s="1"/>
      <c r="P42" s="1"/>
    </row>
    <row r="43" spans="1:16" ht="15" customHeight="1" x14ac:dyDescent="0.3">
      <c r="A43" s="18"/>
      <c r="B43" s="38"/>
      <c r="C43" s="19">
        <f>2*2*(TRUNC((16.42-0.333)/0.5,0))</f>
        <v>128</v>
      </c>
      <c r="D43" s="20">
        <f>2.75/3.281</f>
        <v>0.8381590978360256</v>
      </c>
      <c r="E43" s="21">
        <f t="shared" si="17"/>
        <v>0.39506172839506171</v>
      </c>
      <c r="F43" s="40">
        <f t="shared" si="18"/>
        <v>42.383946478226676</v>
      </c>
      <c r="G43" s="40">
        <f t="shared" si="19"/>
        <v>4.2383946478226679E-2</v>
      </c>
      <c r="H43" s="22"/>
      <c r="I43" s="23"/>
      <c r="J43" s="42"/>
      <c r="K43" s="21"/>
      <c r="M43" s="1"/>
      <c r="N43" s="1"/>
      <c r="O43" s="1"/>
      <c r="P43" s="1"/>
    </row>
    <row r="44" spans="1:16" ht="15" customHeight="1" x14ac:dyDescent="0.3">
      <c r="A44" s="18"/>
      <c r="B44" s="61" t="s">
        <v>71</v>
      </c>
      <c r="C44" s="19"/>
      <c r="D44" s="20"/>
      <c r="E44" s="21"/>
      <c r="F44" s="40"/>
      <c r="G44" s="33">
        <f>0.05*SUM(G30:G43)</f>
        <v>2.8313866729881357E-2</v>
      </c>
      <c r="H44" s="22"/>
      <c r="I44" s="23"/>
      <c r="J44" s="42"/>
      <c r="K44" s="21"/>
      <c r="M44" s="1"/>
      <c r="N44" s="1"/>
      <c r="O44" s="1"/>
      <c r="P44" s="1"/>
    </row>
    <row r="45" spans="1:16" ht="15" customHeight="1" x14ac:dyDescent="0.3">
      <c r="A45" s="18"/>
      <c r="B45" s="38" t="s">
        <v>42</v>
      </c>
      <c r="C45" s="19"/>
      <c r="D45" s="20"/>
      <c r="E45" s="21"/>
      <c r="F45" s="21"/>
      <c r="G45" s="23">
        <f>SUM(G30:G44)</f>
        <v>0.59459120132750842</v>
      </c>
      <c r="H45" s="22" t="s">
        <v>54</v>
      </c>
      <c r="I45" s="23">
        <v>131940</v>
      </c>
      <c r="J45" s="42">
        <f>G45*I45</f>
        <v>78450.363103151467</v>
      </c>
      <c r="K45" s="21"/>
      <c r="M45" s="1"/>
      <c r="N45" s="1"/>
      <c r="O45" s="1"/>
      <c r="P45" s="1"/>
    </row>
    <row r="46" spans="1:16" ht="15" customHeight="1" x14ac:dyDescent="0.3">
      <c r="A46" s="18"/>
      <c r="B46" s="38" t="s">
        <v>40</v>
      </c>
      <c r="C46" s="19"/>
      <c r="D46" s="20"/>
      <c r="E46" s="21"/>
      <c r="F46" s="21"/>
      <c r="G46" s="23"/>
      <c r="H46" s="22"/>
      <c r="I46" s="23"/>
      <c r="J46" s="42">
        <f>0.13*G45*106200</f>
        <v>8208.9261255275815</v>
      </c>
      <c r="K46" s="21"/>
      <c r="M46" s="1"/>
      <c r="N46" s="1"/>
      <c r="O46" s="1"/>
      <c r="P46" s="1"/>
    </row>
    <row r="47" spans="1:16" ht="15" customHeight="1" x14ac:dyDescent="0.3">
      <c r="A47" s="18"/>
      <c r="B47" s="38"/>
      <c r="C47" s="19"/>
      <c r="D47" s="20"/>
      <c r="E47" s="21"/>
      <c r="F47" s="21"/>
      <c r="G47" s="23"/>
      <c r="H47" s="22"/>
      <c r="I47" s="23"/>
      <c r="J47" s="42"/>
      <c r="K47" s="21"/>
      <c r="M47" s="1"/>
      <c r="N47" s="1"/>
      <c r="O47" s="1"/>
      <c r="P47" s="1"/>
    </row>
    <row r="48" spans="1:16" ht="15" customHeight="1" x14ac:dyDescent="0.3">
      <c r="A48" s="18">
        <v>4</v>
      </c>
      <c r="B48" s="29" t="s">
        <v>70</v>
      </c>
      <c r="C48" s="19">
        <v>1</v>
      </c>
      <c r="D48" s="20"/>
      <c r="E48" s="21"/>
      <c r="F48" s="21"/>
      <c r="G48" s="33">
        <f t="shared" ref="G48" si="20">PRODUCT(C48:F48)</f>
        <v>1</v>
      </c>
      <c r="H48" s="22" t="s">
        <v>69</v>
      </c>
      <c r="I48" s="23">
        <v>15000</v>
      </c>
      <c r="J48" s="33">
        <f>G48*I48</f>
        <v>15000</v>
      </c>
      <c r="K48" s="21"/>
      <c r="M48" s="1"/>
      <c r="N48" s="1"/>
      <c r="O48" s="1"/>
      <c r="P48" s="1"/>
    </row>
    <row r="49" spans="1:16" ht="15" customHeight="1" x14ac:dyDescent="0.3">
      <c r="A49" s="18"/>
      <c r="B49" s="38"/>
      <c r="C49" s="19"/>
      <c r="D49" s="20"/>
      <c r="E49" s="21"/>
      <c r="F49" s="21"/>
      <c r="G49" s="23"/>
      <c r="H49" s="22"/>
      <c r="I49" s="23"/>
      <c r="J49" s="42"/>
      <c r="K49" s="21"/>
      <c r="M49" s="1"/>
      <c r="N49" s="1"/>
      <c r="O49" s="1"/>
      <c r="P49" s="1"/>
    </row>
    <row r="50" spans="1:16" ht="15" customHeight="1" x14ac:dyDescent="0.3">
      <c r="A50" s="18">
        <v>5</v>
      </c>
      <c r="B50" s="29" t="s">
        <v>30</v>
      </c>
      <c r="C50" s="19">
        <v>1</v>
      </c>
      <c r="D50" s="20"/>
      <c r="E50" s="21"/>
      <c r="F50" s="21"/>
      <c r="G50" s="33">
        <f t="shared" ref="G50" si="21">PRODUCT(C50:F50)</f>
        <v>1</v>
      </c>
      <c r="H50" s="22" t="s">
        <v>31</v>
      </c>
      <c r="I50" s="23">
        <v>500</v>
      </c>
      <c r="J50" s="33">
        <f>G50*I50</f>
        <v>500</v>
      </c>
      <c r="K50" s="21"/>
      <c r="M50" s="1"/>
      <c r="N50" s="1"/>
      <c r="O50" s="1"/>
      <c r="P50" s="1"/>
    </row>
    <row r="51" spans="1:16" ht="15" customHeight="1" x14ac:dyDescent="0.3">
      <c r="A51" s="18"/>
      <c r="B51" s="24"/>
      <c r="C51" s="19"/>
      <c r="D51" s="20"/>
      <c r="E51" s="21"/>
      <c r="F51" s="21"/>
      <c r="G51" s="23"/>
      <c r="H51" s="22"/>
      <c r="I51" s="23"/>
      <c r="J51" s="42"/>
      <c r="K51" s="21"/>
      <c r="M51" s="1"/>
      <c r="N51" s="1"/>
      <c r="O51" s="1"/>
      <c r="P51" s="1"/>
    </row>
    <row r="52" spans="1:16" x14ac:dyDescent="0.3">
      <c r="A52" s="41"/>
      <c r="B52" s="43" t="s">
        <v>17</v>
      </c>
      <c r="C52" s="44"/>
      <c r="D52" s="39"/>
      <c r="E52" s="39"/>
      <c r="F52" s="39"/>
      <c r="G52" s="42"/>
      <c r="H52" s="42"/>
      <c r="I52" s="42"/>
      <c r="J52" s="42">
        <f>SUM(J9:J50)</f>
        <v>283213.19343801576</v>
      </c>
      <c r="K52" s="37"/>
    </row>
    <row r="53" spans="1:16" x14ac:dyDescent="0.3">
      <c r="A53" s="55"/>
      <c r="B53" s="58"/>
      <c r="C53" s="59"/>
      <c r="D53" s="56"/>
      <c r="E53" s="56"/>
      <c r="F53" s="56"/>
      <c r="G53" s="57"/>
      <c r="H53" s="57"/>
      <c r="I53" s="57"/>
      <c r="J53" s="57"/>
      <c r="K53" s="54"/>
    </row>
    <row r="54" spans="1:16" s="1" customFormat="1" x14ac:dyDescent="0.3">
      <c r="A54" s="47"/>
      <c r="B54" s="28" t="s">
        <v>27</v>
      </c>
      <c r="C54" s="80">
        <f>J52</f>
        <v>283213.19343801576</v>
      </c>
      <c r="D54" s="80"/>
      <c r="E54" s="40">
        <v>100</v>
      </c>
      <c r="F54" s="48"/>
      <c r="G54" s="49"/>
      <c r="H54" s="48"/>
      <c r="I54" s="50"/>
      <c r="J54" s="51"/>
      <c r="K54" s="52"/>
    </row>
    <row r="55" spans="1:16" x14ac:dyDescent="0.3">
      <c r="A55" s="53"/>
      <c r="B55" s="28" t="s">
        <v>32</v>
      </c>
      <c r="C55" s="83">
        <v>250000</v>
      </c>
      <c r="D55" s="83"/>
      <c r="E55" s="40"/>
      <c r="F55" s="46"/>
      <c r="G55" s="45"/>
      <c r="H55" s="45"/>
      <c r="I55" s="45"/>
      <c r="J55" s="45"/>
      <c r="K55" s="46"/>
    </row>
    <row r="56" spans="1:16" x14ac:dyDescent="0.3">
      <c r="A56" s="53"/>
      <c r="B56" s="28" t="s">
        <v>33</v>
      </c>
      <c r="C56" s="83">
        <f>C55-C58-C59</f>
        <v>237500</v>
      </c>
      <c r="D56" s="83"/>
      <c r="E56" s="40">
        <f>C56/C54*100</f>
        <v>83.859087607081918</v>
      </c>
      <c r="F56" s="46"/>
      <c r="G56" s="45"/>
      <c r="H56" s="45"/>
      <c r="I56" s="45"/>
      <c r="J56" s="45"/>
      <c r="K56" s="46"/>
    </row>
    <row r="57" spans="1:16" x14ac:dyDescent="0.3">
      <c r="A57" s="53"/>
      <c r="B57" s="28" t="s">
        <v>34</v>
      </c>
      <c r="C57" s="80">
        <f>C54-C56</f>
        <v>45713.193438015762</v>
      </c>
      <c r="D57" s="80"/>
      <c r="E57" s="40">
        <f>100-E56</f>
        <v>16.140912392918082</v>
      </c>
      <c r="F57" s="46"/>
      <c r="G57" s="45"/>
      <c r="H57" s="45"/>
      <c r="I57" s="45"/>
      <c r="J57" s="45"/>
      <c r="K57" s="46"/>
    </row>
    <row r="58" spans="1:16" x14ac:dyDescent="0.3">
      <c r="A58" s="53"/>
      <c r="B58" s="28" t="s">
        <v>35</v>
      </c>
      <c r="C58" s="80">
        <f>C55*0.03</f>
        <v>7500</v>
      </c>
      <c r="D58" s="80"/>
      <c r="E58" s="40">
        <v>3</v>
      </c>
      <c r="F58" s="46"/>
      <c r="G58" s="45"/>
      <c r="H58" s="45"/>
      <c r="I58" s="45"/>
      <c r="J58" s="45"/>
      <c r="K58" s="46"/>
    </row>
    <row r="59" spans="1:16" x14ac:dyDescent="0.3">
      <c r="A59" s="53"/>
      <c r="B59" s="28" t="s">
        <v>36</v>
      </c>
      <c r="C59" s="80">
        <f>C55*0.02</f>
        <v>5000</v>
      </c>
      <c r="D59" s="80"/>
      <c r="E59" s="40">
        <v>2</v>
      </c>
      <c r="F59" s="46"/>
      <c r="G59" s="45"/>
      <c r="H59" s="45"/>
      <c r="I59" s="45"/>
      <c r="J59" s="45"/>
      <c r="K59" s="46"/>
    </row>
    <row r="60" spans="1:16" s="36" customFormat="1" x14ac:dyDescent="0.3">
      <c r="A60" s="54"/>
      <c r="B60" s="54"/>
      <c r="C60" s="54"/>
      <c r="D60" s="54"/>
      <c r="E60" s="54"/>
      <c r="F60" s="54"/>
      <c r="G60" s="54"/>
      <c r="H60" s="54"/>
      <c r="I60" s="54"/>
      <c r="J60" s="54"/>
      <c r="K60" s="54"/>
    </row>
    <row r="61" spans="1:16" s="36" customFormat="1" x14ac:dyDescent="0.3"/>
    <row r="62" spans="1:16" s="36" customFormat="1" x14ac:dyDescent="0.3"/>
    <row r="63" spans="1:16" s="36" customFormat="1" x14ac:dyDescent="0.3"/>
    <row r="64" spans="1:16"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row r="113" s="36" customFormat="1" x14ac:dyDescent="0.3"/>
    <row r="114" s="36" customFormat="1" x14ac:dyDescent="0.3"/>
    <row r="115" s="36" customFormat="1" x14ac:dyDescent="0.3"/>
    <row r="116" s="36" customFormat="1" x14ac:dyDescent="0.3"/>
  </sheetData>
  <mergeCells count="15">
    <mergeCell ref="A6:F6"/>
    <mergeCell ref="H6:K6"/>
    <mergeCell ref="A1:K1"/>
    <mergeCell ref="A2:K2"/>
    <mergeCell ref="A3:K3"/>
    <mergeCell ref="A4:K4"/>
    <mergeCell ref="A5:K5"/>
    <mergeCell ref="C58:D58"/>
    <mergeCell ref="C59:D59"/>
    <mergeCell ref="A7:F7"/>
    <mergeCell ref="H7:K7"/>
    <mergeCell ref="C54:D54"/>
    <mergeCell ref="C55:D55"/>
    <mergeCell ref="C56:D56"/>
    <mergeCell ref="C57:D57"/>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WCR</vt:lpstr>
      <vt:lpstr>kalimasta mandir final (2)</vt:lpstr>
      <vt:lpstr>250000</vt:lpstr>
      <vt:lpstr>'250000'!Print_Area</vt:lpstr>
      <vt:lpstr>'kalimasta mandir final (2)'!Print_Area</vt:lpstr>
      <vt:lpstr>'250000'!Print_Titles</vt:lpstr>
      <vt:lpstr>'kalimasta mandir final (2)'!Print_Titles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2024-11-17T07:18:23Z</cp:lastPrinted>
  <dcterms:created xsi:type="dcterms:W3CDTF">2015-06-05T18:17:20Z</dcterms:created>
  <dcterms:modified xsi:type="dcterms:W3CDTF">2025-02-01T09:09:09Z</dcterms:modified>
</cp:coreProperties>
</file>