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परोपकार भवन मर्मत\"/>
    </mc:Choice>
  </mc:AlternateContent>
  <bookViews>
    <workbookView xWindow="-120" yWindow="-120" windowWidth="20736" windowHeight="11160" activeTab="1"/>
  </bookViews>
  <sheets>
    <sheet name="WCR" sheetId="6" r:id="rId1"/>
    <sheet name="Sheet4 (2)" sheetId="17" r:id="rId2"/>
    <sheet name="rate analysis" sheetId="18" r:id="rId3"/>
  </sheets>
  <externalReferences>
    <externalReference r:id="rId4"/>
    <externalReference r:id="rId5"/>
    <externalReference r:id="rId6"/>
    <externalReference r:id="rId7"/>
    <externalReference r:id="rId8"/>
    <externalReference r:id="rId9"/>
    <externalReference r:id="rId10"/>
  </externalReferences>
  <definedNames>
    <definedName name="_cgi24">'[1]update Rate'!$N$95</definedName>
    <definedName name="_cgi26">'[1]update Rate'!$N$97</definedName>
    <definedName name="adopted_rate_diesel">'[2]Material rate'!$L$33</definedName>
    <definedName name="awood">'[1]update Rate'!$N$53</definedName>
    <definedName name="bmarble" localSheetId="2">'[1]update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1">#REF!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2">'[1]update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2">'[1]Update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2">'[1]update Rate'!#REF!</definedName>
    <definedName name="nutbolt">'[1]update Rate'!#REF!</definedName>
    <definedName name="nutbolt8" localSheetId="2">'[1]update Rate'!#REF!</definedName>
    <definedName name="nutbolt8">'[1]update Rate'!#REF!</definedName>
    <definedName name="pkila">'[1]update Rate'!$N$60</definedName>
    <definedName name="Planst" localSheetId="2">'[1]update Rate'!#REF!</definedName>
    <definedName name="Planst">'[1]update Rate'!#REF!</definedName>
    <definedName name="plywood4">'[1]update Rate'!$N$69</definedName>
    <definedName name="plywood6">'[1]update Rate'!$N$71</definedName>
    <definedName name="_xlnm.Print_Area" localSheetId="1">'Sheet4 (2)'!$A$1:$K$109</definedName>
    <definedName name="_xlnm.Print_Titles" localSheetId="1">'Sheet4 (2)'!$1:$8</definedName>
    <definedName name="_xlnm.Print_Titles" localSheetId="0">WCR!$1:$12</definedName>
    <definedName name="shandle">'[1]update Rate'!$N$92</definedName>
    <definedName name="skilled">'[2]Material rate'!$D$146</definedName>
    <definedName name="Swood">'[1]update Rate'!$N$56</definedName>
    <definedName name="Tikply4">'[1]update Rate'!$N$83</definedName>
    <definedName name="tikwood4" localSheetId="2">'[1]update Rate'!#REF!</definedName>
    <definedName name="tikwood4">'[1]update Rate'!#REF!</definedName>
    <definedName name="torsteel" localSheetId="2">'[1]update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0" i="17" l="1"/>
  <c r="G77" i="17"/>
  <c r="F76" i="17"/>
  <c r="G76" i="17"/>
  <c r="D76" i="17"/>
  <c r="C76" i="17"/>
  <c r="C70" i="17"/>
  <c r="F70" i="17" s="1"/>
  <c r="G70" i="17" s="1"/>
  <c r="D70" i="17"/>
  <c r="F75" i="17"/>
  <c r="G75" i="17" s="1"/>
  <c r="D75" i="17"/>
  <c r="G86" i="17" l="1"/>
  <c r="D89" i="17"/>
  <c r="G89" i="17" s="1"/>
  <c r="F88" i="17"/>
  <c r="G88" i="17" s="1"/>
  <c r="D88" i="17"/>
  <c r="F87" i="17"/>
  <c r="D87" i="17"/>
  <c r="G87" i="17" s="1"/>
  <c r="D86" i="17"/>
  <c r="F85" i="17"/>
  <c r="G85" i="17" s="1"/>
  <c r="D84" i="17"/>
  <c r="G84" i="17" s="1"/>
  <c r="D83" i="17"/>
  <c r="G83" i="17" s="1"/>
  <c r="F82" i="17"/>
  <c r="G82" i="17" s="1"/>
  <c r="D82" i="17"/>
  <c r="D81" i="17"/>
  <c r="G81" i="17"/>
  <c r="D69" i="17"/>
  <c r="F69" i="17"/>
  <c r="G69" i="17" s="1"/>
  <c r="D74" i="17"/>
  <c r="F74" i="17" s="1"/>
  <c r="G74" i="17" s="1"/>
  <c r="G94" i="17" l="1"/>
  <c r="G95" i="17" s="1"/>
  <c r="D73" i="17"/>
  <c r="F73" i="17" s="1"/>
  <c r="G73" i="17" s="1"/>
  <c r="D72" i="17"/>
  <c r="F72" i="17" s="1"/>
  <c r="G72" i="17" s="1"/>
  <c r="D71" i="17"/>
  <c r="F71" i="17" s="1"/>
  <c r="G71" i="17" s="1"/>
  <c r="J96" i="17" l="1"/>
  <c r="J95" i="17"/>
  <c r="J91" i="17"/>
  <c r="J90" i="17"/>
  <c r="D68" i="17" l="1"/>
  <c r="F68" i="17" s="1"/>
  <c r="G68" i="17" s="1"/>
  <c r="J78" i="17" l="1"/>
  <c r="J77" i="17"/>
  <c r="E63" i="17" l="1"/>
  <c r="G63" i="17" s="1"/>
  <c r="E62" i="17"/>
  <c r="J65" i="17"/>
  <c r="I64" i="17"/>
  <c r="G56" i="17"/>
  <c r="D57" i="17"/>
  <c r="G57" i="17" s="1"/>
  <c r="C55" i="17"/>
  <c r="G55" i="17" s="1"/>
  <c r="C54" i="17"/>
  <c r="G54" i="17" s="1"/>
  <c r="J59" i="17"/>
  <c r="I58" i="17"/>
  <c r="G28" i="18"/>
  <c r="H31" i="18" s="1"/>
  <c r="F31" i="18"/>
  <c r="G31" i="18" s="1"/>
  <c r="F30" i="18"/>
  <c r="G30" i="18" s="1"/>
  <c r="F29" i="18"/>
  <c r="G29" i="18" s="1"/>
  <c r="G27" i="18"/>
  <c r="G26" i="18"/>
  <c r="A22" i="18"/>
  <c r="C49" i="17"/>
  <c r="E48" i="17"/>
  <c r="E46" i="17"/>
  <c r="D49" i="17"/>
  <c r="C48" i="17" s="1"/>
  <c r="E49" i="17"/>
  <c r="N61" i="17"/>
  <c r="C47" i="17"/>
  <c r="N44" i="17"/>
  <c r="C46" i="17"/>
  <c r="E47" i="17"/>
  <c r="E31" i="17"/>
  <c r="E36" i="17" s="1"/>
  <c r="C31" i="17"/>
  <c r="C36" i="17" s="1"/>
  <c r="B31" i="17"/>
  <c r="B36" i="17" s="1"/>
  <c r="F47" i="17" l="1"/>
  <c r="G47" i="17" s="1"/>
  <c r="G58" i="17"/>
  <c r="J58" i="17"/>
  <c r="F48" i="17"/>
  <c r="G48" i="17" s="1"/>
  <c r="H27" i="18"/>
  <c r="H32" i="18" s="1"/>
  <c r="H33" i="18" s="1"/>
  <c r="F49" i="17"/>
  <c r="G49" i="17" s="1"/>
  <c r="F46" i="17"/>
  <c r="G46" i="17" s="1"/>
  <c r="G50" i="17" l="1"/>
  <c r="J50" i="17"/>
  <c r="H34" i="18"/>
  <c r="B34" i="18" s="1"/>
  <c r="D34" i="18" s="1"/>
  <c r="J51" i="17" l="1"/>
  <c r="N22" i="17" l="1"/>
  <c r="D22" i="17"/>
  <c r="G22" i="17" s="1"/>
  <c r="G23" i="17" s="1"/>
  <c r="J23" i="17" s="1"/>
  <c r="J24" i="17" s="1"/>
  <c r="J43" i="17"/>
  <c r="D41" i="17"/>
  <c r="D27" i="17" l="1"/>
  <c r="D31" i="17" s="1"/>
  <c r="D62" i="17"/>
  <c r="G62" i="17" s="1"/>
  <c r="G64" i="17" s="1"/>
  <c r="G41" i="17"/>
  <c r="G42" i="17" s="1"/>
  <c r="J42" i="17" s="1"/>
  <c r="F13" i="18"/>
  <c r="G13" i="18" s="1"/>
  <c r="J12" i="18"/>
  <c r="F12" i="18"/>
  <c r="G12" i="18" s="1"/>
  <c r="G11" i="18"/>
  <c r="F11" i="18"/>
  <c r="J10" i="18"/>
  <c r="G10" i="18"/>
  <c r="G9" i="18"/>
  <c r="G8" i="18"/>
  <c r="G7" i="18"/>
  <c r="G6" i="18"/>
  <c r="H7" i="18" s="1"/>
  <c r="A1" i="18"/>
  <c r="G27" i="17" l="1"/>
  <c r="G28" i="17" s="1"/>
  <c r="J28" i="17" s="1"/>
  <c r="J64" i="17"/>
  <c r="G31" i="17"/>
  <c r="G32" i="17" s="1"/>
  <c r="J32" i="17" s="1"/>
  <c r="D36" i="17"/>
  <c r="G36" i="17" s="1"/>
  <c r="G37" i="17" s="1"/>
  <c r="J33" i="17"/>
  <c r="H13" i="18"/>
  <c r="H14" i="18" s="1"/>
  <c r="J37" i="17" l="1"/>
  <c r="J38" i="17"/>
  <c r="H15" i="18"/>
  <c r="H16" i="18" s="1"/>
  <c r="B16" i="18" l="1"/>
  <c r="H17" i="18"/>
  <c r="H18" i="18" s="1"/>
  <c r="J19" i="17" l="1"/>
  <c r="D17" i="17"/>
  <c r="E17" i="17"/>
  <c r="N17" i="17"/>
  <c r="E12" i="17"/>
  <c r="D12" i="17"/>
  <c r="G12" i="17" s="1"/>
  <c r="N11" i="17"/>
  <c r="E11" i="17"/>
  <c r="D11" i="17"/>
  <c r="E10" i="17"/>
  <c r="N10" i="17"/>
  <c r="D10" i="17"/>
  <c r="G11" i="17" l="1"/>
  <c r="G17" i="17"/>
  <c r="G18" i="17" s="1"/>
  <c r="J18" i="17" s="1"/>
  <c r="G10" i="17"/>
  <c r="G13" i="17" s="1"/>
  <c r="J13" i="17" l="1"/>
  <c r="C109" i="17"/>
  <c r="C108" i="17"/>
  <c r="G100" i="17"/>
  <c r="J100" i="17" s="1"/>
  <c r="J14" i="17" l="1"/>
  <c r="J102" i="17"/>
  <c r="C106" i="17"/>
  <c r="C104" i="17" l="1"/>
  <c r="C107" i="17" s="1"/>
  <c r="E106" i="17" l="1"/>
  <c r="E107"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<sst xmlns="http://schemas.openxmlformats.org/spreadsheetml/2006/main" count="210" uniqueCount="138">
  <si>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</si>
  <si>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</si>
  <si>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</si>
  <si>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</si>
  <si>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</si>
  <si>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</si>
  <si>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</si>
  <si>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</si>
  <si>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</si>
  <si>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</si>
  <si>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</si>
  <si>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</si>
  <si>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</si>
  <si>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</si>
  <si>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</si>
  <si>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</si>
  <si>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</si>
  <si>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</si>
  <si>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</si>
  <si>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</si>
  <si>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</si>
  <si>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</si>
  <si>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</si>
  <si>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</si>
  <si>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</si>
  <si>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</si>
  <si>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</si>
  <si>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</si>
  <si>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</si>
  <si>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</si>
  <si>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</si>
  <si>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</si>
  <si>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</si>
  <si>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</si>
  <si>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</si>
  <si>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</si>
  <si>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</si>
  <si>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</si>
  <si>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</si>
  <si>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</si>
  <si>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</si>
  <si>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</si>
  <si>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</si>
  <si>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sqm</t>
  </si>
  <si>
    <t>Date:2081/09/11</t>
  </si>
  <si>
    <t>Project:- परोपकार भवन मर्मत</t>
  </si>
  <si>
    <t>dfn;fdfg pknAw u/L lh=cfO{=k|m]ddf ;fwf/0f d]6fnfOH8 kf]lnP6/ nfldg]6]8 jf]8{sf] l;lnË nufpg] sfd -ss{t kftfsf] 5fgfd'lg_</t>
  </si>
  <si>
    <t>-false ceiling</t>
  </si>
  <si>
    <t xml:space="preserve">).#^ lblv ).$ dL.dL.afSnf] sf]?u]6]8 /+lug ss{6 kftfsf] 5fgf 5fpg] sfd </t>
  </si>
  <si>
    <t>-at roof</t>
  </si>
  <si>
    <t>हयाबिटेक ईन्टरलक ब्रिकको गारो सिमेन्ट , बालुवा, र स्टोन डष्ट ( 1 2 4)</t>
  </si>
  <si>
    <t>C13</t>
  </si>
  <si>
    <t>#) dL= ;Dd 9'jfgL ;d]t</t>
  </si>
  <si>
    <t>;|f]t ;fwg</t>
  </si>
  <si>
    <t>tx÷lsl;d</t>
  </si>
  <si>
    <t>kl/df0f</t>
  </si>
  <si>
    <t>PsfO{</t>
  </si>
  <si>
    <t>b/ k|lt PsfO{</t>
  </si>
  <si>
    <t>/sd</t>
  </si>
  <si>
    <t>k|To]s ;|f]t ;fwgsf] hDdf</t>
  </si>
  <si>
    <t>&gt;lds</t>
  </si>
  <si>
    <t>s_ l;kfn'</t>
  </si>
  <si>
    <t>hjfg</t>
  </si>
  <si>
    <t>v_ HofdL</t>
  </si>
  <si>
    <t>lgdf{0f ;fdu|L</t>
  </si>
  <si>
    <r>
      <rPr>
        <sz val="11"/>
        <color theme="1"/>
        <rFont val="Calibri"/>
        <family val="2"/>
        <scheme val="minor"/>
      </rPr>
      <t>300X150X100</t>
    </r>
    <r>
      <rPr>
        <sz val="11"/>
        <color theme="1"/>
        <rFont val="Preeti"/>
      </rPr>
      <t xml:space="preserve"> Pd=Pd=sf] हयाबिटेक ब्रिक</t>
    </r>
  </si>
  <si>
    <t>j6f</t>
  </si>
  <si>
    <t>l;d]G6</t>
  </si>
  <si>
    <t>d]=6=</t>
  </si>
  <si>
    <t xml:space="preserve">afn'jf </t>
  </si>
  <si>
    <t>3=dL=</t>
  </si>
  <si>
    <t>:6f]g 8:6</t>
  </si>
  <si>
    <t>!) ld ld 8l08</t>
  </si>
  <si>
    <t>s].lh</t>
  </si>
  <si>
    <t>kfgL</t>
  </si>
  <si>
    <t>nL6/</t>
  </si>
  <si>
    <t>jf:tljs b//]6</t>
  </si>
  <si>
    <t>b/ k|lt 3=dL=sf]</t>
  </si>
  <si>
    <t>!%Ü 7]s]bf/ cf]e/x]8</t>
  </si>
  <si>
    <t>?=</t>
  </si>
  <si>
    <t>k}=</t>
  </si>
  <si>
    <t>hDdf b/ /]6</t>
  </si>
  <si>
    <t>b/ /]6 k|lt ju{ ld</t>
  </si>
  <si>
    <t>cf]e/x]8 afx]s</t>
  </si>
  <si>
    <t>Block Size</t>
  </si>
  <si>
    <t>-at drain wall</t>
  </si>
  <si>
    <t>cum</t>
  </si>
  <si>
    <r>
      <t>b/ ljZn]if0fsf] nflu</t>
    </r>
    <r>
      <rPr>
        <sz val="11"/>
        <color theme="1"/>
        <rFont val="Times New Roman"/>
        <family val="1"/>
      </rPr>
      <t xml:space="preserve"> ९ </t>
    </r>
    <r>
      <rPr>
        <sz val="11"/>
        <color theme="1"/>
        <rFont val="Preeti"/>
      </rPr>
      <t>j=ld= lnOPsf]</t>
    </r>
  </si>
  <si>
    <t>l;d]G6 jf jh|df hf]8]sf] uf/f] eTsfO{ To;af6 cfPsf] ;fdfu+|L !) dL= x6fpg] sfd .</t>
  </si>
  <si>
    <r>
      <rPr>
        <b/>
        <sz val="9"/>
        <rFont val="Preeti"/>
      </rPr>
      <t>हयाबिटेक ईन्टरलक ब्रिकको गारो सिमेन्ट , बालुवा, र स्टोन डष्ट</t>
    </r>
    <r>
      <rPr>
        <b/>
        <sz val="11"/>
        <rFont val="Preeti"/>
      </rPr>
      <t xml:space="preserve"> </t>
    </r>
    <r>
      <rPr>
        <b/>
        <sz val="11"/>
        <rFont val="Times New Roman"/>
        <family val="1"/>
      </rPr>
      <t>( 1 2 4)</t>
    </r>
    <r>
      <rPr>
        <b/>
        <sz val="11"/>
        <rFont val="Preeti"/>
      </rPr>
      <t xml:space="preserve"> #) dL= ;Dd 9'jfgL ;d]t</t>
    </r>
  </si>
  <si>
    <t xml:space="preserve">g/d k|sf/sf] Sn] / l;N6L df6f]df ;j} lsl;dsf] vGg] sfd </t>
  </si>
  <si>
    <t>-at drain wall base</t>
  </si>
  <si>
    <t>;'Vvf O{6f RofK6f] 5fKg] sfd</t>
  </si>
  <si>
    <t xml:space="preserve">hu leQf kvf{ndf l;d]G6 s+lqm6 ug]{ sfd -lk=;L=;L= !M@M$_ </t>
  </si>
  <si>
    <t>cf/=;L=;L= nflu kmnfd] 808L sf6\g], df]8\g] #) dL6/ ;Dd</t>
  </si>
  <si>
    <t>Length (m)</t>
  </si>
  <si>
    <t>Unit wt. (kg/m)</t>
  </si>
  <si>
    <t>Total wt. (kg)</t>
  </si>
  <si>
    <t>Total wt. (MT)</t>
  </si>
  <si>
    <t>MT</t>
  </si>
  <si>
    <t>-For slab cover</t>
  </si>
  <si>
    <t>kmnfd]sf] kfOk / KnfOaf]8{af6 kmdf{ agfpg] sfd</t>
  </si>
  <si>
    <t>-at slab cover</t>
  </si>
  <si>
    <t>E2</t>
  </si>
  <si>
    <t>b/ ljZn]if0fsf] nflu !)) j=ld= lnOPsf]</t>
  </si>
  <si>
    <t xml:space="preserve">!% dL=dL= jf]8{ </t>
  </si>
  <si>
    <t>j=dL=</t>
  </si>
  <si>
    <t xml:space="preserve">:yfgLo s'–sf7 </t>
  </si>
  <si>
    <t>;+Vof</t>
  </si>
  <si>
    <t>lsnf sfF6L</t>
  </si>
  <si>
    <t>s]=hL=</t>
  </si>
  <si>
    <t>b/ k|lt j=dL=sf]</t>
  </si>
  <si>
    <t>1.6875x1.1x0.7516= 0.232</t>
  </si>
  <si>
    <t xml:space="preserve">   M KNffO{ M ^ k6s;dd k|of]u ug{ ;lsg] To;kl5 !)Ü d"No afFsL /xg] lx;fan] ul/Psf] </t>
  </si>
  <si>
    <t>100x1.1x0.9/6=16.5</t>
  </si>
  <si>
    <t xml:space="preserve">   M kfO{k M !% k6s;Dd k|of]u ug{ ;lsg] To;kl5 @%Ü d"No afFsL /xg] lx;fan] ul/Psf] </t>
  </si>
  <si>
    <t>88/15x0.75 =4.4</t>
  </si>
  <si>
    <r>
      <t xml:space="preserve">kmnfdsf] kfOk </t>
    </r>
    <r>
      <rPr>
        <sz val="9"/>
        <rFont val="Arial"/>
        <family val="2"/>
      </rPr>
      <t>(Prop),</t>
    </r>
    <r>
      <rPr>
        <sz val="16"/>
        <rFont val="Preeti"/>
      </rPr>
      <t xml:space="preserve"> KnfOjf]8{ k|of]u u/L km;{ / :nfjsf] nflu kmdf{ agfpg] sfd . </t>
    </r>
  </si>
  <si>
    <r>
      <t xml:space="preserve">kmnfd] kfO{k  </t>
    </r>
    <r>
      <rPr>
        <sz val="9"/>
        <rFont val="Arial"/>
        <family val="2"/>
      </rPr>
      <t>(NMB 50-M)</t>
    </r>
  </si>
  <si>
    <r>
      <t>gf]6</t>
    </r>
    <r>
      <rPr>
        <sz val="11"/>
        <rFont val="Preeti"/>
      </rPr>
      <t xml:space="preserve"> M sf7 M ^ k6s;dd k|of]u ug{ ;lsg] To;kl5 @%Ü d"No afFsL /xg] lx;fan] ul/Psf] </t>
    </r>
  </si>
  <si>
    <t>d]lzgsf] k|of]u u/L ;'k/ :6«Sr/df l;d]G6 s+lqm6 ug]{ sfd -!M!=%M#_</t>
  </si>
  <si>
    <t>-slab cover</t>
  </si>
  <si>
    <t>ljleGg ;fO{hsf] kmnfd] PËn km]lj|s]zg u/L k|fOd/ k]G6 ;lxt ug]{</t>
  </si>
  <si>
    <t>Kg</t>
  </si>
  <si>
    <t>-MS Flats 20mm*5mm</t>
  </si>
  <si>
    <t>Total wt. (Kg)</t>
  </si>
  <si>
    <t>-MS square pipe of 2"*2" of 1.8mm thickness for vertical post</t>
  </si>
  <si>
    <t>-MS square pipe 1.5"*1.5" of 1.6mm thickness for horizontal member</t>
  </si>
  <si>
    <t>!@=% dL=dL= l;d]G6 afn'jf -!M$_ Knfi6/</t>
  </si>
  <si>
    <t>-wall</t>
  </si>
  <si>
    <t>sub-total</t>
  </si>
  <si>
    <t>-VAT 13% for materials</t>
  </si>
  <si>
    <t xml:space="preserve"> Ps sf]6 k|fO{d/ ;lxt b'O{ sf]6 j]b/sf]6 k]G6 ug]{ sfd</t>
  </si>
  <si>
    <t>-as of plaster</t>
  </si>
  <si>
    <t>-35*35*3mm Equal angles at windows</t>
  </si>
  <si>
    <t xml:space="preserve">-equal angles for fencing </t>
  </si>
  <si>
    <t>-MS flats for fencing</t>
  </si>
  <si>
    <t>-MS square rod12mm *12mm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</si>
</sst>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37">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0"/>
      <name val="FONTASY_ HIMALI_ TT"/>
      <family val="5"/>
    </font>
    <font>
      <sz val="16"/>
      <color theme="1"/>
      <name val="Preeti"/>
    </font>
    <font>
      <sz val="12"/>
      <name val="Calibri"/>
      <family val="2"/>
      <scheme val="minor"/>
    </font>
    <font>
      <sz val="14"/>
      <color theme="1"/>
      <name val="Preeti"/>
    </font>
    <font>
      <sz val="12"/>
      <name val="Preeti"/>
    </font>
    <font>
      <sz val="11"/>
      <color theme="1"/>
      <name val="Preeti"/>
    </font>
    <font>
      <sz val="13"/>
      <name val="Preeti"/>
    </font>
    <font>
      <sz val="10"/>
      <name val="Fontasy Himali"/>
      <family val="5"/>
    </font>
    <font>
      <sz val="10"/>
      <name val="Prachin"/>
      <family val="2"/>
    </font>
    <font>
      <sz val="8"/>
      <name val="Times New Roman"/>
      <family val="1"/>
    </font>
    <font>
      <sz val="16"/>
      <name val="Preeti"/>
    </font>
    <font>
      <b/>
      <sz val="9"/>
      <name val="Preeti"/>
    </font>
    <font>
      <b/>
      <sz val="12"/>
      <name val="Preeti"/>
    </font>
    <font>
      <sz val="12"/>
      <name val="Calibri"/>
      <family val="2"/>
    </font>
    <font>
      <sz val="9"/>
      <name val="Arial"/>
      <family val="2"/>
    </font>
    <font>
      <sz val="11"/>
      <name val="Preeti"/>
    </font>
    <font>
      <sz val="10"/>
      <name val="Arial"/>
      <family val="2"/>
    </font>
    <font>
      <u/>
      <sz val="11"/>
      <name val="Preeti"/>
    </font>
    <font>
      <b/>
      <sz val="12"/>
      <color theme="1"/>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3">
    <xf numFmtId="0" fontId="0" fillId="0" borderId="0"/>
    <xf numFmtId="164" fontId="1" fillId="0" borderId="0" applyFont="0" applyFill="0" applyBorder="0" applyAlignment="0" applyProtection="0"/>
    <xf numFmtId="0" fontId="16" fillId="0" borderId="0"/>
  </cellStyleXfs>
  <cellXfs count="167">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3" fillId="0" borderId="1" xfId="0" applyFont="1" applyBorder="1" applyAlignment="1">
      <alignment vertical="center"/>
    </xf>
    <xf numFmtId="0" fontId="15" fillId="3" borderId="1" xfId="0" applyFont="1" applyFill="1" applyBorder="1" applyAlignment="1">
      <alignment vertical="center" wrapText="1"/>
    </xf>
    <xf numFmtId="2" fontId="13" fillId="0" borderId="4" xfId="0" applyNumberFormat="1" applyFont="1" applyFill="1" applyBorder="1" applyAlignment="1">
      <alignment horizontal="center" vertical="center" wrapText="1"/>
    </xf>
    <xf numFmtId="1" fontId="17" fillId="0" borderId="1" xfId="2" applyNumberFormat="1" applyFont="1" applyBorder="1" applyAlignment="1">
      <alignment horizontal="center"/>
    </xf>
    <xf numFmtId="0" fontId="18" fillId="0" borderId="0" xfId="2" applyFont="1" applyAlignment="1"/>
    <xf numFmtId="0" fontId="16" fillId="0" borderId="0" xfId="2"/>
    <xf numFmtId="1" fontId="17" fillId="0" borderId="5" xfId="2" applyNumberFormat="1" applyFont="1" applyBorder="1" applyAlignment="1"/>
    <xf numFmtId="1" fontId="17" fillId="0" borderId="0" xfId="2" applyNumberFormat="1" applyFont="1" applyBorder="1" applyAlignment="1"/>
    <xf numFmtId="0" fontId="19" fillId="0" borderId="4" xfId="2" applyFont="1" applyBorder="1" applyAlignment="1">
      <alignment horizontal="center"/>
    </xf>
    <xf numFmtId="0" fontId="21" fillId="0" borderId="0" xfId="2" applyFont="1"/>
    <xf numFmtId="0" fontId="23" fillId="0" borderId="1" xfId="2" applyFont="1" applyBorder="1" applyAlignment="1">
      <alignment horizontal="center" vertical="center" wrapText="1"/>
    </xf>
    <xf numFmtId="2" fontId="24" fillId="0" borderId="1" xfId="2" applyNumberFormat="1" applyFont="1" applyBorder="1" applyAlignment="1">
      <alignment horizontal="center"/>
    </xf>
    <xf numFmtId="0" fontId="23" fillId="0" borderId="1" xfId="2" applyFont="1" applyBorder="1" applyAlignment="1">
      <alignment horizontal="center"/>
    </xf>
    <xf numFmtId="2" fontId="17" fillId="0" borderId="1" xfId="2" applyNumberFormat="1" applyFont="1" applyBorder="1" applyAlignment="1">
      <alignment horizontal="center" vertical="center" wrapText="1"/>
    </xf>
    <xf numFmtId="2" fontId="17" fillId="0" borderId="1" xfId="2" applyNumberFormat="1" applyFont="1" applyBorder="1" applyAlignment="1">
      <alignment horizontal="center"/>
    </xf>
    <xf numFmtId="2" fontId="17" fillId="0" borderId="1" xfId="2" applyNumberFormat="1" applyFont="1" applyBorder="1" applyAlignment="1">
      <alignment horizontal="center" vertical="center"/>
    </xf>
    <xf numFmtId="0" fontId="22" fillId="0" borderId="1" xfId="2" applyFont="1" applyBorder="1" applyAlignment="1">
      <alignment horizontal="center" wrapText="1"/>
    </xf>
    <xf numFmtId="166" fontId="24" fillId="0" borderId="1" xfId="2" applyNumberFormat="1" applyFont="1" applyBorder="1" applyAlignment="1">
      <alignment horizontal="center"/>
    </xf>
    <xf numFmtId="0" fontId="21" fillId="0" borderId="1" xfId="2" applyFont="1" applyBorder="1"/>
    <xf numFmtId="2" fontId="17" fillId="0" borderId="3" xfId="2" applyNumberFormat="1" applyFont="1" applyBorder="1" applyAlignment="1">
      <alignment horizontal="center"/>
    </xf>
    <xf numFmtId="0" fontId="16" fillId="0" borderId="1" xfId="2" applyBorder="1"/>
    <xf numFmtId="0" fontId="23" fillId="0" borderId="0" xfId="2" applyFont="1"/>
    <xf numFmtId="2" fontId="17" fillId="0" borderId="0" xfId="2" applyNumberFormat="1" applyFont="1"/>
    <xf numFmtId="2" fontId="17" fillId="0" borderId="4" xfId="2" applyNumberFormat="1" applyFont="1" applyBorder="1" applyAlignment="1">
      <alignment horizontal="center"/>
    </xf>
    <xf numFmtId="0" fontId="21" fillId="0" borderId="0" xfId="2" applyFont="1" applyAlignment="1">
      <alignment horizontal="center"/>
    </xf>
    <xf numFmtId="0" fontId="25" fillId="0" borderId="0" xfId="2" applyFont="1" applyAlignment="1">
      <alignment horizontal="right"/>
    </xf>
    <xf numFmtId="2" fontId="17" fillId="0" borderId="0" xfId="2" applyNumberFormat="1" applyFont="1" applyBorder="1" applyAlignment="1">
      <alignment horizontal="center"/>
    </xf>
    <xf numFmtId="2" fontId="26" fillId="0" borderId="0" xfId="2" applyNumberFormat="1"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20" fillId="0" borderId="0" xfId="2" applyFont="1" applyAlignment="1">
      <alignment horizontal="center"/>
    </xf>
    <xf numFmtId="0" fontId="22" fillId="0" borderId="2" xfId="2" applyFont="1" applyBorder="1" applyAlignment="1">
      <alignment horizontal="center"/>
    </xf>
    <xf numFmtId="0" fontId="23" fillId="0" borderId="1" xfId="2" applyFont="1" applyBorder="1" applyAlignment="1">
      <alignment horizontal="center" vertical="center"/>
    </xf>
    <xf numFmtId="0" fontId="16" fillId="0" borderId="1" xfId="2" applyBorder="1" applyAlignment="1">
      <alignment horizontal="center" vertical="center"/>
    </xf>
    <xf numFmtId="0" fontId="27" fillId="0" borderId="0" xfId="0" applyFont="1" applyBorder="1" applyAlignment="1">
      <alignment horizontal="center"/>
    </xf>
    <xf numFmtId="0" fontId="29" fillId="3" borderId="1" xfId="0" applyFont="1" applyFill="1" applyBorder="1" applyAlignment="1">
      <alignment wrapText="1"/>
    </xf>
    <xf numFmtId="0" fontId="27" fillId="0" borderId="0" xfId="0" applyFont="1" applyBorder="1" applyAlignment="1"/>
    <xf numFmtId="1" fontId="29" fillId="0" borderId="1" xfId="0" applyNumberFormat="1"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166" fontId="13" fillId="0" borderId="1" xfId="1" applyNumberFormat="1" applyFont="1" applyFill="1" applyBorder="1" applyAlignment="1">
      <alignment vertical="center"/>
    </xf>
    <xf numFmtId="1" fontId="17" fillId="0" borderId="1" xfId="0" applyNumberFormat="1" applyFont="1" applyFill="1" applyBorder="1" applyAlignment="1">
      <alignment horizontal="center"/>
    </xf>
    <xf numFmtId="0" fontId="27" fillId="0" borderId="0" xfId="0" applyFont="1" applyFill="1" applyBorder="1" applyAlignment="1">
      <alignment horizontal="center"/>
    </xf>
    <xf numFmtId="0" fontId="21" fillId="0" borderId="0" xfId="0" applyFont="1" applyFill="1" applyBorder="1"/>
    <xf numFmtId="0" fontId="30" fillId="0" borderId="4" xfId="0" applyFont="1" applyFill="1" applyBorder="1" applyAlignment="1">
      <alignment horizontal="center"/>
    </xf>
    <xf numFmtId="0" fontId="32" fillId="0" borderId="0" xfId="0" applyFont="1" applyFill="1" applyBorder="1" applyAlignment="1">
      <alignment horizontal="center"/>
    </xf>
    <xf numFmtId="0" fontId="23" fillId="0" borderId="1"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6" xfId="0" applyFont="1" applyFill="1" applyBorder="1" applyAlignment="1">
      <alignment horizontal="center" vertical="center" wrapText="1"/>
    </xf>
    <xf numFmtId="2" fontId="24" fillId="0" borderId="6" xfId="0" applyNumberFormat="1" applyFont="1" applyFill="1" applyBorder="1" applyAlignment="1">
      <alignment horizontal="center"/>
    </xf>
    <xf numFmtId="0" fontId="23" fillId="0" borderId="6" xfId="0" applyFont="1" applyFill="1" applyBorder="1" applyAlignment="1">
      <alignment horizontal="center"/>
    </xf>
    <xf numFmtId="2" fontId="17" fillId="0" borderId="6" xfId="0" applyNumberFormat="1" applyFont="1" applyFill="1" applyBorder="1" applyAlignment="1">
      <alignment horizontal="center" vertical="center" wrapText="1"/>
    </xf>
    <xf numFmtId="2" fontId="17" fillId="0" borderId="6" xfId="0" applyNumberFormat="1" applyFont="1" applyFill="1" applyBorder="1" applyAlignment="1">
      <alignment horizontal="center"/>
    </xf>
    <xf numFmtId="2" fontId="17" fillId="0" borderId="6" xfId="0" applyNumberFormat="1" applyFont="1" applyFill="1" applyBorder="1" applyAlignment="1">
      <alignment horizontal="center" vertical="center"/>
    </xf>
    <xf numFmtId="0" fontId="33" fillId="0" borderId="4" xfId="0" applyFont="1" applyFill="1" applyBorder="1" applyAlignment="1">
      <alignment horizontal="center" vertical="center"/>
    </xf>
    <xf numFmtId="0" fontId="23" fillId="0" borderId="3" xfId="0" applyFont="1" applyFill="1" applyBorder="1" applyAlignment="1">
      <alignment horizontal="center"/>
    </xf>
    <xf numFmtId="2" fontId="24" fillId="0" borderId="3" xfId="0" applyNumberFormat="1" applyFont="1" applyFill="1" applyBorder="1" applyAlignment="1">
      <alignment horizontal="center"/>
    </xf>
    <xf numFmtId="0" fontId="23" fillId="0" borderId="4" xfId="0" applyFont="1" applyFill="1" applyBorder="1" applyAlignment="1">
      <alignment horizontal="center"/>
    </xf>
    <xf numFmtId="2" fontId="17" fillId="0" borderId="3" xfId="0" applyNumberFormat="1" applyFont="1" applyFill="1" applyBorder="1" applyAlignment="1">
      <alignment horizontal="center"/>
    </xf>
    <xf numFmtId="2" fontId="17" fillId="0" borderId="3" xfId="0" applyNumberFormat="1" applyFont="1" applyFill="1" applyBorder="1" applyAlignment="1">
      <alignment horizontal="center" vertical="center"/>
    </xf>
    <xf numFmtId="0" fontId="23" fillId="0" borderId="6" xfId="0" applyFont="1" applyFill="1" applyBorder="1" applyAlignment="1">
      <alignment horizontal="center" vertical="center"/>
    </xf>
    <xf numFmtId="0" fontId="24" fillId="0" borderId="6" xfId="0" applyFont="1" applyFill="1" applyBorder="1" applyAlignment="1">
      <alignment horizontal="center"/>
    </xf>
    <xf numFmtId="0" fontId="23" fillId="0" borderId="3" xfId="0" applyFont="1" applyFill="1" applyBorder="1" applyAlignment="1">
      <alignment horizontal="center" vertical="center"/>
    </xf>
    <xf numFmtId="0" fontId="24" fillId="0" borderId="3" xfId="0" applyFont="1" applyFill="1" applyBorder="1" applyAlignment="1">
      <alignment horizontal="center"/>
    </xf>
    <xf numFmtId="0" fontId="23" fillId="0" borderId="3" xfId="0" applyFont="1" applyFill="1" applyBorder="1" applyAlignment="1">
      <alignment horizontal="center" vertical="top" wrapText="1"/>
    </xf>
    <xf numFmtId="0" fontId="23" fillId="0" borderId="4" xfId="0" applyFont="1" applyFill="1" applyBorder="1" applyAlignment="1">
      <alignment horizontal="center" vertical="center"/>
    </xf>
    <xf numFmtId="2" fontId="24" fillId="0" borderId="4" xfId="0" applyNumberFormat="1" applyFont="1" applyFill="1" applyBorder="1" applyAlignment="1">
      <alignment horizontal="center"/>
    </xf>
    <xf numFmtId="2" fontId="17" fillId="0" borderId="4" xfId="0" applyNumberFormat="1" applyFont="1" applyFill="1" applyBorder="1" applyAlignment="1">
      <alignment horizontal="center"/>
    </xf>
    <xf numFmtId="2" fontId="17" fillId="0" borderId="4" xfId="0" applyNumberFormat="1" applyFont="1" applyFill="1" applyBorder="1" applyAlignment="1">
      <alignment horizontal="center" vertical="center"/>
    </xf>
    <xf numFmtId="0" fontId="23" fillId="0" borderId="0" xfId="0" applyFont="1" applyFill="1" applyBorder="1"/>
    <xf numFmtId="2" fontId="17" fillId="0" borderId="1" xfId="0" applyNumberFormat="1" applyFont="1" applyFill="1" applyBorder="1" applyAlignment="1">
      <alignment horizontal="center"/>
    </xf>
    <xf numFmtId="0" fontId="21" fillId="0" borderId="0" xfId="0" applyFont="1" applyFill="1" applyBorder="1" applyAlignment="1">
      <alignment horizontal="right"/>
    </xf>
    <xf numFmtId="2" fontId="17" fillId="0" borderId="2" xfId="0" applyNumberFormat="1" applyFont="1" applyFill="1" applyBorder="1" applyAlignment="1">
      <alignment horizontal="center"/>
    </xf>
    <xf numFmtId="0" fontId="17" fillId="0" borderId="0" xfId="0" applyFont="1" applyFill="1" applyBorder="1" applyAlignment="1">
      <alignment horizontal="center"/>
    </xf>
    <xf numFmtId="0" fontId="34" fillId="0" borderId="0" xfId="0" applyFont="1" applyFill="1" applyBorder="1" applyAlignment="1">
      <alignment horizontal="left"/>
    </xf>
    <xf numFmtId="0" fontId="31" fillId="0" borderId="0" xfId="0" applyFont="1" applyFill="1" applyBorder="1"/>
    <xf numFmtId="0" fontId="32" fillId="0" borderId="0" xfId="0" applyFont="1" applyFill="1" applyBorder="1" applyAlignment="1">
      <alignment horizontal="left"/>
    </xf>
    <xf numFmtId="0" fontId="27" fillId="0" borderId="0" xfId="0" applyFont="1" applyBorder="1" applyAlignment="1">
      <alignment horizontal="center"/>
    </xf>
    <xf numFmtId="0" fontId="35"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0" fillId="0" borderId="1" xfId="0" quotePrefix="1" applyBorder="1" applyAlignment="1">
      <alignment horizontal="right" vertical="center"/>
    </xf>
    <xf numFmtId="0" fontId="14" fillId="0" borderId="1" xfId="0" quotePrefix="1" applyFont="1" applyBorder="1" applyAlignment="1">
      <alignment horizontal="right" vertical="center" wrapText="1"/>
    </xf>
    <xf numFmtId="2" fontId="36" fillId="0" borderId="1" xfId="0" applyNumberFormat="1" applyFont="1" applyBorder="1" applyAlignment="1">
      <alignment vertical="center"/>
    </xf>
    <xf numFmtId="0" fontId="0" fillId="0" borderId="0" xfId="0" applyBorder="1" applyAlignment="1">
      <alignment vertical="center"/>
    </xf>
    <xf numFmtId="0" fontId="29" fillId="3" borderId="1" xfId="0" applyFont="1" applyFill="1" applyBorder="1" applyAlignment="1">
      <alignment vertical="center"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178514</xdr:colOff>
      <xdr:row>32</xdr:row>
      <xdr:rowOff>130996</xdr:rowOff>
    </xdr:from>
    <xdr:to>
      <xdr:col>2</xdr:col>
      <xdr:colOff>435689</xdr:colOff>
      <xdr:row>33</xdr:row>
      <xdr:rowOff>96428</xdr:rowOff>
    </xdr:to>
    <xdr:sp macro="" textlink="">
      <xdr:nvSpPr>
        <xdr:cNvPr id="2" name="Text Box 181"/>
        <xdr:cNvSpPr txBox="1">
          <a:spLocks noChangeArrowheads="1"/>
        </xdr:cNvSpPr>
      </xdr:nvSpPr>
      <xdr:spPr bwMode="auto">
        <a:xfrm>
          <a:off x="1572974" y="228982456"/>
          <a:ext cx="257175" cy="194032"/>
        </a:xfrm>
        <a:prstGeom prst="rect">
          <a:avLst/>
        </a:prstGeom>
        <a:solidFill>
          <a:srgbClr val="FFFFFF"/>
        </a:solidFill>
        <a:ln w="9525">
          <a:no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Rate%20analysis/for-all-Civil-rate-analysis-81-82-shankharapur-Municipalit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6">
          <cell r="N46">
            <v>99000</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row r="665">
          <cell r="F665">
            <v>0.28000000000000003</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s>
    <sheetDataSet>
      <sheetData sheetId="0"/>
      <sheetData sheetId="1"/>
      <sheetData sheetId="2"/>
      <sheetData sheetId="3">
        <row r="59">
          <cell r="N59">
            <v>132</v>
          </cell>
        </row>
        <row r="215">
          <cell r="N215">
            <v>2304</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I10" sqref="I10"/>
    </sheetView>
  </sheetViews>
  <sheetFormatPr defaultRowHeight="14.4"/>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c r="A1" s="89" t="s">
        <v>0</v>
      </c>
      <c r="B1" s="89"/>
      <c r="C1" s="89"/>
      <c r="D1" s="89"/>
      <c r="E1" s="89"/>
      <c r="F1" s="89"/>
      <c r="G1" s="89"/>
      <c r="H1" s="89"/>
      <c r="I1" s="89"/>
      <c r="J1" s="89"/>
      <c r="K1" s="89"/>
    </row>
    <row r="2" spans="1:11" ht="24.6">
      <c r="A2" s="90" t="s">
        <v>1</v>
      </c>
      <c r="B2" s="90"/>
      <c r="C2" s="90"/>
      <c r="D2" s="90"/>
      <c r="E2" s="90"/>
      <c r="F2" s="90"/>
      <c r="G2" s="90"/>
      <c r="H2" s="90"/>
      <c r="I2" s="90"/>
      <c r="J2" s="90"/>
      <c r="K2" s="90"/>
    </row>
    <row r="3" spans="1:11" s="1" customFormat="1">
      <c r="A3" s="91" t="s">
        <v>2</v>
      </c>
      <c r="B3" s="91"/>
      <c r="C3" s="91"/>
      <c r="D3" s="91"/>
      <c r="E3" s="91"/>
      <c r="F3" s="91"/>
      <c r="G3" s="91"/>
      <c r="H3" s="91"/>
      <c r="I3" s="91"/>
      <c r="J3" s="91"/>
      <c r="K3" s="91"/>
    </row>
    <row r="4" spans="1:11" s="1" customFormat="1">
      <c r="A4" s="91" t="s">
        <v>3</v>
      </c>
      <c r="B4" s="91"/>
      <c r="C4" s="91"/>
      <c r="D4" s="91"/>
      <c r="E4" s="91"/>
      <c r="F4" s="91"/>
      <c r="G4" s="91"/>
      <c r="H4" s="91"/>
      <c r="I4" s="91"/>
      <c r="J4" s="91"/>
      <c r="K4" s="91"/>
    </row>
    <row r="5" spans="1:11" ht="18">
      <c r="A5" s="92" t="s">
        <v>18</v>
      </c>
      <c r="B5" s="92"/>
      <c r="C5" s="92"/>
      <c r="D5" s="92"/>
      <c r="E5" s="92"/>
      <c r="F5" s="92"/>
      <c r="G5" s="92"/>
      <c r="H5" s="92"/>
      <c r="I5" s="92"/>
      <c r="J5" s="92"/>
      <c r="K5" s="92"/>
    </row>
    <row r="6" spans="1:11" ht="18">
      <c r="A6" s="8" t="s">
        <v>19</v>
      </c>
      <c r="B6" s="8"/>
      <c r="C6" s="87" t="e">
        <f>F18</f>
        <v>#REF!</v>
      </c>
      <c r="D6" s="88"/>
      <c r="E6" s="9"/>
      <c r="F6" s="8"/>
      <c r="G6" s="8"/>
      <c r="H6" s="8" t="s">
        <v>20</v>
      </c>
      <c r="I6" s="8"/>
      <c r="J6" s="87" t="e">
        <f>I18</f>
        <v>#REF!</v>
      </c>
      <c r="K6" s="88"/>
    </row>
    <row r="7" spans="1:11">
      <c r="A7" s="25" t="s">
        <v>29</v>
      </c>
      <c r="B7" s="10"/>
      <c r="C7" s="10"/>
      <c r="D7" s="10"/>
      <c r="F7" s="96"/>
      <c r="G7" s="96"/>
      <c r="I7" s="97" t="s">
        <v>37</v>
      </c>
      <c r="J7" s="97"/>
      <c r="K7" s="97"/>
    </row>
    <row r="8" spans="1:11" ht="15.6">
      <c r="A8" s="95" t="e">
        <f>#REF!</f>
        <v>#REF!</v>
      </c>
      <c r="B8" s="95"/>
      <c r="C8" s="95"/>
      <c r="D8" s="95"/>
      <c r="E8" s="95"/>
      <c r="F8" s="95"/>
      <c r="I8" s="98" t="s">
        <v>38</v>
      </c>
      <c r="J8" s="98"/>
      <c r="K8" s="98"/>
    </row>
    <row r="9" spans="1:11">
      <c r="A9" s="99" t="e">
        <f>#REF!</f>
        <v>#REF!</v>
      </c>
      <c r="B9" s="99"/>
      <c r="C9" s="99"/>
      <c r="D9" s="99"/>
      <c r="E9" s="99"/>
      <c r="F9" s="99"/>
      <c r="I9" s="98" t="s">
        <v>39</v>
      </c>
      <c r="J9" s="98"/>
      <c r="K9" s="98"/>
    </row>
    <row r="11" spans="1:11">
      <c r="A11" s="93" t="s">
        <v>21</v>
      </c>
      <c r="B11" s="93" t="s">
        <v>22</v>
      </c>
      <c r="C11" s="93" t="s">
        <v>12</v>
      </c>
      <c r="D11" s="100" t="s">
        <v>23</v>
      </c>
      <c r="E11" s="100"/>
      <c r="F11" s="100"/>
      <c r="G11" s="100" t="s">
        <v>24</v>
      </c>
      <c r="H11" s="100"/>
      <c r="I11" s="100"/>
      <c r="J11" s="93" t="s">
        <v>25</v>
      </c>
      <c r="K11" s="94" t="s">
        <v>15</v>
      </c>
    </row>
    <row r="12" spans="1:11">
      <c r="A12" s="93"/>
      <c r="B12" s="93"/>
      <c r="C12" s="93"/>
      <c r="D12" s="11" t="s">
        <v>26</v>
      </c>
      <c r="E12" s="11" t="s">
        <v>13</v>
      </c>
      <c r="F12" s="11" t="s">
        <v>14</v>
      </c>
      <c r="G12" s="11" t="s">
        <v>26</v>
      </c>
      <c r="H12" s="11" t="s">
        <v>13</v>
      </c>
      <c r="I12" s="11" t="s">
        <v>14</v>
      </c>
      <c r="J12" s="93"/>
      <c r="K12" s="94"/>
    </row>
    <row r="13" spans="1:11" s="1" customFormat="1" ht="15.6">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6">
      <c r="A14" s="26"/>
      <c r="B14" s="32" t="e">
        <f>#REF!</f>
        <v>#REF!</v>
      </c>
      <c r="C14" s="12"/>
      <c r="D14" s="12"/>
      <c r="E14" s="12"/>
      <c r="F14" s="12" t="e">
        <f>#REF!</f>
        <v>#REF!</v>
      </c>
      <c r="G14" s="12"/>
      <c r="H14" s="12"/>
      <c r="I14" s="12" t="e">
        <f>#REF!</f>
        <v>#REF!</v>
      </c>
      <c r="J14" s="27"/>
      <c r="K14" s="14"/>
    </row>
    <row r="15" spans="1:11" s="1" customFormat="1">
      <c r="A15" s="28"/>
      <c r="B15" s="28"/>
      <c r="C15" s="12"/>
      <c r="D15" s="12"/>
      <c r="E15" s="12"/>
      <c r="F15" s="12"/>
      <c r="G15" s="12"/>
      <c r="H15" s="12"/>
      <c r="I15" s="12"/>
      <c r="J15" s="27"/>
      <c r="K15" s="14"/>
    </row>
    <row r="16" spans="1:11" s="1" customFormat="1">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c r="A17" s="28"/>
      <c r="B17" s="28"/>
      <c r="C17" s="12"/>
      <c r="D17" s="12"/>
      <c r="E17" s="12"/>
      <c r="F17" s="12"/>
      <c r="G17" s="12"/>
      <c r="H17" s="12"/>
      <c r="I17" s="12"/>
      <c r="J17" s="27"/>
      <c r="K17" s="14"/>
    </row>
    <row r="18" spans="1:11">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6"/>
  <sheetViews>
    <sheetView tabSelected="1" topLeftCell="A87" zoomScaleNormal="100" workbookViewId="0">
      <selection activeCell="A101" sqref="A101"/>
    </sheetView>
  </sheetViews>
  <sheetFormatPr defaultRowHeight="14.4"/>
  <cols>
    <col min="1" max="1" width="4.6640625" customWidth="1"/>
    <col min="2" max="2" width="31.33203125" customWidth="1"/>
    <col min="3" max="3" width="5.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4" s="1" customFormat="1">
      <c r="A1" s="102" t="s">
        <v>0</v>
      </c>
      <c r="B1" s="102"/>
      <c r="C1" s="102"/>
      <c r="D1" s="102"/>
      <c r="E1" s="102"/>
      <c r="F1" s="102"/>
      <c r="G1" s="102"/>
      <c r="H1" s="102"/>
      <c r="I1" s="102"/>
      <c r="J1" s="102"/>
      <c r="K1" s="102"/>
    </row>
    <row r="2" spans="1:14" s="1" customFormat="1" ht="22.8">
      <c r="A2" s="103" t="s">
        <v>1</v>
      </c>
      <c r="B2" s="103"/>
      <c r="C2" s="103"/>
      <c r="D2" s="103"/>
      <c r="E2" s="103"/>
      <c r="F2" s="103"/>
      <c r="G2" s="103"/>
      <c r="H2" s="103"/>
      <c r="I2" s="103"/>
      <c r="J2" s="103"/>
      <c r="K2" s="103"/>
    </row>
    <row r="3" spans="1:14" s="1" customFormat="1">
      <c r="A3" s="91" t="s">
        <v>2</v>
      </c>
      <c r="B3" s="91"/>
      <c r="C3" s="91"/>
      <c r="D3" s="91"/>
      <c r="E3" s="91"/>
      <c r="F3" s="91"/>
      <c r="G3" s="91"/>
      <c r="H3" s="91"/>
      <c r="I3" s="91"/>
      <c r="J3" s="91"/>
      <c r="K3" s="91"/>
    </row>
    <row r="4" spans="1:14" s="1" customFormat="1">
      <c r="A4" s="91" t="s">
        <v>3</v>
      </c>
      <c r="B4" s="91"/>
      <c r="C4" s="91"/>
      <c r="D4" s="91"/>
      <c r="E4" s="91"/>
      <c r="F4" s="91"/>
      <c r="G4" s="91"/>
      <c r="H4" s="91"/>
      <c r="I4" s="91"/>
      <c r="J4" s="91"/>
      <c r="K4" s="91"/>
    </row>
    <row r="5" spans="1:14" ht="17.399999999999999">
      <c r="A5" s="104" t="s">
        <v>4</v>
      </c>
      <c r="B5" s="104"/>
      <c r="C5" s="104"/>
      <c r="D5" s="104"/>
      <c r="E5" s="104"/>
      <c r="F5" s="104"/>
      <c r="G5" s="104"/>
      <c r="H5" s="104"/>
      <c r="I5" s="104"/>
      <c r="J5" s="104"/>
      <c r="K5" s="104"/>
    </row>
    <row r="6" spans="1:14" ht="15.6">
      <c r="A6" s="95" t="s">
        <v>45</v>
      </c>
      <c r="B6" s="95"/>
      <c r="C6" s="95"/>
      <c r="D6" s="95"/>
      <c r="E6" s="95"/>
      <c r="F6" s="95"/>
      <c r="G6" s="2"/>
      <c r="H6" s="101" t="s">
        <v>42</v>
      </c>
      <c r="I6" s="101"/>
      <c r="J6" s="101"/>
      <c r="K6" s="101"/>
    </row>
    <row r="7" spans="1:14" ht="15.6">
      <c r="A7" s="106" t="s">
        <v>28</v>
      </c>
      <c r="B7" s="106"/>
      <c r="C7" s="106"/>
      <c r="D7" s="106"/>
      <c r="E7" s="106"/>
      <c r="F7" s="106"/>
      <c r="G7" s="3"/>
      <c r="H7" s="107" t="s">
        <v>44</v>
      </c>
      <c r="I7" s="107"/>
      <c r="J7" s="107"/>
      <c r="K7" s="107"/>
    </row>
    <row r="8" spans="1:14" ht="15" customHeight="1">
      <c r="A8" s="4" t="s">
        <v>5</v>
      </c>
      <c r="B8" s="15" t="s">
        <v>6</v>
      </c>
      <c r="C8" s="4" t="s">
        <v>7</v>
      </c>
      <c r="D8" s="16" t="s">
        <v>8</v>
      </c>
      <c r="E8" s="16" t="s">
        <v>9</v>
      </c>
      <c r="F8" s="16" t="s">
        <v>10</v>
      </c>
      <c r="G8" s="16" t="s">
        <v>11</v>
      </c>
      <c r="H8" s="4" t="s">
        <v>12</v>
      </c>
      <c r="I8" s="16" t="s">
        <v>13</v>
      </c>
      <c r="J8" s="16" t="s">
        <v>14</v>
      </c>
      <c r="K8" s="17" t="s">
        <v>15</v>
      </c>
    </row>
    <row r="9" spans="1:14" s="1" customFormat="1" ht="55.2">
      <c r="A9" s="59">
        <v>1</v>
      </c>
      <c r="B9" s="60" t="s">
        <v>46</v>
      </c>
      <c r="C9" s="60"/>
      <c r="D9" s="38"/>
      <c r="E9" s="38"/>
      <c r="F9" s="38"/>
      <c r="G9" s="38"/>
      <c r="H9" s="38"/>
      <c r="I9" s="38"/>
      <c r="J9" s="41"/>
      <c r="K9" s="28"/>
    </row>
    <row r="10" spans="1:14" ht="15" customHeight="1">
      <c r="A10" s="18"/>
      <c r="B10" s="36" t="s">
        <v>47</v>
      </c>
      <c r="C10" s="35">
        <v>1</v>
      </c>
      <c r="D10" s="37">
        <f>((5.84+1.76)+(4.23+3.4))/2</f>
        <v>7.6150000000000002</v>
      </c>
      <c r="E10" s="37">
        <f>(3.48+3.5)/2</f>
        <v>3.49</v>
      </c>
      <c r="F10" s="37"/>
      <c r="G10" s="38">
        <f t="shared" ref="G10:G12" si="0">PRODUCT(C10:F10)</f>
        <v>26.576350000000001</v>
      </c>
      <c r="H10" s="39"/>
      <c r="I10" s="39"/>
      <c r="J10" s="39"/>
      <c r="K10" s="61"/>
      <c r="N10">
        <f>5.84+1.76</f>
        <v>7.6</v>
      </c>
    </row>
    <row r="11" spans="1:14" ht="15" customHeight="1">
      <c r="A11" s="18"/>
      <c r="B11" s="36"/>
      <c r="C11" s="35">
        <v>1</v>
      </c>
      <c r="D11" s="37">
        <f>((3.87+1.86)+(3.57+2.18))/2</f>
        <v>5.74</v>
      </c>
      <c r="E11" s="37">
        <f>1.15+0.59+0.59</f>
        <v>2.3299999999999996</v>
      </c>
      <c r="F11" s="37"/>
      <c r="G11" s="38">
        <f t="shared" si="0"/>
        <v>13.374199999999998</v>
      </c>
      <c r="H11" s="39"/>
      <c r="I11" s="39"/>
      <c r="J11" s="39"/>
      <c r="K11" s="61"/>
      <c r="N11">
        <f>3.87+1.86</f>
        <v>5.73</v>
      </c>
    </row>
    <row r="12" spans="1:14" ht="15" customHeight="1">
      <c r="A12" s="18"/>
      <c r="B12" s="36"/>
      <c r="C12" s="35">
        <v>1</v>
      </c>
      <c r="D12" s="37">
        <f>5.7</f>
        <v>5.7</v>
      </c>
      <c r="E12" s="37">
        <f>2.3</f>
        <v>2.2999999999999998</v>
      </c>
      <c r="F12" s="37"/>
      <c r="G12" s="38">
        <f t="shared" si="0"/>
        <v>13.11</v>
      </c>
      <c r="H12" s="39"/>
      <c r="I12" s="39"/>
      <c r="J12" s="39"/>
      <c r="K12" s="61"/>
    </row>
    <row r="13" spans="1:14" ht="15" customHeight="1">
      <c r="A13" s="18"/>
      <c r="B13" s="36" t="s">
        <v>41</v>
      </c>
      <c r="C13" s="35"/>
      <c r="D13" s="37"/>
      <c r="E13" s="37"/>
      <c r="F13" s="37"/>
      <c r="G13" s="33">
        <f>SUM(G10:G12)</f>
        <v>53.060549999999999</v>
      </c>
      <c r="H13" s="39" t="s">
        <v>43</v>
      </c>
      <c r="I13" s="39">
        <v>817.76</v>
      </c>
      <c r="J13" s="41">
        <f>G13*I13</f>
        <v>43390.795367999999</v>
      </c>
      <c r="K13" s="21"/>
    </row>
    <row r="14" spans="1:14" ht="15" customHeight="1">
      <c r="A14" s="18"/>
      <c r="B14" s="36" t="s">
        <v>40</v>
      </c>
      <c r="C14" s="35"/>
      <c r="D14" s="37"/>
      <c r="E14" s="37"/>
      <c r="F14" s="37"/>
      <c r="G14" s="38"/>
      <c r="H14" s="39"/>
      <c r="I14" s="39"/>
      <c r="J14" s="41">
        <f>0.13*J13</f>
        <v>5640.8033978399999</v>
      </c>
      <c r="K14" s="21"/>
    </row>
    <row r="15" spans="1:14" ht="15" customHeight="1">
      <c r="A15" s="18"/>
      <c r="B15" s="36"/>
      <c r="C15" s="35"/>
      <c r="D15" s="37"/>
      <c r="E15" s="37"/>
      <c r="F15" s="37"/>
      <c r="G15" s="38"/>
      <c r="H15" s="39"/>
      <c r="I15" s="39"/>
      <c r="J15" s="41"/>
      <c r="K15" s="21"/>
    </row>
    <row r="16" spans="1:14" ht="27.6">
      <c r="A16" s="18">
        <v>2</v>
      </c>
      <c r="B16" s="60" t="s">
        <v>48</v>
      </c>
      <c r="C16" s="35"/>
      <c r="D16" s="37"/>
      <c r="E16" s="37"/>
      <c r="F16" s="37"/>
      <c r="G16" s="38"/>
      <c r="H16" s="39"/>
      <c r="I16" s="39"/>
      <c r="J16" s="41"/>
      <c r="K16" s="21"/>
    </row>
    <row r="17" spans="1:19" ht="15" customHeight="1">
      <c r="A17" s="18"/>
      <c r="B17" s="36" t="s">
        <v>49</v>
      </c>
      <c r="C17" s="35">
        <v>2</v>
      </c>
      <c r="D17" s="37">
        <f>12/3.281</f>
        <v>3.6574215178299299</v>
      </c>
      <c r="E17" s="37">
        <f>3.5/3.281</f>
        <v>1.0667479427003961</v>
      </c>
      <c r="F17" s="37"/>
      <c r="G17" s="38">
        <f>PRODUCT(C17:F17)</f>
        <v>7.8030937594664751</v>
      </c>
      <c r="H17" s="39"/>
      <c r="I17" s="39"/>
      <c r="J17" s="39"/>
      <c r="K17" s="61"/>
      <c r="N17">
        <f>5.84+1.76</f>
        <v>7.6</v>
      </c>
    </row>
    <row r="18" spans="1:19" ht="15" customHeight="1">
      <c r="A18" s="18"/>
      <c r="B18" s="36" t="s">
        <v>41</v>
      </c>
      <c r="C18" s="35"/>
      <c r="D18" s="37"/>
      <c r="E18" s="37"/>
      <c r="F18" s="37"/>
      <c r="G18" s="33">
        <f>SUM(G17:G17)</f>
        <v>7.8030937594664751</v>
      </c>
      <c r="H18" s="39" t="s">
        <v>43</v>
      </c>
      <c r="I18" s="39">
        <v>1070.9000000000001</v>
      </c>
      <c r="J18" s="41">
        <f>G18*I18</f>
        <v>8356.3331070126496</v>
      </c>
      <c r="K18" s="21"/>
    </row>
    <row r="19" spans="1:19" ht="15" customHeight="1">
      <c r="A19" s="18"/>
      <c r="B19" s="36" t="s">
        <v>40</v>
      </c>
      <c r="C19" s="35"/>
      <c r="D19" s="37"/>
      <c r="E19" s="37"/>
      <c r="F19" s="37"/>
      <c r="G19" s="38"/>
      <c r="H19" s="39"/>
      <c r="I19" s="39"/>
      <c r="J19" s="41">
        <f>0.13*8587.63/10</f>
        <v>111.63918999999999</v>
      </c>
      <c r="K19" s="21"/>
    </row>
    <row r="20" spans="1:19" ht="15" customHeight="1">
      <c r="A20" s="18"/>
      <c r="B20" s="36"/>
      <c r="C20" s="35"/>
      <c r="D20" s="37"/>
      <c r="E20" s="37"/>
      <c r="F20" s="37"/>
      <c r="G20" s="38"/>
      <c r="H20" s="39"/>
      <c r="I20" s="39"/>
      <c r="J20" s="41"/>
      <c r="K20" s="21"/>
    </row>
    <row r="21" spans="1:19" ht="41.4">
      <c r="A21" s="18">
        <v>3</v>
      </c>
      <c r="B21" s="60" t="s">
        <v>88</v>
      </c>
      <c r="C21" s="35"/>
      <c r="D21" s="37"/>
      <c r="E21" s="37"/>
      <c r="F21" s="37"/>
      <c r="G21" s="38"/>
      <c r="H21" s="39"/>
      <c r="I21" s="39"/>
      <c r="J21" s="41"/>
      <c r="K21" s="21"/>
    </row>
    <row r="22" spans="1:19" ht="15" customHeight="1">
      <c r="A22" s="18"/>
      <c r="B22" s="36" t="s">
        <v>85</v>
      </c>
      <c r="C22" s="35">
        <v>2</v>
      </c>
      <c r="D22" s="37">
        <f>(18+14)/3.281</f>
        <v>9.7531240475464784</v>
      </c>
      <c r="E22" s="37">
        <v>0.15</v>
      </c>
      <c r="F22" s="37">
        <v>0.6</v>
      </c>
      <c r="G22" s="38">
        <f>PRODUCT(C22:F22)</f>
        <v>1.7555623285583659</v>
      </c>
      <c r="H22" s="39"/>
      <c r="I22" s="39"/>
      <c r="J22" s="39"/>
      <c r="K22" s="61"/>
      <c r="N22">
        <f>5.84+1.76</f>
        <v>7.6</v>
      </c>
    </row>
    <row r="23" spans="1:19" ht="15" customHeight="1">
      <c r="A23" s="18"/>
      <c r="B23" s="36" t="s">
        <v>41</v>
      </c>
      <c r="C23" s="35"/>
      <c r="D23" s="37"/>
      <c r="E23" s="37"/>
      <c r="F23" s="37"/>
      <c r="G23" s="33">
        <f>SUM(G22:G22)</f>
        <v>1.7555623285583659</v>
      </c>
      <c r="H23" s="39" t="s">
        <v>86</v>
      </c>
      <c r="I23" s="39">
        <v>1950.4</v>
      </c>
      <c r="J23" s="41">
        <f>G23*I23</f>
        <v>3424.0487656202372</v>
      </c>
      <c r="K23" s="21"/>
    </row>
    <row r="24" spans="1:19" ht="15" customHeight="1">
      <c r="A24" s="18"/>
      <c r="B24" s="36" t="s">
        <v>40</v>
      </c>
      <c r="C24" s="35"/>
      <c r="D24" s="37"/>
      <c r="E24" s="37"/>
      <c r="F24" s="37"/>
      <c r="G24" s="38"/>
      <c r="H24" s="39"/>
      <c r="I24" s="39"/>
      <c r="J24" s="41">
        <f>0.13*J23</f>
        <v>445.12633953063084</v>
      </c>
      <c r="K24" s="21"/>
    </row>
    <row r="25" spans="1:19" ht="15" customHeight="1">
      <c r="A25" s="18"/>
      <c r="B25" s="36"/>
      <c r="C25" s="35"/>
      <c r="D25" s="37"/>
      <c r="E25" s="37"/>
      <c r="F25" s="37"/>
      <c r="G25" s="38"/>
      <c r="H25" s="39"/>
      <c r="I25" s="39"/>
      <c r="J25" s="41"/>
      <c r="K25" s="21"/>
    </row>
    <row r="26" spans="1:19" ht="30.6">
      <c r="A26" s="18">
        <v>4</v>
      </c>
      <c r="B26" s="114" t="s">
        <v>90</v>
      </c>
      <c r="C26" s="19"/>
      <c r="D26" s="20"/>
      <c r="E26" s="21"/>
      <c r="F26" s="21"/>
      <c r="G26" s="23"/>
      <c r="H26" s="22"/>
      <c r="I26" s="23"/>
      <c r="J26" s="40"/>
      <c r="K26" s="21"/>
      <c r="M26" s="115"/>
      <c r="N26" s="1"/>
      <c r="O26" s="1"/>
      <c r="P26" s="1"/>
      <c r="Q26" s="1"/>
      <c r="R26" s="115"/>
      <c r="S26" s="115"/>
    </row>
    <row r="27" spans="1:19" ht="15" customHeight="1">
      <c r="A27" s="18"/>
      <c r="B27" s="36" t="s">
        <v>91</v>
      </c>
      <c r="C27" s="19">
        <v>1</v>
      </c>
      <c r="D27" s="20">
        <f>D41</f>
        <v>9.7531240475464784</v>
      </c>
      <c r="E27" s="21">
        <v>0.4</v>
      </c>
      <c r="F27" s="21">
        <v>0.125</v>
      </c>
      <c r="G27" s="38">
        <f>PRODUCT(C27:F27)</f>
        <v>0.48765620237732393</v>
      </c>
      <c r="H27" s="22"/>
      <c r="I27" s="23"/>
      <c r="J27" s="40"/>
      <c r="K27" s="21"/>
    </row>
    <row r="28" spans="1:19" ht="15" customHeight="1">
      <c r="A28" s="18"/>
      <c r="B28" s="36" t="s">
        <v>41</v>
      </c>
      <c r="C28" s="19"/>
      <c r="D28" s="20"/>
      <c r="E28" s="21"/>
      <c r="F28" s="21"/>
      <c r="G28" s="23">
        <f>SUM(G27:G27)</f>
        <v>0.48765620237732393</v>
      </c>
      <c r="H28" s="22" t="s">
        <v>86</v>
      </c>
      <c r="I28" s="23">
        <v>663.31</v>
      </c>
      <c r="J28" s="40">
        <f>G28*I28</f>
        <v>323.46723559890273</v>
      </c>
      <c r="K28" s="21"/>
    </row>
    <row r="29" spans="1:19" ht="15" customHeight="1">
      <c r="A29" s="18"/>
      <c r="B29" s="36"/>
      <c r="C29" s="19"/>
      <c r="D29" s="20"/>
      <c r="E29" s="21"/>
      <c r="F29" s="21"/>
      <c r="G29" s="23"/>
      <c r="H29" s="22"/>
      <c r="I29" s="23"/>
      <c r="J29" s="40"/>
      <c r="K29" s="21"/>
    </row>
    <row r="30" spans="1:19" ht="15">
      <c r="A30" s="18">
        <v>5</v>
      </c>
      <c r="B30" s="116" t="s">
        <v>92</v>
      </c>
      <c r="C30" s="19"/>
      <c r="D30" s="20"/>
      <c r="E30" s="21"/>
      <c r="F30" s="21"/>
      <c r="G30" s="23"/>
      <c r="H30" s="22"/>
      <c r="I30" s="23"/>
      <c r="J30" s="40"/>
      <c r="K30" s="21"/>
    </row>
    <row r="31" spans="1:19" ht="15" customHeight="1">
      <c r="A31" s="18"/>
      <c r="B31" s="36" t="str">
        <f>B27</f>
        <v>-at drain wall base</v>
      </c>
      <c r="C31" s="19">
        <f>C27</f>
        <v>1</v>
      </c>
      <c r="D31" s="20">
        <f>D27</f>
        <v>9.7531240475464784</v>
      </c>
      <c r="E31" s="21">
        <f>E27</f>
        <v>0.4</v>
      </c>
      <c r="F31" s="21"/>
      <c r="G31" s="38">
        <f>PRODUCT(C31:F31)</f>
        <v>3.9012496190185915</v>
      </c>
      <c r="H31" s="22"/>
      <c r="I31" s="23"/>
      <c r="J31" s="40"/>
      <c r="K31" s="21"/>
    </row>
    <row r="32" spans="1:19" ht="15" customHeight="1">
      <c r="A32" s="18"/>
      <c r="B32" s="36" t="s">
        <v>41</v>
      </c>
      <c r="C32" s="19"/>
      <c r="D32" s="20"/>
      <c r="E32" s="21"/>
      <c r="F32" s="21"/>
      <c r="G32" s="23">
        <f>SUM(G31:G31)</f>
        <v>3.9012496190185915</v>
      </c>
      <c r="H32" s="22" t="s">
        <v>43</v>
      </c>
      <c r="I32" s="23">
        <v>1014.97</v>
      </c>
      <c r="J32" s="40">
        <f>G32*I32</f>
        <v>3959.6513258153</v>
      </c>
      <c r="K32" s="21"/>
    </row>
    <row r="33" spans="1:20" ht="15" customHeight="1">
      <c r="A33" s="18"/>
      <c r="B33" s="36" t="s">
        <v>40</v>
      </c>
      <c r="C33" s="19"/>
      <c r="D33" s="20"/>
      <c r="E33" s="21"/>
      <c r="F33" s="21"/>
      <c r="G33" s="23"/>
      <c r="H33" s="22"/>
      <c r="I33" s="23"/>
      <c r="J33" s="40">
        <f>0.13*G32*8617.2/10</f>
        <v>437.03202682109111</v>
      </c>
      <c r="K33" s="21"/>
    </row>
    <row r="34" spans="1:20" ht="15" customHeight="1">
      <c r="A34" s="18"/>
      <c r="B34" s="36"/>
      <c r="C34" s="19"/>
      <c r="D34" s="20"/>
      <c r="E34" s="21"/>
      <c r="F34" s="21"/>
      <c r="G34" s="23"/>
      <c r="H34" s="22"/>
      <c r="I34" s="23"/>
      <c r="J34" s="40"/>
      <c r="K34" s="21"/>
    </row>
    <row r="35" spans="1:20" ht="30">
      <c r="A35" s="18">
        <v>6</v>
      </c>
      <c r="B35" s="116" t="s">
        <v>93</v>
      </c>
      <c r="C35" s="19"/>
      <c r="D35" s="20"/>
      <c r="E35" s="21"/>
      <c r="F35" s="21"/>
      <c r="G35" s="23"/>
      <c r="H35" s="22"/>
      <c r="I35" s="23"/>
      <c r="J35" s="40"/>
      <c r="K35" s="21"/>
    </row>
    <row r="36" spans="1:20" ht="15" customHeight="1">
      <c r="A36" s="18"/>
      <c r="B36" s="36" t="str">
        <f>B31</f>
        <v>-at drain wall base</v>
      </c>
      <c r="C36" s="19">
        <f>C31</f>
        <v>1</v>
      </c>
      <c r="D36" s="20">
        <f>D31</f>
        <v>9.7531240475464784</v>
      </c>
      <c r="E36" s="21">
        <f>E31</f>
        <v>0.4</v>
      </c>
      <c r="F36" s="21">
        <v>0.1</v>
      </c>
      <c r="G36" s="38">
        <f>PRODUCT(C36:F36)</f>
        <v>0.39012496190185919</v>
      </c>
      <c r="H36" s="22"/>
      <c r="I36" s="23"/>
      <c r="J36" s="40"/>
      <c r="K36" s="21"/>
    </row>
    <row r="37" spans="1:20" ht="15" customHeight="1">
      <c r="A37" s="18"/>
      <c r="B37" s="36" t="s">
        <v>41</v>
      </c>
      <c r="C37" s="19"/>
      <c r="D37" s="20"/>
      <c r="E37" s="21"/>
      <c r="F37" s="21"/>
      <c r="G37" s="23">
        <f>SUM(G36:G36)</f>
        <v>0.39012496190185919</v>
      </c>
      <c r="H37" s="22" t="s">
        <v>86</v>
      </c>
      <c r="I37" s="23">
        <v>1014.97</v>
      </c>
      <c r="J37" s="40">
        <f>G37*I37</f>
        <v>395.96513258153004</v>
      </c>
      <c r="K37" s="21"/>
    </row>
    <row r="38" spans="1:20" ht="15" customHeight="1">
      <c r="A38" s="18"/>
      <c r="B38" s="36" t="s">
        <v>40</v>
      </c>
      <c r="C38" s="19"/>
      <c r="D38" s="20"/>
      <c r="E38" s="21"/>
      <c r="F38" s="21"/>
      <c r="G38" s="23"/>
      <c r="H38" s="22"/>
      <c r="I38" s="23"/>
      <c r="J38" s="40">
        <f>0.13*G37*8617.2/10</f>
        <v>43.703202682109115</v>
      </c>
      <c r="K38" s="21"/>
    </row>
    <row r="39" spans="1:20" ht="15">
      <c r="A39" s="18"/>
      <c r="B39" s="116"/>
      <c r="C39" s="19"/>
      <c r="D39" s="20"/>
      <c r="E39" s="21"/>
      <c r="F39" s="21"/>
      <c r="G39" s="23"/>
      <c r="H39" s="22"/>
      <c r="I39" s="23"/>
      <c r="J39" s="40"/>
      <c r="K39" s="21"/>
    </row>
    <row r="40" spans="1:20" ht="39">
      <c r="A40" s="18">
        <v>7</v>
      </c>
      <c r="B40" s="60" t="s">
        <v>89</v>
      </c>
      <c r="C40" s="35"/>
      <c r="D40" s="37"/>
      <c r="E40" s="37"/>
      <c r="F40" s="37"/>
      <c r="G40" s="38"/>
      <c r="H40" s="39"/>
      <c r="I40" s="39"/>
      <c r="J40" s="41"/>
      <c r="K40" s="21"/>
      <c r="N40" s="66" t="s">
        <v>50</v>
      </c>
      <c r="O40" s="66"/>
      <c r="P40" s="66"/>
      <c r="Q40" s="66"/>
      <c r="R40" s="66"/>
      <c r="S40" s="66"/>
      <c r="T40" s="66"/>
    </row>
    <row r="41" spans="1:20" ht="15" customHeight="1">
      <c r="A41" s="18"/>
      <c r="B41" s="36" t="s">
        <v>85</v>
      </c>
      <c r="C41" s="35">
        <v>2</v>
      </c>
      <c r="D41" s="37">
        <f>(18+14)/3.281</f>
        <v>9.7531240475464784</v>
      </c>
      <c r="E41" s="37">
        <v>0.15</v>
      </c>
      <c r="F41" s="37">
        <v>0.6</v>
      </c>
      <c r="G41" s="38">
        <f>PRODUCT(C41:F41)</f>
        <v>1.7555623285583659</v>
      </c>
      <c r="H41" s="39"/>
      <c r="I41" s="39"/>
      <c r="J41" s="39"/>
      <c r="K41" s="61"/>
      <c r="N41" s="113" t="s">
        <v>88</v>
      </c>
      <c r="O41" s="113"/>
      <c r="P41" s="113"/>
      <c r="Q41" s="113"/>
      <c r="R41" s="113"/>
      <c r="S41" s="113"/>
      <c r="T41" s="113"/>
    </row>
    <row r="42" spans="1:20" ht="15" customHeight="1">
      <c r="A42" s="18"/>
      <c r="B42" s="36" t="s">
        <v>41</v>
      </c>
      <c r="C42" s="35"/>
      <c r="D42" s="37"/>
      <c r="E42" s="37"/>
      <c r="F42" s="37"/>
      <c r="G42" s="33">
        <f>SUM(G41:G41)</f>
        <v>1.7555623285583659</v>
      </c>
      <c r="H42" s="39" t="s">
        <v>86</v>
      </c>
      <c r="I42" s="39">
        <v>8569.2999999999993</v>
      </c>
      <c r="J42" s="41">
        <f>G42*I42</f>
        <v>15043.940262115204</v>
      </c>
      <c r="K42" s="21"/>
    </row>
    <row r="43" spans="1:20" ht="15" customHeight="1">
      <c r="A43" s="18"/>
      <c r="B43" s="36" t="s">
        <v>40</v>
      </c>
      <c r="C43" s="35"/>
      <c r="D43" s="37"/>
      <c r="E43" s="37"/>
      <c r="F43" s="37"/>
      <c r="G43" s="38"/>
      <c r="H43" s="39"/>
      <c r="I43" s="39"/>
      <c r="J43" s="41">
        <f>0.13*5504.3/9</f>
        <v>79.506555555555565</v>
      </c>
      <c r="K43" s="21"/>
    </row>
    <row r="44" spans="1:20" ht="15" customHeight="1">
      <c r="A44" s="18"/>
      <c r="B44" s="36"/>
      <c r="C44" s="35"/>
      <c r="D44" s="37"/>
      <c r="E44" s="37"/>
      <c r="F44" s="37"/>
      <c r="G44" s="38"/>
      <c r="H44" s="39"/>
      <c r="I44" s="39"/>
      <c r="J44" s="41"/>
      <c r="K44" s="21"/>
      <c r="N44">
        <f>9.75/0.75</f>
        <v>13</v>
      </c>
    </row>
    <row r="45" spans="1:20" ht="30">
      <c r="A45" s="18">
        <v>8</v>
      </c>
      <c r="B45" s="116" t="s">
        <v>94</v>
      </c>
      <c r="C45" s="19" t="s">
        <v>7</v>
      </c>
      <c r="D45" s="117" t="s">
        <v>95</v>
      </c>
      <c r="E45" s="118" t="s">
        <v>96</v>
      </c>
      <c r="F45" s="118" t="s">
        <v>97</v>
      </c>
      <c r="G45" s="118" t="s">
        <v>98</v>
      </c>
      <c r="H45" s="22"/>
      <c r="I45" s="23"/>
      <c r="J45" s="40"/>
      <c r="K45" s="21"/>
    </row>
    <row r="46" spans="1:20" ht="15" customHeight="1">
      <c r="A46" s="18"/>
      <c r="B46" s="36" t="s">
        <v>100</v>
      </c>
      <c r="C46" s="19">
        <f>TRUNC((D47-0.1)/0.15,0)+1</f>
        <v>5</v>
      </c>
      <c r="D46" s="20">
        <v>0.75</v>
      </c>
      <c r="E46" s="21">
        <f>8*8/162</f>
        <v>0.39506172839506171</v>
      </c>
      <c r="F46" s="21">
        <f>PRODUCT(C46:E46)</f>
        <v>1.4814814814814814</v>
      </c>
      <c r="G46" s="119">
        <f>F46/1000</f>
        <v>1.4814814814814814E-3</v>
      </c>
      <c r="H46" s="22"/>
      <c r="I46" s="23"/>
      <c r="J46" s="40"/>
      <c r="K46" s="21"/>
    </row>
    <row r="47" spans="1:20" ht="15" customHeight="1">
      <c r="A47" s="18"/>
      <c r="B47" s="36"/>
      <c r="C47" s="19">
        <f>13*(TRUNC((D46-0.1)/0.15,0)+1)</f>
        <v>65</v>
      </c>
      <c r="D47" s="20">
        <v>0.7</v>
      </c>
      <c r="E47" s="21">
        <f>8*8/162</f>
        <v>0.39506172839506171</v>
      </c>
      <c r="F47" s="21">
        <f>PRODUCT(C47:E47)</f>
        <v>17.975308641975307</v>
      </c>
      <c r="G47" s="119">
        <f>F47/1000</f>
        <v>1.7975308641975305E-2</v>
      </c>
      <c r="H47" s="22"/>
      <c r="I47" s="23"/>
      <c r="J47" s="40"/>
      <c r="K47" s="21"/>
    </row>
    <row r="48" spans="1:20" ht="15" customHeight="1">
      <c r="A48" s="18"/>
      <c r="B48" s="36"/>
      <c r="C48" s="19">
        <f>TRUNC((D49-0.1)/0.15,0)+1</f>
        <v>5</v>
      </c>
      <c r="D48" s="20">
        <v>0.9</v>
      </c>
      <c r="E48" s="21">
        <f>8*8/162</f>
        <v>0.39506172839506171</v>
      </c>
      <c r="F48" s="21">
        <f>PRODUCT(C48:E48)</f>
        <v>1.7777777777777777</v>
      </c>
      <c r="G48" s="119">
        <f>F48/1000</f>
        <v>1.7777777777777776E-3</v>
      </c>
      <c r="H48" s="22"/>
      <c r="I48" s="23"/>
      <c r="J48" s="40"/>
      <c r="K48" s="21"/>
    </row>
    <row r="49" spans="1:20" ht="15" customHeight="1">
      <c r="A49" s="18"/>
      <c r="B49" s="36"/>
      <c r="C49" s="19">
        <f>(TRUNC((D48-0.1)/0.15,0)+1)</f>
        <v>6</v>
      </c>
      <c r="D49" s="20">
        <f>2.75/3.281</f>
        <v>0.8381590978360256</v>
      </c>
      <c r="E49" s="21">
        <f>8*8/162</f>
        <v>0.39506172839506171</v>
      </c>
      <c r="F49" s="21">
        <f>PRODUCT(C49:E49)</f>
        <v>1.9867474911668754</v>
      </c>
      <c r="G49" s="119">
        <f>F49/1000</f>
        <v>1.9867474911668755E-3</v>
      </c>
      <c r="H49" s="22"/>
      <c r="I49" s="23"/>
      <c r="J49" s="40"/>
      <c r="K49" s="21"/>
    </row>
    <row r="50" spans="1:20" ht="15" customHeight="1">
      <c r="A50" s="18"/>
      <c r="B50" s="36" t="s">
        <v>41</v>
      </c>
      <c r="C50" s="19"/>
      <c r="D50" s="20"/>
      <c r="E50" s="21"/>
      <c r="F50" s="21"/>
      <c r="G50" s="23">
        <f>SUM(G46:G49)</f>
        <v>2.3221315392401441E-2</v>
      </c>
      <c r="H50" s="22" t="s">
        <v>99</v>
      </c>
      <c r="I50" s="23">
        <v>131940</v>
      </c>
      <c r="J50" s="40">
        <f>G50*I50</f>
        <v>3063.8203528734462</v>
      </c>
      <c r="K50" s="21"/>
    </row>
    <row r="51" spans="1:20" ht="15" customHeight="1">
      <c r="A51" s="18"/>
      <c r="B51" s="36" t="s">
        <v>40</v>
      </c>
      <c r="C51" s="19"/>
      <c r="D51" s="20"/>
      <c r="E51" s="21"/>
      <c r="F51" s="21"/>
      <c r="G51" s="23"/>
      <c r="H51" s="22"/>
      <c r="I51" s="23"/>
      <c r="J51" s="40">
        <f>0.13*G50*106200</f>
        <v>320.5934803074943</v>
      </c>
      <c r="K51" s="21"/>
    </row>
    <row r="52" spans="1:20" ht="15" customHeight="1">
      <c r="A52" s="18"/>
      <c r="B52" s="36"/>
      <c r="C52" s="19"/>
      <c r="D52" s="20"/>
      <c r="E52" s="21"/>
      <c r="F52" s="21"/>
      <c r="G52" s="23"/>
      <c r="H52" s="22"/>
      <c r="I52" s="23"/>
      <c r="J52" s="40"/>
      <c r="K52" s="21"/>
    </row>
    <row r="53" spans="1:20" ht="30">
      <c r="A53" s="18">
        <v>9</v>
      </c>
      <c r="B53" s="116" t="s">
        <v>101</v>
      </c>
      <c r="C53" s="19"/>
      <c r="D53" s="20"/>
      <c r="E53" s="21"/>
      <c r="F53" s="21"/>
      <c r="G53" s="23"/>
      <c r="H53" s="22"/>
      <c r="I53" s="23"/>
      <c r="J53" s="40"/>
      <c r="K53" s="21"/>
    </row>
    <row r="54" spans="1:20" ht="15" customHeight="1">
      <c r="A54" s="18"/>
      <c r="B54" s="36" t="s">
        <v>102</v>
      </c>
      <c r="C54" s="35">
        <f>2*13</f>
        <v>26</v>
      </c>
      <c r="D54" s="37">
        <v>0.75</v>
      </c>
      <c r="E54" s="37"/>
      <c r="F54" s="37">
        <v>0.1</v>
      </c>
      <c r="G54" s="38">
        <f>PRODUCT(C54:F54)</f>
        <v>1.9500000000000002</v>
      </c>
      <c r="H54" s="39"/>
      <c r="I54" s="39"/>
      <c r="J54" s="39"/>
      <c r="K54" s="61"/>
      <c r="N54" s="113" t="s">
        <v>88</v>
      </c>
      <c r="O54" s="113"/>
      <c r="P54" s="113"/>
      <c r="Q54" s="113"/>
      <c r="R54" s="113"/>
      <c r="S54" s="113"/>
      <c r="T54" s="113"/>
    </row>
    <row r="55" spans="1:20" ht="15" customHeight="1">
      <c r="A55" s="18"/>
      <c r="B55" s="36"/>
      <c r="C55" s="35">
        <f>2*13</f>
        <v>26</v>
      </c>
      <c r="D55" s="37">
        <v>0.7</v>
      </c>
      <c r="E55" s="37"/>
      <c r="F55" s="37">
        <v>0.1</v>
      </c>
      <c r="G55" s="38">
        <f>PRODUCT(C55:F55)</f>
        <v>1.82</v>
      </c>
      <c r="H55" s="39"/>
      <c r="I55" s="39"/>
      <c r="J55" s="39"/>
      <c r="K55" s="61"/>
      <c r="N55" s="156"/>
      <c r="O55" s="156"/>
      <c r="P55" s="156"/>
      <c r="Q55" s="156"/>
      <c r="R55" s="156"/>
      <c r="S55" s="156"/>
      <c r="T55" s="156"/>
    </row>
    <row r="56" spans="1:20" ht="15" customHeight="1">
      <c r="A56" s="18"/>
      <c r="B56" s="36"/>
      <c r="C56" s="35">
        <v>2</v>
      </c>
      <c r="D56" s="37">
        <v>0.9</v>
      </c>
      <c r="E56" s="37"/>
      <c r="F56" s="37">
        <v>0.1</v>
      </c>
      <c r="G56" s="38">
        <f t="shared" ref="G56:G57" si="1">PRODUCT(C56:F56)</f>
        <v>0.18000000000000002</v>
      </c>
      <c r="H56" s="39"/>
      <c r="I56" s="39"/>
      <c r="J56" s="39"/>
      <c r="K56" s="61"/>
      <c r="N56" s="156"/>
      <c r="O56" s="156"/>
      <c r="P56" s="156"/>
      <c r="Q56" s="156"/>
      <c r="R56" s="156"/>
      <c r="S56" s="156"/>
      <c r="T56" s="156"/>
    </row>
    <row r="57" spans="1:20" ht="15" customHeight="1">
      <c r="A57" s="18"/>
      <c r="B57" s="36"/>
      <c r="C57" s="35">
        <v>2</v>
      </c>
      <c r="D57" s="37">
        <f>2.75/3.281</f>
        <v>0.8381590978360256</v>
      </c>
      <c r="E57" s="37"/>
      <c r="F57" s="37">
        <v>0.1</v>
      </c>
      <c r="G57" s="38">
        <f t="shared" si="1"/>
        <v>0.16763181956720513</v>
      </c>
      <c r="H57" s="39"/>
      <c r="I57" s="39"/>
      <c r="J57" s="39"/>
      <c r="K57" s="61"/>
      <c r="N57" s="156"/>
      <c r="O57" s="156"/>
      <c r="P57" s="156"/>
      <c r="Q57" s="156"/>
      <c r="R57" s="156"/>
      <c r="S57" s="156"/>
      <c r="T57" s="156"/>
    </row>
    <row r="58" spans="1:20" ht="15" customHeight="1">
      <c r="A58" s="18"/>
      <c r="B58" s="36" t="s">
        <v>41</v>
      </c>
      <c r="C58" s="35"/>
      <c r="D58" s="37"/>
      <c r="E58" s="37"/>
      <c r="F58" s="37"/>
      <c r="G58" s="33">
        <f>SUM(G54:G57)</f>
        <v>4.1176318195672055</v>
      </c>
      <c r="H58" s="39" t="s">
        <v>43</v>
      </c>
      <c r="I58" s="23">
        <f>81404.27/100</f>
        <v>814.04270000000008</v>
      </c>
      <c r="J58" s="41">
        <f>G58*I58</f>
        <v>3351.928124006401</v>
      </c>
      <c r="K58" s="21"/>
    </row>
    <row r="59" spans="1:20" ht="15" customHeight="1">
      <c r="A59" s="18"/>
      <c r="B59" s="36" t="s">
        <v>40</v>
      </c>
      <c r="C59" s="35"/>
      <c r="D59" s="37"/>
      <c r="E59" s="37"/>
      <c r="F59" s="37"/>
      <c r="G59" s="38"/>
      <c r="H59" s="39"/>
      <c r="I59" s="39"/>
      <c r="J59" s="41">
        <f>0.13*36690.27/100</f>
        <v>47.697350999999998</v>
      </c>
      <c r="K59" s="21"/>
    </row>
    <row r="60" spans="1:20" ht="15" customHeight="1">
      <c r="A60" s="18"/>
      <c r="B60" s="36"/>
      <c r="C60" s="35"/>
      <c r="D60" s="37"/>
      <c r="E60" s="37"/>
      <c r="F60" s="37"/>
      <c r="G60" s="38"/>
      <c r="H60" s="39"/>
      <c r="I60" s="39"/>
      <c r="J60" s="41"/>
      <c r="K60" s="21"/>
    </row>
    <row r="61" spans="1:20" ht="30">
      <c r="A61" s="18">
        <v>10</v>
      </c>
      <c r="B61" s="116" t="s">
        <v>120</v>
      </c>
      <c r="C61" s="35"/>
      <c r="D61" s="37"/>
      <c r="E61" s="37"/>
      <c r="F61" s="37"/>
      <c r="G61" s="38"/>
      <c r="H61" s="39"/>
      <c r="I61" s="39"/>
      <c r="J61" s="41"/>
      <c r="K61" s="21"/>
      <c r="N61">
        <f>9.75/0.75</f>
        <v>13</v>
      </c>
    </row>
    <row r="62" spans="1:20" ht="15" customHeight="1">
      <c r="A62" s="18"/>
      <c r="B62" s="36" t="s">
        <v>121</v>
      </c>
      <c r="C62" s="35">
        <v>1</v>
      </c>
      <c r="D62" s="37">
        <f>D41</f>
        <v>9.7531240475464784</v>
      </c>
      <c r="E62" s="37">
        <f>0.7</f>
        <v>0.7</v>
      </c>
      <c r="F62" s="37">
        <v>0.1</v>
      </c>
      <c r="G62" s="38">
        <f>PRODUCT(C62:F62)</f>
        <v>0.68271868332825347</v>
      </c>
      <c r="H62" s="39"/>
      <c r="I62" s="39"/>
      <c r="J62" s="39"/>
      <c r="K62" s="61"/>
      <c r="N62" s="113" t="s">
        <v>88</v>
      </c>
      <c r="O62" s="113"/>
      <c r="P62" s="113"/>
      <c r="Q62" s="113"/>
      <c r="R62" s="113"/>
      <c r="S62" s="113"/>
      <c r="T62" s="113"/>
    </row>
    <row r="63" spans="1:20" ht="15" customHeight="1">
      <c r="A63" s="18"/>
      <c r="B63" s="36"/>
      <c r="C63" s="35">
        <v>1</v>
      </c>
      <c r="D63" s="37">
        <v>0.9</v>
      </c>
      <c r="E63" s="37">
        <f>2.75/3.281</f>
        <v>0.8381590978360256</v>
      </c>
      <c r="F63" s="37">
        <v>0.1</v>
      </c>
      <c r="G63" s="38">
        <f t="shared" ref="G63" si="2">PRODUCT(C63:F63)</f>
        <v>7.5434318805242317E-2</v>
      </c>
      <c r="H63" s="39"/>
      <c r="I63" s="39"/>
      <c r="J63" s="39"/>
      <c r="K63" s="61"/>
      <c r="N63" s="156"/>
      <c r="O63" s="156"/>
      <c r="P63" s="156"/>
      <c r="Q63" s="156"/>
      <c r="R63" s="156"/>
      <c r="S63" s="156"/>
      <c r="T63" s="156"/>
    </row>
    <row r="64" spans="1:20" ht="15" customHeight="1">
      <c r="A64" s="18"/>
      <c r="B64" s="36" t="s">
        <v>41</v>
      </c>
      <c r="C64" s="35"/>
      <c r="D64" s="37"/>
      <c r="E64" s="37"/>
      <c r="F64" s="37"/>
      <c r="G64" s="33">
        <f>SUM(G62:G63)</f>
        <v>0.75815300213349579</v>
      </c>
      <c r="H64" s="39" t="s">
        <v>43</v>
      </c>
      <c r="I64" s="23">
        <f>81404.27/100</f>
        <v>814.04270000000008</v>
      </c>
      <c r="J64" s="41">
        <f>G64*I64</f>
        <v>617.16891686985673</v>
      </c>
      <c r="K64" s="21"/>
    </row>
    <row r="65" spans="1:13" ht="15" customHeight="1">
      <c r="A65" s="18"/>
      <c r="B65" s="36" t="s">
        <v>40</v>
      </c>
      <c r="C65" s="35"/>
      <c r="D65" s="37"/>
      <c r="E65" s="37"/>
      <c r="F65" s="37"/>
      <c r="G65" s="38"/>
      <c r="H65" s="39"/>
      <c r="I65" s="39"/>
      <c r="J65" s="41">
        <f>0.13*36690.27/100</f>
        <v>47.697350999999998</v>
      </c>
      <c r="K65" s="21"/>
    </row>
    <row r="66" spans="1:13" ht="15" customHeight="1">
      <c r="A66" s="18"/>
      <c r="B66" s="36"/>
      <c r="C66" s="35"/>
      <c r="D66" s="37"/>
      <c r="E66" s="37"/>
      <c r="F66" s="37"/>
      <c r="G66" s="38"/>
      <c r="H66" s="39"/>
      <c r="I66" s="39"/>
      <c r="J66" s="41"/>
      <c r="K66" s="21"/>
    </row>
    <row r="67" spans="1:13" ht="30.6">
      <c r="A67" s="18">
        <v>11</v>
      </c>
      <c r="B67" s="157" t="s">
        <v>122</v>
      </c>
      <c r="C67" s="19" t="s">
        <v>7</v>
      </c>
      <c r="D67" s="117" t="s">
        <v>95</v>
      </c>
      <c r="E67" s="118" t="s">
        <v>96</v>
      </c>
      <c r="F67" s="118" t="s">
        <v>97</v>
      </c>
      <c r="G67" s="118" t="s">
        <v>125</v>
      </c>
      <c r="H67" s="22"/>
      <c r="I67" s="23"/>
      <c r="J67" s="40"/>
      <c r="K67" s="21"/>
    </row>
    <row r="68" spans="1:13">
      <c r="A68" s="158"/>
      <c r="B68" s="162" t="s">
        <v>124</v>
      </c>
      <c r="C68" s="160">
        <v>6</v>
      </c>
      <c r="D68" s="12">
        <f>(2.5+2+2.5)/12/3.281</f>
        <v>0.17779132378339937</v>
      </c>
      <c r="E68" s="12">
        <v>0.8</v>
      </c>
      <c r="F68" s="21">
        <f>PRODUCT(C68:E68)</f>
        <v>0.85339835416031706</v>
      </c>
      <c r="G68" s="119">
        <f>F68</f>
        <v>0.85339835416031706</v>
      </c>
      <c r="H68" s="158"/>
      <c r="I68" s="161"/>
      <c r="J68" s="161"/>
      <c r="K68" s="159"/>
    </row>
    <row r="69" spans="1:13">
      <c r="A69" s="158"/>
      <c r="B69" s="162"/>
      <c r="C69" s="160">
        <v>2</v>
      </c>
      <c r="D69" s="12">
        <f>1.6+5.6</f>
        <v>7.1999999999999993</v>
      </c>
      <c r="E69" s="12">
        <v>0.8</v>
      </c>
      <c r="F69" s="21">
        <f>PRODUCT(C69:E69)</f>
        <v>11.52</v>
      </c>
      <c r="G69" s="119">
        <f>F69</f>
        <v>11.52</v>
      </c>
      <c r="H69" s="158"/>
      <c r="I69" s="161"/>
      <c r="J69" s="161"/>
      <c r="K69" s="159"/>
    </row>
    <row r="70" spans="1:13">
      <c r="A70" s="158"/>
      <c r="B70" s="162" t="s">
        <v>136</v>
      </c>
      <c r="C70" s="160">
        <f>TRUNC(D75/0.1,0)</f>
        <v>482</v>
      </c>
      <c r="D70" s="12">
        <f>0.15</f>
        <v>0.15</v>
      </c>
      <c r="E70" s="12">
        <v>0.8</v>
      </c>
      <c r="F70" s="21">
        <f>PRODUCT(C70:E70)</f>
        <v>57.84</v>
      </c>
      <c r="G70" s="119">
        <f>F70</f>
        <v>57.84</v>
      </c>
      <c r="H70" s="158"/>
      <c r="I70" s="161"/>
      <c r="J70" s="161"/>
      <c r="K70" s="159"/>
    </row>
    <row r="71" spans="1:13" s="1" customFormat="1" ht="27.6">
      <c r="A71" s="158"/>
      <c r="B71" s="163" t="s">
        <v>126</v>
      </c>
      <c r="C71" s="160">
        <v>4</v>
      </c>
      <c r="D71" s="12">
        <f>7.5/3.281</f>
        <v>2.2858884486437061</v>
      </c>
      <c r="E71" s="12">
        <v>2.72</v>
      </c>
      <c r="F71" s="12">
        <f t="shared" ref="F71" si="3">PRODUCT(C71:E71)</f>
        <v>24.870466321243523</v>
      </c>
      <c r="G71" s="164">
        <f t="shared" ref="G71" si="4">F71</f>
        <v>24.870466321243523</v>
      </c>
      <c r="H71" s="161"/>
      <c r="I71" s="161"/>
      <c r="J71" s="161"/>
      <c r="K71" s="159"/>
      <c r="M71" s="165"/>
    </row>
    <row r="72" spans="1:13" s="1" customFormat="1" ht="27.6">
      <c r="A72" s="158"/>
      <c r="B72" s="163" t="s">
        <v>127</v>
      </c>
      <c r="C72" s="160">
        <v>1</v>
      </c>
      <c r="D72" s="12">
        <f>(1.6+5.6)</f>
        <v>7.1999999999999993</v>
      </c>
      <c r="E72" s="12">
        <v>3.87</v>
      </c>
      <c r="F72" s="12">
        <f>PRODUCT(C72:E72)</f>
        <v>27.863999999999997</v>
      </c>
      <c r="G72" s="164">
        <f t="shared" ref="G72" si="5">F72</f>
        <v>27.863999999999997</v>
      </c>
      <c r="H72" s="161"/>
      <c r="I72" s="161"/>
      <c r="J72" s="161"/>
      <c r="K72" s="159"/>
      <c r="M72" s="165"/>
    </row>
    <row r="73" spans="1:13" s="1" customFormat="1">
      <c r="A73" s="158"/>
      <c r="B73" s="163"/>
      <c r="C73" s="160">
        <v>4</v>
      </c>
      <c r="D73" s="12">
        <f>(7.333+1)/3.281</f>
        <v>2.5397744590064004</v>
      </c>
      <c r="E73" s="12">
        <v>3.87</v>
      </c>
      <c r="F73" s="12">
        <f>PRODUCT(C73:E73)</f>
        <v>39.315708625419077</v>
      </c>
      <c r="G73" s="164">
        <f t="shared" ref="G73:G74" si="6">F73</f>
        <v>39.315708625419077</v>
      </c>
      <c r="H73" s="161"/>
      <c r="I73" s="161"/>
      <c r="J73" s="161"/>
      <c r="K73" s="159"/>
      <c r="M73" s="165"/>
    </row>
    <row r="74" spans="1:13" s="1" customFormat="1" ht="27.6">
      <c r="A74" s="158"/>
      <c r="B74" s="163" t="s">
        <v>134</v>
      </c>
      <c r="C74" s="160">
        <v>1</v>
      </c>
      <c r="D74" s="12">
        <f>1.6+5.6</f>
        <v>7.1999999999999993</v>
      </c>
      <c r="E74" s="12">
        <v>1.52</v>
      </c>
      <c r="F74" s="12">
        <f>PRODUCT(C74:E74)</f>
        <v>10.943999999999999</v>
      </c>
      <c r="G74" s="164">
        <f t="shared" si="6"/>
        <v>10.943999999999999</v>
      </c>
      <c r="H74" s="161"/>
      <c r="I74" s="161"/>
      <c r="J74" s="161"/>
      <c r="K74" s="159"/>
      <c r="M74" s="165"/>
    </row>
    <row r="75" spans="1:13" s="1" customFormat="1">
      <c r="A75" s="158"/>
      <c r="B75" s="163" t="s">
        <v>135</v>
      </c>
      <c r="C75" s="160">
        <v>2</v>
      </c>
      <c r="D75" s="12">
        <f>5.6+5.92+2.83+1.2+0.85+5.2+6.9+5.8+4.3+6.3+1.5+1.8</f>
        <v>48.199999999999989</v>
      </c>
      <c r="E75" s="12">
        <v>1.52</v>
      </c>
      <c r="F75" s="12">
        <f>PRODUCT(C75:E75)</f>
        <v>146.52799999999996</v>
      </c>
      <c r="G75" s="164">
        <f t="shared" ref="G75" si="7">F75</f>
        <v>146.52799999999996</v>
      </c>
      <c r="H75" s="161"/>
      <c r="I75" s="161"/>
      <c r="J75" s="161"/>
      <c r="K75" s="159"/>
      <c r="M75" s="165"/>
    </row>
    <row r="76" spans="1:13" s="1" customFormat="1">
      <c r="A76" s="158"/>
      <c r="B76" s="163" t="s">
        <v>137</v>
      </c>
      <c r="C76" s="160">
        <f>C70</f>
        <v>482</v>
      </c>
      <c r="D76" s="12">
        <f>2.5/3.281</f>
        <v>0.76196281621456874</v>
      </c>
      <c r="E76" s="12">
        <v>1.1299999999999999</v>
      </c>
      <c r="F76" s="12">
        <f>PRODUCT(C76:E76)</f>
        <v>415.01066747942701</v>
      </c>
      <c r="G76" s="164">
        <f t="shared" ref="G76" si="8">F76</f>
        <v>415.01066747942701</v>
      </c>
      <c r="H76" s="161"/>
      <c r="I76" s="161"/>
      <c r="J76" s="161"/>
      <c r="K76" s="159"/>
      <c r="M76" s="165"/>
    </row>
    <row r="77" spans="1:13" ht="15" customHeight="1">
      <c r="A77" s="18"/>
      <c r="B77" s="36" t="s">
        <v>41</v>
      </c>
      <c r="C77" s="19"/>
      <c r="D77" s="20"/>
      <c r="E77" s="21"/>
      <c r="F77" s="21"/>
      <c r="G77" s="23">
        <f>SUM(G68:G76)</f>
        <v>734.74624078024999</v>
      </c>
      <c r="H77" s="22" t="s">
        <v>123</v>
      </c>
      <c r="I77" s="23">
        <v>181.17</v>
      </c>
      <c r="J77" s="40">
        <f>G77*I77</f>
        <v>133113.97644215787</v>
      </c>
      <c r="K77" s="21"/>
    </row>
    <row r="78" spans="1:13" ht="15" customHeight="1">
      <c r="A78" s="18"/>
      <c r="B78" s="36" t="s">
        <v>40</v>
      </c>
      <c r="C78" s="19"/>
      <c r="D78" s="20"/>
      <c r="E78" s="21"/>
      <c r="F78" s="21"/>
      <c r="G78" s="23"/>
      <c r="H78" s="22"/>
      <c r="I78" s="23"/>
      <c r="J78" s="40">
        <f>0.13*G77*1871.42/18.94</f>
        <v>9437.8271008303491</v>
      </c>
      <c r="K78" s="21"/>
    </row>
    <row r="79" spans="1:13" ht="15" customHeight="1">
      <c r="A79" s="18"/>
      <c r="B79" s="36"/>
      <c r="C79" s="19"/>
      <c r="D79" s="20"/>
      <c r="E79" s="21"/>
      <c r="F79" s="21"/>
      <c r="G79" s="23"/>
      <c r="H79" s="22"/>
      <c r="I79" s="23"/>
      <c r="J79" s="40"/>
      <c r="K79" s="21"/>
    </row>
    <row r="80" spans="1:13" s="1" customFormat="1" ht="30">
      <c r="A80" s="18">
        <v>12</v>
      </c>
      <c r="B80" s="166" t="s">
        <v>128</v>
      </c>
      <c r="C80" s="19"/>
      <c r="D80" s="20"/>
      <c r="E80" s="21"/>
      <c r="F80" s="21"/>
      <c r="G80" s="161"/>
      <c r="H80" s="22"/>
      <c r="I80" s="23"/>
      <c r="J80" s="161"/>
      <c r="K80" s="21"/>
    </row>
    <row r="81" spans="1:11" s="1" customFormat="1">
      <c r="A81" s="18"/>
      <c r="B81" s="163" t="s">
        <v>129</v>
      </c>
      <c r="C81" s="19">
        <v>2</v>
      </c>
      <c r="D81" s="20">
        <f>(4/3.281)+0.85</f>
        <v>2.0691405059433099</v>
      </c>
      <c r="E81" s="21"/>
      <c r="F81" s="21">
        <v>1.6</v>
      </c>
      <c r="G81" s="164">
        <f t="shared" ref="G81:G89" si="9">PRODUCT(C81:F81)</f>
        <v>6.6212496190185917</v>
      </c>
      <c r="H81" s="22"/>
      <c r="I81" s="23"/>
      <c r="J81" s="161"/>
      <c r="K81" s="21"/>
    </row>
    <row r="82" spans="1:11" s="1" customFormat="1">
      <c r="A82" s="18"/>
      <c r="B82" s="163"/>
      <c r="C82" s="19">
        <v>1</v>
      </c>
      <c r="D82" s="20">
        <f>5.2+6.9</f>
        <v>12.100000000000001</v>
      </c>
      <c r="E82" s="21"/>
      <c r="F82" s="21">
        <f>(1.5+1.3+1.75)/3</f>
        <v>1.5166666666666666</v>
      </c>
      <c r="G82" s="164">
        <f t="shared" si="9"/>
        <v>18.351666666666667</v>
      </c>
      <c r="H82" s="22"/>
      <c r="I82" s="23"/>
      <c r="J82" s="161"/>
      <c r="K82" s="21"/>
    </row>
    <row r="83" spans="1:11" s="1" customFormat="1">
      <c r="A83" s="18"/>
      <c r="B83" s="163"/>
      <c r="C83" s="19">
        <v>1</v>
      </c>
      <c r="D83" s="20">
        <f>5.2+6.9</f>
        <v>12.100000000000001</v>
      </c>
      <c r="E83" s="21"/>
      <c r="F83" s="21">
        <v>1.3</v>
      </c>
      <c r="G83" s="164">
        <f t="shared" si="9"/>
        <v>15.730000000000002</v>
      </c>
      <c r="H83" s="22"/>
      <c r="I83" s="23"/>
      <c r="J83" s="161"/>
      <c r="K83" s="21"/>
    </row>
    <row r="84" spans="1:11" s="1" customFormat="1">
      <c r="A84" s="18"/>
      <c r="B84" s="163"/>
      <c r="C84" s="19">
        <v>1</v>
      </c>
      <c r="D84" s="20">
        <f>5.8</f>
        <v>5.8</v>
      </c>
      <c r="E84" s="21"/>
      <c r="F84" s="21">
        <v>1.4</v>
      </c>
      <c r="G84" s="164">
        <f t="shared" si="9"/>
        <v>8.1199999999999992</v>
      </c>
      <c r="H84" s="22"/>
      <c r="I84" s="23"/>
      <c r="J84" s="161"/>
      <c r="K84" s="21"/>
    </row>
    <row r="85" spans="1:11" s="1" customFormat="1">
      <c r="A85" s="18"/>
      <c r="B85" s="163"/>
      <c r="C85" s="19">
        <v>1</v>
      </c>
      <c r="D85" s="20">
        <v>5.8</v>
      </c>
      <c r="E85" s="21"/>
      <c r="F85" s="21">
        <f>3.6/3.281</f>
        <v>1.097226455348979</v>
      </c>
      <c r="G85" s="164">
        <f t="shared" si="9"/>
        <v>6.3639134410240779</v>
      </c>
      <c r="H85" s="22"/>
      <c r="I85" s="23"/>
      <c r="J85" s="161"/>
      <c r="K85" s="21"/>
    </row>
    <row r="86" spans="1:11" s="1" customFormat="1">
      <c r="A86" s="18"/>
      <c r="B86" s="163"/>
      <c r="C86" s="19">
        <v>1</v>
      </c>
      <c r="D86" s="20">
        <f>4.3+6.3</f>
        <v>10.6</v>
      </c>
      <c r="E86" s="21"/>
      <c r="F86" s="21">
        <v>1.27</v>
      </c>
      <c r="G86" s="164">
        <f t="shared" si="9"/>
        <v>13.462</v>
      </c>
      <c r="H86" s="22"/>
      <c r="I86" s="23"/>
      <c r="J86" s="161"/>
      <c r="K86" s="21"/>
    </row>
    <row r="87" spans="1:11" s="1" customFormat="1">
      <c r="A87" s="18"/>
      <c r="B87" s="163"/>
      <c r="C87" s="19">
        <v>1</v>
      </c>
      <c r="D87" s="20">
        <f>6/3.281</f>
        <v>1.8287107589149649</v>
      </c>
      <c r="E87" s="21"/>
      <c r="F87" s="21">
        <f>3/3.281</f>
        <v>0.91435537945748246</v>
      </c>
      <c r="G87" s="164">
        <f t="shared" si="9"/>
        <v>1.6720915198856734</v>
      </c>
      <c r="H87" s="22"/>
      <c r="I87" s="23"/>
      <c r="J87" s="161"/>
      <c r="K87" s="21"/>
    </row>
    <row r="88" spans="1:11" s="1" customFormat="1">
      <c r="A88" s="18"/>
      <c r="B88" s="163"/>
      <c r="C88" s="19">
        <v>1</v>
      </c>
      <c r="D88" s="20">
        <f>5/3.281</f>
        <v>1.5239256324291375</v>
      </c>
      <c r="E88" s="21"/>
      <c r="F88" s="21">
        <f>2/3.281</f>
        <v>0.6095702529716549</v>
      </c>
      <c r="G88" s="164">
        <f t="shared" si="9"/>
        <v>0.92893973326981849</v>
      </c>
      <c r="H88" s="22"/>
      <c r="I88" s="23"/>
      <c r="J88" s="161"/>
      <c r="K88" s="21"/>
    </row>
    <row r="89" spans="1:11" s="1" customFormat="1">
      <c r="A89" s="18"/>
      <c r="B89" s="163"/>
      <c r="C89" s="19">
        <v>1</v>
      </c>
      <c r="D89" s="20">
        <f>5.45+6.25+1.27</f>
        <v>12.969999999999999</v>
      </c>
      <c r="E89" s="21"/>
      <c r="F89" s="21">
        <v>0.3</v>
      </c>
      <c r="G89" s="164">
        <f t="shared" si="9"/>
        <v>3.8909999999999996</v>
      </c>
      <c r="H89" s="22"/>
      <c r="I89" s="23"/>
      <c r="J89" s="161"/>
      <c r="K89" s="21"/>
    </row>
    <row r="90" spans="1:11" s="1" customFormat="1">
      <c r="A90" s="18"/>
      <c r="B90" s="163" t="s">
        <v>130</v>
      </c>
      <c r="C90" s="19"/>
      <c r="D90" s="20"/>
      <c r="E90" s="21"/>
      <c r="F90" s="21"/>
      <c r="G90" s="161">
        <f>SUM(G81:G89)</f>
        <v>75.140860979864826</v>
      </c>
      <c r="H90" s="22" t="s">
        <v>43</v>
      </c>
      <c r="I90" s="23">
        <v>405.86</v>
      </c>
      <c r="J90" s="161">
        <f>G90*I90</f>
        <v>30496.66983728794</v>
      </c>
      <c r="K90" s="21"/>
    </row>
    <row r="91" spans="1:11" s="1" customFormat="1">
      <c r="A91" s="18"/>
      <c r="B91" s="163" t="s">
        <v>131</v>
      </c>
      <c r="C91" s="19"/>
      <c r="D91" s="20"/>
      <c r="E91" s="21"/>
      <c r="F91" s="21"/>
      <c r="G91" s="161"/>
      <c r="H91" s="22"/>
      <c r="I91" s="23"/>
      <c r="J91" s="161">
        <f>0.13*G90*11166.2/100</f>
        <v>1090.7492464353768</v>
      </c>
      <c r="K91" s="21"/>
    </row>
    <row r="92" spans="1:11" s="1" customFormat="1">
      <c r="A92" s="18"/>
      <c r="B92" s="163"/>
      <c r="C92" s="19"/>
      <c r="D92" s="20"/>
      <c r="E92" s="21"/>
      <c r="F92" s="21"/>
      <c r="G92" s="161"/>
      <c r="H92" s="22"/>
      <c r="I92" s="23"/>
      <c r="J92" s="161"/>
      <c r="K92" s="21"/>
    </row>
    <row r="93" spans="1:11" ht="30.6">
      <c r="A93" s="18">
        <v>13</v>
      </c>
      <c r="B93" s="157" t="s">
        <v>132</v>
      </c>
      <c r="C93" s="19"/>
      <c r="D93" s="20"/>
      <c r="E93" s="21"/>
      <c r="F93" s="21"/>
      <c r="G93" s="23"/>
      <c r="H93" s="22"/>
      <c r="I93" s="23"/>
      <c r="J93" s="40"/>
      <c r="K93" s="21"/>
    </row>
    <row r="94" spans="1:11" ht="15" customHeight="1">
      <c r="A94" s="18"/>
      <c r="B94" s="36" t="s">
        <v>133</v>
      </c>
      <c r="C94" s="19">
        <v>1</v>
      </c>
      <c r="D94" s="20"/>
      <c r="E94" s="21"/>
      <c r="F94" s="21"/>
      <c r="G94" s="38">
        <f>G90</f>
        <v>75.140860979864826</v>
      </c>
      <c r="H94" s="22"/>
      <c r="I94" s="23"/>
      <c r="J94" s="40"/>
      <c r="K94" s="21"/>
    </row>
    <row r="95" spans="1:11" ht="15" customHeight="1">
      <c r="A95" s="18"/>
      <c r="B95" s="36" t="s">
        <v>41</v>
      </c>
      <c r="C95" s="19"/>
      <c r="D95" s="20"/>
      <c r="E95" s="21"/>
      <c r="F95" s="21"/>
      <c r="G95" s="23">
        <f>SUM(G94:G94)</f>
        <v>75.140860979864826</v>
      </c>
      <c r="H95" s="22" t="s">
        <v>43</v>
      </c>
      <c r="I95" s="23">
        <v>251.77</v>
      </c>
      <c r="J95" s="40">
        <f>G95*I95</f>
        <v>18918.214568900567</v>
      </c>
      <c r="K95" s="21"/>
    </row>
    <row r="96" spans="1:11" ht="15" customHeight="1">
      <c r="A96" s="18"/>
      <c r="B96" s="36" t="s">
        <v>40</v>
      </c>
      <c r="C96" s="19"/>
      <c r="D96" s="20"/>
      <c r="E96" s="21"/>
      <c r="F96" s="21"/>
      <c r="G96" s="23"/>
      <c r="H96" s="22"/>
      <c r="I96" s="23"/>
      <c r="J96" s="40">
        <f>0.13*G95*12736/100</f>
        <v>1244.0922070714259</v>
      </c>
      <c r="K96" s="21"/>
    </row>
    <row r="97" spans="1:11" ht="15" customHeight="1">
      <c r="A97" s="18"/>
      <c r="B97" s="36"/>
      <c r="C97" s="19"/>
      <c r="D97" s="20"/>
      <c r="E97" s="21"/>
      <c r="F97" s="21"/>
      <c r="G97" s="23"/>
      <c r="H97" s="22"/>
      <c r="I97" s="23"/>
      <c r="J97" s="40"/>
      <c r="K97" s="21"/>
    </row>
    <row r="98" spans="1:11" s="1" customFormat="1">
      <c r="A98" s="18"/>
      <c r="B98" s="163"/>
      <c r="C98" s="19"/>
      <c r="D98" s="20"/>
      <c r="E98" s="21"/>
      <c r="F98" s="21"/>
      <c r="G98" s="161"/>
      <c r="H98" s="22"/>
      <c r="I98" s="23"/>
      <c r="J98" s="161"/>
      <c r="K98" s="21"/>
    </row>
    <row r="99" spans="1:11" ht="15" customHeight="1">
      <c r="A99" s="18"/>
      <c r="B99" s="36"/>
      <c r="C99" s="19"/>
      <c r="D99" s="20"/>
      <c r="E99" s="21"/>
      <c r="F99" s="21"/>
      <c r="G99" s="23"/>
      <c r="H99" s="22"/>
      <c r="I99" s="23"/>
      <c r="J99" s="40"/>
      <c r="K99" s="21"/>
    </row>
    <row r="100" spans="1:11" ht="15" customHeight="1">
      <c r="A100" s="18">
        <v>14</v>
      </c>
      <c r="B100" s="29" t="s">
        <v>30</v>
      </c>
      <c r="C100" s="19">
        <v>1</v>
      </c>
      <c r="D100" s="20"/>
      <c r="E100" s="21"/>
      <c r="F100" s="21"/>
      <c r="G100" s="33">
        <f t="shared" ref="G100" si="10">PRODUCT(C100:F100)</f>
        <v>1</v>
      </c>
      <c r="H100" s="22" t="s">
        <v>31</v>
      </c>
      <c r="I100" s="23">
        <v>500</v>
      </c>
      <c r="J100" s="33">
        <f>G100*I100</f>
        <v>500</v>
      </c>
      <c r="K100" s="21"/>
    </row>
    <row r="101" spans="1:11" ht="15" customHeight="1">
      <c r="A101" s="18"/>
      <c r="B101" s="24"/>
      <c r="C101" s="19"/>
      <c r="D101" s="20"/>
      <c r="E101" s="21"/>
      <c r="F101" s="21"/>
      <c r="G101" s="23"/>
      <c r="H101" s="22"/>
      <c r="I101" s="23"/>
      <c r="J101" s="40"/>
      <c r="K101" s="21"/>
    </row>
    <row r="102" spans="1:11">
      <c r="A102" s="39"/>
      <c r="B102" s="42" t="s">
        <v>17</v>
      </c>
      <c r="C102" s="43"/>
      <c r="D102" s="37"/>
      <c r="E102" s="37"/>
      <c r="F102" s="37"/>
      <c r="G102" s="40"/>
      <c r="H102" s="40"/>
      <c r="I102" s="40"/>
      <c r="J102" s="40">
        <f>SUM(J9:J100)</f>
        <v>283902.44688791392</v>
      </c>
      <c r="K102" s="35"/>
    </row>
    <row r="103" spans="1:11">
      <c r="A103" s="54"/>
      <c r="B103" s="57"/>
      <c r="C103" s="58"/>
      <c r="D103" s="55"/>
      <c r="E103" s="55"/>
      <c r="F103" s="55"/>
      <c r="G103" s="56"/>
      <c r="H103" s="56"/>
      <c r="I103" s="56"/>
      <c r="J103" s="56"/>
      <c r="K103" s="53"/>
    </row>
    <row r="104" spans="1:11" s="1" customFormat="1">
      <c r="A104" s="46"/>
      <c r="B104" s="28" t="s">
        <v>27</v>
      </c>
      <c r="C104" s="105">
        <f>J102</f>
        <v>283902.44688791392</v>
      </c>
      <c r="D104" s="105"/>
      <c r="E104" s="38">
        <v>100</v>
      </c>
      <c r="F104" s="47"/>
      <c r="G104" s="48"/>
      <c r="H104" s="47"/>
      <c r="I104" s="49"/>
      <c r="J104" s="50"/>
      <c r="K104" s="51"/>
    </row>
    <row r="105" spans="1:11">
      <c r="A105" s="52"/>
      <c r="B105" s="28" t="s">
        <v>32</v>
      </c>
      <c r="C105" s="108">
        <v>500000</v>
      </c>
      <c r="D105" s="108"/>
      <c r="E105" s="38"/>
      <c r="F105" s="45"/>
      <c r="G105" s="44"/>
      <c r="H105" s="44"/>
      <c r="I105" s="44"/>
      <c r="J105" s="44"/>
      <c r="K105" s="45"/>
    </row>
    <row r="106" spans="1:11">
      <c r="A106" s="52"/>
      <c r="B106" s="28" t="s">
        <v>33</v>
      </c>
      <c r="C106" s="108">
        <f>C105-C108-C109</f>
        <v>475000</v>
      </c>
      <c r="D106" s="108"/>
      <c r="E106" s="38">
        <f>C106/C104*100</f>
        <v>167.31099192939763</v>
      </c>
      <c r="F106" s="45"/>
      <c r="G106" s="44"/>
      <c r="H106" s="44"/>
      <c r="I106" s="44"/>
      <c r="J106" s="44"/>
      <c r="K106" s="45"/>
    </row>
    <row r="107" spans="1:11">
      <c r="A107" s="52"/>
      <c r="B107" s="28" t="s">
        <v>34</v>
      </c>
      <c r="C107" s="105">
        <f>C104-C106</f>
        <v>-191097.55311208608</v>
      </c>
      <c r="D107" s="105"/>
      <c r="E107" s="38">
        <f>100-E106</f>
        <v>-67.31099192939763</v>
      </c>
      <c r="F107" s="45"/>
      <c r="G107" s="44"/>
      <c r="H107" s="44"/>
      <c r="I107" s="44"/>
      <c r="J107" s="44"/>
      <c r="K107" s="45"/>
    </row>
    <row r="108" spans="1:11">
      <c r="A108" s="52"/>
      <c r="B108" s="28" t="s">
        <v>35</v>
      </c>
      <c r="C108" s="105">
        <f>C105*0.03</f>
        <v>15000</v>
      </c>
      <c r="D108" s="105"/>
      <c r="E108" s="38">
        <v>3</v>
      </c>
      <c r="F108" s="45"/>
      <c r="G108" s="44"/>
      <c r="H108" s="44"/>
      <c r="I108" s="44"/>
      <c r="J108" s="44"/>
      <c r="K108" s="45"/>
    </row>
    <row r="109" spans="1:11">
      <c r="A109" s="52"/>
      <c r="B109" s="28" t="s">
        <v>36</v>
      </c>
      <c r="C109" s="105">
        <f>C105*0.02</f>
        <v>10000</v>
      </c>
      <c r="D109" s="105"/>
      <c r="E109" s="38">
        <v>2</v>
      </c>
      <c r="F109" s="45"/>
      <c r="G109" s="44"/>
      <c r="H109" s="44"/>
      <c r="I109" s="44"/>
      <c r="J109" s="44"/>
      <c r="K109" s="45"/>
    </row>
    <row r="110" spans="1:11" s="34" customFormat="1">
      <c r="A110" s="53"/>
      <c r="B110" s="53"/>
      <c r="C110" s="53"/>
      <c r="D110" s="53"/>
      <c r="E110" s="53"/>
      <c r="F110" s="53"/>
      <c r="G110" s="53"/>
      <c r="H110" s="53"/>
      <c r="I110" s="53"/>
      <c r="J110" s="53"/>
      <c r="K110" s="53"/>
    </row>
    <row r="111" spans="1:11" s="34" customFormat="1"/>
    <row r="112" spans="1:11"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sheetData>
  <mergeCells count="18">
    <mergeCell ref="N41:T41"/>
    <mergeCell ref="N54:T54"/>
    <mergeCell ref="N62:T62"/>
    <mergeCell ref="C108:D108"/>
    <mergeCell ref="C109:D109"/>
    <mergeCell ref="A7:F7"/>
    <mergeCell ref="H7:K7"/>
    <mergeCell ref="C104:D104"/>
    <mergeCell ref="C105:D105"/>
    <mergeCell ref="C106:D106"/>
    <mergeCell ref="C107:D107"/>
    <mergeCell ref="A6:F6"/>
    <mergeCell ref="H6:K6"/>
    <mergeCell ref="A1:K1"/>
    <mergeCell ref="A2:K2"/>
    <mergeCell ref="A3:K3"/>
    <mergeCell ref="A4:K4"/>
    <mergeCell ref="A5:K5"/>
  </mergeCells>
  <hyperlinks>
    <hyperlink ref="B80" r:id="rId1"/>
  </hyperlinks>
  <pageMargins left="0.7" right="0.7" top="0.75" bottom="0.75" header="0.3" footer="0.3"/>
  <pageSetup paperSize="9" scale="80" orientation="portrait" r:id="rId2"/>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topLeftCell="A22" workbookViewId="0">
      <selection activeCell="F27" sqref="F27"/>
    </sheetView>
  </sheetViews>
  <sheetFormatPr defaultRowHeight="13.2"/>
  <cols>
    <col min="1" max="1" width="8.88671875" style="64"/>
    <col min="2" max="2" width="11.44140625" style="64" customWidth="1"/>
    <col min="3" max="3" width="12.88671875" style="64" customWidth="1"/>
    <col min="4" max="5" width="8.88671875" style="64"/>
    <col min="6" max="6" width="10.44140625" style="64" bestFit="1" customWidth="1"/>
    <col min="7" max="7" width="11.109375" style="64" customWidth="1"/>
    <col min="8" max="8" width="13.88671875" style="64" customWidth="1"/>
    <col min="9" max="9" width="8.88671875" style="64"/>
    <col min="10" max="10" width="12" style="64" customWidth="1"/>
    <col min="11" max="16384" width="8.88671875" style="64"/>
  </cols>
  <sheetData>
    <row r="1" spans="1:10" ht="21">
      <c r="A1" s="62" t="e">
        <f>+#REF!+1</f>
        <v>#REF!</v>
      </c>
      <c r="B1" s="63"/>
      <c r="C1" s="63"/>
      <c r="D1" s="63"/>
      <c r="E1" s="63"/>
      <c r="F1" s="63"/>
      <c r="G1" s="63"/>
      <c r="H1" s="63"/>
    </row>
    <row r="2" spans="1:10" ht="20.25" customHeight="1">
      <c r="A2" s="65"/>
      <c r="B2" s="66" t="s">
        <v>50</v>
      </c>
      <c r="C2" s="66"/>
      <c r="D2" s="66"/>
      <c r="E2" s="66"/>
      <c r="F2" s="66"/>
      <c r="G2" s="66"/>
      <c r="H2" s="66"/>
    </row>
    <row r="3" spans="1:10" ht="17.399999999999999">
      <c r="A3" s="67" t="s">
        <v>51</v>
      </c>
      <c r="B3" s="109" t="s">
        <v>52</v>
      </c>
      <c r="C3" s="109"/>
      <c r="D3" s="109"/>
      <c r="E3" s="109"/>
      <c r="F3" s="109"/>
      <c r="G3" s="109"/>
      <c r="H3" s="109"/>
    </row>
    <row r="4" spans="1:10" ht="15">
      <c r="A4" s="68"/>
      <c r="B4" s="110" t="s">
        <v>87</v>
      </c>
      <c r="C4" s="110"/>
      <c r="D4" s="110"/>
      <c r="E4" s="110"/>
      <c r="F4" s="110"/>
      <c r="G4" s="110"/>
      <c r="H4" s="110"/>
    </row>
    <row r="5" spans="1:10" ht="32.4">
      <c r="A5" s="68"/>
      <c r="B5" s="69" t="s">
        <v>53</v>
      </c>
      <c r="C5" s="69" t="s">
        <v>54</v>
      </c>
      <c r="D5" s="69" t="s">
        <v>55</v>
      </c>
      <c r="E5" s="69" t="s">
        <v>56</v>
      </c>
      <c r="F5" s="69" t="s">
        <v>57</v>
      </c>
      <c r="G5" s="69" t="s">
        <v>58</v>
      </c>
      <c r="H5" s="69" t="s">
        <v>59</v>
      </c>
    </row>
    <row r="6" spans="1:10" ht="18">
      <c r="A6" s="68"/>
      <c r="B6" s="111" t="s">
        <v>60</v>
      </c>
      <c r="C6" s="69" t="s">
        <v>61</v>
      </c>
      <c r="D6" s="70">
        <v>1</v>
      </c>
      <c r="E6" s="71" t="s">
        <v>62</v>
      </c>
      <c r="F6" s="72">
        <v>1225</v>
      </c>
      <c r="G6" s="73">
        <f t="shared" ref="G6:G13" si="0">FLOOR(D6*F6,0.01)</f>
        <v>1225</v>
      </c>
      <c r="H6" s="74"/>
    </row>
    <row r="7" spans="1:10" ht="18">
      <c r="A7" s="68"/>
      <c r="B7" s="112"/>
      <c r="C7" s="71" t="s">
        <v>63</v>
      </c>
      <c r="D7" s="70">
        <v>2</v>
      </c>
      <c r="E7" s="71" t="s">
        <v>62</v>
      </c>
      <c r="F7" s="73">
        <v>920</v>
      </c>
      <c r="G7" s="73">
        <f t="shared" si="0"/>
        <v>1840</v>
      </c>
      <c r="H7" s="74">
        <f>SUM(G6+G7)</f>
        <v>3065</v>
      </c>
    </row>
    <row r="8" spans="1:10" ht="43.8">
      <c r="A8" s="68"/>
      <c r="B8" s="111" t="s">
        <v>64</v>
      </c>
      <c r="C8" s="75" t="s">
        <v>65</v>
      </c>
      <c r="D8" s="70">
        <v>0</v>
      </c>
      <c r="E8" s="71" t="s">
        <v>66</v>
      </c>
      <c r="F8" s="73">
        <v>58</v>
      </c>
      <c r="G8" s="73">
        <f t="shared" si="0"/>
        <v>0</v>
      </c>
      <c r="H8" s="74"/>
    </row>
    <row r="9" spans="1:10" ht="18">
      <c r="A9" s="68"/>
      <c r="B9" s="111"/>
      <c r="C9" s="71" t="s">
        <v>67</v>
      </c>
      <c r="D9" s="76">
        <v>0.1028</v>
      </c>
      <c r="E9" s="71" t="s">
        <v>68</v>
      </c>
      <c r="F9" s="73">
        <v>12131</v>
      </c>
      <c r="G9" s="73">
        <f t="shared" si="0"/>
        <v>1247.06</v>
      </c>
      <c r="H9" s="77"/>
    </row>
    <row r="10" spans="1:10" ht="18">
      <c r="A10" s="68"/>
      <c r="B10" s="111"/>
      <c r="C10" s="71" t="s">
        <v>69</v>
      </c>
      <c r="D10" s="76">
        <v>0.17150000000000001</v>
      </c>
      <c r="E10" s="71" t="s">
        <v>70</v>
      </c>
      <c r="F10" s="73">
        <v>3177</v>
      </c>
      <c r="G10" s="73">
        <f t="shared" si="0"/>
        <v>544.85</v>
      </c>
      <c r="H10" s="77"/>
      <c r="J10" s="78">
        <f>'[1]update Rate'!N46</f>
        <v>99000</v>
      </c>
    </row>
    <row r="11" spans="1:10" ht="18">
      <c r="A11" s="68"/>
      <c r="B11" s="111"/>
      <c r="C11" s="71" t="s">
        <v>71</v>
      </c>
      <c r="D11" s="76">
        <v>0.15160000000000001</v>
      </c>
      <c r="E11" s="71" t="s">
        <v>70</v>
      </c>
      <c r="F11" s="73">
        <f>35*35.28</f>
        <v>1234.8</v>
      </c>
      <c r="G11" s="73">
        <f t="shared" si="0"/>
        <v>187.19</v>
      </c>
      <c r="H11" s="77"/>
    </row>
    <row r="12" spans="1:10" ht="18">
      <c r="A12" s="68"/>
      <c r="B12" s="111"/>
      <c r="C12" s="71" t="s">
        <v>72</v>
      </c>
      <c r="D12" s="76">
        <v>35</v>
      </c>
      <c r="E12" s="71" t="s">
        <v>73</v>
      </c>
      <c r="F12" s="79">
        <f>100</f>
        <v>100</v>
      </c>
      <c r="G12" s="73">
        <f t="shared" si="0"/>
        <v>3500</v>
      </c>
      <c r="H12" s="77"/>
      <c r="J12" s="64">
        <f>35*0.62</f>
        <v>21.7</v>
      </c>
    </row>
    <row r="13" spans="1:10" ht="18">
      <c r="A13" s="68"/>
      <c r="B13" s="111"/>
      <c r="C13" s="71" t="s">
        <v>74</v>
      </c>
      <c r="D13" s="70">
        <v>90</v>
      </c>
      <c r="E13" s="71" t="s">
        <v>75</v>
      </c>
      <c r="F13" s="73">
        <f>'[1]Update Descrip'!F665</f>
        <v>0.28000000000000003</v>
      </c>
      <c r="G13" s="73">
        <f t="shared" si="0"/>
        <v>25.2</v>
      </c>
      <c r="H13" s="74">
        <f>SUM(G8:G13)</f>
        <v>5504.3</v>
      </c>
    </row>
    <row r="14" spans="1:10" ht="18">
      <c r="A14" s="68"/>
      <c r="B14" s="68"/>
      <c r="C14" s="68"/>
      <c r="D14" s="68"/>
      <c r="E14" s="68"/>
      <c r="F14" s="80" t="s">
        <v>76</v>
      </c>
      <c r="G14" s="81"/>
      <c r="H14" s="82">
        <f>SUM(H7:H13)</f>
        <v>8569.2999999999993</v>
      </c>
    </row>
    <row r="15" spans="1:10" ht="18">
      <c r="B15" s="83" t="s">
        <v>77</v>
      </c>
      <c r="E15" s="68"/>
      <c r="F15" s="80" t="s">
        <v>78</v>
      </c>
      <c r="G15" s="81"/>
      <c r="H15" s="73">
        <f>FLOOR(H14*0.15,0.01)</f>
        <v>1285.3900000000001</v>
      </c>
    </row>
    <row r="16" spans="1:10" ht="18">
      <c r="A16" s="84" t="s">
        <v>79</v>
      </c>
      <c r="B16" s="73">
        <f>+H16</f>
        <v>9854.6899999999987</v>
      </c>
      <c r="C16" s="68" t="s">
        <v>80</v>
      </c>
      <c r="D16" s="68"/>
      <c r="E16" s="68"/>
      <c r="F16" s="80" t="s">
        <v>81</v>
      </c>
      <c r="G16" s="81"/>
      <c r="H16" s="73">
        <f>SUM(H14:H15)</f>
        <v>9854.6899999999987</v>
      </c>
    </row>
    <row r="17" spans="1:8" ht="18">
      <c r="A17" s="84"/>
      <c r="B17" s="85"/>
      <c r="C17" s="68"/>
      <c r="D17" s="68"/>
      <c r="E17" s="68"/>
      <c r="F17" s="80" t="s">
        <v>82</v>
      </c>
      <c r="G17" s="81"/>
      <c r="H17" s="73">
        <f>H16/9</f>
        <v>1094.9655555555555</v>
      </c>
    </row>
    <row r="18" spans="1:8" ht="18">
      <c r="A18" s="84"/>
      <c r="B18" s="85"/>
      <c r="C18" s="68"/>
      <c r="D18" s="68"/>
      <c r="E18" s="68"/>
      <c r="F18" s="80" t="s">
        <v>83</v>
      </c>
      <c r="G18" s="81"/>
      <c r="H18" s="73">
        <f>H17/1.15</f>
        <v>952.14396135265702</v>
      </c>
    </row>
    <row r="19" spans="1:8" ht="18">
      <c r="A19" s="84"/>
      <c r="B19" s="86" t="s">
        <v>84</v>
      </c>
      <c r="C19" s="86"/>
      <c r="D19" s="86"/>
      <c r="E19" s="68"/>
      <c r="F19" s="80"/>
      <c r="G19" s="81"/>
      <c r="H19" s="85"/>
    </row>
    <row r="22" spans="1:8" s="122" customFormat="1" ht="21">
      <c r="A22" s="120">
        <f>+A9+1</f>
        <v>1</v>
      </c>
      <c r="B22" s="121"/>
      <c r="C22" s="121"/>
      <c r="D22" s="121"/>
      <c r="E22" s="121"/>
      <c r="F22" s="121"/>
      <c r="G22" s="121"/>
      <c r="H22" s="121"/>
    </row>
    <row r="23" spans="1:8" s="122" customFormat="1" ht="19.8">
      <c r="A23" s="123" t="s">
        <v>103</v>
      </c>
      <c r="B23" s="121" t="s">
        <v>117</v>
      </c>
      <c r="C23" s="121"/>
      <c r="D23" s="121"/>
      <c r="E23" s="121"/>
      <c r="F23" s="121"/>
      <c r="G23" s="121"/>
      <c r="H23" s="121"/>
    </row>
    <row r="24" spans="1:8" s="122" customFormat="1" ht="15">
      <c r="B24" s="124" t="s">
        <v>104</v>
      </c>
      <c r="C24" s="124"/>
      <c r="D24" s="124"/>
      <c r="E24" s="124"/>
      <c r="F24" s="124"/>
      <c r="G24" s="124"/>
      <c r="H24" s="124"/>
    </row>
    <row r="25" spans="1:8" s="122" customFormat="1" ht="30" customHeight="1">
      <c r="B25" s="125" t="s">
        <v>53</v>
      </c>
      <c r="C25" s="125" t="s">
        <v>54</v>
      </c>
      <c r="D25" s="125" t="s">
        <v>55</v>
      </c>
      <c r="E25" s="125" t="s">
        <v>56</v>
      </c>
      <c r="F25" s="125" t="s">
        <v>57</v>
      </c>
      <c r="G25" s="125" t="s">
        <v>58</v>
      </c>
      <c r="H25" s="125" t="s">
        <v>59</v>
      </c>
    </row>
    <row r="26" spans="1:8" s="122" customFormat="1" ht="24.75" customHeight="1">
      <c r="B26" s="126" t="s">
        <v>60</v>
      </c>
      <c r="C26" s="127" t="s">
        <v>61</v>
      </c>
      <c r="D26" s="128">
        <v>17.2</v>
      </c>
      <c r="E26" s="129" t="s">
        <v>62</v>
      </c>
      <c r="F26" s="130">
        <v>1225</v>
      </c>
      <c r="G26" s="131">
        <f t="shared" ref="G26:G31" si="1">FLOOR(D26*F26,0.01)</f>
        <v>21070</v>
      </c>
      <c r="H26" s="132"/>
    </row>
    <row r="27" spans="1:8" s="122" customFormat="1" ht="18">
      <c r="B27" s="133"/>
      <c r="C27" s="134" t="s">
        <v>63</v>
      </c>
      <c r="D27" s="135">
        <v>25.7</v>
      </c>
      <c r="E27" s="136" t="s">
        <v>62</v>
      </c>
      <c r="F27" s="137">
        <v>920</v>
      </c>
      <c r="G27" s="137">
        <f t="shared" si="1"/>
        <v>23644</v>
      </c>
      <c r="H27" s="138">
        <f>SUM(G26+G27)</f>
        <v>44714</v>
      </c>
    </row>
    <row r="28" spans="1:8" s="122" customFormat="1" ht="18">
      <c r="B28" s="139" t="s">
        <v>64</v>
      </c>
      <c r="C28" s="129" t="s">
        <v>105</v>
      </c>
      <c r="D28" s="140">
        <v>16.5</v>
      </c>
      <c r="E28" s="129" t="s">
        <v>106</v>
      </c>
      <c r="F28" s="131">
        <v>1215.8800000000001</v>
      </c>
      <c r="G28" s="131">
        <f>FLOOR(D28*F28,0.01)</f>
        <v>20062.02</v>
      </c>
      <c r="H28" s="132"/>
    </row>
    <row r="29" spans="1:8" s="122" customFormat="1" ht="18">
      <c r="B29" s="141"/>
      <c r="C29" s="134" t="s">
        <v>107</v>
      </c>
      <c r="D29" s="142">
        <v>0.23200000000000001</v>
      </c>
      <c r="E29" s="134" t="s">
        <v>70</v>
      </c>
      <c r="F29" s="137">
        <f>Jwood</f>
        <v>57449.37</v>
      </c>
      <c r="G29" s="137">
        <f t="shared" si="1"/>
        <v>13328.25</v>
      </c>
      <c r="H29" s="138"/>
    </row>
    <row r="30" spans="1:8" s="122" customFormat="1" ht="27.6">
      <c r="B30" s="141"/>
      <c r="C30" s="143" t="s">
        <v>118</v>
      </c>
      <c r="D30" s="142">
        <v>0</v>
      </c>
      <c r="E30" s="134" t="s">
        <v>108</v>
      </c>
      <c r="F30" s="137">
        <f>'[7]update Rate'!$N$215</f>
        <v>2304</v>
      </c>
      <c r="G30" s="137">
        <f t="shared" si="1"/>
        <v>0</v>
      </c>
      <c r="H30" s="138"/>
    </row>
    <row r="31" spans="1:8" s="122" customFormat="1" ht="18">
      <c r="B31" s="144"/>
      <c r="C31" s="136" t="s">
        <v>109</v>
      </c>
      <c r="D31" s="145">
        <v>25</v>
      </c>
      <c r="E31" s="136" t="s">
        <v>110</v>
      </c>
      <c r="F31" s="146">
        <f>'[7]update Rate'!$N$59</f>
        <v>132</v>
      </c>
      <c r="G31" s="146">
        <f t="shared" si="1"/>
        <v>3300</v>
      </c>
      <c r="H31" s="147">
        <f>SUM(G28:G31)</f>
        <v>36690.270000000004</v>
      </c>
    </row>
    <row r="32" spans="1:8" s="122" customFormat="1" ht="18">
      <c r="F32" s="148" t="s">
        <v>76</v>
      </c>
      <c r="G32" s="148"/>
      <c r="H32" s="146">
        <f>SUM(H26:H31)</f>
        <v>81404.27</v>
      </c>
    </row>
    <row r="33" spans="1:8" s="122" customFormat="1" ht="18">
      <c r="B33" s="122" t="s">
        <v>111</v>
      </c>
      <c r="F33" s="148" t="s">
        <v>78</v>
      </c>
      <c r="G33" s="148"/>
      <c r="H33" s="149">
        <f>FLOOR(H32*0.15,0.01)</f>
        <v>12210.64</v>
      </c>
    </row>
    <row r="34" spans="1:8" s="122" customFormat="1" ht="20.100000000000001" customHeight="1">
      <c r="A34" s="150"/>
      <c r="B34" s="151">
        <f>+H34</f>
        <v>93614.91</v>
      </c>
      <c r="C34" s="150" t="s">
        <v>79</v>
      </c>
      <c r="D34" s="149">
        <f>INT(B34/B35*100)/100</f>
        <v>936.14</v>
      </c>
      <c r="E34" s="122" t="s">
        <v>80</v>
      </c>
      <c r="F34" s="148" t="s">
        <v>81</v>
      </c>
      <c r="G34" s="148"/>
      <c r="H34" s="149">
        <f>SUM(H32:H33)</f>
        <v>93614.91</v>
      </c>
    </row>
    <row r="35" spans="1:8" s="122" customFormat="1" ht="20.100000000000001" customHeight="1">
      <c r="B35" s="152">
        <v>100</v>
      </c>
    </row>
    <row r="36" spans="1:8" s="122" customFormat="1" ht="12" customHeight="1">
      <c r="A36" s="153" t="s">
        <v>119</v>
      </c>
      <c r="B36" s="153"/>
      <c r="C36" s="153"/>
      <c r="D36" s="153"/>
      <c r="E36" s="153"/>
      <c r="F36" s="153"/>
      <c r="G36" s="153"/>
      <c r="H36" s="153"/>
    </row>
    <row r="37" spans="1:8" s="122" customFormat="1" ht="12" customHeight="1">
      <c r="B37" s="154" t="s">
        <v>112</v>
      </c>
    </row>
    <row r="38" spans="1:8" s="122" customFormat="1" ht="12" customHeight="1">
      <c r="A38" s="155" t="s">
        <v>113</v>
      </c>
      <c r="B38" s="155"/>
      <c r="C38" s="155"/>
      <c r="D38" s="155"/>
      <c r="E38" s="155"/>
      <c r="F38" s="155"/>
      <c r="G38" s="155"/>
      <c r="H38" s="155"/>
    </row>
    <row r="39" spans="1:8" s="122" customFormat="1" ht="12" customHeight="1">
      <c r="B39" s="154" t="s">
        <v>114</v>
      </c>
    </row>
    <row r="40" spans="1:8" s="122" customFormat="1" ht="12" customHeight="1">
      <c r="A40" s="155" t="s">
        <v>115</v>
      </c>
      <c r="B40" s="155"/>
      <c r="C40" s="155"/>
      <c r="D40" s="155"/>
      <c r="E40" s="155"/>
      <c r="F40" s="155"/>
      <c r="G40" s="155"/>
      <c r="H40" s="155"/>
    </row>
    <row r="41" spans="1:8" s="122" customFormat="1" ht="12" customHeight="1">
      <c r="B41" s="154" t="s">
        <v>116</v>
      </c>
    </row>
    <row r="42" spans="1:8" s="122" customFormat="1" ht="12" customHeight="1">
      <c r="B42" s="154"/>
    </row>
  </sheetData>
  <mergeCells count="12">
    <mergeCell ref="A38:H38"/>
    <mergeCell ref="A40:H40"/>
    <mergeCell ref="B23:H23"/>
    <mergeCell ref="B24:H24"/>
    <mergeCell ref="B26:B27"/>
    <mergeCell ref="B28:B31"/>
    <mergeCell ref="A36:H36"/>
    <mergeCell ref="B3:H3"/>
    <mergeCell ref="B4:H4"/>
    <mergeCell ref="B6:B7"/>
    <mergeCell ref="B8:B13"/>
    <mergeCell ref="B22:H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WCR</vt:lpstr>
      <vt:lpstr>Sheet4 (2)</vt:lpstr>
      <vt:lpstr>rate analysis</vt:lpstr>
      <vt:lpstr>'Sheet4 (2)'!Print_Area</vt:lpstr>
      <vt:lpstr>'Sheet4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2024-12-26T04:38:28Z</cp:lastPrinted>
  <dcterms:created xsi:type="dcterms:W3CDTF">2015-06-05T18:17:20Z</dcterms:created>
  <dcterms:modified xsi:type="dcterms:W3CDTF">2025-01-13T01:36:12Z</dcterms:modified>
</cp:coreProperties>
</file>