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rastriya maa bi\"/>
    </mc:Choice>
  </mc:AlternateContent>
  <bookViews>
    <workbookView xWindow="-120" yWindow="-120" windowWidth="20736" windowHeight="11160" activeTab="3"/>
  </bookViews>
  <sheets>
    <sheet name="WCR" sheetId="6" r:id="rId1"/>
    <sheet name="re-estimate" sheetId="18" state="hidden" r:id="rId2"/>
    <sheet name="grill item changed" sheetId="19" state="hidden" r:id="rId3"/>
    <sheet name="callapsible gate added" sheetId="20"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3">#REF!</definedName>
    <definedName name="description_124" localSheetId="2">#REF!</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3">'callapsible gate added'!$A$1:$K$119</definedName>
    <definedName name="_xlnm.Print_Area" localSheetId="2">'grill item changed'!$A$1:$K$113</definedName>
    <definedName name="_xlnm.Print_Area" localSheetId="1">'re-estimate'!$A$1:$K$113</definedName>
    <definedName name="_xlnm.Print_Titles" localSheetId="3">'callapsible gate added'!$1:$8</definedName>
    <definedName name="_xlnm.Print_Titles" localSheetId="2">'grill item changed'!$1:$8</definedName>
    <definedName name="_xlnm.Print_Titles" localSheetId="1">'re-estimate'!$1:$8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00" i="20" l="1"/>
  <c r="G79" i="20"/>
  <c r="G68" i="20"/>
  <c r="G56" i="20"/>
  <c r="G47" i="20"/>
  <c r="G41" i="20"/>
  <c r="G33" i="20"/>
  <c r="G27" i="20"/>
  <c r="G13" i="20"/>
  <c r="J106" i="20"/>
  <c r="G104" i="20"/>
  <c r="G105" i="20" s="1"/>
  <c r="J105" i="20" l="1"/>
  <c r="G78" i="20" l="1"/>
  <c r="C119" i="20"/>
  <c r="C118" i="20"/>
  <c r="G110" i="20"/>
  <c r="J110" i="20" s="1"/>
  <c r="G108" i="20"/>
  <c r="J108" i="20" s="1"/>
  <c r="D99" i="20"/>
  <c r="F99" i="20" s="1"/>
  <c r="G99" i="20" s="1"/>
  <c r="D98" i="20"/>
  <c r="F98" i="20" s="1"/>
  <c r="G98" i="20" s="1"/>
  <c r="F93" i="20"/>
  <c r="C93" i="20"/>
  <c r="B93" i="20"/>
  <c r="D88" i="20"/>
  <c r="G88" i="20" s="1"/>
  <c r="G89" i="20" s="1"/>
  <c r="D83" i="20"/>
  <c r="G83" i="20" s="1"/>
  <c r="G84" i="20" s="1"/>
  <c r="F77" i="20"/>
  <c r="D77" i="20"/>
  <c r="G77" i="20" s="1"/>
  <c r="D72" i="20"/>
  <c r="G72" i="20" s="1"/>
  <c r="G73" i="20" s="1"/>
  <c r="F67" i="20"/>
  <c r="D67" i="20"/>
  <c r="G67" i="20" s="1"/>
  <c r="D66" i="20"/>
  <c r="G66" i="20" s="1"/>
  <c r="F65" i="20"/>
  <c r="E65" i="20"/>
  <c r="D65" i="20"/>
  <c r="G65" i="20" s="1"/>
  <c r="F63" i="20"/>
  <c r="D63" i="20"/>
  <c r="N63" i="20" s="1"/>
  <c r="E62" i="20"/>
  <c r="E64" i="20" s="1"/>
  <c r="D62" i="20"/>
  <c r="G62" i="20" s="1"/>
  <c r="F61" i="20"/>
  <c r="G61" i="20" s="1"/>
  <c r="N60" i="20"/>
  <c r="M60" i="20"/>
  <c r="F60" i="20"/>
  <c r="G60" i="20" s="1"/>
  <c r="N59" i="20"/>
  <c r="E55" i="20"/>
  <c r="D55" i="20"/>
  <c r="E54" i="20"/>
  <c r="E53" i="20"/>
  <c r="D53" i="20"/>
  <c r="E52" i="20"/>
  <c r="D52" i="20"/>
  <c r="F52" i="20" s="1"/>
  <c r="G52" i="20" s="1"/>
  <c r="E51" i="20"/>
  <c r="F51" i="20" s="1"/>
  <c r="G51" i="20" s="1"/>
  <c r="F46" i="20"/>
  <c r="D46" i="20"/>
  <c r="G46" i="20" s="1"/>
  <c r="D45" i="20"/>
  <c r="C45" i="20"/>
  <c r="G45" i="20" s="1"/>
  <c r="D39" i="20"/>
  <c r="G39" i="20" s="1"/>
  <c r="F38" i="20"/>
  <c r="G38" i="20" s="1"/>
  <c r="C32" i="20"/>
  <c r="C37" i="20" s="1"/>
  <c r="C31" i="20"/>
  <c r="E26" i="20"/>
  <c r="D26" i="20"/>
  <c r="D32" i="20" s="1"/>
  <c r="D37" i="20" s="1"/>
  <c r="E25" i="20"/>
  <c r="E31" i="20" s="1"/>
  <c r="G21" i="20"/>
  <c r="G22" i="20" s="1"/>
  <c r="J22" i="20" s="1"/>
  <c r="D16" i="20"/>
  <c r="D25" i="20" s="1"/>
  <c r="G12" i="20"/>
  <c r="F11" i="20"/>
  <c r="E11" i="20"/>
  <c r="D11" i="20"/>
  <c r="F10" i="20"/>
  <c r="D10" i="20"/>
  <c r="G10" i="20" l="1"/>
  <c r="J13" i="20" s="1"/>
  <c r="F55" i="20"/>
  <c r="G55" i="20" s="1"/>
  <c r="G11" i="20"/>
  <c r="D64" i="20"/>
  <c r="G26" i="20"/>
  <c r="G16" i="20"/>
  <c r="G17" i="20" s="1"/>
  <c r="J18" i="20" s="1"/>
  <c r="G63" i="20"/>
  <c r="F53" i="20"/>
  <c r="G53" i="20" s="1"/>
  <c r="C116" i="20"/>
  <c r="J74" i="20"/>
  <c r="J73" i="20"/>
  <c r="J47" i="20"/>
  <c r="J48" i="20"/>
  <c r="D31" i="20"/>
  <c r="G31" i="20" s="1"/>
  <c r="G25" i="20"/>
  <c r="J79" i="20"/>
  <c r="J80" i="20"/>
  <c r="J90" i="20"/>
  <c r="J89" i="20"/>
  <c r="J85" i="20"/>
  <c r="J84" i="20"/>
  <c r="E32" i="20"/>
  <c r="E37" i="20" s="1"/>
  <c r="G37" i="20" s="1"/>
  <c r="D93" i="20"/>
  <c r="G93" i="20" s="1"/>
  <c r="G94" i="20" s="1"/>
  <c r="G99" i="19"/>
  <c r="D98" i="19"/>
  <c r="F98" i="19" s="1"/>
  <c r="G98" i="19" s="1"/>
  <c r="D97" i="19"/>
  <c r="J17" i="20" l="1"/>
  <c r="G64" i="20"/>
  <c r="D40" i="20"/>
  <c r="J95" i="20"/>
  <c r="J94" i="20"/>
  <c r="J101" i="20"/>
  <c r="J100" i="20"/>
  <c r="G32" i="20"/>
  <c r="J28" i="20"/>
  <c r="J27" i="20"/>
  <c r="F97" i="19"/>
  <c r="G97" i="19" s="1"/>
  <c r="C113" i="19"/>
  <c r="C112" i="19"/>
  <c r="G104" i="19"/>
  <c r="J104" i="19" s="1"/>
  <c r="G102" i="19"/>
  <c r="J102" i="19" s="1"/>
  <c r="F92" i="19"/>
  <c r="C92" i="19"/>
  <c r="B92" i="19"/>
  <c r="D87" i="19"/>
  <c r="G87" i="19" s="1"/>
  <c r="G88" i="19" s="1"/>
  <c r="D82" i="19"/>
  <c r="G82" i="19" s="1"/>
  <c r="G83" i="19" s="1"/>
  <c r="F77" i="19"/>
  <c r="D77" i="19"/>
  <c r="G77" i="19" s="1"/>
  <c r="G78" i="19" s="1"/>
  <c r="D72" i="19"/>
  <c r="G72" i="19" s="1"/>
  <c r="G73" i="19" s="1"/>
  <c r="F67" i="19"/>
  <c r="D67" i="19"/>
  <c r="G67" i="19" s="1"/>
  <c r="D66" i="19"/>
  <c r="G66" i="19" s="1"/>
  <c r="F65" i="19"/>
  <c r="E65" i="19"/>
  <c r="D65" i="19"/>
  <c r="F63" i="19"/>
  <c r="D63" i="19"/>
  <c r="D64" i="19" s="1"/>
  <c r="E62" i="19"/>
  <c r="E64" i="19" s="1"/>
  <c r="D62" i="19"/>
  <c r="G61" i="19"/>
  <c r="F61" i="19"/>
  <c r="N60" i="19"/>
  <c r="M60" i="19"/>
  <c r="F60" i="19"/>
  <c r="G60" i="19" s="1"/>
  <c r="N59" i="19"/>
  <c r="E55" i="19"/>
  <c r="D55" i="19"/>
  <c r="E54" i="19"/>
  <c r="E53" i="19"/>
  <c r="D53" i="19"/>
  <c r="F53" i="19" s="1"/>
  <c r="G53" i="19" s="1"/>
  <c r="E52" i="19"/>
  <c r="D52" i="19"/>
  <c r="E51" i="19"/>
  <c r="F51" i="19" s="1"/>
  <c r="G51" i="19" s="1"/>
  <c r="F46" i="19"/>
  <c r="D46" i="19"/>
  <c r="D45" i="19"/>
  <c r="C45" i="19"/>
  <c r="D39" i="19"/>
  <c r="G39" i="19" s="1"/>
  <c r="F38" i="19"/>
  <c r="G38" i="19" s="1"/>
  <c r="C32" i="19"/>
  <c r="C37" i="19" s="1"/>
  <c r="C31" i="19"/>
  <c r="E26" i="19"/>
  <c r="E32" i="19" s="1"/>
  <c r="E37" i="19" s="1"/>
  <c r="D26" i="19"/>
  <c r="D32" i="19" s="1"/>
  <c r="E25" i="19"/>
  <c r="E31" i="19" s="1"/>
  <c r="G21" i="19"/>
  <c r="G22" i="19" s="1"/>
  <c r="J22" i="19" s="1"/>
  <c r="D16" i="19"/>
  <c r="D25" i="19" s="1"/>
  <c r="G12" i="19"/>
  <c r="F11" i="19"/>
  <c r="E11" i="19"/>
  <c r="D11" i="19"/>
  <c r="F10" i="19"/>
  <c r="D10" i="19"/>
  <c r="J68" i="20" l="1"/>
  <c r="J69" i="20"/>
  <c r="G40" i="20"/>
  <c r="D54" i="20"/>
  <c r="F54" i="20" s="1"/>
  <c r="G54" i="20" s="1"/>
  <c r="J34" i="20"/>
  <c r="J33" i="20"/>
  <c r="G62" i="19"/>
  <c r="G65" i="19"/>
  <c r="J100" i="19"/>
  <c r="G46" i="19"/>
  <c r="F55" i="19"/>
  <c r="G55" i="19" s="1"/>
  <c r="D92" i="19"/>
  <c r="G92" i="19" s="1"/>
  <c r="G93" i="19" s="1"/>
  <c r="J94" i="19" s="1"/>
  <c r="G16" i="19"/>
  <c r="G17" i="19" s="1"/>
  <c r="J17" i="19" s="1"/>
  <c r="G10" i="19"/>
  <c r="F52" i="19"/>
  <c r="G52" i="19" s="1"/>
  <c r="C110" i="19"/>
  <c r="G11" i="19"/>
  <c r="G45" i="19"/>
  <c r="G47" i="19" s="1"/>
  <c r="J83" i="19"/>
  <c r="J84" i="19"/>
  <c r="G64" i="19"/>
  <c r="D40" i="19"/>
  <c r="G40" i="19" s="1"/>
  <c r="D31" i="19"/>
  <c r="G31" i="19" s="1"/>
  <c r="G25" i="19"/>
  <c r="J88" i="19"/>
  <c r="J89" i="19"/>
  <c r="G32" i="19"/>
  <c r="D37" i="19"/>
  <c r="G37" i="19" s="1"/>
  <c r="J73" i="19"/>
  <c r="J74" i="19"/>
  <c r="J79" i="19"/>
  <c r="J78" i="19"/>
  <c r="G63" i="19"/>
  <c r="G26" i="19"/>
  <c r="N63" i="19"/>
  <c r="F92" i="18"/>
  <c r="C92" i="18"/>
  <c r="B92" i="18"/>
  <c r="J57" i="20" l="1"/>
  <c r="J56" i="20"/>
  <c r="J42" i="20"/>
  <c r="J41" i="20"/>
  <c r="J93" i="19"/>
  <c r="G33" i="19"/>
  <c r="J33" i="19" s="1"/>
  <c r="G13" i="19"/>
  <c r="J13" i="19" s="1"/>
  <c r="G41" i="19"/>
  <c r="J42" i="19" s="1"/>
  <c r="J18" i="19"/>
  <c r="G68" i="19"/>
  <c r="J69" i="19" s="1"/>
  <c r="J99" i="19"/>
  <c r="J34" i="19"/>
  <c r="D54" i="19"/>
  <c r="F54" i="19" s="1"/>
  <c r="G54" i="19" s="1"/>
  <c r="G56" i="19" s="1"/>
  <c r="G27" i="19"/>
  <c r="J48" i="19"/>
  <c r="J47" i="19"/>
  <c r="E55" i="18"/>
  <c r="D55" i="18"/>
  <c r="F55" i="18" s="1"/>
  <c r="G55" i="18" s="1"/>
  <c r="E54" i="18"/>
  <c r="G39" i="18"/>
  <c r="D39" i="18"/>
  <c r="E62" i="18"/>
  <c r="G62" i="18" s="1"/>
  <c r="D62" i="18"/>
  <c r="E53" i="18"/>
  <c r="D53" i="18"/>
  <c r="D52" i="18"/>
  <c r="F52" i="18" s="1"/>
  <c r="G52" i="18" s="1"/>
  <c r="E52" i="18"/>
  <c r="E51" i="18"/>
  <c r="F51" i="18" s="1"/>
  <c r="G51" i="18" s="1"/>
  <c r="D46" i="18"/>
  <c r="D45" i="18"/>
  <c r="G45" i="18" s="1"/>
  <c r="F46" i="18"/>
  <c r="C45" i="18"/>
  <c r="F38" i="18"/>
  <c r="G38" i="18" s="1"/>
  <c r="C32" i="18"/>
  <c r="C37" i="18" s="1"/>
  <c r="C31" i="18"/>
  <c r="E26" i="18"/>
  <c r="E32" i="18" s="1"/>
  <c r="E37" i="18" s="1"/>
  <c r="D26" i="18"/>
  <c r="D32" i="18" s="1"/>
  <c r="D37" i="18" s="1"/>
  <c r="E25" i="18"/>
  <c r="E31" i="18" s="1"/>
  <c r="F97" i="18"/>
  <c r="D97" i="18"/>
  <c r="G97" i="18" s="1"/>
  <c r="G98" i="18" s="1"/>
  <c r="J98" i="18" s="1"/>
  <c r="J99" i="18" s="1"/>
  <c r="J112" i="20" l="1"/>
  <c r="C114" i="20" s="1"/>
  <c r="E116" i="20" s="1"/>
  <c r="E117" i="20" s="1"/>
  <c r="J41" i="19"/>
  <c r="J68" i="19"/>
  <c r="J57" i="19"/>
  <c r="J56" i="19"/>
  <c r="J28" i="19"/>
  <c r="J27" i="19"/>
  <c r="J106" i="19" s="1"/>
  <c r="C108" i="19" s="1"/>
  <c r="G46" i="18"/>
  <c r="G47" i="18" s="1"/>
  <c r="E64" i="18"/>
  <c r="F53" i="18"/>
  <c r="G53" i="18" s="1"/>
  <c r="G37" i="18"/>
  <c r="G26" i="18"/>
  <c r="G32" i="18"/>
  <c r="D87" i="18"/>
  <c r="G87" i="18" s="1"/>
  <c r="G88" i="18" s="1"/>
  <c r="J89" i="18" s="1"/>
  <c r="G101" i="18"/>
  <c r="J101" i="18" s="1"/>
  <c r="D82" i="18"/>
  <c r="G82" i="18" s="1"/>
  <c r="G83" i="18" s="1"/>
  <c r="J84" i="18" s="1"/>
  <c r="F77" i="18"/>
  <c r="D77" i="18"/>
  <c r="D72" i="18"/>
  <c r="F65" i="18"/>
  <c r="F63" i="18"/>
  <c r="N59" i="18"/>
  <c r="F67" i="18"/>
  <c r="D67" i="18"/>
  <c r="D66" i="18"/>
  <c r="G66" i="18" s="1"/>
  <c r="N60" i="18"/>
  <c r="G21" i="18"/>
  <c r="G22" i="18" s="1"/>
  <c r="D16" i="18"/>
  <c r="C117" i="20" l="1"/>
  <c r="J48" i="18"/>
  <c r="J47" i="18"/>
  <c r="G72" i="18"/>
  <c r="G73" i="18" s="1"/>
  <c r="D92" i="18"/>
  <c r="G92" i="18" s="1"/>
  <c r="G93" i="18" s="1"/>
  <c r="G67" i="18"/>
  <c r="G16" i="18"/>
  <c r="G17" i="18" s="1"/>
  <c r="D25" i="18"/>
  <c r="J88" i="18"/>
  <c r="G77" i="18"/>
  <c r="G78" i="18" s="1"/>
  <c r="J79" i="18" s="1"/>
  <c r="J83" i="18"/>
  <c r="J22" i="18"/>
  <c r="J94" i="18" l="1"/>
  <c r="J93" i="18"/>
  <c r="D31" i="18"/>
  <c r="G31" i="18" s="1"/>
  <c r="G33" i="18" s="1"/>
  <c r="G25" i="18"/>
  <c r="G27" i="18" s="1"/>
  <c r="J78" i="18"/>
  <c r="J18" i="18"/>
  <c r="J17" i="18"/>
  <c r="J28" i="18" l="1"/>
  <c r="J27" i="18"/>
  <c r="J34" i="18"/>
  <c r="J33" i="18"/>
  <c r="F61" i="18" l="1"/>
  <c r="G61" i="18" s="1"/>
  <c r="M60" i="18"/>
  <c r="D63" i="18" l="1"/>
  <c r="E65" i="18"/>
  <c r="D65" i="18"/>
  <c r="G12" i="18"/>
  <c r="F60" i="18"/>
  <c r="F11" i="18"/>
  <c r="E11" i="18"/>
  <c r="D11" i="18"/>
  <c r="F10" i="18"/>
  <c r="D10" i="18"/>
  <c r="G63" i="18" l="1"/>
  <c r="D64" i="18"/>
  <c r="G11" i="18"/>
  <c r="G65" i="18"/>
  <c r="N63" i="18"/>
  <c r="G60" i="18"/>
  <c r="C113" i="18"/>
  <c r="C112" i="18"/>
  <c r="G104" i="18"/>
  <c r="J104" i="18" s="1"/>
  <c r="G10" i="18"/>
  <c r="G13" i="18" l="1"/>
  <c r="D40" i="18"/>
  <c r="G64" i="18"/>
  <c r="G68" i="18" s="1"/>
  <c r="J13" i="18"/>
  <c r="J73" i="18"/>
  <c r="C110" i="18"/>
  <c r="J69" i="18" l="1"/>
  <c r="G40" i="18"/>
  <c r="G41" i="18" s="1"/>
  <c r="D54" i="18"/>
  <c r="F54" i="18" s="1"/>
  <c r="G54" i="18" s="1"/>
  <c r="G56" i="18" s="1"/>
  <c r="J74" i="18"/>
  <c r="J68" i="18"/>
  <c r="J57" i="18" l="1"/>
  <c r="J56" i="18"/>
  <c r="J42" i="18"/>
  <c r="J41" i="18"/>
  <c r="J106" i="18"/>
  <c r="C108" i="18" s="1"/>
  <c r="C111" i="18" s="1"/>
  <c r="E110" i="18" l="1"/>
  <c r="E111" i="18" s="1"/>
  <c r="H13" i="6"/>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 r="C111" i="19"/>
  <c r="E110" i="19"/>
  <c r="E111" i="19" s="1"/>
</calcChain>
</file>

<file path=xl/comments1.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2.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3.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sharedStrings.xml><?xml version="1.0" encoding="utf-8"?>
<sst xmlns="http://schemas.openxmlformats.org/spreadsheetml/2006/main" count="403" uniqueCount="100">
  <si>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</si>
  <si>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</si>
  <si>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</si>
  <si>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</si>
  <si>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</si>
  <si>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</si>
  <si>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</si>
  <si>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</si>
  <si>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</si>
  <si>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</si>
  <si>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</si>
  <si>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</si>
  <si>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</si>
  <si>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</si>
  <si>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</si>
  <si>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</si>
  <si>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</si>
  <si>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</si>
  <si>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</si>
  <si>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</si>
  <si>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</si>
  <si>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</si>
  <si>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</si>
  <si>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</si>
  <si>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</si>
  <si>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</si>
  <si>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</si>
  <si>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</si>
  <si>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</si>
  <si>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</si>
  <si>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</si>
  <si>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</si>
  <si>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</si>
  <si>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</si>
  <si>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</si>
  <si>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</si>
  <si>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</si>
  <si>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</si>
  <si>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</si>
  <si>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</si>
  <si>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</si>
  <si>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</si>
  <si>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</si>
  <si>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</si>
  <si>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</si>
  <si>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</si>
  <si>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Project:- बेनडोल सडक नयाँबस्ती</t>
  </si>
  <si>
    <t>Date:2081/07/11</t>
  </si>
  <si>
    <t>l;d]G6 jf jh|df hf]8]sf] uf/f] eTsfO{ To;af6 cfPsf] ;fdfu+|L !) dL= x6fpg] sfd .</t>
  </si>
  <si>
    <t>-White wall</t>
  </si>
  <si>
    <t xml:space="preserve">e'O{+tNnfdf lrDgL e§fsf] O{+6fsf] uf/f] l;d]G6 d;nf -!M^_ df </t>
  </si>
  <si>
    <t>-wall</t>
  </si>
  <si>
    <t>!@=% dL=dL= l;d]G6 afn'jf -!M$_ Knfi6/</t>
  </si>
  <si>
    <t>m2</t>
  </si>
  <si>
    <t>kmnfd] sfd -Rofgn PËn 6L cflb_ x6fpg] sfo{ lemSg], 5'6\ofpg] / /fd|/L yGsfpg] ;d]t</t>
  </si>
  <si>
    <t>-at backyard</t>
  </si>
  <si>
    <t>MT</t>
  </si>
  <si>
    <t>- at instead white wall</t>
  </si>
  <si>
    <t>-wall at backyard</t>
  </si>
  <si>
    <t>g/d k|sf/sf] Sn] / l;N6L df6f]df ;j} lsl;dsf] vGg] sfd</t>
  </si>
  <si>
    <t>-for footing</t>
  </si>
  <si>
    <t>-at back yard window</t>
  </si>
  <si>
    <r>
      <t xml:space="preserve">$=% </t>
    </r>
    <r>
      <rPr>
        <b/>
        <sz val="12"/>
        <rFont val="Arial"/>
        <family val="2"/>
      </rPr>
      <t>X</t>
    </r>
    <r>
      <rPr>
        <b/>
        <sz val="12"/>
        <rFont val="Preeti"/>
      </rPr>
      <t xml:space="preserve"> @) dL=dL= kmnfd] kftfsf] k|m]ddf !@ </t>
    </r>
    <r>
      <rPr>
        <b/>
        <sz val="12"/>
        <rFont val="Arial"/>
        <family val="2"/>
      </rPr>
      <t>x</t>
    </r>
    <r>
      <rPr>
        <b/>
        <sz val="12"/>
        <rFont val="Preeti"/>
      </rPr>
      <t xml:space="preserve"> !@ dL=dL=;f]ln8 sf]/ :Sjfo/ /8sf] lu|n agfO{ vfS;L nufO{ /]8cS;fO8 tyf cNd'lgod k]G6 ;d]t u/L hf]8\g]</t>
    </r>
  </si>
  <si>
    <t>-window</t>
  </si>
  <si>
    <t>sqm</t>
  </si>
  <si>
    <t>lh=cfO{=sf9]tf/ -jf/ j]8 jfo/_ nufpg] .</t>
  </si>
  <si>
    <t>-at boundary</t>
  </si>
  <si>
    <t>rm</t>
  </si>
  <si>
    <t>Provisional sum for unforseen works</t>
  </si>
  <si>
    <t>PS</t>
  </si>
  <si>
    <t>%) dL=dL=Aof;sf] :6]Gn];l:6nsf] x\of08/]ndf @ ld6/sf] b"/Ldf %) dL=dL=Aof;sf] :6]Gn];l:6ns} 7f8f] kf]i6 /fvL x\of08/]n / e"O+sf] aLrdf tLg tx t];f]{ @% dL=dL=Aof;sf] :6]Gn];l:6nsf] d]Da/ /fvL @Ú–^Æ b]lv #Ú–)Æ ;Dd prfO{ ePsf] /]lnË pknAw u/fO{ h8fg u/L /+u ;d]t nufpg] sfd .</t>
  </si>
  <si>
    <r>
      <t>kmnfd] u]6 !^ u]h -%)</t>
    </r>
    <r>
      <rPr>
        <b/>
        <sz val="12"/>
        <rFont val="Arial"/>
        <family val="2"/>
      </rPr>
      <t>X</t>
    </r>
    <r>
      <rPr>
        <b/>
        <sz val="12"/>
        <rFont val="Preeti"/>
      </rPr>
      <t>%)</t>
    </r>
    <r>
      <rPr>
        <b/>
        <sz val="12"/>
        <rFont val="Arial"/>
        <family val="2"/>
      </rPr>
      <t>X</t>
    </r>
    <r>
      <rPr>
        <b/>
        <sz val="12"/>
        <rFont val="Preeti"/>
      </rPr>
      <t>% dL=dL=sf] k|m]d ;lxt_ agfO{ hf]8\g] /]8 cS;fO8 k]lG6Ë / Hofnf ;d]t .</t>
    </r>
  </si>
  <si>
    <t>-at door</t>
  </si>
  <si>
    <t>VAT 13% for material</t>
  </si>
  <si>
    <t>;'Vvf O{6f RofK6f] 5fKg] sfd</t>
  </si>
  <si>
    <t>hu leQf kvf{ndf l;d]G6 s+lqm6 ug]{ sfd -lk=;L=;L= !M@M$_</t>
  </si>
  <si>
    <r>
      <t>;'k/ :6«Sr/, 8]s :n]a ljdx?df l;d]G6 s+lqm6 ug]{ sfd -!M!</t>
    </r>
    <r>
      <rPr>
        <sz val="15"/>
        <rFont val="Arial"/>
        <family val="2"/>
      </rPr>
      <t>.</t>
    </r>
    <r>
      <rPr>
        <sz val="15"/>
        <rFont val="Preeti"/>
      </rPr>
      <t>%M#_</t>
    </r>
  </si>
  <si>
    <t xml:space="preserve">kmnfd]sf] kfOk / KnfOaf]8{af6 kmdf{ agfpg] sfd </t>
  </si>
  <si>
    <t>cf/=;L=;L= nflu kmnfd] 808L sf6\g], df]8\g] #) dL6/ ;Dd</t>
  </si>
  <si>
    <t>Unit wt. (kg/m)</t>
  </si>
  <si>
    <t>Total wt. (kg)</t>
  </si>
  <si>
    <t>Total wt. (MT)</t>
  </si>
  <si>
    <t>-For column</t>
  </si>
  <si>
    <t>-For column footing</t>
  </si>
  <si>
    <t>-For column stirrups</t>
  </si>
  <si>
    <t>-deduction for sill/lintel/DPC bands</t>
  </si>
  <si>
    <t>-sill/lintel/DPC bands</t>
  </si>
  <si>
    <t>-For bands</t>
  </si>
  <si>
    <t>-For stirrups</t>
  </si>
  <si>
    <t xml:space="preserve"> Ps sf]6 k|fO{d/ ;lxt b'O{ sf]6 j]b/sf]6 k]G6 ug]{ sfd</t>
  </si>
  <si>
    <t>ljleGg ;fO{hsf] kmnfd] PËn km]lj|s]zg u/L k|fOd/ k]G6 ;lxt ug]{</t>
  </si>
  <si>
    <t>-MS Equal angle of 35mm*35mm*2mm For door</t>
  </si>
  <si>
    <t>Kg</t>
  </si>
  <si>
    <t>-MS sheet 900mm wide or as per required and of 14G with 2mm</t>
  </si>
  <si>
    <t>-door</t>
  </si>
  <si>
    <t>kmnfd] sf]nfK;Lan u]6 k]lG6Ë / h8fg ;d]t ug]{</t>
  </si>
  <si>
    <t>-at block D</t>
  </si>
  <si>
    <t>Date:2081/09/21</t>
  </si>
  <si>
    <t>Project:- राष्ट्रिय मा. बि. वाल निर्माण</t>
  </si>
  <si>
    <t>Total wt.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</si>
</sst>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1"/>
      <color theme="1"/>
      <name val="Preeti"/>
    </font>
    <font>
      <b/>
      <sz val="12"/>
      <color theme="1"/>
      <name val="Preeti"/>
    </font>
    <font>
      <sz val="9"/>
      <color indexed="81"/>
      <name val="Tahoma"/>
      <family val="2"/>
    </font>
    <font>
      <b/>
      <sz val="9"/>
      <color indexed="81"/>
      <name val="Tahoma"/>
      <family val="2"/>
    </font>
    <font>
      <sz val="10"/>
      <color indexed="81"/>
      <name val="Tahoma"/>
      <family val="2"/>
    </font>
    <font>
      <b/>
      <sz val="10"/>
      <color indexed="81"/>
      <name val="Tahoma"/>
      <family val="2"/>
    </font>
    <font>
      <sz val="15"/>
      <name val="Preeti"/>
    </font>
    <font>
      <b/>
      <sz val="12"/>
      <name val="Arial"/>
      <family val="2"/>
    </font>
    <font>
      <sz val="15"/>
      <name val="Arial"/>
      <family val="2"/>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95">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1" fontId="16" fillId="0" borderId="1" xfId="0" applyNumberFormat="1" applyFont="1" applyFill="1" applyBorder="1" applyAlignment="1">
      <alignment vertical="center" wrapText="1"/>
    </xf>
    <xf numFmtId="0" fontId="17" fillId="0" borderId="0" xfId="0" applyFont="1"/>
    <xf numFmtId="0" fontId="18" fillId="0" borderId="1" xfId="0" applyFont="1" applyBorder="1" applyAlignment="1">
      <alignment wrapText="1"/>
    </xf>
    <xf numFmtId="0" fontId="16" fillId="0" borderId="1" xfId="0" applyFont="1" applyBorder="1" applyAlignment="1">
      <alignment vertical="center" wrapText="1"/>
    </xf>
    <xf numFmtId="2" fontId="2" fillId="0" borderId="1" xfId="1" applyNumberFormat="1" applyFont="1" applyBorder="1" applyAlignment="1">
      <alignment vertical="center"/>
    </xf>
    <xf numFmtId="1" fontId="15" fillId="0" borderId="1" xfId="0" quotePrefix="1" applyNumberFormat="1" applyFont="1" applyBorder="1" applyAlignment="1">
      <alignment horizontal="right" vertical="center" wrapText="1"/>
    </xf>
    <xf numFmtId="2" fontId="0" fillId="0" borderId="1" xfId="0" applyNumberFormat="1" applyFont="1" applyBorder="1" applyAlignment="1">
      <alignment vertical="center"/>
    </xf>
    <xf numFmtId="2" fontId="12" fillId="0" borderId="4" xfId="0" applyNumberFormat="1" applyFont="1" applyFill="1" applyBorder="1" applyAlignment="1">
      <alignment vertical="center"/>
    </xf>
    <xf numFmtId="2" fontId="2"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14" fillId="0" borderId="3" xfId="0" applyFont="1" applyBorder="1" applyAlignment="1">
      <alignment horizontal="center"/>
    </xf>
    <xf numFmtId="0" fontId="14" fillId="0" borderId="0" xfId="0" applyFont="1" applyBorder="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1" t="s">
        <v>0</v>
      </c>
      <c r="B1" s="81"/>
      <c r="C1" s="81"/>
      <c r="D1" s="81"/>
      <c r="E1" s="81"/>
      <c r="F1" s="81"/>
      <c r="G1" s="81"/>
      <c r="H1" s="81"/>
      <c r="I1" s="81"/>
      <c r="J1" s="81"/>
      <c r="K1" s="81"/>
    </row>
    <row r="2" spans="1:11" ht="24.6" x14ac:dyDescent="0.4">
      <c r="A2" s="82" t="s">
        <v>1</v>
      </c>
      <c r="B2" s="82"/>
      <c r="C2" s="82"/>
      <c r="D2" s="82"/>
      <c r="E2" s="82"/>
      <c r="F2" s="82"/>
      <c r="G2" s="82"/>
      <c r="H2" s="82"/>
      <c r="I2" s="82"/>
      <c r="J2" s="82"/>
      <c r="K2" s="82"/>
    </row>
    <row r="3" spans="1:11" s="1" customFormat="1" x14ac:dyDescent="0.3">
      <c r="A3" s="83" t="s">
        <v>2</v>
      </c>
      <c r="B3" s="83"/>
      <c r="C3" s="83"/>
      <c r="D3" s="83"/>
      <c r="E3" s="83"/>
      <c r="F3" s="83"/>
      <c r="G3" s="83"/>
      <c r="H3" s="83"/>
      <c r="I3" s="83"/>
      <c r="J3" s="83"/>
      <c r="K3" s="83"/>
    </row>
    <row r="4" spans="1:11" s="1" customFormat="1" x14ac:dyDescent="0.3">
      <c r="A4" s="83" t="s">
        <v>3</v>
      </c>
      <c r="B4" s="83"/>
      <c r="C4" s="83"/>
      <c r="D4" s="83"/>
      <c r="E4" s="83"/>
      <c r="F4" s="83"/>
      <c r="G4" s="83"/>
      <c r="H4" s="83"/>
      <c r="I4" s="83"/>
      <c r="J4" s="83"/>
      <c r="K4" s="83"/>
    </row>
    <row r="5" spans="1:11" ht="18" x14ac:dyDescent="0.35">
      <c r="A5" s="84" t="s">
        <v>18</v>
      </c>
      <c r="B5" s="84"/>
      <c r="C5" s="84"/>
      <c r="D5" s="84"/>
      <c r="E5" s="84"/>
      <c r="F5" s="84"/>
      <c r="G5" s="84"/>
      <c r="H5" s="84"/>
      <c r="I5" s="84"/>
      <c r="J5" s="84"/>
      <c r="K5" s="84"/>
    </row>
    <row r="6" spans="1:11" ht="18" x14ac:dyDescent="0.35">
      <c r="A6" s="8" t="s">
        <v>19</v>
      </c>
      <c r="B6" s="8"/>
      <c r="C6" s="79" t="e">
        <f>F18</f>
        <v>#REF!</v>
      </c>
      <c r="D6" s="80"/>
      <c r="E6" s="9"/>
      <c r="F6" s="8"/>
      <c r="G6" s="8"/>
      <c r="H6" s="8" t="s">
        <v>20</v>
      </c>
      <c r="I6" s="8"/>
      <c r="J6" s="79" t="e">
        <f>I18</f>
        <v>#REF!</v>
      </c>
      <c r="K6" s="80"/>
    </row>
    <row r="7" spans="1:11" x14ac:dyDescent="0.3">
      <c r="A7" s="26" t="s">
        <v>29</v>
      </c>
      <c r="B7" s="10"/>
      <c r="C7" s="10"/>
      <c r="D7" s="10"/>
      <c r="F7" s="74"/>
      <c r="G7" s="74"/>
      <c r="I7" s="75" t="s">
        <v>37</v>
      </c>
      <c r="J7" s="75"/>
      <c r="K7" s="75"/>
    </row>
    <row r="8" spans="1:11" ht="15.6" x14ac:dyDescent="0.3">
      <c r="A8" s="73" t="e">
        <f>#REF!</f>
        <v>#REF!</v>
      </c>
      <c r="B8" s="73"/>
      <c r="C8" s="73"/>
      <c r="D8" s="73"/>
      <c r="E8" s="73"/>
      <c r="F8" s="73"/>
      <c r="I8" s="76" t="s">
        <v>38</v>
      </c>
      <c r="J8" s="76"/>
      <c r="K8" s="76"/>
    </row>
    <row r="9" spans="1:11" x14ac:dyDescent="0.3">
      <c r="A9" s="77" t="e">
        <f>#REF!</f>
        <v>#REF!</v>
      </c>
      <c r="B9" s="77"/>
      <c r="C9" s="77"/>
      <c r="D9" s="77"/>
      <c r="E9" s="77"/>
      <c r="F9" s="77"/>
      <c r="I9" s="76" t="s">
        <v>39</v>
      </c>
      <c r="J9" s="76"/>
      <c r="K9" s="76"/>
    </row>
    <row r="11" spans="1:11" x14ac:dyDescent="0.3">
      <c r="A11" s="71" t="s">
        <v>21</v>
      </c>
      <c r="B11" s="71" t="s">
        <v>22</v>
      </c>
      <c r="C11" s="71" t="s">
        <v>12</v>
      </c>
      <c r="D11" s="78" t="s">
        <v>23</v>
      </c>
      <c r="E11" s="78"/>
      <c r="F11" s="78"/>
      <c r="G11" s="78" t="s">
        <v>24</v>
      </c>
      <c r="H11" s="78"/>
      <c r="I11" s="78"/>
      <c r="J11" s="71" t="s">
        <v>25</v>
      </c>
      <c r="K11" s="72" t="s">
        <v>15</v>
      </c>
    </row>
    <row r="12" spans="1:11" x14ac:dyDescent="0.3">
      <c r="A12" s="71"/>
      <c r="B12" s="71"/>
      <c r="C12" s="71"/>
      <c r="D12" s="11" t="s">
        <v>26</v>
      </c>
      <c r="E12" s="11" t="s">
        <v>13</v>
      </c>
      <c r="F12" s="11" t="s">
        <v>14</v>
      </c>
      <c r="G12" s="11" t="s">
        <v>26</v>
      </c>
      <c r="H12" s="11" t="s">
        <v>13</v>
      </c>
      <c r="I12" s="11" t="s">
        <v>14</v>
      </c>
      <c r="J12" s="71"/>
      <c r="K12" s="72"/>
    </row>
    <row r="13" spans="1:11" s="1" customFormat="1" ht="15.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4" zoomScaleNormal="100" workbookViewId="0">
      <selection activeCell="D96" sqref="D96"/>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6" t="s">
        <v>0</v>
      </c>
      <c r="B1" s="86"/>
      <c r="C1" s="86"/>
      <c r="D1" s="86"/>
      <c r="E1" s="86"/>
      <c r="F1" s="86"/>
      <c r="G1" s="86"/>
      <c r="H1" s="86"/>
      <c r="I1" s="86"/>
      <c r="J1" s="86"/>
      <c r="K1" s="86"/>
    </row>
    <row r="2" spans="1:19" s="1" customFormat="1" ht="22.8" x14ac:dyDescent="0.3">
      <c r="A2" s="87" t="s">
        <v>1</v>
      </c>
      <c r="B2" s="87"/>
      <c r="C2" s="87"/>
      <c r="D2" s="87"/>
      <c r="E2" s="87"/>
      <c r="F2" s="87"/>
      <c r="G2" s="87"/>
      <c r="H2" s="87"/>
      <c r="I2" s="87"/>
      <c r="J2" s="87"/>
      <c r="K2" s="87"/>
    </row>
    <row r="3" spans="1:19" s="1" customFormat="1" x14ac:dyDescent="0.3">
      <c r="A3" s="83" t="s">
        <v>2</v>
      </c>
      <c r="B3" s="83"/>
      <c r="C3" s="83"/>
      <c r="D3" s="83"/>
      <c r="E3" s="83"/>
      <c r="F3" s="83"/>
      <c r="G3" s="83"/>
      <c r="H3" s="83"/>
      <c r="I3" s="83"/>
      <c r="J3" s="83"/>
      <c r="K3" s="83"/>
    </row>
    <row r="4" spans="1:19" s="1" customFormat="1" x14ac:dyDescent="0.3">
      <c r="A4" s="83" t="s">
        <v>3</v>
      </c>
      <c r="B4" s="83"/>
      <c r="C4" s="83"/>
      <c r="D4" s="83"/>
      <c r="E4" s="83"/>
      <c r="F4" s="83"/>
      <c r="G4" s="83"/>
      <c r="H4" s="83"/>
      <c r="I4" s="83"/>
      <c r="J4" s="83"/>
      <c r="K4" s="83"/>
    </row>
    <row r="5" spans="1:19" ht="17.399999999999999" x14ac:dyDescent="0.3">
      <c r="A5" s="88" t="s">
        <v>4</v>
      </c>
      <c r="B5" s="88"/>
      <c r="C5" s="88"/>
      <c r="D5" s="88"/>
      <c r="E5" s="88"/>
      <c r="F5" s="88"/>
      <c r="G5" s="88"/>
      <c r="H5" s="88"/>
      <c r="I5" s="88"/>
      <c r="J5" s="88"/>
      <c r="K5" s="88"/>
    </row>
    <row r="6" spans="1:19" ht="15.6" x14ac:dyDescent="0.3">
      <c r="A6" s="73" t="s">
        <v>46</v>
      </c>
      <c r="B6" s="73"/>
      <c r="C6" s="73"/>
      <c r="D6" s="73"/>
      <c r="E6" s="73"/>
      <c r="F6" s="73"/>
      <c r="G6" s="2"/>
      <c r="H6" s="85" t="s">
        <v>45</v>
      </c>
      <c r="I6" s="85"/>
      <c r="J6" s="85"/>
      <c r="K6" s="85"/>
    </row>
    <row r="7" spans="1:19" ht="15.6" x14ac:dyDescent="0.3">
      <c r="A7" s="92" t="s">
        <v>28</v>
      </c>
      <c r="B7" s="92"/>
      <c r="C7" s="92"/>
      <c r="D7" s="92"/>
      <c r="E7" s="92"/>
      <c r="F7" s="92"/>
      <c r="G7" s="3"/>
      <c r="H7" s="93" t="s">
        <v>47</v>
      </c>
      <c r="I7" s="93"/>
      <c r="J7" s="93"/>
      <c r="K7" s="93"/>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45" x14ac:dyDescent="0.3">
      <c r="A9" s="29">
        <v>1</v>
      </c>
      <c r="B9" s="59" t="s">
        <v>48</v>
      </c>
      <c r="C9" s="36"/>
      <c r="D9" s="36"/>
      <c r="E9" s="36"/>
      <c r="F9" s="36"/>
      <c r="G9" s="36"/>
      <c r="H9" s="36"/>
      <c r="I9" s="36"/>
      <c r="J9" s="36"/>
      <c r="K9" s="36"/>
    </row>
    <row r="10" spans="1:19" ht="15" customHeight="1" x14ac:dyDescent="0.3">
      <c r="A10" s="18"/>
      <c r="B10" s="37" t="s">
        <v>49</v>
      </c>
      <c r="C10" s="36">
        <v>1</v>
      </c>
      <c r="D10" s="38">
        <f>1.93+1.95</f>
        <v>3.88</v>
      </c>
      <c r="E10" s="38">
        <v>0.1</v>
      </c>
      <c r="F10" s="38">
        <f>7.5/3.281</f>
        <v>2.2858884486437061</v>
      </c>
      <c r="G10" s="39">
        <f>PRODUCT(C10:F10)</f>
        <v>0.88692471807375795</v>
      </c>
      <c r="H10" s="40"/>
      <c r="I10" s="40"/>
      <c r="J10" s="40"/>
      <c r="K10" s="21"/>
    </row>
    <row r="11" spans="1:19" ht="15" customHeight="1" x14ac:dyDescent="0.3">
      <c r="A11" s="18"/>
      <c r="B11" s="37"/>
      <c r="C11" s="36">
        <v>3</v>
      </c>
      <c r="D11" s="38">
        <f>1.17/3.281</f>
        <v>0.35659859798841814</v>
      </c>
      <c r="E11" s="38">
        <f>1.17/3.281</f>
        <v>0.35659859798841814</v>
      </c>
      <c r="F11" s="38">
        <f>7.5/3.281</f>
        <v>2.2858884486437061</v>
      </c>
      <c r="G11" s="39">
        <f>PRODUCT(C11:F11)</f>
        <v>0.87203828161059815</v>
      </c>
      <c r="H11" s="40"/>
      <c r="I11" s="40"/>
      <c r="J11" s="40"/>
      <c r="K11" s="21"/>
      <c r="M11" s="89" t="s">
        <v>54</v>
      </c>
      <c r="N11" s="90"/>
      <c r="O11" s="90"/>
      <c r="P11" s="90"/>
      <c r="Q11" s="90"/>
      <c r="R11" s="90"/>
      <c r="S11" s="90"/>
    </row>
    <row r="12" spans="1:19" ht="15" customHeight="1" x14ac:dyDescent="0.3">
      <c r="A12" s="18"/>
      <c r="B12" s="37"/>
      <c r="C12" s="36">
        <v>1</v>
      </c>
      <c r="D12" s="38">
        <v>0.6</v>
      </c>
      <c r="E12" s="38">
        <v>0.6</v>
      </c>
      <c r="F12" s="38">
        <v>1.1499999999999999</v>
      </c>
      <c r="G12" s="39">
        <f>PRODUCT(C12:F12)</f>
        <v>0.41399999999999998</v>
      </c>
      <c r="H12" s="40"/>
      <c r="I12" s="40"/>
      <c r="J12" s="40"/>
      <c r="K12" s="21"/>
    </row>
    <row r="13" spans="1:19" ht="15" customHeight="1" x14ac:dyDescent="0.3">
      <c r="A13" s="18"/>
      <c r="B13" s="37" t="s">
        <v>42</v>
      </c>
      <c r="C13" s="19"/>
      <c r="D13" s="20"/>
      <c r="E13" s="21"/>
      <c r="F13" s="21"/>
      <c r="G13" s="23">
        <f>SUM(G10:G12)</f>
        <v>2.1729629996843562</v>
      </c>
      <c r="H13" s="22" t="s">
        <v>41</v>
      </c>
      <c r="I13" s="23">
        <v>1950</v>
      </c>
      <c r="J13" s="41">
        <f>G13*I13</f>
        <v>4237.2778493844944</v>
      </c>
      <c r="K13" s="21"/>
    </row>
    <row r="14" spans="1:19" ht="15" customHeight="1" x14ac:dyDescent="0.3">
      <c r="A14" s="18"/>
      <c r="B14" s="59"/>
      <c r="C14" s="19"/>
      <c r="D14" s="20"/>
      <c r="E14" s="21"/>
      <c r="F14" s="21"/>
      <c r="G14" s="23"/>
      <c r="H14" s="22"/>
      <c r="I14" s="23"/>
      <c r="J14" s="41"/>
      <c r="K14" s="21"/>
    </row>
    <row r="15" spans="1:19" ht="124.2" x14ac:dyDescent="0.3">
      <c r="A15" s="18">
        <v>2</v>
      </c>
      <c r="B15" s="30" t="s">
        <v>44</v>
      </c>
      <c r="C15" s="19"/>
      <c r="D15" s="20"/>
      <c r="E15" s="21"/>
      <c r="F15" s="21"/>
      <c r="G15" s="23"/>
      <c r="H15" s="22"/>
      <c r="I15" s="23"/>
      <c r="J15" s="41"/>
      <c r="K15" s="21"/>
    </row>
    <row r="16" spans="1:19" ht="15" customHeight="1" x14ac:dyDescent="0.3">
      <c r="A16" s="18"/>
      <c r="B16" s="37" t="s">
        <v>49</v>
      </c>
      <c r="C16" s="36">
        <v>1</v>
      </c>
      <c r="D16" s="38">
        <f>4.98+5.55</f>
        <v>10.530000000000001</v>
      </c>
      <c r="E16" s="38">
        <v>0.46</v>
      </c>
      <c r="F16" s="38">
        <v>0.75</v>
      </c>
      <c r="G16" s="39">
        <f>PRODUCT(C16:F16)</f>
        <v>3.6328500000000004</v>
      </c>
      <c r="H16" s="40"/>
      <c r="I16" s="40"/>
      <c r="J16" s="40"/>
      <c r="K16" s="21"/>
    </row>
    <row r="17" spans="1:11" ht="15" customHeight="1" x14ac:dyDescent="0.3">
      <c r="A17" s="18"/>
      <c r="B17" s="37" t="s">
        <v>42</v>
      </c>
      <c r="C17" s="19"/>
      <c r="D17" s="20"/>
      <c r="E17" s="21"/>
      <c r="F17" s="21"/>
      <c r="G17" s="23">
        <f>SUM(G16:G16)</f>
        <v>3.6328500000000004</v>
      </c>
      <c r="H17" s="22" t="s">
        <v>41</v>
      </c>
      <c r="I17" s="23">
        <v>64.63</v>
      </c>
      <c r="J17" s="41">
        <f>G17*I17</f>
        <v>234.79109550000001</v>
      </c>
      <c r="K17" s="21"/>
    </row>
    <row r="18" spans="1:11" ht="15" customHeight="1" x14ac:dyDescent="0.3">
      <c r="A18" s="18"/>
      <c r="B18" s="37" t="s">
        <v>40</v>
      </c>
      <c r="C18" s="19"/>
      <c r="D18" s="20"/>
      <c r="E18" s="21"/>
      <c r="F18" s="21"/>
      <c r="G18" s="23"/>
      <c r="H18" s="22"/>
      <c r="I18" s="23"/>
      <c r="J18" s="41">
        <f>0.13*G17*19284/360</f>
        <v>25.297956450000001</v>
      </c>
      <c r="K18" s="21"/>
    </row>
    <row r="19" spans="1:11" ht="15" customHeight="1" x14ac:dyDescent="0.3">
      <c r="A19" s="18"/>
      <c r="B19" s="59"/>
      <c r="C19" s="19"/>
      <c r="D19" s="20"/>
      <c r="E19" s="21"/>
      <c r="F19" s="21"/>
      <c r="G19" s="23"/>
      <c r="H19" s="22"/>
      <c r="I19" s="23"/>
      <c r="J19" s="41"/>
      <c r="K19" s="21"/>
    </row>
    <row r="20" spans="1:11" ht="30" x14ac:dyDescent="0.3">
      <c r="A20" s="18">
        <v>3</v>
      </c>
      <c r="B20" s="59" t="s">
        <v>59</v>
      </c>
      <c r="C20" s="19"/>
      <c r="D20" s="20"/>
      <c r="E20" s="21"/>
      <c r="F20" s="21"/>
      <c r="G20" s="23"/>
      <c r="H20" s="22"/>
      <c r="I20" s="23"/>
      <c r="J20" s="41"/>
      <c r="K20" s="21"/>
    </row>
    <row r="21" spans="1:11" ht="15" customHeight="1" x14ac:dyDescent="0.3">
      <c r="A21" s="18"/>
      <c r="B21" s="37" t="s">
        <v>55</v>
      </c>
      <c r="C21" s="36">
        <v>1</v>
      </c>
      <c r="D21" s="38">
        <v>0.6</v>
      </c>
      <c r="E21" s="38">
        <v>0.6</v>
      </c>
      <c r="F21" s="38">
        <v>0.9</v>
      </c>
      <c r="G21" s="39">
        <f>PRODUCT(C21:F21)</f>
        <v>0.32400000000000001</v>
      </c>
      <c r="H21" s="40"/>
      <c r="I21" s="40"/>
      <c r="J21" s="40"/>
      <c r="K21" s="21"/>
    </row>
    <row r="22" spans="1:11" ht="15" customHeight="1" x14ac:dyDescent="0.3">
      <c r="A22" s="18"/>
      <c r="B22" s="37" t="s">
        <v>42</v>
      </c>
      <c r="C22" s="19"/>
      <c r="D22" s="20"/>
      <c r="E22" s="21"/>
      <c r="F22" s="21"/>
      <c r="G22" s="23">
        <f>SUM(G21:G21)</f>
        <v>0.32400000000000001</v>
      </c>
      <c r="H22" s="22" t="s">
        <v>41</v>
      </c>
      <c r="I22" s="23">
        <v>663.31</v>
      </c>
      <c r="J22" s="41">
        <f>G22*I22</f>
        <v>214.91243999999998</v>
      </c>
      <c r="K22" s="21"/>
    </row>
    <row r="23" spans="1:11" ht="15" customHeight="1" x14ac:dyDescent="0.3">
      <c r="A23" s="18"/>
      <c r="B23" s="37"/>
      <c r="C23" s="19"/>
      <c r="D23" s="20"/>
      <c r="E23" s="21"/>
      <c r="F23" s="21"/>
      <c r="G23" s="23"/>
      <c r="H23" s="22"/>
      <c r="I23" s="23"/>
      <c r="J23" s="41"/>
      <c r="K23" s="21"/>
    </row>
    <row r="24" spans="1:11" ht="15" x14ac:dyDescent="0.3">
      <c r="A24" s="18">
        <v>4</v>
      </c>
      <c r="B24" s="59" t="s">
        <v>74</v>
      </c>
      <c r="C24" s="19"/>
      <c r="D24" s="20"/>
      <c r="E24" s="21"/>
      <c r="F24" s="21"/>
      <c r="G24" s="23"/>
      <c r="H24" s="22"/>
      <c r="I24" s="23"/>
      <c r="J24" s="41"/>
      <c r="K24" s="21"/>
    </row>
    <row r="25" spans="1:11" ht="15" customHeight="1" x14ac:dyDescent="0.3">
      <c r="A25" s="18"/>
      <c r="B25" s="37" t="s">
        <v>60</v>
      </c>
      <c r="C25" s="19">
        <v>1</v>
      </c>
      <c r="D25" s="20">
        <f>D16</f>
        <v>10.530000000000001</v>
      </c>
      <c r="E25" s="21">
        <f>E16</f>
        <v>0.46</v>
      </c>
      <c r="F25" s="21"/>
      <c r="G25" s="39">
        <f>PRODUCT(C25:F25)</f>
        <v>4.8438000000000008</v>
      </c>
      <c r="H25" s="22"/>
      <c r="I25" s="23"/>
      <c r="J25" s="41"/>
      <c r="K25" s="21"/>
    </row>
    <row r="26" spans="1:11" ht="15" customHeight="1" x14ac:dyDescent="0.3">
      <c r="A26" s="18"/>
      <c r="B26" s="37"/>
      <c r="C26" s="19">
        <v>1</v>
      </c>
      <c r="D26" s="20">
        <f>D21</f>
        <v>0.6</v>
      </c>
      <c r="E26" s="21">
        <f>E21</f>
        <v>0.6</v>
      </c>
      <c r="F26" s="21"/>
      <c r="G26" s="39">
        <f>PRODUCT(C26:F26)</f>
        <v>0.36</v>
      </c>
      <c r="H26" s="22"/>
      <c r="I26" s="23"/>
      <c r="J26" s="41"/>
      <c r="K26" s="21"/>
    </row>
    <row r="27" spans="1:11" ht="15" customHeight="1" x14ac:dyDescent="0.3">
      <c r="A27" s="18"/>
      <c r="B27" s="37" t="s">
        <v>42</v>
      </c>
      <c r="C27" s="19"/>
      <c r="D27" s="20"/>
      <c r="E27" s="21"/>
      <c r="F27" s="21"/>
      <c r="G27" s="23">
        <f>SUM(G25:G26)</f>
        <v>5.2038000000000011</v>
      </c>
      <c r="H27" s="22" t="s">
        <v>64</v>
      </c>
      <c r="I27" s="23">
        <v>1014.97</v>
      </c>
      <c r="J27" s="41">
        <f>G27*I27</f>
        <v>5281.7008860000014</v>
      </c>
      <c r="K27" s="21"/>
    </row>
    <row r="28" spans="1:11" ht="15" customHeight="1" x14ac:dyDescent="0.3">
      <c r="A28" s="18"/>
      <c r="B28" s="37" t="s">
        <v>40</v>
      </c>
      <c r="C28" s="19"/>
      <c r="D28" s="20"/>
      <c r="E28" s="21"/>
      <c r="F28" s="21"/>
      <c r="G28" s="23"/>
      <c r="H28" s="22"/>
      <c r="I28" s="23"/>
      <c r="J28" s="41">
        <f>0.13*G27*8617.2/10</f>
        <v>582.94840968000017</v>
      </c>
      <c r="K28" s="21"/>
    </row>
    <row r="29" spans="1:11" ht="15" customHeight="1" x14ac:dyDescent="0.3">
      <c r="A29" s="18"/>
      <c r="B29" s="37"/>
      <c r="C29" s="19"/>
      <c r="D29" s="20"/>
      <c r="E29" s="21"/>
      <c r="F29" s="21"/>
      <c r="G29" s="23"/>
      <c r="H29" s="22"/>
      <c r="I29" s="23"/>
      <c r="J29" s="41"/>
      <c r="K29" s="21"/>
    </row>
    <row r="30" spans="1:11" ht="30" x14ac:dyDescent="0.3">
      <c r="A30" s="18">
        <v>5</v>
      </c>
      <c r="B30" s="59" t="s">
        <v>75</v>
      </c>
      <c r="C30" s="19"/>
      <c r="D30" s="20"/>
      <c r="E30" s="21"/>
      <c r="F30" s="21"/>
      <c r="G30" s="23"/>
      <c r="H30" s="22"/>
      <c r="I30" s="23"/>
      <c r="J30" s="41"/>
      <c r="K30" s="21"/>
    </row>
    <row r="31" spans="1:11" ht="15" customHeight="1" x14ac:dyDescent="0.3">
      <c r="A31" s="18"/>
      <c r="B31" s="37" t="s">
        <v>60</v>
      </c>
      <c r="C31" s="19">
        <f t="shared" ref="C31:E32" si="0">C25</f>
        <v>1</v>
      </c>
      <c r="D31" s="20">
        <f t="shared" si="0"/>
        <v>10.530000000000001</v>
      </c>
      <c r="E31" s="21">
        <f t="shared" si="0"/>
        <v>0.46</v>
      </c>
      <c r="F31" s="21">
        <v>0.05</v>
      </c>
      <c r="G31" s="39">
        <f>PRODUCT(C31:F31)</f>
        <v>0.24219000000000004</v>
      </c>
      <c r="H31" s="22"/>
      <c r="I31" s="23"/>
      <c r="J31" s="41"/>
      <c r="K31" s="21"/>
    </row>
    <row r="32" spans="1:11" ht="15" customHeight="1" x14ac:dyDescent="0.3">
      <c r="A32" s="18"/>
      <c r="B32" s="37"/>
      <c r="C32" s="19">
        <f t="shared" si="0"/>
        <v>1</v>
      </c>
      <c r="D32" s="20">
        <f t="shared" si="0"/>
        <v>0.6</v>
      </c>
      <c r="E32" s="21">
        <f t="shared" si="0"/>
        <v>0.6</v>
      </c>
      <c r="F32" s="21">
        <v>0.05</v>
      </c>
      <c r="G32" s="39">
        <f>PRODUCT(C32:F32)</f>
        <v>1.7999999999999999E-2</v>
      </c>
      <c r="H32" s="22"/>
      <c r="I32" s="23"/>
      <c r="J32" s="41"/>
      <c r="K32" s="21"/>
    </row>
    <row r="33" spans="1:11" ht="15" customHeight="1" x14ac:dyDescent="0.3">
      <c r="A33" s="18"/>
      <c r="B33" s="37" t="s">
        <v>42</v>
      </c>
      <c r="C33" s="19"/>
      <c r="D33" s="20"/>
      <c r="E33" s="21"/>
      <c r="F33" s="21"/>
      <c r="G33" s="23">
        <f>SUM(G31:G32)</f>
        <v>0.26019000000000003</v>
      </c>
      <c r="H33" s="22" t="s">
        <v>41</v>
      </c>
      <c r="I33" s="23">
        <v>12983.1</v>
      </c>
      <c r="J33" s="41">
        <f>G33*I33</f>
        <v>3378.0727890000007</v>
      </c>
      <c r="K33" s="21"/>
    </row>
    <row r="34" spans="1:11" ht="15" customHeight="1" x14ac:dyDescent="0.3">
      <c r="A34" s="18"/>
      <c r="B34" s="37" t="s">
        <v>40</v>
      </c>
      <c r="C34" s="19"/>
      <c r="D34" s="20"/>
      <c r="E34" s="21"/>
      <c r="F34" s="21"/>
      <c r="G34" s="23"/>
      <c r="H34" s="22"/>
      <c r="I34" s="23"/>
      <c r="J34" s="41">
        <f>0.13*G33*8078.11</f>
        <v>273.23964731700005</v>
      </c>
      <c r="K34" s="21"/>
    </row>
    <row r="35" spans="1:11" ht="15" customHeight="1" x14ac:dyDescent="0.3">
      <c r="A35" s="18"/>
      <c r="B35" s="37"/>
      <c r="C35" s="19"/>
      <c r="D35" s="20"/>
      <c r="E35" s="21"/>
      <c r="F35" s="21"/>
      <c r="G35" s="23"/>
      <c r="H35" s="22"/>
      <c r="I35" s="23"/>
      <c r="J35" s="41"/>
      <c r="K35" s="21"/>
    </row>
    <row r="36" spans="1:11" ht="33.6" x14ac:dyDescent="0.3">
      <c r="A36" s="18">
        <v>6</v>
      </c>
      <c r="B36" s="59" t="s">
        <v>76</v>
      </c>
      <c r="C36" s="19"/>
      <c r="D36" s="20"/>
      <c r="E36" s="21"/>
      <c r="F36" s="21"/>
      <c r="G36" s="23"/>
      <c r="H36" s="22"/>
      <c r="I36" s="23"/>
      <c r="J36" s="41"/>
      <c r="K36" s="21"/>
    </row>
    <row r="37" spans="1:11" ht="15" customHeight="1" x14ac:dyDescent="0.3">
      <c r="A37" s="18"/>
      <c r="B37" s="37" t="s">
        <v>60</v>
      </c>
      <c r="C37" s="19">
        <f>C32</f>
        <v>1</v>
      </c>
      <c r="D37" s="20">
        <f>D32</f>
        <v>0.6</v>
      </c>
      <c r="E37" s="21">
        <f>E32</f>
        <v>0.6</v>
      </c>
      <c r="F37" s="21">
        <v>0.22500000000000001</v>
      </c>
      <c r="G37" s="39">
        <f>PRODUCT(C37:F37)</f>
        <v>8.1000000000000003E-2</v>
      </c>
      <c r="H37" s="22"/>
      <c r="I37" s="23"/>
      <c r="J37" s="41"/>
      <c r="K37" s="21"/>
    </row>
    <row r="38" spans="1:11" ht="15" customHeight="1" x14ac:dyDescent="0.3">
      <c r="A38" s="18"/>
      <c r="B38" s="37"/>
      <c r="C38" s="19">
        <v>1</v>
      </c>
      <c r="D38" s="20">
        <v>0.23</v>
      </c>
      <c r="E38" s="21">
        <v>0.23</v>
      </c>
      <c r="F38" s="21">
        <f>0.675+1.8</f>
        <v>2.4750000000000001</v>
      </c>
      <c r="G38" s="39">
        <f>PRODUCT(C38:F38)</f>
        <v>0.1309275</v>
      </c>
      <c r="H38" s="22"/>
      <c r="I38" s="23"/>
      <c r="J38" s="41"/>
      <c r="K38" s="21"/>
    </row>
    <row r="39" spans="1:11" ht="15" customHeight="1" x14ac:dyDescent="0.3">
      <c r="A39" s="18"/>
      <c r="B39" s="37" t="s">
        <v>86</v>
      </c>
      <c r="C39" s="36">
        <v>2</v>
      </c>
      <c r="D39" s="38">
        <f>D60</f>
        <v>11.48</v>
      </c>
      <c r="E39" s="38">
        <v>0.23</v>
      </c>
      <c r="F39" s="38">
        <v>7.4999999999999997E-2</v>
      </c>
      <c r="G39" s="39">
        <f>PRODUCT(C39:F39)</f>
        <v>0.39606000000000002</v>
      </c>
      <c r="H39" s="40"/>
      <c r="I39" s="40"/>
      <c r="J39" s="40"/>
      <c r="K39" s="21"/>
    </row>
    <row r="40" spans="1:11" ht="15" customHeight="1" x14ac:dyDescent="0.3">
      <c r="A40" s="18"/>
      <c r="B40" s="37"/>
      <c r="C40" s="36">
        <v>2</v>
      </c>
      <c r="D40" s="38">
        <f>D64</f>
        <v>9.4602042060347458</v>
      </c>
      <c r="E40" s="38">
        <v>0.23</v>
      </c>
      <c r="F40" s="38">
        <v>7.4999999999999997E-2</v>
      </c>
      <c r="G40" s="39">
        <f>PRODUCT(C40:F40)</f>
        <v>0.3263770451081987</v>
      </c>
      <c r="H40" s="40"/>
      <c r="I40" s="40"/>
      <c r="J40" s="40"/>
      <c r="K40" s="21"/>
    </row>
    <row r="41" spans="1:11" ht="15" customHeight="1" x14ac:dyDescent="0.3">
      <c r="A41" s="18"/>
      <c r="B41" s="37" t="s">
        <v>42</v>
      </c>
      <c r="C41" s="19"/>
      <c r="D41" s="20"/>
      <c r="E41" s="21"/>
      <c r="F41" s="21"/>
      <c r="G41" s="23">
        <f>SUM(G37:G40)</f>
        <v>0.93436454510819877</v>
      </c>
      <c r="H41" s="22" t="s">
        <v>41</v>
      </c>
      <c r="I41" s="23">
        <v>16512.62</v>
      </c>
      <c r="J41" s="41">
        <f>G41*I41</f>
        <v>15428.806674844544</v>
      </c>
      <c r="K41" s="21"/>
    </row>
    <row r="42" spans="1:11" ht="15" customHeight="1" x14ac:dyDescent="0.3">
      <c r="A42" s="18"/>
      <c r="B42" s="37" t="s">
        <v>40</v>
      </c>
      <c r="C42" s="19"/>
      <c r="D42" s="20"/>
      <c r="E42" s="21"/>
      <c r="F42" s="21"/>
      <c r="G42" s="23"/>
      <c r="H42" s="22"/>
      <c r="I42" s="23"/>
      <c r="J42" s="41">
        <f>0.13*G41*9092.62</f>
        <v>1104.4568275184224</v>
      </c>
      <c r="K42" s="21"/>
    </row>
    <row r="43" spans="1:11" ht="15" customHeight="1" x14ac:dyDescent="0.3">
      <c r="A43" s="18"/>
      <c r="B43" s="37"/>
      <c r="C43" s="19"/>
      <c r="D43" s="20"/>
      <c r="E43" s="21"/>
      <c r="F43" s="21"/>
      <c r="G43" s="23"/>
      <c r="H43" s="22"/>
      <c r="I43" s="23"/>
      <c r="J43" s="41"/>
      <c r="K43" s="21"/>
    </row>
    <row r="44" spans="1:11" ht="30" x14ac:dyDescent="0.3">
      <c r="A44" s="18">
        <v>7</v>
      </c>
      <c r="B44" s="59" t="s">
        <v>77</v>
      </c>
      <c r="C44" s="19"/>
      <c r="D44" s="20"/>
      <c r="E44" s="21"/>
      <c r="F44" s="21"/>
      <c r="G44" s="23"/>
      <c r="H44" s="22"/>
      <c r="I44" s="23"/>
      <c r="J44" s="41"/>
      <c r="K44" s="21"/>
    </row>
    <row r="45" spans="1:11" ht="15" customHeight="1" x14ac:dyDescent="0.3">
      <c r="A45" s="18"/>
      <c r="B45" s="37" t="s">
        <v>60</v>
      </c>
      <c r="C45" s="19">
        <f>C38</f>
        <v>1</v>
      </c>
      <c r="D45" s="20">
        <f>0.6*4</f>
        <v>2.4</v>
      </c>
      <c r="E45" s="21"/>
      <c r="F45" s="21">
        <v>0.22500000000000001</v>
      </c>
      <c r="G45" s="39">
        <f>PRODUCT(C45:F45)</f>
        <v>0.54</v>
      </c>
      <c r="H45" s="22"/>
      <c r="I45" s="23"/>
      <c r="J45" s="41"/>
      <c r="K45" s="21"/>
    </row>
    <row r="46" spans="1:11" ht="15" customHeight="1" x14ac:dyDescent="0.3">
      <c r="A46" s="18"/>
      <c r="B46" s="37"/>
      <c r="C46" s="19">
        <v>1</v>
      </c>
      <c r="D46" s="20">
        <f>0.23*4</f>
        <v>0.92</v>
      </c>
      <c r="E46" s="21"/>
      <c r="F46" s="21">
        <f>0.675+1.8</f>
        <v>2.4750000000000001</v>
      </c>
      <c r="G46" s="39">
        <f>PRODUCT(C46:F46)</f>
        <v>2.2770000000000001</v>
      </c>
      <c r="H46" s="22"/>
      <c r="I46" s="23"/>
      <c r="J46" s="41"/>
      <c r="K46" s="21"/>
    </row>
    <row r="47" spans="1:11" ht="15" customHeight="1" x14ac:dyDescent="0.3">
      <c r="A47" s="18"/>
      <c r="B47" s="37" t="s">
        <v>42</v>
      </c>
      <c r="C47" s="19"/>
      <c r="D47" s="20"/>
      <c r="E47" s="21"/>
      <c r="F47" s="21"/>
      <c r="G47" s="23">
        <f>SUM(G45:G46)</f>
        <v>2.8170000000000002</v>
      </c>
      <c r="H47" s="22" t="s">
        <v>53</v>
      </c>
      <c r="I47" s="23">
        <v>915.42</v>
      </c>
      <c r="J47" s="41">
        <f>G47*I47</f>
        <v>2578.7381399999999</v>
      </c>
      <c r="K47" s="21"/>
    </row>
    <row r="48" spans="1:11" ht="15" customHeight="1" x14ac:dyDescent="0.3">
      <c r="A48" s="18"/>
      <c r="B48" s="37" t="s">
        <v>40</v>
      </c>
      <c r="C48" s="19"/>
      <c r="D48" s="20"/>
      <c r="E48" s="21"/>
      <c r="F48" s="21"/>
      <c r="G48" s="23"/>
      <c r="H48" s="22"/>
      <c r="I48" s="23"/>
      <c r="J48" s="41">
        <f>0.13*G47*46827.87/100</f>
        <v>171.48834272700003</v>
      </c>
      <c r="K48" s="21"/>
    </row>
    <row r="49" spans="1:15" ht="15" customHeight="1" x14ac:dyDescent="0.3">
      <c r="A49" s="18"/>
      <c r="B49" s="37"/>
      <c r="C49" s="19"/>
      <c r="D49" s="20"/>
      <c r="E49" s="21"/>
      <c r="F49" s="21"/>
      <c r="G49" s="23"/>
      <c r="H49" s="22"/>
      <c r="I49" s="23"/>
      <c r="J49" s="41"/>
      <c r="K49" s="21"/>
    </row>
    <row r="50" spans="1:15" ht="30" x14ac:dyDescent="0.3">
      <c r="A50" s="18">
        <v>8</v>
      </c>
      <c r="B50" s="59" t="s">
        <v>78</v>
      </c>
      <c r="C50" s="19" t="s">
        <v>7</v>
      </c>
      <c r="D50" s="68" t="s">
        <v>43</v>
      </c>
      <c r="E50" s="69" t="s">
        <v>79</v>
      </c>
      <c r="F50" s="69" t="s">
        <v>80</v>
      </c>
      <c r="G50" s="69" t="s">
        <v>81</v>
      </c>
      <c r="H50" s="22"/>
      <c r="I50" s="23"/>
      <c r="J50" s="41"/>
      <c r="K50" s="21"/>
    </row>
    <row r="51" spans="1:15" ht="15" customHeight="1" x14ac:dyDescent="0.3">
      <c r="A51" s="18"/>
      <c r="B51" s="37" t="s">
        <v>83</v>
      </c>
      <c r="C51" s="19">
        <v>6</v>
      </c>
      <c r="D51" s="20">
        <v>0.6</v>
      </c>
      <c r="E51" s="21">
        <f>8*8/162</f>
        <v>0.39506172839506171</v>
      </c>
      <c r="F51" s="21">
        <f>PRODUCT(C51:E51)</f>
        <v>1.4222222222222221</v>
      </c>
      <c r="G51" s="70">
        <f>F51/1000</f>
        <v>1.4222222222222221E-3</v>
      </c>
      <c r="H51" s="22"/>
      <c r="I51" s="23"/>
      <c r="J51" s="41"/>
      <c r="K51" s="21"/>
    </row>
    <row r="52" spans="1:15" ht="15" customHeight="1" x14ac:dyDescent="0.3">
      <c r="A52" s="18"/>
      <c r="B52" s="37" t="s">
        <v>82</v>
      </c>
      <c r="C52" s="19">
        <v>4</v>
      </c>
      <c r="D52" s="20">
        <f>0.675+1.8+0.6</f>
        <v>3.0750000000000002</v>
      </c>
      <c r="E52" s="21">
        <f>12*12/162</f>
        <v>0.88888888888888884</v>
      </c>
      <c r="F52" s="21">
        <f>PRODUCT(C52:E52)</f>
        <v>10.933333333333334</v>
      </c>
      <c r="G52" s="70">
        <f>F52/1000</f>
        <v>1.0933333333333333E-2</v>
      </c>
      <c r="H52" s="22"/>
      <c r="I52" s="23"/>
      <c r="J52" s="41"/>
      <c r="K52" s="21"/>
    </row>
    <row r="53" spans="1:15" ht="15" customHeight="1" x14ac:dyDescent="0.3">
      <c r="A53" s="18"/>
      <c r="B53" s="37" t="s">
        <v>84</v>
      </c>
      <c r="C53" s="19">
        <v>16</v>
      </c>
      <c r="D53" s="20">
        <f>(7/12/3.281)*4</f>
        <v>0.7111652951335975</v>
      </c>
      <c r="E53" s="21">
        <f>8*8/162</f>
        <v>0.39506172839506171</v>
      </c>
      <c r="F53" s="21">
        <f>PRODUCT(C53:E53)</f>
        <v>4.4952670507210115</v>
      </c>
      <c r="G53" s="70">
        <f>F53/1000</f>
        <v>4.4952670507210114E-3</v>
      </c>
      <c r="H53" s="22"/>
      <c r="I53" s="23"/>
      <c r="J53" s="41"/>
      <c r="K53" s="21"/>
    </row>
    <row r="54" spans="1:15" ht="15" customHeight="1" x14ac:dyDescent="0.3">
      <c r="A54" s="18"/>
      <c r="B54" s="37" t="s">
        <v>87</v>
      </c>
      <c r="C54" s="19">
        <v>4</v>
      </c>
      <c r="D54" s="20">
        <f>D39+D40-0.05*10</f>
        <v>20.440204206034746</v>
      </c>
      <c r="E54" s="21">
        <f>10*10/162</f>
        <v>0.61728395061728392</v>
      </c>
      <c r="F54" s="21">
        <f>PRODUCT(C54:E54)</f>
        <v>50.469640014900605</v>
      </c>
      <c r="G54" s="70">
        <f>F54/1000</f>
        <v>5.0469640014900605E-2</v>
      </c>
      <c r="H54" s="22"/>
      <c r="I54" s="23"/>
      <c r="J54" s="41"/>
      <c r="K54" s="21"/>
    </row>
    <row r="55" spans="1:15" ht="15" customHeight="1" x14ac:dyDescent="0.3">
      <c r="A55" s="18"/>
      <c r="B55" s="37" t="s">
        <v>88</v>
      </c>
      <c r="C55" s="19">
        <v>135</v>
      </c>
      <c r="D55" s="20">
        <f>(7+2+2)/12/3.281</f>
        <v>0.27938636594534183</v>
      </c>
      <c r="E55" s="21">
        <f>8*8/162</f>
        <v>0.39506172839506171</v>
      </c>
      <c r="F55" s="21">
        <f>PRODUCT(C55:E55)</f>
        <v>14.900606183751565</v>
      </c>
      <c r="G55" s="70">
        <f>F55/1000</f>
        <v>1.4900606183751565E-2</v>
      </c>
      <c r="H55" s="22"/>
      <c r="I55" s="23"/>
      <c r="J55" s="41"/>
      <c r="K55" s="21"/>
    </row>
    <row r="56" spans="1:15" ht="15" customHeight="1" x14ac:dyDescent="0.3">
      <c r="A56" s="18"/>
      <c r="B56" s="37" t="s">
        <v>42</v>
      </c>
      <c r="C56" s="19"/>
      <c r="D56" s="20"/>
      <c r="E56" s="21"/>
      <c r="F56" s="21"/>
      <c r="G56" s="23">
        <f>SUM(G51:G55)</f>
        <v>8.2221068804928729E-2</v>
      </c>
      <c r="H56" s="22" t="s">
        <v>56</v>
      </c>
      <c r="I56" s="23">
        <v>131940</v>
      </c>
      <c r="J56" s="41">
        <f>G56*I56</f>
        <v>10848.247818122296</v>
      </c>
      <c r="K56" s="21"/>
    </row>
    <row r="57" spans="1:15" ht="15" customHeight="1" x14ac:dyDescent="0.3">
      <c r="A57" s="18"/>
      <c r="B57" s="37" t="s">
        <v>40</v>
      </c>
      <c r="C57" s="19"/>
      <c r="D57" s="20"/>
      <c r="E57" s="21"/>
      <c r="F57" s="21"/>
      <c r="G57" s="23"/>
      <c r="H57" s="22"/>
      <c r="I57" s="23"/>
      <c r="J57" s="41">
        <f>0.13*G56*106200</f>
        <v>1135.144075920846</v>
      </c>
      <c r="K57" s="21"/>
    </row>
    <row r="58" spans="1:15" ht="15" customHeight="1" x14ac:dyDescent="0.3">
      <c r="A58" s="18"/>
      <c r="B58" s="37"/>
      <c r="C58" s="19"/>
      <c r="D58" s="20"/>
      <c r="E58" s="21"/>
      <c r="F58" s="21"/>
      <c r="G58" s="23"/>
      <c r="H58" s="22"/>
      <c r="I58" s="23"/>
      <c r="J58" s="41"/>
      <c r="K58" s="21"/>
    </row>
    <row r="59" spans="1:15" ht="30" x14ac:dyDescent="0.3">
      <c r="A59" s="18">
        <v>9</v>
      </c>
      <c r="B59" s="59" t="s">
        <v>50</v>
      </c>
      <c r="C59" s="19"/>
      <c r="D59" s="20"/>
      <c r="E59" s="21"/>
      <c r="F59" s="21"/>
      <c r="G59" s="23"/>
      <c r="H59" s="22"/>
      <c r="I59" s="23"/>
      <c r="J59" s="41"/>
      <c r="K59" s="21"/>
      <c r="N59">
        <f>18.833*2</f>
        <v>37.665999999999997</v>
      </c>
    </row>
    <row r="60" spans="1:15" ht="15" customHeight="1" x14ac:dyDescent="0.3">
      <c r="A60" s="18"/>
      <c r="B60" s="37" t="s">
        <v>58</v>
      </c>
      <c r="C60" s="36">
        <v>1</v>
      </c>
      <c r="D60" s="38">
        <v>11.48</v>
      </c>
      <c r="E60" s="38">
        <v>0.23</v>
      </c>
      <c r="F60" s="38">
        <f>2.083/3.281</f>
        <v>0.63486741846997874</v>
      </c>
      <c r="G60" s="39">
        <f>PRODUCT(C60:F60)</f>
        <v>1.6763039317281319</v>
      </c>
      <c r="H60" s="40"/>
      <c r="I60" s="40"/>
      <c r="J60" s="40"/>
      <c r="K60" s="21"/>
      <c r="M60">
        <f>19.083*2/3.281</f>
        <v>11.632429137458091</v>
      </c>
      <c r="N60">
        <f>18.833*2/3.281</f>
        <v>11.480036574215177</v>
      </c>
    </row>
    <row r="61" spans="1:15" ht="15" customHeight="1" x14ac:dyDescent="0.3">
      <c r="A61" s="18"/>
      <c r="B61" s="37"/>
      <c r="C61" s="36">
        <v>1</v>
      </c>
      <c r="D61" s="38">
        <v>0.40600000000000003</v>
      </c>
      <c r="E61" s="38">
        <v>0.23</v>
      </c>
      <c r="F61" s="38">
        <f>6/3.281+0.675</f>
        <v>2.503710758914965</v>
      </c>
      <c r="G61" s="39">
        <f>PRODUCT(C61:F61)</f>
        <v>0.23379651066747945</v>
      </c>
      <c r="H61" s="40"/>
      <c r="I61" s="40"/>
      <c r="J61" s="40"/>
      <c r="K61" s="21"/>
    </row>
    <row r="62" spans="1:15" ht="15" customHeight="1" x14ac:dyDescent="0.3">
      <c r="A62" s="18"/>
      <c r="B62" s="37" t="s">
        <v>85</v>
      </c>
      <c r="C62" s="36">
        <v>-2</v>
      </c>
      <c r="D62" s="38">
        <f>D60</f>
        <v>11.48</v>
      </c>
      <c r="E62" s="38">
        <f>E60</f>
        <v>0.23</v>
      </c>
      <c r="F62" s="38">
        <v>7.4999999999999997E-2</v>
      </c>
      <c r="G62" s="39">
        <f>PRODUCT(C62:F62)</f>
        <v>-0.39606000000000002</v>
      </c>
      <c r="H62" s="40"/>
      <c r="I62" s="40"/>
      <c r="J62" s="40"/>
      <c r="K62" s="21"/>
    </row>
    <row r="63" spans="1:15" ht="15" customHeight="1" x14ac:dyDescent="0.3">
      <c r="A63" s="18"/>
      <c r="B63" s="37" t="s">
        <v>57</v>
      </c>
      <c r="C63" s="36">
        <v>1</v>
      </c>
      <c r="D63" s="38">
        <f>4.98+5.55-(3*(1.17/3.281))</f>
        <v>9.4602042060347458</v>
      </c>
      <c r="E63" s="38">
        <v>0.23</v>
      </c>
      <c r="F63" s="38">
        <f>1.8+0.4+0.15</f>
        <v>2.35</v>
      </c>
      <c r="G63" s="39">
        <f t="shared" ref="G63:G67" si="1">PRODUCT(C63:F63)</f>
        <v>5.1132403733617799</v>
      </c>
      <c r="H63" s="40"/>
      <c r="I63" s="40"/>
      <c r="J63" s="40"/>
      <c r="K63" s="21"/>
      <c r="N63">
        <f>D63/3.18</f>
        <v>2.9749069830297943</v>
      </c>
      <c r="O63" s="60" t="s">
        <v>52</v>
      </c>
    </row>
    <row r="64" spans="1:15" ht="15" customHeight="1" x14ac:dyDescent="0.3">
      <c r="A64" s="18"/>
      <c r="B64" s="37" t="s">
        <v>85</v>
      </c>
      <c r="C64" s="36">
        <v>-2</v>
      </c>
      <c r="D64" s="38">
        <f>D63</f>
        <v>9.4602042060347458</v>
      </c>
      <c r="E64" s="38">
        <f>E62</f>
        <v>0.23</v>
      </c>
      <c r="F64" s="38">
        <v>7.4999999999999997E-2</v>
      </c>
      <c r="G64" s="39">
        <f>PRODUCT(C64:F64)</f>
        <v>-0.3263770451081987</v>
      </c>
      <c r="H64" s="40"/>
      <c r="I64" s="40"/>
      <c r="J64" s="40"/>
      <c r="K64" s="21"/>
    </row>
    <row r="65" spans="1:11" ht="15" customHeight="1" x14ac:dyDescent="0.3">
      <c r="A65" s="18"/>
      <c r="B65" s="37"/>
      <c r="C65" s="36">
        <v>3</v>
      </c>
      <c r="D65" s="38">
        <f>1.17/3.281</f>
        <v>0.35659859798841814</v>
      </c>
      <c r="E65" s="38">
        <f>1.17/3.281</f>
        <v>0.35659859798841814</v>
      </c>
      <c r="F65" s="38">
        <f>1.8+0.4+0.15</f>
        <v>2.35</v>
      </c>
      <c r="G65" s="39">
        <f t="shared" si="1"/>
        <v>0.89649604861550347</v>
      </c>
      <c r="H65" s="40"/>
      <c r="I65" s="40"/>
      <c r="J65" s="40"/>
      <c r="K65" s="21"/>
    </row>
    <row r="66" spans="1:11" ht="15" customHeight="1" x14ac:dyDescent="0.3">
      <c r="A66" s="18"/>
      <c r="B66" s="37" t="s">
        <v>60</v>
      </c>
      <c r="C66" s="36">
        <v>1</v>
      </c>
      <c r="D66" s="38">
        <f>4.98+5.55</f>
        <v>10.530000000000001</v>
      </c>
      <c r="E66" s="38">
        <v>0.46</v>
      </c>
      <c r="F66" s="38">
        <v>0.2</v>
      </c>
      <c r="G66" s="39">
        <f t="shared" si="1"/>
        <v>0.96876000000000018</v>
      </c>
      <c r="H66" s="40"/>
      <c r="I66" s="40"/>
      <c r="J66" s="40"/>
      <c r="K66" s="21"/>
    </row>
    <row r="67" spans="1:11" ht="15" customHeight="1" x14ac:dyDescent="0.3">
      <c r="A67" s="18"/>
      <c r="B67" s="37" t="s">
        <v>61</v>
      </c>
      <c r="C67" s="36">
        <v>12</v>
      </c>
      <c r="D67" s="38">
        <f>2.75/3.281</f>
        <v>0.8381590978360256</v>
      </c>
      <c r="E67" s="38">
        <v>0.23</v>
      </c>
      <c r="F67" s="38">
        <f>4.083/3.281</f>
        <v>1.2444376714416336</v>
      </c>
      <c r="G67" s="39">
        <f t="shared" si="1"/>
        <v>2.8787814465839681</v>
      </c>
      <c r="H67" s="40"/>
      <c r="I67" s="40"/>
      <c r="J67" s="40"/>
      <c r="K67" s="21"/>
    </row>
    <row r="68" spans="1:11" ht="15" customHeight="1" x14ac:dyDescent="0.3">
      <c r="A68" s="18"/>
      <c r="B68" s="37" t="s">
        <v>42</v>
      </c>
      <c r="C68" s="19"/>
      <c r="D68" s="20"/>
      <c r="E68" s="21"/>
      <c r="F68" s="21"/>
      <c r="G68" s="23">
        <f>SUM(G60:G67)</f>
        <v>11.044941265848664</v>
      </c>
      <c r="H68" s="22" t="s">
        <v>41</v>
      </c>
      <c r="I68" s="23">
        <v>14362.76</v>
      </c>
      <c r="J68" s="41">
        <f>G68*I68</f>
        <v>158635.84061548056</v>
      </c>
      <c r="K68" s="21"/>
    </row>
    <row r="69" spans="1:11" ht="15" customHeight="1" x14ac:dyDescent="0.3">
      <c r="A69" s="18"/>
      <c r="B69" s="37" t="s">
        <v>40</v>
      </c>
      <c r="C69" s="19"/>
      <c r="D69" s="20"/>
      <c r="E69" s="21"/>
      <c r="F69" s="21"/>
      <c r="G69" s="23"/>
      <c r="H69" s="22"/>
      <c r="I69" s="23"/>
      <c r="J69" s="41">
        <f>0.13*G68*10311.74</f>
        <v>14806.033144331301</v>
      </c>
      <c r="K69" s="21"/>
    </row>
    <row r="70" spans="1:11" ht="15" customHeight="1" x14ac:dyDescent="0.3">
      <c r="A70" s="18"/>
      <c r="B70" s="37"/>
      <c r="C70" s="19"/>
      <c r="D70" s="20"/>
      <c r="E70" s="21"/>
      <c r="F70" s="21"/>
      <c r="G70" s="23"/>
      <c r="H70" s="22"/>
      <c r="I70" s="23"/>
      <c r="J70" s="41"/>
      <c r="K70" s="21"/>
    </row>
    <row r="71" spans="1:11" ht="30.6" x14ac:dyDescent="0.3">
      <c r="A71" s="18">
        <v>10</v>
      </c>
      <c r="B71" s="61" t="s">
        <v>52</v>
      </c>
      <c r="C71" s="19"/>
      <c r="D71" s="20"/>
      <c r="E71" s="21"/>
      <c r="F71" s="21"/>
      <c r="G71" s="23"/>
      <c r="H71" s="22"/>
      <c r="I71" s="23"/>
      <c r="J71" s="41"/>
      <c r="K71" s="21"/>
    </row>
    <row r="72" spans="1:11" ht="15" customHeight="1" x14ac:dyDescent="0.3">
      <c r="A72" s="18"/>
      <c r="B72" s="37" t="s">
        <v>51</v>
      </c>
      <c r="C72" s="36">
        <v>2</v>
      </c>
      <c r="D72" s="38">
        <f>(5.17+15.5+27+11+70+24.5+41.17+4.667+39.75)/3.281</f>
        <v>72.769582444376724</v>
      </c>
      <c r="E72" s="38"/>
      <c r="F72" s="38">
        <v>1.8</v>
      </c>
      <c r="G72" s="39">
        <f t="shared" ref="G72" si="2">PRODUCT(C72:F72)</f>
        <v>261.97049679975623</v>
      </c>
      <c r="H72" s="40"/>
      <c r="I72" s="40"/>
      <c r="J72" s="40"/>
      <c r="K72" s="21"/>
    </row>
    <row r="73" spans="1:11" ht="15" customHeight="1" x14ac:dyDescent="0.3">
      <c r="A73" s="18"/>
      <c r="B73" s="37" t="s">
        <v>42</v>
      </c>
      <c r="C73" s="19"/>
      <c r="D73" s="20"/>
      <c r="E73" s="21"/>
      <c r="F73" s="21"/>
      <c r="G73" s="23">
        <f>SUM(G72:G72)</f>
        <v>261.97049679975623</v>
      </c>
      <c r="H73" s="22" t="s">
        <v>64</v>
      </c>
      <c r="I73" s="23">
        <v>405.86</v>
      </c>
      <c r="J73" s="41">
        <f>G73*I73</f>
        <v>106323.34583114907</v>
      </c>
      <c r="K73" s="21"/>
    </row>
    <row r="74" spans="1:11" ht="15" customHeight="1" x14ac:dyDescent="0.3">
      <c r="A74" s="18"/>
      <c r="B74" s="37" t="s">
        <v>40</v>
      </c>
      <c r="C74" s="19"/>
      <c r="D74" s="20"/>
      <c r="E74" s="21"/>
      <c r="F74" s="21"/>
      <c r="G74" s="23"/>
      <c r="H74" s="22"/>
      <c r="I74" s="23"/>
      <c r="J74" s="41">
        <f>0.13*G73*11166.2/100</f>
        <v>3802.7794497750701</v>
      </c>
      <c r="K74" s="21"/>
    </row>
    <row r="75" spans="1:11" ht="15" customHeight="1" x14ac:dyDescent="0.3">
      <c r="A75" s="18"/>
      <c r="B75" s="37"/>
      <c r="C75" s="19"/>
      <c r="D75" s="20"/>
      <c r="E75" s="21"/>
      <c r="F75" s="21"/>
      <c r="G75" s="23"/>
      <c r="H75" s="22"/>
      <c r="I75" s="23"/>
      <c r="J75" s="41"/>
      <c r="K75" s="21"/>
    </row>
    <row r="76" spans="1:11" ht="76.8" x14ac:dyDescent="0.3">
      <c r="A76" s="18">
        <v>11</v>
      </c>
      <c r="B76" s="61" t="s">
        <v>62</v>
      </c>
      <c r="C76" s="61"/>
      <c r="D76" s="61"/>
      <c r="E76" s="61"/>
      <c r="F76" s="61"/>
      <c r="G76" s="61"/>
      <c r="H76" s="61"/>
      <c r="I76" s="23"/>
      <c r="J76" s="41"/>
      <c r="K76" s="21"/>
    </row>
    <row r="77" spans="1:11" ht="15" customHeight="1" x14ac:dyDescent="0.3">
      <c r="A77" s="18"/>
      <c r="B77" s="37" t="s">
        <v>63</v>
      </c>
      <c r="C77" s="19">
        <v>6</v>
      </c>
      <c r="D77" s="20">
        <f>3.917/3.281</f>
        <v>1.1938433404449862</v>
      </c>
      <c r="E77" s="21"/>
      <c r="F77" s="21">
        <f>5.42/3.281</f>
        <v>1.6519353855531849</v>
      </c>
      <c r="G77" s="39">
        <f t="shared" ref="G77" si="3">PRODUCT(C77:F77)</f>
        <v>11.832912353328542</v>
      </c>
      <c r="H77" s="22"/>
      <c r="I77" s="23"/>
      <c r="J77" s="41"/>
      <c r="K77" s="21"/>
    </row>
    <row r="78" spans="1:11" ht="15" customHeight="1" x14ac:dyDescent="0.3">
      <c r="A78" s="18"/>
      <c r="B78" s="37" t="s">
        <v>42</v>
      </c>
      <c r="C78" s="19"/>
      <c r="D78" s="20"/>
      <c r="E78" s="21"/>
      <c r="F78" s="21"/>
      <c r="G78" s="23">
        <f>SUM(G77:G77)</f>
        <v>11.832912353328542</v>
      </c>
      <c r="H78" s="22" t="s">
        <v>64</v>
      </c>
      <c r="I78" s="23">
        <v>2575.34</v>
      </c>
      <c r="J78" s="41">
        <f>G78*I78</f>
        <v>30473.772500021129</v>
      </c>
      <c r="K78" s="21"/>
    </row>
    <row r="79" spans="1:11" ht="15" customHeight="1" x14ac:dyDescent="0.3">
      <c r="A79" s="18"/>
      <c r="B79" s="37" t="s">
        <v>40</v>
      </c>
      <c r="C79" s="19"/>
      <c r="D79" s="20"/>
      <c r="E79" s="21"/>
      <c r="F79" s="21"/>
      <c r="G79" s="23"/>
      <c r="H79" s="22"/>
      <c r="I79" s="23"/>
      <c r="J79" s="41">
        <f>0.13*G78*24343.96/10</f>
        <v>3744.779285168167</v>
      </c>
      <c r="K79" s="21"/>
    </row>
    <row r="80" spans="1:11" ht="15" customHeight="1" x14ac:dyDescent="0.3">
      <c r="A80" s="18"/>
      <c r="B80" s="37"/>
      <c r="C80" s="19"/>
      <c r="D80" s="20"/>
      <c r="E80" s="21"/>
      <c r="F80" s="21"/>
      <c r="G80" s="23"/>
      <c r="H80" s="22"/>
      <c r="I80" s="23"/>
      <c r="J80" s="41"/>
      <c r="K80" s="21"/>
    </row>
    <row r="81" spans="1:11" ht="30.6" x14ac:dyDescent="0.3">
      <c r="A81" s="18">
        <v>12</v>
      </c>
      <c r="B81" s="61" t="s">
        <v>65</v>
      </c>
      <c r="C81" s="61"/>
      <c r="D81" s="61"/>
      <c r="E81" s="61"/>
      <c r="F81" s="61"/>
      <c r="G81" s="61"/>
      <c r="H81" s="61"/>
      <c r="I81" s="23"/>
      <c r="J81" s="41"/>
      <c r="K81" s="21"/>
    </row>
    <row r="82" spans="1:11" ht="15" customHeight="1" x14ac:dyDescent="0.3">
      <c r="A82" s="18"/>
      <c r="B82" s="37" t="s">
        <v>66</v>
      </c>
      <c r="C82" s="19">
        <v>1</v>
      </c>
      <c r="D82" s="20">
        <f>(5.17+15.5+27+10.917+70+53.5+21.333+24.5+41.17+4.667+39.75)/3.281</f>
        <v>95.552270649192295</v>
      </c>
      <c r="E82" s="21"/>
      <c r="F82" s="21"/>
      <c r="G82" s="39">
        <f t="shared" ref="G82" si="4">PRODUCT(C82:F82)</f>
        <v>95.552270649192295</v>
      </c>
      <c r="H82" s="22"/>
      <c r="I82" s="23"/>
      <c r="J82" s="41"/>
      <c r="K82" s="21"/>
    </row>
    <row r="83" spans="1:11" ht="15" customHeight="1" x14ac:dyDescent="0.3">
      <c r="A83" s="18"/>
      <c r="B83" s="37" t="s">
        <v>42</v>
      </c>
      <c r="C83" s="19"/>
      <c r="D83" s="20"/>
      <c r="E83" s="21"/>
      <c r="F83" s="21"/>
      <c r="G83" s="23">
        <f>SUM(G82:G82)</f>
        <v>95.552270649192295</v>
      </c>
      <c r="H83" s="22" t="s">
        <v>67</v>
      </c>
      <c r="I83" s="23">
        <v>82.59</v>
      </c>
      <c r="J83" s="41">
        <f>G83*I83</f>
        <v>7891.6620329167918</v>
      </c>
      <c r="K83" s="21"/>
    </row>
    <row r="84" spans="1:11" ht="15" customHeight="1" x14ac:dyDescent="0.3">
      <c r="A84" s="18"/>
      <c r="B84" s="37" t="s">
        <v>40</v>
      </c>
      <c r="C84" s="19"/>
      <c r="D84" s="20"/>
      <c r="E84" s="21"/>
      <c r="F84" s="21"/>
      <c r="G84" s="23"/>
      <c r="H84" s="22"/>
      <c r="I84" s="23"/>
      <c r="J84" s="41">
        <f>0.13*G83*1992.14/100</f>
        <v>247.45955058640655</v>
      </c>
      <c r="K84" s="21"/>
    </row>
    <row r="85" spans="1:11" ht="15" customHeight="1" x14ac:dyDescent="0.3">
      <c r="A85" s="18"/>
      <c r="B85" s="37"/>
      <c r="C85" s="19"/>
      <c r="D85" s="20"/>
      <c r="E85" s="21"/>
      <c r="F85" s="21"/>
      <c r="G85" s="23"/>
      <c r="H85" s="22"/>
      <c r="I85" s="23"/>
      <c r="J85" s="41"/>
      <c r="K85" s="21"/>
    </row>
    <row r="86" spans="1:11" ht="135.6" x14ac:dyDescent="0.3">
      <c r="A86" s="18">
        <v>13</v>
      </c>
      <c r="B86" s="61" t="s">
        <v>70</v>
      </c>
      <c r="C86" s="61"/>
      <c r="D86" s="61"/>
      <c r="E86" s="61"/>
      <c r="F86" s="61"/>
      <c r="G86" s="61"/>
      <c r="H86" s="61"/>
      <c r="I86" s="23"/>
      <c r="J86" s="41"/>
      <c r="K86" s="21"/>
    </row>
    <row r="87" spans="1:11" ht="15" customHeight="1" x14ac:dyDescent="0.3">
      <c r="A87" s="18"/>
      <c r="B87" s="37" t="s">
        <v>66</v>
      </c>
      <c r="C87" s="19">
        <v>1</v>
      </c>
      <c r="D87" s="20">
        <f>(13.5+12.333)/3.281</f>
        <v>7.873514172508381</v>
      </c>
      <c r="E87" s="21"/>
      <c r="F87" s="21"/>
      <c r="G87" s="39">
        <f t="shared" ref="G87" si="5">PRODUCT(C87:F87)</f>
        <v>7.873514172508381</v>
      </c>
      <c r="H87" s="22"/>
      <c r="I87" s="23"/>
      <c r="J87" s="41"/>
      <c r="K87" s="21"/>
    </row>
    <row r="88" spans="1:11" ht="15" customHeight="1" x14ac:dyDescent="0.3">
      <c r="A88" s="18"/>
      <c r="B88" s="37" t="s">
        <v>42</v>
      </c>
      <c r="C88" s="19"/>
      <c r="D88" s="20"/>
      <c r="E88" s="21"/>
      <c r="F88" s="21"/>
      <c r="G88" s="23">
        <f>SUM(G87:G87)</f>
        <v>7.873514172508381</v>
      </c>
      <c r="H88" s="22" t="s">
        <v>67</v>
      </c>
      <c r="I88" s="23">
        <v>4132.8</v>
      </c>
      <c r="J88" s="41">
        <f>G88*I88</f>
        <v>32539.65937214264</v>
      </c>
      <c r="K88" s="21"/>
    </row>
    <row r="89" spans="1:11" ht="15" customHeight="1" x14ac:dyDescent="0.3">
      <c r="A89" s="18"/>
      <c r="B89" s="37" t="s">
        <v>40</v>
      </c>
      <c r="C89" s="19"/>
      <c r="D89" s="20"/>
      <c r="E89" s="21"/>
      <c r="F89" s="21"/>
      <c r="G89" s="23"/>
      <c r="H89" s="22"/>
      <c r="I89" s="23"/>
      <c r="J89" s="41">
        <f>0.13*G88*4132.8</f>
        <v>4230.1557183785426</v>
      </c>
      <c r="K89" s="21"/>
    </row>
    <row r="90" spans="1:11" ht="15" customHeight="1" x14ac:dyDescent="0.3">
      <c r="A90" s="18"/>
      <c r="B90" s="37"/>
      <c r="C90" s="19"/>
      <c r="D90" s="20"/>
      <c r="E90" s="21"/>
      <c r="F90" s="21"/>
      <c r="G90" s="23"/>
      <c r="H90" s="22"/>
      <c r="I90" s="23"/>
      <c r="J90" s="41"/>
      <c r="K90" s="21"/>
    </row>
    <row r="91" spans="1:11" ht="30.6" x14ac:dyDescent="0.3">
      <c r="A91" s="18">
        <v>14</v>
      </c>
      <c r="B91" s="61" t="s">
        <v>89</v>
      </c>
      <c r="C91" s="19"/>
      <c r="D91" s="20"/>
      <c r="E91" s="21"/>
      <c r="F91" s="21"/>
      <c r="G91" s="23"/>
      <c r="H91" s="22"/>
      <c r="I91" s="23"/>
      <c r="J91" s="41"/>
      <c r="K91" s="21"/>
    </row>
    <row r="92" spans="1:11" ht="15" customHeight="1" x14ac:dyDescent="0.3">
      <c r="A92" s="18"/>
      <c r="B92" s="37" t="str">
        <f>B72</f>
        <v>-wall</v>
      </c>
      <c r="C92" s="19">
        <f>C72</f>
        <v>2</v>
      </c>
      <c r="D92" s="20">
        <f>D72</f>
        <v>72.769582444376724</v>
      </c>
      <c r="E92" s="21"/>
      <c r="F92" s="21">
        <f>F72</f>
        <v>1.8</v>
      </c>
      <c r="G92" s="39">
        <f t="shared" ref="G92" si="6">PRODUCT(C92:F92)</f>
        <v>261.97049679975623</v>
      </c>
      <c r="H92" s="22"/>
      <c r="I92" s="23"/>
      <c r="J92" s="41"/>
      <c r="K92" s="21"/>
    </row>
    <row r="93" spans="1:11" ht="15" customHeight="1" x14ac:dyDescent="0.3">
      <c r="A93" s="18"/>
      <c r="B93" s="37" t="s">
        <v>42</v>
      </c>
      <c r="C93" s="19"/>
      <c r="D93" s="20"/>
      <c r="E93" s="21"/>
      <c r="F93" s="21"/>
      <c r="G93" s="23">
        <f>SUM(G92:G92)</f>
        <v>261.97049679975623</v>
      </c>
      <c r="H93" s="22" t="s">
        <v>64</v>
      </c>
      <c r="I93" s="23">
        <v>251.77</v>
      </c>
      <c r="J93" s="41">
        <f>G93*I93</f>
        <v>65956.311979274629</v>
      </c>
      <c r="K93" s="21"/>
    </row>
    <row r="94" spans="1:11" ht="15" customHeight="1" x14ac:dyDescent="0.3">
      <c r="A94" s="18"/>
      <c r="B94" s="37" t="s">
        <v>40</v>
      </c>
      <c r="C94" s="19"/>
      <c r="D94" s="20"/>
      <c r="E94" s="21"/>
      <c r="F94" s="21"/>
      <c r="G94" s="23"/>
      <c r="H94" s="22"/>
      <c r="I94" s="23"/>
      <c r="J94" s="41">
        <f>0.13*G93*12736/100</f>
        <v>4337.393121414204</v>
      </c>
      <c r="K94" s="21"/>
    </row>
    <row r="95" spans="1:11" ht="15" customHeight="1" x14ac:dyDescent="0.3">
      <c r="A95" s="18"/>
      <c r="B95" s="37"/>
      <c r="C95" s="19"/>
      <c r="D95" s="20"/>
      <c r="E95" s="21"/>
      <c r="F95" s="21"/>
      <c r="G95" s="23"/>
      <c r="H95" s="22"/>
      <c r="I95" s="23"/>
      <c r="J95" s="41"/>
      <c r="K95" s="21"/>
    </row>
    <row r="96" spans="1:11" s="1" customFormat="1" ht="45.6" x14ac:dyDescent="0.3">
      <c r="A96" s="18">
        <v>15</v>
      </c>
      <c r="B96" s="62" t="s">
        <v>71</v>
      </c>
      <c r="C96" s="62"/>
      <c r="D96" s="62"/>
      <c r="E96" s="62"/>
      <c r="F96" s="62"/>
      <c r="G96" s="62"/>
      <c r="H96" s="62"/>
      <c r="I96" s="23"/>
      <c r="J96" s="63"/>
      <c r="K96" s="21"/>
    </row>
    <row r="97" spans="1:16" x14ac:dyDescent="0.3">
      <c r="A97" s="18"/>
      <c r="B97" s="64" t="s">
        <v>72</v>
      </c>
      <c r="C97" s="19">
        <v>2</v>
      </c>
      <c r="D97" s="20">
        <f>3.333/3.281</f>
        <v>1.0158488265772629</v>
      </c>
      <c r="E97" s="21"/>
      <c r="F97" s="21">
        <f>8.333/3.281</f>
        <v>2.5397744590064004</v>
      </c>
      <c r="G97" s="65">
        <f>PRODUCT(C97:F97)</f>
        <v>5.1600538079051095</v>
      </c>
      <c r="H97" s="66"/>
      <c r="I97" s="23"/>
      <c r="J97" s="67"/>
      <c r="K97" s="21"/>
    </row>
    <row r="98" spans="1:16" x14ac:dyDescent="0.3">
      <c r="A98" s="18"/>
      <c r="B98" s="24" t="s">
        <v>42</v>
      </c>
      <c r="C98" s="19"/>
      <c r="D98" s="20"/>
      <c r="E98" s="21"/>
      <c r="F98" s="21"/>
      <c r="G98" s="23">
        <f>SUM(G97:G97)</f>
        <v>5.1600538079051095</v>
      </c>
      <c r="H98" s="22" t="s">
        <v>64</v>
      </c>
      <c r="I98" s="34">
        <v>8306.7099999999991</v>
      </c>
      <c r="J98" s="67">
        <f>G98*I98</f>
        <v>42863.070566663446</v>
      </c>
      <c r="K98" s="21"/>
    </row>
    <row r="99" spans="1:16" x14ac:dyDescent="0.3">
      <c r="A99" s="18"/>
      <c r="B99" s="24" t="s">
        <v>73</v>
      </c>
      <c r="C99" s="19"/>
      <c r="D99" s="20"/>
      <c r="E99" s="21"/>
      <c r="F99" s="21"/>
      <c r="G99" s="23"/>
      <c r="H99" s="22"/>
      <c r="I99" s="23"/>
      <c r="J99" s="63">
        <f>0.13*J98</f>
        <v>5572.1991736662485</v>
      </c>
      <c r="K99" s="21"/>
    </row>
    <row r="100" spans="1:16" x14ac:dyDescent="0.3">
      <c r="A100" s="18"/>
      <c r="B100" s="24"/>
      <c r="C100" s="19"/>
      <c r="D100" s="20"/>
      <c r="E100" s="21"/>
      <c r="F100" s="21"/>
      <c r="G100" s="23"/>
      <c r="H100" s="22"/>
      <c r="I100" s="23"/>
      <c r="J100" s="63"/>
      <c r="K100" s="21"/>
    </row>
    <row r="101" spans="1:16" ht="15" customHeight="1" x14ac:dyDescent="0.3">
      <c r="A101" s="18">
        <v>16</v>
      </c>
      <c r="B101" s="30" t="s">
        <v>68</v>
      </c>
      <c r="C101" s="19">
        <v>1</v>
      </c>
      <c r="D101" s="20"/>
      <c r="E101" s="21"/>
      <c r="F101" s="21"/>
      <c r="G101" s="34">
        <f t="shared" ref="G101" si="7">PRODUCT(C101:F101)</f>
        <v>1</v>
      </c>
      <c r="H101" s="22" t="s">
        <v>69</v>
      </c>
      <c r="I101" s="23">
        <v>5000</v>
      </c>
      <c r="J101" s="34">
        <f>G101*I101</f>
        <v>5000</v>
      </c>
      <c r="K101" s="21"/>
    </row>
    <row r="102" spans="1:16" ht="15" customHeight="1" x14ac:dyDescent="0.3">
      <c r="A102" s="18"/>
      <c r="B102" s="37"/>
      <c r="C102" s="19"/>
      <c r="D102" s="20"/>
      <c r="E102" s="21"/>
      <c r="F102" s="21"/>
      <c r="G102" s="23"/>
      <c r="H102" s="22"/>
      <c r="I102" s="23"/>
      <c r="J102" s="41"/>
      <c r="K102" s="21"/>
    </row>
    <row r="103" spans="1:16" ht="15" customHeight="1" x14ac:dyDescent="0.3">
      <c r="A103" s="18"/>
      <c r="B103" s="37"/>
      <c r="C103" s="19"/>
      <c r="D103" s="20"/>
      <c r="E103" s="21"/>
      <c r="F103" s="21"/>
      <c r="G103" s="23"/>
      <c r="H103" s="22"/>
      <c r="I103" s="23"/>
      <c r="J103" s="41"/>
      <c r="K103" s="21"/>
    </row>
    <row r="104" spans="1:16" ht="15" customHeight="1" x14ac:dyDescent="0.3">
      <c r="A104" s="18">
        <v>17</v>
      </c>
      <c r="B104" s="30" t="s">
        <v>30</v>
      </c>
      <c r="C104" s="19">
        <v>1</v>
      </c>
      <c r="D104" s="20"/>
      <c r="E104" s="21"/>
      <c r="F104" s="21"/>
      <c r="G104" s="34">
        <f t="shared" ref="G104" si="8">PRODUCT(C104:F104)</f>
        <v>1</v>
      </c>
      <c r="H104" s="22" t="s">
        <v>31</v>
      </c>
      <c r="I104" s="23">
        <v>500</v>
      </c>
      <c r="J104" s="34">
        <f>G104*I104</f>
        <v>500</v>
      </c>
      <c r="K104" s="21"/>
    </row>
    <row r="105" spans="1:16" ht="15" customHeight="1" x14ac:dyDescent="0.3">
      <c r="A105" s="18"/>
      <c r="B105" s="24"/>
      <c r="C105" s="19"/>
      <c r="D105" s="20"/>
      <c r="E105" s="21"/>
      <c r="F105" s="21"/>
      <c r="G105" s="23"/>
      <c r="H105" s="22"/>
      <c r="I105" s="23"/>
      <c r="J105" s="41"/>
      <c r="K105" s="21"/>
    </row>
    <row r="106" spans="1:16" x14ac:dyDescent="0.3">
      <c r="A106" s="40"/>
      <c r="B106" s="42" t="s">
        <v>17</v>
      </c>
      <c r="C106" s="43"/>
      <c r="D106" s="38"/>
      <c r="E106" s="38"/>
      <c r="F106" s="38"/>
      <c r="G106" s="41"/>
      <c r="H106" s="41"/>
      <c r="I106" s="41"/>
      <c r="J106" s="41">
        <f>SUM(J10:J104)</f>
        <v>532419.58529343281</v>
      </c>
      <c r="K106" s="36"/>
    </row>
    <row r="107" spans="1:16" x14ac:dyDescent="0.3">
      <c r="A107" s="54"/>
      <c r="B107" s="57"/>
      <c r="C107" s="58"/>
      <c r="D107" s="55"/>
      <c r="E107" s="55"/>
      <c r="F107" s="55"/>
      <c r="G107" s="56"/>
      <c r="H107" s="56"/>
      <c r="I107" s="56"/>
      <c r="J107" s="56"/>
      <c r="K107" s="53"/>
    </row>
    <row r="108" spans="1:16" s="1" customFormat="1" x14ac:dyDescent="0.3">
      <c r="A108" s="46"/>
      <c r="B108" s="29" t="s">
        <v>27</v>
      </c>
      <c r="C108" s="91">
        <f>J106</f>
        <v>532419.58529343281</v>
      </c>
      <c r="D108" s="91"/>
      <c r="E108" s="39">
        <v>100</v>
      </c>
      <c r="F108" s="47"/>
      <c r="G108" s="48"/>
      <c r="H108" s="47"/>
      <c r="I108" s="49"/>
      <c r="J108" s="50"/>
      <c r="K108" s="51"/>
    </row>
    <row r="109" spans="1:16" x14ac:dyDescent="0.3">
      <c r="A109" s="52"/>
      <c r="B109" s="29" t="s">
        <v>32</v>
      </c>
      <c r="C109" s="94">
        <v>500000</v>
      </c>
      <c r="D109" s="94"/>
      <c r="E109" s="39"/>
      <c r="F109" s="45"/>
      <c r="G109" s="44"/>
      <c r="H109" s="54"/>
      <c r="I109" s="54"/>
      <c r="J109" s="54"/>
      <c r="K109" s="53"/>
      <c r="L109" s="35"/>
      <c r="M109" s="35"/>
      <c r="N109" s="35"/>
      <c r="O109" s="35"/>
      <c r="P109" s="35"/>
    </row>
    <row r="110" spans="1:16" ht="14.4" customHeight="1" x14ac:dyDescent="0.3">
      <c r="A110" s="52"/>
      <c r="B110" s="29" t="s">
        <v>33</v>
      </c>
      <c r="C110" s="94">
        <f>C109-C112-C113</f>
        <v>475000</v>
      </c>
      <c r="D110" s="94"/>
      <c r="E110" s="39">
        <f>C110/C108*100</f>
        <v>89.215350659614231</v>
      </c>
      <c r="F110" s="45"/>
      <c r="G110" s="44"/>
      <c r="H110" s="54"/>
      <c r="I110" s="25"/>
      <c r="J110" s="25"/>
      <c r="K110" s="25"/>
      <c r="L110" s="25"/>
      <c r="M110" s="25"/>
      <c r="N110" s="25"/>
      <c r="O110" s="25"/>
      <c r="P110" s="35"/>
    </row>
    <row r="111" spans="1:16" ht="14.4" customHeight="1" x14ac:dyDescent="0.3">
      <c r="A111" s="52"/>
      <c r="B111" s="29" t="s">
        <v>34</v>
      </c>
      <c r="C111" s="91">
        <f>C108-C110</f>
        <v>57419.585293432814</v>
      </c>
      <c r="D111" s="91"/>
      <c r="E111" s="39">
        <f>100-E110</f>
        <v>10.784649340385769</v>
      </c>
      <c r="F111" s="45"/>
      <c r="G111" s="44"/>
      <c r="H111" s="54"/>
      <c r="I111" s="25"/>
      <c r="J111" s="25"/>
      <c r="K111" s="25"/>
      <c r="L111" s="25"/>
      <c r="M111" s="25"/>
      <c r="N111" s="25"/>
      <c r="O111" s="25"/>
      <c r="P111" s="35"/>
    </row>
    <row r="112" spans="1:16" x14ac:dyDescent="0.3">
      <c r="A112" s="52"/>
      <c r="B112" s="29" t="s">
        <v>35</v>
      </c>
      <c r="C112" s="91">
        <f>C109*0.03</f>
        <v>15000</v>
      </c>
      <c r="D112" s="91"/>
      <c r="E112" s="39">
        <v>3</v>
      </c>
      <c r="F112" s="45"/>
      <c r="G112" s="44"/>
      <c r="H112" s="54"/>
      <c r="I112" s="54"/>
      <c r="J112" s="54"/>
      <c r="K112" s="53"/>
      <c r="L112" s="35"/>
      <c r="M112" s="35"/>
      <c r="N112" s="35"/>
      <c r="O112" s="35"/>
      <c r="P112" s="35"/>
    </row>
    <row r="113" spans="1:16" x14ac:dyDescent="0.3">
      <c r="A113" s="52"/>
      <c r="B113" s="29" t="s">
        <v>36</v>
      </c>
      <c r="C113" s="91">
        <f>C109*0.02</f>
        <v>10000</v>
      </c>
      <c r="D113" s="91"/>
      <c r="E113" s="39">
        <v>2</v>
      </c>
      <c r="F113" s="45"/>
      <c r="G113" s="44"/>
      <c r="H113" s="54"/>
      <c r="I113" s="54"/>
      <c r="J113" s="54"/>
      <c r="K113" s="53"/>
      <c r="L113" s="35"/>
      <c r="M113" s="35"/>
      <c r="N113" s="35"/>
      <c r="O113" s="35"/>
      <c r="P113" s="35"/>
    </row>
    <row r="114" spans="1:16" s="35" customFormat="1" x14ac:dyDescent="0.3">
      <c r="A114" s="53"/>
      <c r="B114" s="53"/>
      <c r="C114" s="53"/>
      <c r="D114" s="53"/>
      <c r="E114" s="53"/>
      <c r="F114" s="53"/>
      <c r="G114" s="53"/>
      <c r="H114" s="53"/>
      <c r="I114" s="53"/>
      <c r="J114" s="53"/>
      <c r="K114" s="53"/>
    </row>
    <row r="115" spans="1:16" s="35" customFormat="1" x14ac:dyDescent="0.3"/>
    <row r="116" spans="1:16" s="35" customFormat="1" x14ac:dyDescent="0.3"/>
    <row r="117" spans="1:16" s="35" customFormat="1" x14ac:dyDescent="0.3"/>
    <row r="118" spans="1:16" s="35" customFormat="1" x14ac:dyDescent="0.3"/>
    <row r="119" spans="1:16" s="35" customFormat="1" x14ac:dyDescent="0.3"/>
    <row r="120" spans="1:16" s="35" customFormat="1" x14ac:dyDescent="0.3"/>
    <row r="121" spans="1:16" s="35" customFormat="1" x14ac:dyDescent="0.3"/>
    <row r="122" spans="1:16" s="35" customFormat="1" x14ac:dyDescent="0.3"/>
    <row r="123" spans="1:16" s="35" customFormat="1" x14ac:dyDescent="0.3"/>
    <row r="124" spans="1:16" s="35" customFormat="1" x14ac:dyDescent="0.3"/>
    <row r="125" spans="1:16" s="35" customFormat="1" x14ac:dyDescent="0.3"/>
    <row r="126" spans="1:16" s="35" customFormat="1" x14ac:dyDescent="0.3"/>
    <row r="127" spans="1:16" s="35" customFormat="1" x14ac:dyDescent="0.3"/>
    <row r="128" spans="1:16"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row r="155" s="35" customFormat="1" x14ac:dyDescent="0.3"/>
    <row r="156" s="35" customFormat="1" x14ac:dyDescent="0.3"/>
    <row r="157" s="35" customFormat="1" x14ac:dyDescent="0.3"/>
    <row r="158" s="35" customFormat="1" x14ac:dyDescent="0.3"/>
    <row r="159" s="35" customFormat="1" x14ac:dyDescent="0.3"/>
    <row r="160" s="35" customFormat="1" x14ac:dyDescent="0.3"/>
    <row r="161" s="35" customFormat="1" x14ac:dyDescent="0.3"/>
    <row r="162" s="35" customFormat="1" x14ac:dyDescent="0.3"/>
    <row r="163" s="35" customFormat="1" x14ac:dyDescent="0.3"/>
    <row r="164" s="35" customFormat="1" x14ac:dyDescent="0.3"/>
    <row r="165" s="35" customFormat="1" x14ac:dyDescent="0.3"/>
    <row r="166" s="35" customFormat="1" x14ac:dyDescent="0.3"/>
    <row r="167" s="35" customFormat="1" x14ac:dyDescent="0.3"/>
    <row r="168" s="35" customFormat="1" x14ac:dyDescent="0.3"/>
    <row r="169" s="35" customFormat="1" x14ac:dyDescent="0.3"/>
    <row r="170" s="35" customFormat="1" x14ac:dyDescent="0.3"/>
  </sheetData>
  <mergeCells count="16">
    <mergeCell ref="M11:S11"/>
    <mergeCell ref="C112:D112"/>
    <mergeCell ref="C113:D113"/>
    <mergeCell ref="A7:F7"/>
    <mergeCell ref="H7:K7"/>
    <mergeCell ref="C108:D108"/>
    <mergeCell ref="C109:D109"/>
    <mergeCell ref="C110:D110"/>
    <mergeCell ref="C111:D111"/>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1" zoomScaleNormal="100" workbookViewId="0">
      <selection activeCell="A102" sqref="A102:XFD102"/>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6" t="s">
        <v>0</v>
      </c>
      <c r="B1" s="86"/>
      <c r="C1" s="86"/>
      <c r="D1" s="86"/>
      <c r="E1" s="86"/>
      <c r="F1" s="86"/>
      <c r="G1" s="86"/>
      <c r="H1" s="86"/>
      <c r="I1" s="86"/>
      <c r="J1" s="86"/>
      <c r="K1" s="86"/>
    </row>
    <row r="2" spans="1:19" s="1" customFormat="1" ht="22.8" x14ac:dyDescent="0.3">
      <c r="A2" s="87" t="s">
        <v>1</v>
      </c>
      <c r="B2" s="87"/>
      <c r="C2" s="87"/>
      <c r="D2" s="87"/>
      <c r="E2" s="87"/>
      <c r="F2" s="87"/>
      <c r="G2" s="87"/>
      <c r="H2" s="87"/>
      <c r="I2" s="87"/>
      <c r="J2" s="87"/>
      <c r="K2" s="87"/>
    </row>
    <row r="3" spans="1:19" s="1" customFormat="1" x14ac:dyDescent="0.3">
      <c r="A3" s="83" t="s">
        <v>2</v>
      </c>
      <c r="B3" s="83"/>
      <c r="C3" s="83"/>
      <c r="D3" s="83"/>
      <c r="E3" s="83"/>
      <c r="F3" s="83"/>
      <c r="G3" s="83"/>
      <c r="H3" s="83"/>
      <c r="I3" s="83"/>
      <c r="J3" s="83"/>
      <c r="K3" s="83"/>
    </row>
    <row r="4" spans="1:19" s="1" customFormat="1" x14ac:dyDescent="0.3">
      <c r="A4" s="83" t="s">
        <v>3</v>
      </c>
      <c r="B4" s="83"/>
      <c r="C4" s="83"/>
      <c r="D4" s="83"/>
      <c r="E4" s="83"/>
      <c r="F4" s="83"/>
      <c r="G4" s="83"/>
      <c r="H4" s="83"/>
      <c r="I4" s="83"/>
      <c r="J4" s="83"/>
      <c r="K4" s="83"/>
    </row>
    <row r="5" spans="1:19" ht="17.399999999999999" x14ac:dyDescent="0.3">
      <c r="A5" s="88" t="s">
        <v>4</v>
      </c>
      <c r="B5" s="88"/>
      <c r="C5" s="88"/>
      <c r="D5" s="88"/>
      <c r="E5" s="88"/>
      <c r="F5" s="88"/>
      <c r="G5" s="88"/>
      <c r="H5" s="88"/>
      <c r="I5" s="88"/>
      <c r="J5" s="88"/>
      <c r="K5" s="88"/>
    </row>
    <row r="6" spans="1:19" ht="15.6" x14ac:dyDescent="0.3">
      <c r="A6" s="73" t="s">
        <v>46</v>
      </c>
      <c r="B6" s="73"/>
      <c r="C6" s="73"/>
      <c r="D6" s="73"/>
      <c r="E6" s="73"/>
      <c r="F6" s="73"/>
      <c r="G6" s="2"/>
      <c r="H6" s="85" t="s">
        <v>45</v>
      </c>
      <c r="I6" s="85"/>
      <c r="J6" s="85"/>
      <c r="K6" s="85"/>
    </row>
    <row r="7" spans="1:19" ht="15.6" x14ac:dyDescent="0.3">
      <c r="A7" s="92" t="s">
        <v>28</v>
      </c>
      <c r="B7" s="92"/>
      <c r="C7" s="92"/>
      <c r="D7" s="92"/>
      <c r="E7" s="92"/>
      <c r="F7" s="92"/>
      <c r="G7" s="3"/>
      <c r="H7" s="93" t="s">
        <v>47</v>
      </c>
      <c r="I7" s="93"/>
      <c r="J7" s="93"/>
      <c r="K7" s="93"/>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45" x14ac:dyDescent="0.3">
      <c r="A9" s="29">
        <v>1</v>
      </c>
      <c r="B9" s="59" t="s">
        <v>48</v>
      </c>
      <c r="C9" s="36"/>
      <c r="D9" s="36"/>
      <c r="E9" s="36"/>
      <c r="F9" s="36"/>
      <c r="G9" s="36"/>
      <c r="H9" s="36"/>
      <c r="I9" s="36"/>
      <c r="J9" s="36"/>
      <c r="K9" s="36"/>
    </row>
    <row r="10" spans="1:19" ht="15" customHeight="1" x14ac:dyDescent="0.3">
      <c r="A10" s="18"/>
      <c r="B10" s="37" t="s">
        <v>49</v>
      </c>
      <c r="C10" s="36">
        <v>1</v>
      </c>
      <c r="D10" s="38">
        <f>1.93+1.95</f>
        <v>3.88</v>
      </c>
      <c r="E10" s="38">
        <v>0.1</v>
      </c>
      <c r="F10" s="38">
        <f>7.5/3.281</f>
        <v>2.2858884486437061</v>
      </c>
      <c r="G10" s="39">
        <f>PRODUCT(C10:F10)</f>
        <v>0.88692471807375795</v>
      </c>
      <c r="H10" s="40"/>
      <c r="I10" s="40"/>
      <c r="J10" s="40"/>
      <c r="K10" s="21"/>
    </row>
    <row r="11" spans="1:19" ht="15" customHeight="1" x14ac:dyDescent="0.3">
      <c r="A11" s="18"/>
      <c r="B11" s="37"/>
      <c r="C11" s="36">
        <v>3</v>
      </c>
      <c r="D11" s="38">
        <f>1.17/3.281</f>
        <v>0.35659859798841814</v>
      </c>
      <c r="E11" s="38">
        <f>1.17/3.281</f>
        <v>0.35659859798841814</v>
      </c>
      <c r="F11" s="38">
        <f>7.5/3.281</f>
        <v>2.2858884486437061</v>
      </c>
      <c r="G11" s="39">
        <f>PRODUCT(C11:F11)</f>
        <v>0.87203828161059815</v>
      </c>
      <c r="H11" s="40"/>
      <c r="I11" s="40"/>
      <c r="J11" s="40"/>
      <c r="K11" s="21"/>
      <c r="M11" s="89" t="s">
        <v>54</v>
      </c>
      <c r="N11" s="90"/>
      <c r="O11" s="90"/>
      <c r="P11" s="90"/>
      <c r="Q11" s="90"/>
      <c r="R11" s="90"/>
      <c r="S11" s="90"/>
    </row>
    <row r="12" spans="1:19" ht="15" customHeight="1" x14ac:dyDescent="0.3">
      <c r="A12" s="18"/>
      <c r="B12" s="37"/>
      <c r="C12" s="36">
        <v>1</v>
      </c>
      <c r="D12" s="38">
        <v>0.6</v>
      </c>
      <c r="E12" s="38">
        <v>0.6</v>
      </c>
      <c r="F12" s="38">
        <v>1.1499999999999999</v>
      </c>
      <c r="G12" s="39">
        <f>PRODUCT(C12:F12)</f>
        <v>0.41399999999999998</v>
      </c>
      <c r="H12" s="40"/>
      <c r="I12" s="40"/>
      <c r="J12" s="40"/>
      <c r="K12" s="21"/>
    </row>
    <row r="13" spans="1:19" ht="15" customHeight="1" x14ac:dyDescent="0.3">
      <c r="A13" s="18"/>
      <c r="B13" s="37" t="s">
        <v>42</v>
      </c>
      <c r="C13" s="19"/>
      <c r="D13" s="20"/>
      <c r="E13" s="21"/>
      <c r="F13" s="21"/>
      <c r="G13" s="23">
        <f>SUM(G10:G12)</f>
        <v>2.1729629996843562</v>
      </c>
      <c r="H13" s="22" t="s">
        <v>41</v>
      </c>
      <c r="I13" s="23">
        <v>1950</v>
      </c>
      <c r="J13" s="41">
        <f>G13*I13</f>
        <v>4237.2778493844944</v>
      </c>
      <c r="K13" s="21"/>
    </row>
    <row r="14" spans="1:19" ht="15" customHeight="1" x14ac:dyDescent="0.3">
      <c r="A14" s="18"/>
      <c r="B14" s="59"/>
      <c r="C14" s="19"/>
      <c r="D14" s="20"/>
      <c r="E14" s="21"/>
      <c r="F14" s="21"/>
      <c r="G14" s="23"/>
      <c r="H14" s="22"/>
      <c r="I14" s="23"/>
      <c r="J14" s="41"/>
      <c r="K14" s="21"/>
    </row>
    <row r="15" spans="1:19" ht="124.2" x14ac:dyDescent="0.3">
      <c r="A15" s="18">
        <v>2</v>
      </c>
      <c r="B15" s="30" t="s">
        <v>44</v>
      </c>
      <c r="C15" s="19"/>
      <c r="D15" s="20"/>
      <c r="E15" s="21"/>
      <c r="F15" s="21"/>
      <c r="G15" s="23"/>
      <c r="H15" s="22"/>
      <c r="I15" s="23"/>
      <c r="J15" s="41"/>
      <c r="K15" s="21"/>
    </row>
    <row r="16" spans="1:19" ht="15" customHeight="1" x14ac:dyDescent="0.3">
      <c r="A16" s="18"/>
      <c r="B16" s="37" t="s">
        <v>49</v>
      </c>
      <c r="C16" s="36">
        <v>1</v>
      </c>
      <c r="D16" s="38">
        <f>4.98+5.55</f>
        <v>10.530000000000001</v>
      </c>
      <c r="E16" s="38">
        <v>0.46</v>
      </c>
      <c r="F16" s="38">
        <v>0.75</v>
      </c>
      <c r="G16" s="39">
        <f>PRODUCT(C16:F16)</f>
        <v>3.6328500000000004</v>
      </c>
      <c r="H16" s="40"/>
      <c r="I16" s="40"/>
      <c r="J16" s="40"/>
      <c r="K16" s="21"/>
    </row>
    <row r="17" spans="1:11" ht="15" customHeight="1" x14ac:dyDescent="0.3">
      <c r="A17" s="18"/>
      <c r="B17" s="37" t="s">
        <v>42</v>
      </c>
      <c r="C17" s="19"/>
      <c r="D17" s="20"/>
      <c r="E17" s="21"/>
      <c r="F17" s="21"/>
      <c r="G17" s="23">
        <f>SUM(G16:G16)</f>
        <v>3.6328500000000004</v>
      </c>
      <c r="H17" s="22" t="s">
        <v>41</v>
      </c>
      <c r="I17" s="23">
        <v>64.63</v>
      </c>
      <c r="J17" s="41">
        <f>G17*I17</f>
        <v>234.79109550000001</v>
      </c>
      <c r="K17" s="21"/>
    </row>
    <row r="18" spans="1:11" ht="15" customHeight="1" x14ac:dyDescent="0.3">
      <c r="A18" s="18"/>
      <c r="B18" s="37" t="s">
        <v>40</v>
      </c>
      <c r="C18" s="19"/>
      <c r="D18" s="20"/>
      <c r="E18" s="21"/>
      <c r="F18" s="21"/>
      <c r="G18" s="23"/>
      <c r="H18" s="22"/>
      <c r="I18" s="23"/>
      <c r="J18" s="41">
        <f>0.13*G17*19284/360</f>
        <v>25.297956450000001</v>
      </c>
      <c r="K18" s="21"/>
    </row>
    <row r="19" spans="1:11" ht="15" customHeight="1" x14ac:dyDescent="0.3">
      <c r="A19" s="18"/>
      <c r="B19" s="59"/>
      <c r="C19" s="19"/>
      <c r="D19" s="20"/>
      <c r="E19" s="21"/>
      <c r="F19" s="21"/>
      <c r="G19" s="23"/>
      <c r="H19" s="22"/>
      <c r="I19" s="23"/>
      <c r="J19" s="41"/>
      <c r="K19" s="21"/>
    </row>
    <row r="20" spans="1:11" ht="30" x14ac:dyDescent="0.3">
      <c r="A20" s="18">
        <v>3</v>
      </c>
      <c r="B20" s="59" t="s">
        <v>59</v>
      </c>
      <c r="C20" s="19"/>
      <c r="D20" s="20"/>
      <c r="E20" s="21"/>
      <c r="F20" s="21"/>
      <c r="G20" s="23"/>
      <c r="H20" s="22"/>
      <c r="I20" s="23"/>
      <c r="J20" s="41"/>
      <c r="K20" s="21"/>
    </row>
    <row r="21" spans="1:11" ht="15" customHeight="1" x14ac:dyDescent="0.3">
      <c r="A21" s="18"/>
      <c r="B21" s="37" t="s">
        <v>55</v>
      </c>
      <c r="C21" s="36">
        <v>1</v>
      </c>
      <c r="D21" s="38">
        <v>0.6</v>
      </c>
      <c r="E21" s="38">
        <v>0.6</v>
      </c>
      <c r="F21" s="38">
        <v>0.9</v>
      </c>
      <c r="G21" s="39">
        <f>PRODUCT(C21:F21)</f>
        <v>0.32400000000000001</v>
      </c>
      <c r="H21" s="40"/>
      <c r="I21" s="40"/>
      <c r="J21" s="40"/>
      <c r="K21" s="21"/>
    </row>
    <row r="22" spans="1:11" ht="15" customHeight="1" x14ac:dyDescent="0.3">
      <c r="A22" s="18"/>
      <c r="B22" s="37" t="s">
        <v>42</v>
      </c>
      <c r="C22" s="19"/>
      <c r="D22" s="20"/>
      <c r="E22" s="21"/>
      <c r="F22" s="21"/>
      <c r="G22" s="23">
        <f>SUM(G21:G21)</f>
        <v>0.32400000000000001</v>
      </c>
      <c r="H22" s="22" t="s">
        <v>41</v>
      </c>
      <c r="I22" s="23">
        <v>663.31</v>
      </c>
      <c r="J22" s="41">
        <f>G22*I22</f>
        <v>214.91243999999998</v>
      </c>
      <c r="K22" s="21"/>
    </row>
    <row r="23" spans="1:11" ht="15" customHeight="1" x14ac:dyDescent="0.3">
      <c r="A23" s="18"/>
      <c r="B23" s="37"/>
      <c r="C23" s="19"/>
      <c r="D23" s="20"/>
      <c r="E23" s="21"/>
      <c r="F23" s="21"/>
      <c r="G23" s="23"/>
      <c r="H23" s="22"/>
      <c r="I23" s="23"/>
      <c r="J23" s="41"/>
      <c r="K23" s="21"/>
    </row>
    <row r="24" spans="1:11" ht="15" x14ac:dyDescent="0.3">
      <c r="A24" s="18">
        <v>4</v>
      </c>
      <c r="B24" s="59" t="s">
        <v>74</v>
      </c>
      <c r="C24" s="19"/>
      <c r="D24" s="20"/>
      <c r="E24" s="21"/>
      <c r="F24" s="21"/>
      <c r="G24" s="23"/>
      <c r="H24" s="22"/>
      <c r="I24" s="23"/>
      <c r="J24" s="41"/>
      <c r="K24" s="21"/>
    </row>
    <row r="25" spans="1:11" ht="15" customHeight="1" x14ac:dyDescent="0.3">
      <c r="A25" s="18"/>
      <c r="B25" s="37" t="s">
        <v>60</v>
      </c>
      <c r="C25" s="19">
        <v>1</v>
      </c>
      <c r="D25" s="20">
        <f>D16</f>
        <v>10.530000000000001</v>
      </c>
      <c r="E25" s="21">
        <f>E16</f>
        <v>0.46</v>
      </c>
      <c r="F25" s="21"/>
      <c r="G25" s="39">
        <f>PRODUCT(C25:F25)</f>
        <v>4.8438000000000008</v>
      </c>
      <c r="H25" s="22"/>
      <c r="I25" s="23"/>
      <c r="J25" s="41"/>
      <c r="K25" s="21"/>
    </row>
    <row r="26" spans="1:11" ht="15" customHeight="1" x14ac:dyDescent="0.3">
      <c r="A26" s="18"/>
      <c r="B26" s="37"/>
      <c r="C26" s="19">
        <v>1</v>
      </c>
      <c r="D26" s="20">
        <f>D21</f>
        <v>0.6</v>
      </c>
      <c r="E26" s="21">
        <f>E21</f>
        <v>0.6</v>
      </c>
      <c r="F26" s="21"/>
      <c r="G26" s="39">
        <f>PRODUCT(C26:F26)</f>
        <v>0.36</v>
      </c>
      <c r="H26" s="22"/>
      <c r="I26" s="23"/>
      <c r="J26" s="41"/>
      <c r="K26" s="21"/>
    </row>
    <row r="27" spans="1:11" ht="15" customHeight="1" x14ac:dyDescent="0.3">
      <c r="A27" s="18"/>
      <c r="B27" s="37" t="s">
        <v>42</v>
      </c>
      <c r="C27" s="19"/>
      <c r="D27" s="20"/>
      <c r="E27" s="21"/>
      <c r="F27" s="21"/>
      <c r="G27" s="23">
        <f>SUM(G25:G26)</f>
        <v>5.2038000000000011</v>
      </c>
      <c r="H27" s="22" t="s">
        <v>64</v>
      </c>
      <c r="I27" s="23">
        <v>1014.97</v>
      </c>
      <c r="J27" s="41">
        <f>G27*I27</f>
        <v>5281.7008860000014</v>
      </c>
      <c r="K27" s="21"/>
    </row>
    <row r="28" spans="1:11" ht="15" customHeight="1" x14ac:dyDescent="0.3">
      <c r="A28" s="18"/>
      <c r="B28" s="37" t="s">
        <v>40</v>
      </c>
      <c r="C28" s="19"/>
      <c r="D28" s="20"/>
      <c r="E28" s="21"/>
      <c r="F28" s="21"/>
      <c r="G28" s="23"/>
      <c r="H28" s="22"/>
      <c r="I28" s="23"/>
      <c r="J28" s="41">
        <f>0.13*G27*8617.2/10</f>
        <v>582.94840968000017</v>
      </c>
      <c r="K28" s="21"/>
    </row>
    <row r="29" spans="1:11" ht="15" customHeight="1" x14ac:dyDescent="0.3">
      <c r="A29" s="18"/>
      <c r="B29" s="37"/>
      <c r="C29" s="19"/>
      <c r="D29" s="20"/>
      <c r="E29" s="21"/>
      <c r="F29" s="21"/>
      <c r="G29" s="23"/>
      <c r="H29" s="22"/>
      <c r="I29" s="23"/>
      <c r="J29" s="41"/>
      <c r="K29" s="21"/>
    </row>
    <row r="30" spans="1:11" ht="30" x14ac:dyDescent="0.3">
      <c r="A30" s="18">
        <v>5</v>
      </c>
      <c r="B30" s="59" t="s">
        <v>75</v>
      </c>
      <c r="C30" s="19"/>
      <c r="D30" s="20"/>
      <c r="E30" s="21"/>
      <c r="F30" s="21"/>
      <c r="G30" s="23"/>
      <c r="H30" s="22"/>
      <c r="I30" s="23"/>
      <c r="J30" s="41"/>
      <c r="K30" s="21"/>
    </row>
    <row r="31" spans="1:11" ht="15" customHeight="1" x14ac:dyDescent="0.3">
      <c r="A31" s="18"/>
      <c r="B31" s="37" t="s">
        <v>60</v>
      </c>
      <c r="C31" s="19">
        <f t="shared" ref="C31:E32" si="0">C25</f>
        <v>1</v>
      </c>
      <c r="D31" s="20">
        <f t="shared" si="0"/>
        <v>10.530000000000001</v>
      </c>
      <c r="E31" s="21">
        <f t="shared" si="0"/>
        <v>0.46</v>
      </c>
      <c r="F31" s="21">
        <v>0.05</v>
      </c>
      <c r="G31" s="39">
        <f>PRODUCT(C31:F31)</f>
        <v>0.24219000000000004</v>
      </c>
      <c r="H31" s="22"/>
      <c r="I31" s="23"/>
      <c r="J31" s="41"/>
      <c r="K31" s="21"/>
    </row>
    <row r="32" spans="1:11" ht="15" customHeight="1" x14ac:dyDescent="0.3">
      <c r="A32" s="18"/>
      <c r="B32" s="37"/>
      <c r="C32" s="19">
        <f t="shared" si="0"/>
        <v>1</v>
      </c>
      <c r="D32" s="20">
        <f t="shared" si="0"/>
        <v>0.6</v>
      </c>
      <c r="E32" s="21">
        <f t="shared" si="0"/>
        <v>0.6</v>
      </c>
      <c r="F32" s="21">
        <v>0.05</v>
      </c>
      <c r="G32" s="39">
        <f>PRODUCT(C32:F32)</f>
        <v>1.7999999999999999E-2</v>
      </c>
      <c r="H32" s="22"/>
      <c r="I32" s="23"/>
      <c r="J32" s="41"/>
      <c r="K32" s="21"/>
    </row>
    <row r="33" spans="1:11" ht="15" customHeight="1" x14ac:dyDescent="0.3">
      <c r="A33" s="18"/>
      <c r="B33" s="37" t="s">
        <v>42</v>
      </c>
      <c r="C33" s="19"/>
      <c r="D33" s="20"/>
      <c r="E33" s="21"/>
      <c r="F33" s="21"/>
      <c r="G33" s="23">
        <f>SUM(G31:G32)</f>
        <v>0.26019000000000003</v>
      </c>
      <c r="H33" s="22" t="s">
        <v>41</v>
      </c>
      <c r="I33" s="23">
        <v>12983.1</v>
      </c>
      <c r="J33" s="41">
        <f>G33*I33</f>
        <v>3378.0727890000007</v>
      </c>
      <c r="K33" s="21"/>
    </row>
    <row r="34" spans="1:11" ht="15" customHeight="1" x14ac:dyDescent="0.3">
      <c r="A34" s="18"/>
      <c r="B34" s="37" t="s">
        <v>40</v>
      </c>
      <c r="C34" s="19"/>
      <c r="D34" s="20"/>
      <c r="E34" s="21"/>
      <c r="F34" s="21"/>
      <c r="G34" s="23"/>
      <c r="H34" s="22"/>
      <c r="I34" s="23"/>
      <c r="J34" s="41">
        <f>0.13*G33*8078.11</f>
        <v>273.23964731700005</v>
      </c>
      <c r="K34" s="21"/>
    </row>
    <row r="35" spans="1:11" ht="15" customHeight="1" x14ac:dyDescent="0.3">
      <c r="A35" s="18"/>
      <c r="B35" s="37"/>
      <c r="C35" s="19"/>
      <c r="D35" s="20"/>
      <c r="E35" s="21"/>
      <c r="F35" s="21"/>
      <c r="G35" s="23"/>
      <c r="H35" s="22"/>
      <c r="I35" s="23"/>
      <c r="J35" s="41"/>
      <c r="K35" s="21"/>
    </row>
    <row r="36" spans="1:11" ht="33.6" x14ac:dyDescent="0.3">
      <c r="A36" s="18">
        <v>6</v>
      </c>
      <c r="B36" s="59" t="s">
        <v>76</v>
      </c>
      <c r="C36" s="19"/>
      <c r="D36" s="20"/>
      <c r="E36" s="21"/>
      <c r="F36" s="21"/>
      <c r="G36" s="23"/>
      <c r="H36" s="22"/>
      <c r="I36" s="23"/>
      <c r="J36" s="41"/>
      <c r="K36" s="21"/>
    </row>
    <row r="37" spans="1:11" ht="15" customHeight="1" x14ac:dyDescent="0.3">
      <c r="A37" s="18"/>
      <c r="B37" s="37" t="s">
        <v>60</v>
      </c>
      <c r="C37" s="19">
        <f>C32</f>
        <v>1</v>
      </c>
      <c r="D37" s="20">
        <f>D32</f>
        <v>0.6</v>
      </c>
      <c r="E37" s="21">
        <f>E32</f>
        <v>0.6</v>
      </c>
      <c r="F37" s="21">
        <v>0.22500000000000001</v>
      </c>
      <c r="G37" s="39">
        <f>PRODUCT(C37:F37)</f>
        <v>8.1000000000000003E-2</v>
      </c>
      <c r="H37" s="22"/>
      <c r="I37" s="23"/>
      <c r="J37" s="41"/>
      <c r="K37" s="21"/>
    </row>
    <row r="38" spans="1:11" ht="15" customHeight="1" x14ac:dyDescent="0.3">
      <c r="A38" s="18"/>
      <c r="B38" s="37"/>
      <c r="C38" s="19">
        <v>1</v>
      </c>
      <c r="D38" s="20">
        <v>0.23</v>
      </c>
      <c r="E38" s="21">
        <v>0.23</v>
      </c>
      <c r="F38" s="21">
        <f>0.675+1.8</f>
        <v>2.4750000000000001</v>
      </c>
      <c r="G38" s="39">
        <f>PRODUCT(C38:F38)</f>
        <v>0.1309275</v>
      </c>
      <c r="H38" s="22"/>
      <c r="I38" s="23"/>
      <c r="J38" s="41"/>
      <c r="K38" s="21"/>
    </row>
    <row r="39" spans="1:11" ht="15" customHeight="1" x14ac:dyDescent="0.3">
      <c r="A39" s="18"/>
      <c r="B39" s="37" t="s">
        <v>86</v>
      </c>
      <c r="C39" s="36">
        <v>2</v>
      </c>
      <c r="D39" s="38">
        <f>D60</f>
        <v>11.48</v>
      </c>
      <c r="E39" s="38">
        <v>0.23</v>
      </c>
      <c r="F39" s="38">
        <v>7.4999999999999997E-2</v>
      </c>
      <c r="G39" s="39">
        <f>PRODUCT(C39:F39)</f>
        <v>0.39606000000000002</v>
      </c>
      <c r="H39" s="40"/>
      <c r="I39" s="40"/>
      <c r="J39" s="40"/>
      <c r="K39" s="21"/>
    </row>
    <row r="40" spans="1:11" ht="15" customHeight="1" x14ac:dyDescent="0.3">
      <c r="A40" s="18"/>
      <c r="B40" s="37"/>
      <c r="C40" s="36">
        <v>2</v>
      </c>
      <c r="D40" s="38">
        <f>D64</f>
        <v>9.4602042060347458</v>
      </c>
      <c r="E40" s="38">
        <v>0.23</v>
      </c>
      <c r="F40" s="38">
        <v>7.4999999999999997E-2</v>
      </c>
      <c r="G40" s="39">
        <f>PRODUCT(C40:F40)</f>
        <v>0.3263770451081987</v>
      </c>
      <c r="H40" s="40"/>
      <c r="I40" s="40"/>
      <c r="J40" s="40"/>
      <c r="K40" s="21"/>
    </row>
    <row r="41" spans="1:11" ht="15" customHeight="1" x14ac:dyDescent="0.3">
      <c r="A41" s="18"/>
      <c r="B41" s="37" t="s">
        <v>42</v>
      </c>
      <c r="C41" s="19"/>
      <c r="D41" s="20"/>
      <c r="E41" s="21"/>
      <c r="F41" s="21"/>
      <c r="G41" s="23">
        <f>SUM(G37:G40)</f>
        <v>0.93436454510819877</v>
      </c>
      <c r="H41" s="22" t="s">
        <v>41</v>
      </c>
      <c r="I41" s="23">
        <v>16512.62</v>
      </c>
      <c r="J41" s="41">
        <f>G41*I41</f>
        <v>15428.806674844544</v>
      </c>
      <c r="K41" s="21"/>
    </row>
    <row r="42" spans="1:11" ht="15" customHeight="1" x14ac:dyDescent="0.3">
      <c r="A42" s="18"/>
      <c r="B42" s="37" t="s">
        <v>40</v>
      </c>
      <c r="C42" s="19"/>
      <c r="D42" s="20"/>
      <c r="E42" s="21"/>
      <c r="F42" s="21"/>
      <c r="G42" s="23"/>
      <c r="H42" s="22"/>
      <c r="I42" s="23"/>
      <c r="J42" s="41">
        <f>0.13*G41*9092.62</f>
        <v>1104.4568275184224</v>
      </c>
      <c r="K42" s="21"/>
    </row>
    <row r="43" spans="1:11" ht="15" customHeight="1" x14ac:dyDescent="0.3">
      <c r="A43" s="18"/>
      <c r="B43" s="37"/>
      <c r="C43" s="19"/>
      <c r="D43" s="20"/>
      <c r="E43" s="21"/>
      <c r="F43" s="21"/>
      <c r="G43" s="23"/>
      <c r="H43" s="22"/>
      <c r="I43" s="23"/>
      <c r="J43" s="41"/>
      <c r="K43" s="21"/>
    </row>
    <row r="44" spans="1:11" ht="30" x14ac:dyDescent="0.3">
      <c r="A44" s="18">
        <v>7</v>
      </c>
      <c r="B44" s="59" t="s">
        <v>77</v>
      </c>
      <c r="C44" s="19"/>
      <c r="D44" s="20"/>
      <c r="E44" s="21"/>
      <c r="F44" s="21"/>
      <c r="G44" s="23"/>
      <c r="H44" s="22"/>
      <c r="I44" s="23"/>
      <c r="J44" s="41"/>
      <c r="K44" s="21"/>
    </row>
    <row r="45" spans="1:11" ht="15" customHeight="1" x14ac:dyDescent="0.3">
      <c r="A45" s="18"/>
      <c r="B45" s="37" t="s">
        <v>60</v>
      </c>
      <c r="C45" s="19">
        <f>C38</f>
        <v>1</v>
      </c>
      <c r="D45" s="20">
        <f>0.6*4</f>
        <v>2.4</v>
      </c>
      <c r="E45" s="21"/>
      <c r="F45" s="21">
        <v>0.22500000000000001</v>
      </c>
      <c r="G45" s="39">
        <f>PRODUCT(C45:F45)</f>
        <v>0.54</v>
      </c>
      <c r="H45" s="22"/>
      <c r="I45" s="23"/>
      <c r="J45" s="41"/>
      <c r="K45" s="21"/>
    </row>
    <row r="46" spans="1:11" ht="15" customHeight="1" x14ac:dyDescent="0.3">
      <c r="A46" s="18"/>
      <c r="B46" s="37"/>
      <c r="C46" s="19">
        <v>1</v>
      </c>
      <c r="D46" s="20">
        <f>0.23*4</f>
        <v>0.92</v>
      </c>
      <c r="E46" s="21"/>
      <c r="F46" s="21">
        <f>0.675+1.8</f>
        <v>2.4750000000000001</v>
      </c>
      <c r="G46" s="39">
        <f>PRODUCT(C46:F46)</f>
        <v>2.2770000000000001</v>
      </c>
      <c r="H46" s="22"/>
      <c r="I46" s="23"/>
      <c r="J46" s="41"/>
      <c r="K46" s="21"/>
    </row>
    <row r="47" spans="1:11" ht="15" customHeight="1" x14ac:dyDescent="0.3">
      <c r="A47" s="18"/>
      <c r="B47" s="37" t="s">
        <v>42</v>
      </c>
      <c r="C47" s="19"/>
      <c r="D47" s="20"/>
      <c r="E47" s="21"/>
      <c r="F47" s="21"/>
      <c r="G47" s="23">
        <f>SUM(G45:G46)</f>
        <v>2.8170000000000002</v>
      </c>
      <c r="H47" s="22" t="s">
        <v>53</v>
      </c>
      <c r="I47" s="23">
        <v>915.42</v>
      </c>
      <c r="J47" s="41">
        <f>G47*I47</f>
        <v>2578.7381399999999</v>
      </c>
      <c r="K47" s="21"/>
    </row>
    <row r="48" spans="1:11" ht="15" customHeight="1" x14ac:dyDescent="0.3">
      <c r="A48" s="18"/>
      <c r="B48" s="37" t="s">
        <v>40</v>
      </c>
      <c r="C48" s="19"/>
      <c r="D48" s="20"/>
      <c r="E48" s="21"/>
      <c r="F48" s="21"/>
      <c r="G48" s="23"/>
      <c r="H48" s="22"/>
      <c r="I48" s="23"/>
      <c r="J48" s="41">
        <f>0.13*G47*46827.87/100</f>
        <v>171.48834272700003</v>
      </c>
      <c r="K48" s="21"/>
    </row>
    <row r="49" spans="1:15" ht="15" customHeight="1" x14ac:dyDescent="0.3">
      <c r="A49" s="18"/>
      <c r="B49" s="37"/>
      <c r="C49" s="19"/>
      <c r="D49" s="20"/>
      <c r="E49" s="21"/>
      <c r="F49" s="21"/>
      <c r="G49" s="23"/>
      <c r="H49" s="22"/>
      <c r="I49" s="23"/>
      <c r="J49" s="41"/>
      <c r="K49" s="21"/>
    </row>
    <row r="50" spans="1:15" ht="30" x14ac:dyDescent="0.3">
      <c r="A50" s="18">
        <v>8</v>
      </c>
      <c r="B50" s="59" t="s">
        <v>78</v>
      </c>
      <c r="C50" s="19" t="s">
        <v>7</v>
      </c>
      <c r="D50" s="68" t="s">
        <v>43</v>
      </c>
      <c r="E50" s="69" t="s">
        <v>79</v>
      </c>
      <c r="F50" s="69" t="s">
        <v>80</v>
      </c>
      <c r="G50" s="69" t="s">
        <v>81</v>
      </c>
      <c r="H50" s="22"/>
      <c r="I50" s="23"/>
      <c r="J50" s="41"/>
      <c r="K50" s="21"/>
    </row>
    <row r="51" spans="1:15" ht="15" customHeight="1" x14ac:dyDescent="0.3">
      <c r="A51" s="18"/>
      <c r="B51" s="37" t="s">
        <v>83</v>
      </c>
      <c r="C51" s="19">
        <v>6</v>
      </c>
      <c r="D51" s="20">
        <v>0.6</v>
      </c>
      <c r="E51" s="21">
        <f>8*8/162</f>
        <v>0.39506172839506171</v>
      </c>
      <c r="F51" s="21">
        <f>PRODUCT(C51:E51)</f>
        <v>1.4222222222222221</v>
      </c>
      <c r="G51" s="70">
        <f>F51/1000</f>
        <v>1.4222222222222221E-3</v>
      </c>
      <c r="H51" s="22"/>
      <c r="I51" s="23"/>
      <c r="J51" s="41"/>
      <c r="K51" s="21"/>
    </row>
    <row r="52" spans="1:15" ht="15" customHeight="1" x14ac:dyDescent="0.3">
      <c r="A52" s="18"/>
      <c r="B52" s="37" t="s">
        <v>82</v>
      </c>
      <c r="C52" s="19">
        <v>4</v>
      </c>
      <c r="D52" s="20">
        <f>0.675+1.8+0.6</f>
        <v>3.0750000000000002</v>
      </c>
      <c r="E52" s="21">
        <f>12*12/162</f>
        <v>0.88888888888888884</v>
      </c>
      <c r="F52" s="21">
        <f>PRODUCT(C52:E52)</f>
        <v>10.933333333333334</v>
      </c>
      <c r="G52" s="70">
        <f>F52/1000</f>
        <v>1.0933333333333333E-2</v>
      </c>
      <c r="H52" s="22"/>
      <c r="I52" s="23"/>
      <c r="J52" s="41"/>
      <c r="K52" s="21"/>
    </row>
    <row r="53" spans="1:15" ht="15" customHeight="1" x14ac:dyDescent="0.3">
      <c r="A53" s="18"/>
      <c r="B53" s="37" t="s">
        <v>84</v>
      </c>
      <c r="C53" s="19">
        <v>16</v>
      </c>
      <c r="D53" s="20">
        <f>(7/12/3.281)*4</f>
        <v>0.7111652951335975</v>
      </c>
      <c r="E53" s="21">
        <f>8*8/162</f>
        <v>0.39506172839506171</v>
      </c>
      <c r="F53" s="21">
        <f>PRODUCT(C53:E53)</f>
        <v>4.4952670507210115</v>
      </c>
      <c r="G53" s="70">
        <f>F53/1000</f>
        <v>4.4952670507210114E-3</v>
      </c>
      <c r="H53" s="22"/>
      <c r="I53" s="23"/>
      <c r="J53" s="41"/>
      <c r="K53" s="21"/>
    </row>
    <row r="54" spans="1:15" ht="15" customHeight="1" x14ac:dyDescent="0.3">
      <c r="A54" s="18"/>
      <c r="B54" s="37" t="s">
        <v>87</v>
      </c>
      <c r="C54" s="19">
        <v>4</v>
      </c>
      <c r="D54" s="20">
        <f>D39+D40-0.05*10</f>
        <v>20.440204206034746</v>
      </c>
      <c r="E54" s="21">
        <f>10*10/162</f>
        <v>0.61728395061728392</v>
      </c>
      <c r="F54" s="21">
        <f>PRODUCT(C54:E54)</f>
        <v>50.469640014900605</v>
      </c>
      <c r="G54" s="70">
        <f>F54/1000</f>
        <v>5.0469640014900605E-2</v>
      </c>
      <c r="H54" s="22"/>
      <c r="I54" s="23"/>
      <c r="J54" s="41"/>
      <c r="K54" s="21"/>
    </row>
    <row r="55" spans="1:15" ht="15" customHeight="1" x14ac:dyDescent="0.3">
      <c r="A55" s="18"/>
      <c r="B55" s="37" t="s">
        <v>88</v>
      </c>
      <c r="C55" s="19">
        <v>135</v>
      </c>
      <c r="D55" s="20">
        <f>(7+2+2)/12/3.281</f>
        <v>0.27938636594534183</v>
      </c>
      <c r="E55" s="21">
        <f>8*8/162</f>
        <v>0.39506172839506171</v>
      </c>
      <c r="F55" s="21">
        <f>PRODUCT(C55:E55)</f>
        <v>14.900606183751565</v>
      </c>
      <c r="G55" s="70">
        <f>F55/1000</f>
        <v>1.4900606183751565E-2</v>
      </c>
      <c r="H55" s="22"/>
      <c r="I55" s="23"/>
      <c r="J55" s="41"/>
      <c r="K55" s="21"/>
    </row>
    <row r="56" spans="1:15" ht="15" customHeight="1" x14ac:dyDescent="0.3">
      <c r="A56" s="18"/>
      <c r="B56" s="37" t="s">
        <v>42</v>
      </c>
      <c r="C56" s="19"/>
      <c r="D56" s="20"/>
      <c r="E56" s="21"/>
      <c r="F56" s="21"/>
      <c r="G56" s="23">
        <f>SUM(G51:G55)</f>
        <v>8.2221068804928729E-2</v>
      </c>
      <c r="H56" s="22" t="s">
        <v>56</v>
      </c>
      <c r="I56" s="23">
        <v>131940</v>
      </c>
      <c r="J56" s="41">
        <f>G56*I56</f>
        <v>10848.247818122296</v>
      </c>
      <c r="K56" s="21"/>
    </row>
    <row r="57" spans="1:15" ht="15" customHeight="1" x14ac:dyDescent="0.3">
      <c r="A57" s="18"/>
      <c r="B57" s="37" t="s">
        <v>40</v>
      </c>
      <c r="C57" s="19"/>
      <c r="D57" s="20"/>
      <c r="E57" s="21"/>
      <c r="F57" s="21"/>
      <c r="G57" s="23"/>
      <c r="H57" s="22"/>
      <c r="I57" s="23"/>
      <c r="J57" s="41">
        <f>0.13*G56*106200</f>
        <v>1135.144075920846</v>
      </c>
      <c r="K57" s="21"/>
    </row>
    <row r="58" spans="1:15" ht="15" customHeight="1" x14ac:dyDescent="0.3">
      <c r="A58" s="18"/>
      <c r="B58" s="37"/>
      <c r="C58" s="19"/>
      <c r="D58" s="20"/>
      <c r="E58" s="21"/>
      <c r="F58" s="21"/>
      <c r="G58" s="23"/>
      <c r="H58" s="22"/>
      <c r="I58" s="23"/>
      <c r="J58" s="41"/>
      <c r="K58" s="21"/>
    </row>
    <row r="59" spans="1:15" ht="30" x14ac:dyDescent="0.3">
      <c r="A59" s="18">
        <v>9</v>
      </c>
      <c r="B59" s="59" t="s">
        <v>50</v>
      </c>
      <c r="C59" s="19"/>
      <c r="D59" s="20"/>
      <c r="E59" s="21"/>
      <c r="F59" s="21"/>
      <c r="G59" s="23"/>
      <c r="H59" s="22"/>
      <c r="I59" s="23"/>
      <c r="J59" s="41"/>
      <c r="K59" s="21"/>
      <c r="N59">
        <f>18.833*2</f>
        <v>37.665999999999997</v>
      </c>
    </row>
    <row r="60" spans="1:15" ht="15" customHeight="1" x14ac:dyDescent="0.3">
      <c r="A60" s="18"/>
      <c r="B60" s="37" t="s">
        <v>58</v>
      </c>
      <c r="C60" s="36">
        <v>1</v>
      </c>
      <c r="D60" s="38">
        <v>11.48</v>
      </c>
      <c r="E60" s="38">
        <v>0.23</v>
      </c>
      <c r="F60" s="38">
        <f>2.083/3.281</f>
        <v>0.63486741846997874</v>
      </c>
      <c r="G60" s="39">
        <f>PRODUCT(C60:F60)</f>
        <v>1.6763039317281319</v>
      </c>
      <c r="H60" s="40"/>
      <c r="I60" s="40"/>
      <c r="J60" s="40"/>
      <c r="K60" s="21"/>
      <c r="M60">
        <f>19.083*2/3.281</f>
        <v>11.632429137458091</v>
      </c>
      <c r="N60">
        <f>18.833*2/3.281</f>
        <v>11.480036574215177</v>
      </c>
    </row>
    <row r="61" spans="1:15" ht="15" customHeight="1" x14ac:dyDescent="0.3">
      <c r="A61" s="18"/>
      <c r="B61" s="37"/>
      <c r="C61" s="36">
        <v>1</v>
      </c>
      <c r="D61" s="38">
        <v>0.40600000000000003</v>
      </c>
      <c r="E61" s="38">
        <v>0.23</v>
      </c>
      <c r="F61" s="38">
        <f>6/3.281+0.675</f>
        <v>2.503710758914965</v>
      </c>
      <c r="G61" s="39">
        <f>PRODUCT(C61:F61)</f>
        <v>0.23379651066747945</v>
      </c>
      <c r="H61" s="40"/>
      <c r="I61" s="40"/>
      <c r="J61" s="40"/>
      <c r="K61" s="21"/>
    </row>
    <row r="62" spans="1:15" ht="15" customHeight="1" x14ac:dyDescent="0.3">
      <c r="A62" s="18"/>
      <c r="B62" s="37" t="s">
        <v>85</v>
      </c>
      <c r="C62" s="36">
        <v>-2</v>
      </c>
      <c r="D62" s="38">
        <f>D60</f>
        <v>11.48</v>
      </c>
      <c r="E62" s="38">
        <f>E60</f>
        <v>0.23</v>
      </c>
      <c r="F62" s="38">
        <v>7.4999999999999997E-2</v>
      </c>
      <c r="G62" s="39">
        <f>PRODUCT(C62:F62)</f>
        <v>-0.39606000000000002</v>
      </c>
      <c r="H62" s="40"/>
      <c r="I62" s="40"/>
      <c r="J62" s="40"/>
      <c r="K62" s="21"/>
    </row>
    <row r="63" spans="1:15" ht="15" customHeight="1" x14ac:dyDescent="0.3">
      <c r="A63" s="18"/>
      <c r="B63" s="37" t="s">
        <v>57</v>
      </c>
      <c r="C63" s="36">
        <v>1</v>
      </c>
      <c r="D63" s="38">
        <f>4.98+5.55-(3*(1.17/3.281))</f>
        <v>9.4602042060347458</v>
      </c>
      <c r="E63" s="38">
        <v>0.23</v>
      </c>
      <c r="F63" s="38">
        <f>1.8+0.4+0.15</f>
        <v>2.35</v>
      </c>
      <c r="G63" s="39">
        <f t="shared" ref="G63:G67" si="1">PRODUCT(C63:F63)</f>
        <v>5.1132403733617799</v>
      </c>
      <c r="H63" s="40"/>
      <c r="I63" s="40"/>
      <c r="J63" s="40"/>
      <c r="K63" s="21"/>
      <c r="N63">
        <f>D63/3.18</f>
        <v>2.9749069830297943</v>
      </c>
      <c r="O63" s="60" t="s">
        <v>52</v>
      </c>
    </row>
    <row r="64" spans="1:15" ht="15" customHeight="1" x14ac:dyDescent="0.3">
      <c r="A64" s="18"/>
      <c r="B64" s="37" t="s">
        <v>85</v>
      </c>
      <c r="C64" s="36">
        <v>-2</v>
      </c>
      <c r="D64" s="38">
        <f>D63</f>
        <v>9.4602042060347458</v>
      </c>
      <c r="E64" s="38">
        <f>E62</f>
        <v>0.23</v>
      </c>
      <c r="F64" s="38">
        <v>7.4999999999999997E-2</v>
      </c>
      <c r="G64" s="39">
        <f>PRODUCT(C64:F64)</f>
        <v>-0.3263770451081987</v>
      </c>
      <c r="H64" s="40"/>
      <c r="I64" s="40"/>
      <c r="J64" s="40"/>
      <c r="K64" s="21"/>
    </row>
    <row r="65" spans="1:11" ht="15" customHeight="1" x14ac:dyDescent="0.3">
      <c r="A65" s="18"/>
      <c r="B65" s="37"/>
      <c r="C65" s="36">
        <v>3</v>
      </c>
      <c r="D65" s="38">
        <f>1.17/3.281</f>
        <v>0.35659859798841814</v>
      </c>
      <c r="E65" s="38">
        <f>1.17/3.281</f>
        <v>0.35659859798841814</v>
      </c>
      <c r="F65" s="38">
        <f>1.8+0.4+0.15</f>
        <v>2.35</v>
      </c>
      <c r="G65" s="39">
        <f t="shared" si="1"/>
        <v>0.89649604861550347</v>
      </c>
      <c r="H65" s="40"/>
      <c r="I65" s="40"/>
      <c r="J65" s="40"/>
      <c r="K65" s="21"/>
    </row>
    <row r="66" spans="1:11" ht="15" customHeight="1" x14ac:dyDescent="0.3">
      <c r="A66" s="18"/>
      <c r="B66" s="37" t="s">
        <v>60</v>
      </c>
      <c r="C66" s="36">
        <v>1</v>
      </c>
      <c r="D66" s="38">
        <f>4.98+5.55</f>
        <v>10.530000000000001</v>
      </c>
      <c r="E66" s="38">
        <v>0.46</v>
      </c>
      <c r="F66" s="38">
        <v>0.2</v>
      </c>
      <c r="G66" s="39">
        <f t="shared" si="1"/>
        <v>0.96876000000000018</v>
      </c>
      <c r="H66" s="40"/>
      <c r="I66" s="40"/>
      <c r="J66" s="40"/>
      <c r="K66" s="21"/>
    </row>
    <row r="67" spans="1:11" ht="15" customHeight="1" x14ac:dyDescent="0.3">
      <c r="A67" s="18"/>
      <c r="B67" s="37" t="s">
        <v>61</v>
      </c>
      <c r="C67" s="36">
        <v>12</v>
      </c>
      <c r="D67" s="38">
        <f>2.75/3.281</f>
        <v>0.8381590978360256</v>
      </c>
      <c r="E67" s="38">
        <v>0.23</v>
      </c>
      <c r="F67" s="38">
        <f>4.083/3.281</f>
        <v>1.2444376714416336</v>
      </c>
      <c r="G67" s="39">
        <f t="shared" si="1"/>
        <v>2.8787814465839681</v>
      </c>
      <c r="H67" s="40"/>
      <c r="I67" s="40"/>
      <c r="J67" s="40"/>
      <c r="K67" s="21"/>
    </row>
    <row r="68" spans="1:11" ht="15" customHeight="1" x14ac:dyDescent="0.3">
      <c r="A68" s="18"/>
      <c r="B68" s="37" t="s">
        <v>42</v>
      </c>
      <c r="C68" s="19"/>
      <c r="D68" s="20"/>
      <c r="E68" s="21"/>
      <c r="F68" s="21"/>
      <c r="G68" s="23">
        <f>SUM(G60:G67)</f>
        <v>11.044941265848664</v>
      </c>
      <c r="H68" s="22" t="s">
        <v>41</v>
      </c>
      <c r="I68" s="23">
        <v>14362.76</v>
      </c>
      <c r="J68" s="41">
        <f>G68*I68</f>
        <v>158635.84061548056</v>
      </c>
      <c r="K68" s="21"/>
    </row>
    <row r="69" spans="1:11" ht="15" customHeight="1" x14ac:dyDescent="0.3">
      <c r="A69" s="18"/>
      <c r="B69" s="37" t="s">
        <v>40</v>
      </c>
      <c r="C69" s="19"/>
      <c r="D69" s="20"/>
      <c r="E69" s="21"/>
      <c r="F69" s="21"/>
      <c r="G69" s="23"/>
      <c r="H69" s="22"/>
      <c r="I69" s="23"/>
      <c r="J69" s="41">
        <f>0.13*G68*10311.74</f>
        <v>14806.033144331301</v>
      </c>
      <c r="K69" s="21"/>
    </row>
    <row r="70" spans="1:11" ht="15" customHeight="1" x14ac:dyDescent="0.3">
      <c r="A70" s="18"/>
      <c r="B70" s="37"/>
      <c r="C70" s="19"/>
      <c r="D70" s="20"/>
      <c r="E70" s="21"/>
      <c r="F70" s="21"/>
      <c r="G70" s="23"/>
      <c r="H70" s="22"/>
      <c r="I70" s="23"/>
      <c r="J70" s="41"/>
      <c r="K70" s="21"/>
    </row>
    <row r="71" spans="1:11" ht="30.6" x14ac:dyDescent="0.3">
      <c r="A71" s="18">
        <v>10</v>
      </c>
      <c r="B71" s="61" t="s">
        <v>52</v>
      </c>
      <c r="C71" s="19"/>
      <c r="D71" s="20"/>
      <c r="E71" s="21"/>
      <c r="F71" s="21"/>
      <c r="G71" s="23"/>
      <c r="H71" s="22"/>
      <c r="I71" s="23"/>
      <c r="J71" s="41"/>
      <c r="K71" s="21"/>
    </row>
    <row r="72" spans="1:11" ht="15" customHeight="1" x14ac:dyDescent="0.3">
      <c r="A72" s="18"/>
      <c r="B72" s="37" t="s">
        <v>51</v>
      </c>
      <c r="C72" s="36">
        <v>2</v>
      </c>
      <c r="D72" s="38">
        <f>(5.17+15.5+27+11+70+24.5+41.17+4.667+39.75)/3.281</f>
        <v>72.769582444376724</v>
      </c>
      <c r="E72" s="38"/>
      <c r="F72" s="38">
        <v>1.8</v>
      </c>
      <c r="G72" s="39">
        <f t="shared" ref="G72" si="2">PRODUCT(C72:F72)</f>
        <v>261.97049679975623</v>
      </c>
      <c r="H72" s="40"/>
      <c r="I72" s="40"/>
      <c r="J72" s="40"/>
      <c r="K72" s="21"/>
    </row>
    <row r="73" spans="1:11" ht="15" customHeight="1" x14ac:dyDescent="0.3">
      <c r="A73" s="18"/>
      <c r="B73" s="37" t="s">
        <v>42</v>
      </c>
      <c r="C73" s="19"/>
      <c r="D73" s="20"/>
      <c r="E73" s="21"/>
      <c r="F73" s="21"/>
      <c r="G73" s="23">
        <f>SUM(G72:G72)</f>
        <v>261.97049679975623</v>
      </c>
      <c r="H73" s="22" t="s">
        <v>64</v>
      </c>
      <c r="I73" s="23">
        <v>405.86</v>
      </c>
      <c r="J73" s="41">
        <f>G73*I73</f>
        <v>106323.34583114907</v>
      </c>
      <c r="K73" s="21"/>
    </row>
    <row r="74" spans="1:11" ht="15" customHeight="1" x14ac:dyDescent="0.3">
      <c r="A74" s="18"/>
      <c r="B74" s="37" t="s">
        <v>40</v>
      </c>
      <c r="C74" s="19"/>
      <c r="D74" s="20"/>
      <c r="E74" s="21"/>
      <c r="F74" s="21"/>
      <c r="G74" s="23"/>
      <c r="H74" s="22"/>
      <c r="I74" s="23"/>
      <c r="J74" s="41">
        <f>0.13*G73*11166.2/100</f>
        <v>3802.7794497750701</v>
      </c>
      <c r="K74" s="21"/>
    </row>
    <row r="75" spans="1:11" ht="15" customHeight="1" x14ac:dyDescent="0.3">
      <c r="A75" s="18"/>
      <c r="B75" s="37"/>
      <c r="C75" s="19"/>
      <c r="D75" s="20"/>
      <c r="E75" s="21"/>
      <c r="F75" s="21"/>
      <c r="G75" s="23"/>
      <c r="H75" s="22"/>
      <c r="I75" s="23"/>
      <c r="J75" s="41"/>
      <c r="K75" s="21"/>
    </row>
    <row r="76" spans="1:11" ht="76.8" x14ac:dyDescent="0.3">
      <c r="A76" s="18">
        <v>11</v>
      </c>
      <c r="B76" s="61" t="s">
        <v>62</v>
      </c>
      <c r="C76" s="61"/>
      <c r="D76" s="61"/>
      <c r="E76" s="61"/>
      <c r="F76" s="61"/>
      <c r="G76" s="61"/>
      <c r="H76" s="61"/>
      <c r="I76" s="23"/>
      <c r="J76" s="41"/>
      <c r="K76" s="21"/>
    </row>
    <row r="77" spans="1:11" ht="15" customHeight="1" x14ac:dyDescent="0.3">
      <c r="A77" s="18"/>
      <c r="B77" s="37" t="s">
        <v>63</v>
      </c>
      <c r="C77" s="19">
        <v>6</v>
      </c>
      <c r="D77" s="20">
        <f>3.917/3.281</f>
        <v>1.1938433404449862</v>
      </c>
      <c r="E77" s="21"/>
      <c r="F77" s="21">
        <f>5.42/3.281</f>
        <v>1.6519353855531849</v>
      </c>
      <c r="G77" s="39">
        <f t="shared" ref="G77" si="3">PRODUCT(C77:F77)</f>
        <v>11.832912353328542</v>
      </c>
      <c r="H77" s="22"/>
      <c r="I77" s="23"/>
      <c r="J77" s="41"/>
      <c r="K77" s="21"/>
    </row>
    <row r="78" spans="1:11" ht="15" customHeight="1" x14ac:dyDescent="0.3">
      <c r="A78" s="18"/>
      <c r="B78" s="37" t="s">
        <v>42</v>
      </c>
      <c r="C78" s="19"/>
      <c r="D78" s="20"/>
      <c r="E78" s="21"/>
      <c r="F78" s="21"/>
      <c r="G78" s="23">
        <f>SUM(G77:G77)</f>
        <v>11.832912353328542</v>
      </c>
      <c r="H78" s="22" t="s">
        <v>64</v>
      </c>
      <c r="I78" s="23">
        <v>2575.34</v>
      </c>
      <c r="J78" s="41">
        <f>G78*I78</f>
        <v>30473.772500021129</v>
      </c>
      <c r="K78" s="21"/>
    </row>
    <row r="79" spans="1:11" ht="15" customHeight="1" x14ac:dyDescent="0.3">
      <c r="A79" s="18"/>
      <c r="B79" s="37" t="s">
        <v>40</v>
      </c>
      <c r="C79" s="19"/>
      <c r="D79" s="20"/>
      <c r="E79" s="21"/>
      <c r="F79" s="21"/>
      <c r="G79" s="23"/>
      <c r="H79" s="22"/>
      <c r="I79" s="23"/>
      <c r="J79" s="41">
        <f>0.13*G78*24343.96/10</f>
        <v>3744.779285168167</v>
      </c>
      <c r="K79" s="21"/>
    </row>
    <row r="80" spans="1:11" ht="15" customHeight="1" x14ac:dyDescent="0.3">
      <c r="A80" s="18"/>
      <c r="B80" s="37"/>
      <c r="C80" s="19"/>
      <c r="D80" s="20"/>
      <c r="E80" s="21"/>
      <c r="F80" s="21"/>
      <c r="G80" s="23"/>
      <c r="H80" s="22"/>
      <c r="I80" s="23"/>
      <c r="J80" s="41"/>
      <c r="K80" s="21"/>
    </row>
    <row r="81" spans="1:11" ht="30.6" x14ac:dyDescent="0.3">
      <c r="A81" s="18">
        <v>12</v>
      </c>
      <c r="B81" s="61" t="s">
        <v>65</v>
      </c>
      <c r="C81" s="61"/>
      <c r="D81" s="61"/>
      <c r="E81" s="61"/>
      <c r="F81" s="61"/>
      <c r="G81" s="61"/>
      <c r="H81" s="61"/>
      <c r="I81" s="23"/>
      <c r="J81" s="41"/>
      <c r="K81" s="21"/>
    </row>
    <row r="82" spans="1:11" ht="15" customHeight="1" x14ac:dyDescent="0.3">
      <c r="A82" s="18"/>
      <c r="B82" s="37" t="s">
        <v>66</v>
      </c>
      <c r="C82" s="19">
        <v>1</v>
      </c>
      <c r="D82" s="20">
        <f>(5.17+15.5+27+10.917+70+53.5+21.333+24.5+41.17+4.667+39.75)/3.281</f>
        <v>95.552270649192295</v>
      </c>
      <c r="E82" s="21"/>
      <c r="F82" s="21"/>
      <c r="G82" s="39">
        <f t="shared" ref="G82" si="4">PRODUCT(C82:F82)</f>
        <v>95.552270649192295</v>
      </c>
      <c r="H82" s="22"/>
      <c r="I82" s="23"/>
      <c r="J82" s="41"/>
      <c r="K82" s="21"/>
    </row>
    <row r="83" spans="1:11" ht="15" customHeight="1" x14ac:dyDescent="0.3">
      <c r="A83" s="18"/>
      <c r="B83" s="37" t="s">
        <v>42</v>
      </c>
      <c r="C83" s="19"/>
      <c r="D83" s="20"/>
      <c r="E83" s="21"/>
      <c r="F83" s="21"/>
      <c r="G83" s="23">
        <f>SUM(G82:G82)</f>
        <v>95.552270649192295</v>
      </c>
      <c r="H83" s="22" t="s">
        <v>67</v>
      </c>
      <c r="I83" s="23">
        <v>82.59</v>
      </c>
      <c r="J83" s="41">
        <f>G83*I83</f>
        <v>7891.6620329167918</v>
      </c>
      <c r="K83" s="21"/>
    </row>
    <row r="84" spans="1:11" ht="15" customHeight="1" x14ac:dyDescent="0.3">
      <c r="A84" s="18"/>
      <c r="B84" s="37" t="s">
        <v>40</v>
      </c>
      <c r="C84" s="19"/>
      <c r="D84" s="20"/>
      <c r="E84" s="21"/>
      <c r="F84" s="21"/>
      <c r="G84" s="23"/>
      <c r="H84" s="22"/>
      <c r="I84" s="23"/>
      <c r="J84" s="41">
        <f>0.13*G83*1992.14/100</f>
        <v>247.45955058640655</v>
      </c>
      <c r="K84" s="21"/>
    </row>
    <row r="85" spans="1:11" ht="15" customHeight="1" x14ac:dyDescent="0.3">
      <c r="A85" s="18"/>
      <c r="B85" s="37"/>
      <c r="C85" s="19"/>
      <c r="D85" s="20"/>
      <c r="E85" s="21"/>
      <c r="F85" s="21"/>
      <c r="G85" s="23"/>
      <c r="H85" s="22"/>
      <c r="I85" s="23"/>
      <c r="J85" s="41"/>
      <c r="K85" s="21"/>
    </row>
    <row r="86" spans="1:11" ht="135.6" x14ac:dyDescent="0.3">
      <c r="A86" s="18">
        <v>13</v>
      </c>
      <c r="B86" s="61" t="s">
        <v>70</v>
      </c>
      <c r="C86" s="61"/>
      <c r="D86" s="61"/>
      <c r="E86" s="61"/>
      <c r="F86" s="61"/>
      <c r="G86" s="61"/>
      <c r="H86" s="61"/>
      <c r="I86" s="23"/>
      <c r="J86" s="41"/>
      <c r="K86" s="21"/>
    </row>
    <row r="87" spans="1:11" ht="15" customHeight="1" x14ac:dyDescent="0.3">
      <c r="A87" s="18"/>
      <c r="B87" s="37" t="s">
        <v>66</v>
      </c>
      <c r="C87" s="19">
        <v>1</v>
      </c>
      <c r="D87" s="20">
        <f>(13.5+12.333)/3.281</f>
        <v>7.873514172508381</v>
      </c>
      <c r="E87" s="21"/>
      <c r="F87" s="21"/>
      <c r="G87" s="39">
        <f t="shared" ref="G87" si="5">PRODUCT(C87:F87)</f>
        <v>7.873514172508381</v>
      </c>
      <c r="H87" s="22"/>
      <c r="I87" s="23"/>
      <c r="J87" s="41"/>
      <c r="K87" s="21"/>
    </row>
    <row r="88" spans="1:11" ht="15" customHeight="1" x14ac:dyDescent="0.3">
      <c r="A88" s="18"/>
      <c r="B88" s="37" t="s">
        <v>42</v>
      </c>
      <c r="C88" s="19"/>
      <c r="D88" s="20"/>
      <c r="E88" s="21"/>
      <c r="F88" s="21"/>
      <c r="G88" s="23">
        <f>SUM(G87:G87)</f>
        <v>7.873514172508381</v>
      </c>
      <c r="H88" s="22" t="s">
        <v>67</v>
      </c>
      <c r="I88" s="23">
        <v>4132.8</v>
      </c>
      <c r="J88" s="41">
        <f>G88*I88</f>
        <v>32539.65937214264</v>
      </c>
      <c r="K88" s="21"/>
    </row>
    <row r="89" spans="1:11" ht="15" customHeight="1" x14ac:dyDescent="0.3">
      <c r="A89" s="18"/>
      <c r="B89" s="37" t="s">
        <v>40</v>
      </c>
      <c r="C89" s="19"/>
      <c r="D89" s="20"/>
      <c r="E89" s="21"/>
      <c r="F89" s="21"/>
      <c r="G89" s="23"/>
      <c r="H89" s="22"/>
      <c r="I89" s="23"/>
      <c r="J89" s="41">
        <f>0.13*G88*4132.8</f>
        <v>4230.1557183785426</v>
      </c>
      <c r="K89" s="21"/>
    </row>
    <row r="90" spans="1:11" ht="15" customHeight="1" x14ac:dyDescent="0.3">
      <c r="A90" s="18"/>
      <c r="B90" s="37"/>
      <c r="C90" s="19"/>
      <c r="D90" s="20"/>
      <c r="E90" s="21"/>
      <c r="F90" s="21"/>
      <c r="G90" s="23"/>
      <c r="H90" s="22"/>
      <c r="I90" s="23"/>
      <c r="J90" s="41"/>
      <c r="K90" s="21"/>
    </row>
    <row r="91" spans="1:11" ht="30.6" x14ac:dyDescent="0.3">
      <c r="A91" s="18">
        <v>14</v>
      </c>
      <c r="B91" s="61" t="s">
        <v>89</v>
      </c>
      <c r="C91" s="19"/>
      <c r="D91" s="20"/>
      <c r="E91" s="21"/>
      <c r="F91" s="21"/>
      <c r="G91" s="23"/>
      <c r="H91" s="22"/>
      <c r="I91" s="23"/>
      <c r="J91" s="41"/>
      <c r="K91" s="21"/>
    </row>
    <row r="92" spans="1:11" ht="15" customHeight="1" x14ac:dyDescent="0.3">
      <c r="A92" s="18"/>
      <c r="B92" s="37" t="str">
        <f>B72</f>
        <v>-wall</v>
      </c>
      <c r="C92" s="19">
        <f>C72</f>
        <v>2</v>
      </c>
      <c r="D92" s="20">
        <f>D72</f>
        <v>72.769582444376724</v>
      </c>
      <c r="E92" s="21"/>
      <c r="F92" s="21">
        <f>F72</f>
        <v>1.8</v>
      </c>
      <c r="G92" s="39">
        <f t="shared" ref="G92" si="6">PRODUCT(C92:F92)</f>
        <v>261.97049679975623</v>
      </c>
      <c r="H92" s="22"/>
      <c r="I92" s="23"/>
      <c r="J92" s="41"/>
      <c r="K92" s="21"/>
    </row>
    <row r="93" spans="1:11" ht="15" customHeight="1" x14ac:dyDescent="0.3">
      <c r="A93" s="18"/>
      <c r="B93" s="37" t="s">
        <v>42</v>
      </c>
      <c r="C93" s="19"/>
      <c r="D93" s="20"/>
      <c r="E93" s="21"/>
      <c r="F93" s="21"/>
      <c r="G93" s="23">
        <f>SUM(G92:G92)</f>
        <v>261.97049679975623</v>
      </c>
      <c r="H93" s="22" t="s">
        <v>64</v>
      </c>
      <c r="I93" s="23">
        <v>251.77</v>
      </c>
      <c r="J93" s="41">
        <f>G93*I93</f>
        <v>65956.311979274629</v>
      </c>
      <c r="K93" s="21"/>
    </row>
    <row r="94" spans="1:11" ht="15" customHeight="1" x14ac:dyDescent="0.3">
      <c r="A94" s="18"/>
      <c r="B94" s="37" t="s">
        <v>40</v>
      </c>
      <c r="C94" s="19"/>
      <c r="D94" s="20"/>
      <c r="E94" s="21"/>
      <c r="F94" s="21"/>
      <c r="G94" s="23"/>
      <c r="H94" s="22"/>
      <c r="I94" s="23"/>
      <c r="J94" s="41">
        <f>0.13*G93*12736/100</f>
        <v>4337.393121414204</v>
      </c>
      <c r="K94" s="21"/>
    </row>
    <row r="95" spans="1:11" ht="15" customHeight="1" x14ac:dyDescent="0.3">
      <c r="A95" s="18"/>
      <c r="B95" s="37"/>
      <c r="C95" s="19"/>
      <c r="D95" s="20"/>
      <c r="E95" s="21"/>
      <c r="F95" s="21"/>
      <c r="G95" s="23"/>
      <c r="H95" s="22"/>
      <c r="I95" s="23"/>
      <c r="J95" s="41"/>
      <c r="K95" s="21"/>
    </row>
    <row r="96" spans="1:11" ht="30.6" x14ac:dyDescent="0.3">
      <c r="A96" s="18">
        <v>15</v>
      </c>
      <c r="B96" s="61" t="s">
        <v>90</v>
      </c>
      <c r="C96" s="19" t="s">
        <v>7</v>
      </c>
      <c r="D96" s="68" t="s">
        <v>43</v>
      </c>
      <c r="E96" s="69" t="s">
        <v>79</v>
      </c>
      <c r="F96" s="69" t="s">
        <v>80</v>
      </c>
      <c r="G96" s="69" t="s">
        <v>81</v>
      </c>
      <c r="H96" s="22"/>
      <c r="I96" s="23"/>
      <c r="J96" s="41"/>
      <c r="K96" s="21"/>
    </row>
    <row r="97" spans="1:16" ht="28.2" x14ac:dyDescent="0.3">
      <c r="A97" s="18"/>
      <c r="B97" s="37" t="s">
        <v>91</v>
      </c>
      <c r="C97" s="19">
        <v>4</v>
      </c>
      <c r="D97" s="20">
        <f>(3.333*3+8.333*2)/3.281</f>
        <v>8.1270953977445899</v>
      </c>
      <c r="E97" s="21">
        <v>1.04</v>
      </c>
      <c r="F97" s="21">
        <f>PRODUCT(C97:E97)</f>
        <v>33.808716854617494</v>
      </c>
      <c r="G97" s="70">
        <f>F97</f>
        <v>33.808716854617494</v>
      </c>
      <c r="H97" s="22"/>
      <c r="I97" s="23"/>
      <c r="J97" s="41"/>
      <c r="K97" s="21"/>
    </row>
    <row r="98" spans="1:16" ht="28.2" x14ac:dyDescent="0.3">
      <c r="A98" s="18"/>
      <c r="B98" s="37" t="s">
        <v>93</v>
      </c>
      <c r="C98" s="19">
        <v>4</v>
      </c>
      <c r="D98" s="20">
        <f>8/3.281</f>
        <v>2.4382810118866196</v>
      </c>
      <c r="E98" s="21">
        <v>14.13</v>
      </c>
      <c r="F98" s="21">
        <f>PRODUCT(C98:E98)</f>
        <v>137.81164279183176</v>
      </c>
      <c r="G98" s="70">
        <f>F98</f>
        <v>137.81164279183176</v>
      </c>
      <c r="H98" s="22"/>
      <c r="I98" s="23"/>
      <c r="J98" s="41"/>
      <c r="K98" s="21"/>
    </row>
    <row r="99" spans="1:16" ht="15" customHeight="1" x14ac:dyDescent="0.3">
      <c r="A99" s="18"/>
      <c r="B99" s="37" t="s">
        <v>42</v>
      </c>
      <c r="C99" s="19"/>
      <c r="D99" s="20"/>
      <c r="E99" s="21"/>
      <c r="F99" s="21"/>
      <c r="G99" s="23">
        <f>SUM(G97:G98)</f>
        <v>171.62035964644926</v>
      </c>
      <c r="H99" s="22" t="s">
        <v>92</v>
      </c>
      <c r="I99" s="23">
        <v>181.17</v>
      </c>
      <c r="J99" s="41">
        <f>G99*I99</f>
        <v>31092.460557147209</v>
      </c>
      <c r="K99" s="21"/>
    </row>
    <row r="100" spans="1:16" ht="15" customHeight="1" x14ac:dyDescent="0.3">
      <c r="A100" s="18"/>
      <c r="B100" s="37" t="s">
        <v>40</v>
      </c>
      <c r="C100" s="19"/>
      <c r="D100" s="20"/>
      <c r="E100" s="21"/>
      <c r="F100" s="21"/>
      <c r="G100" s="23"/>
      <c r="H100" s="22"/>
      <c r="I100" s="23"/>
      <c r="J100" s="41">
        <f>0.13*G99*1871.42/18.94</f>
        <v>2204.4662380381496</v>
      </c>
      <c r="K100" s="21"/>
    </row>
    <row r="101" spans="1:16" ht="15" customHeight="1" x14ac:dyDescent="0.3">
      <c r="A101" s="18"/>
      <c r="B101" s="37"/>
      <c r="C101" s="19"/>
      <c r="D101" s="20"/>
      <c r="E101" s="21"/>
      <c r="F101" s="21"/>
      <c r="G101" s="23"/>
      <c r="H101" s="22"/>
      <c r="I101" s="23"/>
      <c r="J101" s="41"/>
      <c r="K101" s="21"/>
    </row>
    <row r="102" spans="1:16" ht="15" customHeight="1" x14ac:dyDescent="0.3">
      <c r="A102" s="18">
        <v>16</v>
      </c>
      <c r="B102" s="30" t="s">
        <v>68</v>
      </c>
      <c r="C102" s="19">
        <v>1</v>
      </c>
      <c r="D102" s="20"/>
      <c r="E102" s="21"/>
      <c r="F102" s="21"/>
      <c r="G102" s="34">
        <f t="shared" ref="G102" si="7">PRODUCT(C102:F102)</f>
        <v>1</v>
      </c>
      <c r="H102" s="22" t="s">
        <v>69</v>
      </c>
      <c r="I102" s="23">
        <v>5000</v>
      </c>
      <c r="J102" s="34">
        <f>G102*I102</f>
        <v>5000</v>
      </c>
      <c r="K102" s="21"/>
    </row>
    <row r="103" spans="1:16" ht="15" customHeight="1" x14ac:dyDescent="0.3">
      <c r="A103" s="18"/>
      <c r="B103" s="37"/>
      <c r="C103" s="19"/>
      <c r="D103" s="20"/>
      <c r="E103" s="21"/>
      <c r="F103" s="21"/>
      <c r="G103" s="23"/>
      <c r="H103" s="22"/>
      <c r="I103" s="23"/>
      <c r="J103" s="41"/>
      <c r="K103" s="21"/>
    </row>
    <row r="104" spans="1:16" ht="15" customHeight="1" x14ac:dyDescent="0.3">
      <c r="A104" s="18">
        <v>17</v>
      </c>
      <c r="B104" s="30" t="s">
        <v>30</v>
      </c>
      <c r="C104" s="19">
        <v>1</v>
      </c>
      <c r="D104" s="20"/>
      <c r="E104" s="21"/>
      <c r="F104" s="21"/>
      <c r="G104" s="34">
        <f t="shared" ref="G104" si="8">PRODUCT(C104:F104)</f>
        <v>1</v>
      </c>
      <c r="H104" s="22" t="s">
        <v>31</v>
      </c>
      <c r="I104" s="23">
        <v>500</v>
      </c>
      <c r="J104" s="34">
        <f>G104*I104</f>
        <v>500</v>
      </c>
      <c r="K104" s="21"/>
    </row>
    <row r="105" spans="1:16" ht="15" customHeight="1" x14ac:dyDescent="0.3">
      <c r="A105" s="18"/>
      <c r="B105" s="24"/>
      <c r="C105" s="19"/>
      <c r="D105" s="20"/>
      <c r="E105" s="21"/>
      <c r="F105" s="21"/>
      <c r="G105" s="23"/>
      <c r="H105" s="22"/>
      <c r="I105" s="23"/>
      <c r="J105" s="41"/>
      <c r="K105" s="21"/>
    </row>
    <row r="106" spans="1:16" x14ac:dyDescent="0.3">
      <c r="A106" s="40"/>
      <c r="B106" s="42" t="s">
        <v>17</v>
      </c>
      <c r="C106" s="43"/>
      <c r="D106" s="38"/>
      <c r="E106" s="38"/>
      <c r="F106" s="38"/>
      <c r="G106" s="41"/>
      <c r="H106" s="41"/>
      <c r="I106" s="41"/>
      <c r="J106" s="41">
        <f>SUM(J10:J104)</f>
        <v>517281.24234828848</v>
      </c>
      <c r="K106" s="36"/>
    </row>
    <row r="107" spans="1:16" x14ac:dyDescent="0.3">
      <c r="A107" s="54"/>
      <c r="B107" s="57"/>
      <c r="C107" s="58"/>
      <c r="D107" s="55"/>
      <c r="E107" s="55"/>
      <c r="F107" s="55"/>
      <c r="G107" s="56"/>
      <c r="H107" s="56"/>
      <c r="I107" s="56"/>
      <c r="J107" s="56"/>
      <c r="K107" s="53"/>
    </row>
    <row r="108" spans="1:16" s="1" customFormat="1" x14ac:dyDescent="0.3">
      <c r="A108" s="46"/>
      <c r="B108" s="29" t="s">
        <v>27</v>
      </c>
      <c r="C108" s="91">
        <f>J106</f>
        <v>517281.24234828848</v>
      </c>
      <c r="D108" s="91"/>
      <c r="E108" s="39">
        <v>100</v>
      </c>
      <c r="F108" s="47"/>
      <c r="G108" s="48"/>
      <c r="H108" s="47"/>
      <c r="I108" s="49"/>
      <c r="J108" s="50"/>
      <c r="K108" s="51"/>
    </row>
    <row r="109" spans="1:16" x14ac:dyDescent="0.3">
      <c r="A109" s="52"/>
      <c r="B109" s="29" t="s">
        <v>32</v>
      </c>
      <c r="C109" s="94">
        <v>500000</v>
      </c>
      <c r="D109" s="94"/>
      <c r="E109" s="39"/>
      <c r="F109" s="45"/>
      <c r="G109" s="44"/>
      <c r="H109" s="54"/>
      <c r="I109" s="54"/>
      <c r="J109" s="54"/>
      <c r="K109" s="53"/>
      <c r="L109" s="35"/>
      <c r="M109" s="35"/>
      <c r="N109" s="35"/>
      <c r="O109" s="35"/>
      <c r="P109" s="35"/>
    </row>
    <row r="110" spans="1:16" ht="14.4" customHeight="1" x14ac:dyDescent="0.3">
      <c r="A110" s="52"/>
      <c r="B110" s="29" t="s">
        <v>33</v>
      </c>
      <c r="C110" s="94">
        <f>C109-C112-C113</f>
        <v>475000</v>
      </c>
      <c r="D110" s="94"/>
      <c r="E110" s="39">
        <f>C110/C108*100</f>
        <v>91.826256417815316</v>
      </c>
      <c r="F110" s="45"/>
      <c r="G110" s="44"/>
      <c r="H110" s="54"/>
      <c r="I110" s="25"/>
      <c r="J110" s="25"/>
      <c r="K110" s="25"/>
      <c r="L110" s="25"/>
      <c r="M110" s="25"/>
      <c r="N110" s="25"/>
      <c r="O110" s="25"/>
      <c r="P110" s="35"/>
    </row>
    <row r="111" spans="1:16" ht="14.4" customHeight="1" x14ac:dyDescent="0.3">
      <c r="A111" s="52"/>
      <c r="B111" s="29" t="s">
        <v>34</v>
      </c>
      <c r="C111" s="91">
        <f>C108-C110</f>
        <v>42281.242348288477</v>
      </c>
      <c r="D111" s="91"/>
      <c r="E111" s="39">
        <f>100-E110</f>
        <v>8.1737435821846844</v>
      </c>
      <c r="F111" s="45"/>
      <c r="G111" s="44"/>
      <c r="H111" s="54"/>
      <c r="I111" s="25"/>
      <c r="J111" s="25"/>
      <c r="K111" s="25"/>
      <c r="L111" s="25"/>
      <c r="M111" s="25"/>
      <c r="N111" s="25"/>
      <c r="O111" s="25"/>
      <c r="P111" s="35"/>
    </row>
    <row r="112" spans="1:16" x14ac:dyDescent="0.3">
      <c r="A112" s="52"/>
      <c r="B112" s="29" t="s">
        <v>35</v>
      </c>
      <c r="C112" s="91">
        <f>C109*0.03</f>
        <v>15000</v>
      </c>
      <c r="D112" s="91"/>
      <c r="E112" s="39">
        <v>3</v>
      </c>
      <c r="F112" s="45"/>
      <c r="G112" s="44"/>
      <c r="H112" s="54"/>
      <c r="I112" s="54"/>
      <c r="J112" s="54"/>
      <c r="K112" s="53"/>
      <c r="L112" s="35"/>
      <c r="M112" s="35"/>
      <c r="N112" s="35"/>
      <c r="O112" s="35"/>
      <c r="P112" s="35"/>
    </row>
    <row r="113" spans="1:16" x14ac:dyDescent="0.3">
      <c r="A113" s="52"/>
      <c r="B113" s="29" t="s">
        <v>36</v>
      </c>
      <c r="C113" s="91">
        <f>C109*0.02</f>
        <v>10000</v>
      </c>
      <c r="D113" s="91"/>
      <c r="E113" s="39">
        <v>2</v>
      </c>
      <c r="F113" s="45"/>
      <c r="G113" s="44"/>
      <c r="H113" s="54"/>
      <c r="I113" s="54"/>
      <c r="J113" s="54"/>
      <c r="K113" s="53"/>
      <c r="L113" s="35"/>
      <c r="M113" s="35"/>
      <c r="N113" s="35"/>
      <c r="O113" s="35"/>
      <c r="P113" s="35"/>
    </row>
    <row r="114" spans="1:16" s="35" customFormat="1" x14ac:dyDescent="0.3">
      <c r="A114" s="53"/>
      <c r="B114" s="53"/>
      <c r="C114" s="53"/>
      <c r="D114" s="53"/>
      <c r="E114" s="53"/>
      <c r="F114" s="53"/>
      <c r="G114" s="53"/>
      <c r="H114" s="53"/>
      <c r="I114" s="53"/>
      <c r="J114" s="53"/>
      <c r="K114" s="53"/>
    </row>
    <row r="115" spans="1:16" s="35" customFormat="1" x14ac:dyDescent="0.3"/>
    <row r="116" spans="1:16" s="35" customFormat="1" x14ac:dyDescent="0.3"/>
    <row r="117" spans="1:16" s="35" customFormat="1" x14ac:dyDescent="0.3"/>
    <row r="118" spans="1:16" s="35" customFormat="1" x14ac:dyDescent="0.3"/>
    <row r="119" spans="1:16" s="35" customFormat="1" x14ac:dyDescent="0.3"/>
    <row r="120" spans="1:16" s="35" customFormat="1" x14ac:dyDescent="0.3"/>
    <row r="121" spans="1:16" s="35" customFormat="1" x14ac:dyDescent="0.3"/>
    <row r="122" spans="1:16" s="35" customFormat="1" x14ac:dyDescent="0.3"/>
    <row r="123" spans="1:16" s="35" customFormat="1" x14ac:dyDescent="0.3"/>
    <row r="124" spans="1:16" s="35" customFormat="1" x14ac:dyDescent="0.3"/>
    <row r="125" spans="1:16" s="35" customFormat="1" x14ac:dyDescent="0.3"/>
    <row r="126" spans="1:16" s="35" customFormat="1" x14ac:dyDescent="0.3"/>
    <row r="127" spans="1:16" s="35" customFormat="1" x14ac:dyDescent="0.3"/>
    <row r="128" spans="1:16"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row r="155" s="35" customFormat="1" x14ac:dyDescent="0.3"/>
    <row r="156" s="35" customFormat="1" x14ac:dyDescent="0.3"/>
    <row r="157" s="35" customFormat="1" x14ac:dyDescent="0.3"/>
    <row r="158" s="35" customFormat="1" x14ac:dyDescent="0.3"/>
    <row r="159" s="35" customFormat="1" x14ac:dyDescent="0.3"/>
    <row r="160" s="35" customFormat="1" x14ac:dyDescent="0.3"/>
    <row r="161" s="35" customFormat="1" x14ac:dyDescent="0.3"/>
    <row r="162" s="35" customFormat="1" x14ac:dyDescent="0.3"/>
    <row r="163" s="35" customFormat="1" x14ac:dyDescent="0.3"/>
    <row r="164" s="35" customFormat="1" x14ac:dyDescent="0.3"/>
    <row r="165" s="35" customFormat="1" x14ac:dyDescent="0.3"/>
    <row r="166" s="35" customFormat="1" x14ac:dyDescent="0.3"/>
    <row r="167" s="35" customFormat="1" x14ac:dyDescent="0.3"/>
    <row r="168" s="35" customFormat="1" x14ac:dyDescent="0.3"/>
    <row r="169" s="35" customFormat="1" x14ac:dyDescent="0.3"/>
    <row r="170" s="35" customFormat="1" x14ac:dyDescent="0.3"/>
  </sheetData>
  <mergeCells count="16">
    <mergeCell ref="C111:D111"/>
    <mergeCell ref="C112:D112"/>
    <mergeCell ref="C113:D113"/>
    <mergeCell ref="A7:F7"/>
    <mergeCell ref="H7:K7"/>
    <mergeCell ref="M11:S11"/>
    <mergeCell ref="C108:D108"/>
    <mergeCell ref="C109:D109"/>
    <mergeCell ref="C110:D110"/>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6"/>
  <sheetViews>
    <sheetView tabSelected="1" topLeftCell="A88" zoomScaleNormal="100" workbookViewId="0">
      <selection activeCell="G98" sqref="G98"/>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s>
  <sheetData>
    <row r="1" spans="1:19" s="1" customFormat="1" x14ac:dyDescent="0.3">
      <c r="A1" s="86" t="s">
        <v>0</v>
      </c>
      <c r="B1" s="86"/>
      <c r="C1" s="86"/>
      <c r="D1" s="86"/>
      <c r="E1" s="86"/>
      <c r="F1" s="86"/>
      <c r="G1" s="86"/>
      <c r="H1" s="86"/>
      <c r="I1" s="86"/>
      <c r="J1" s="86"/>
      <c r="K1" s="86"/>
    </row>
    <row r="2" spans="1:19" s="1" customFormat="1" ht="22.8" x14ac:dyDescent="0.3">
      <c r="A2" s="87" t="s">
        <v>1</v>
      </c>
      <c r="B2" s="87"/>
      <c r="C2" s="87"/>
      <c r="D2" s="87"/>
      <c r="E2" s="87"/>
      <c r="F2" s="87"/>
      <c r="G2" s="87"/>
      <c r="H2" s="87"/>
      <c r="I2" s="87"/>
      <c r="J2" s="87"/>
      <c r="K2" s="87"/>
    </row>
    <row r="3" spans="1:19" s="1" customFormat="1" x14ac:dyDescent="0.3">
      <c r="A3" s="83" t="s">
        <v>2</v>
      </c>
      <c r="B3" s="83"/>
      <c r="C3" s="83"/>
      <c r="D3" s="83"/>
      <c r="E3" s="83"/>
      <c r="F3" s="83"/>
      <c r="G3" s="83"/>
      <c r="H3" s="83"/>
      <c r="I3" s="83"/>
      <c r="J3" s="83"/>
      <c r="K3" s="83"/>
    </row>
    <row r="4" spans="1:19" s="1" customFormat="1" x14ac:dyDescent="0.3">
      <c r="A4" s="83" t="s">
        <v>3</v>
      </c>
      <c r="B4" s="83"/>
      <c r="C4" s="83"/>
      <c r="D4" s="83"/>
      <c r="E4" s="83"/>
      <c r="F4" s="83"/>
      <c r="G4" s="83"/>
      <c r="H4" s="83"/>
      <c r="I4" s="83"/>
      <c r="J4" s="83"/>
      <c r="K4" s="83"/>
    </row>
    <row r="5" spans="1:19" ht="17.399999999999999" x14ac:dyDescent="0.3">
      <c r="A5" s="88" t="s">
        <v>4</v>
      </c>
      <c r="B5" s="88"/>
      <c r="C5" s="88"/>
      <c r="D5" s="88"/>
      <c r="E5" s="88"/>
      <c r="F5" s="88"/>
      <c r="G5" s="88"/>
      <c r="H5" s="88"/>
      <c r="I5" s="88"/>
      <c r="J5" s="88"/>
      <c r="K5" s="88"/>
    </row>
    <row r="6" spans="1:19" ht="15.6" x14ac:dyDescent="0.3">
      <c r="A6" s="73" t="s">
        <v>98</v>
      </c>
      <c r="B6" s="73"/>
      <c r="C6" s="73"/>
      <c r="D6" s="73"/>
      <c r="E6" s="73"/>
      <c r="F6" s="73"/>
      <c r="G6" s="2"/>
      <c r="H6" s="85" t="s">
        <v>45</v>
      </c>
      <c r="I6" s="85"/>
      <c r="J6" s="85"/>
      <c r="K6" s="85"/>
    </row>
    <row r="7" spans="1:19" ht="15.6" x14ac:dyDescent="0.3">
      <c r="A7" s="92" t="s">
        <v>28</v>
      </c>
      <c r="B7" s="92"/>
      <c r="C7" s="92"/>
      <c r="D7" s="92"/>
      <c r="E7" s="92"/>
      <c r="F7" s="92"/>
      <c r="G7" s="3"/>
      <c r="H7" s="93" t="s">
        <v>97</v>
      </c>
      <c r="I7" s="93"/>
      <c r="J7" s="93"/>
      <c r="K7" s="93"/>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45" x14ac:dyDescent="0.3">
      <c r="A9" s="29">
        <v>1</v>
      </c>
      <c r="B9" s="59" t="s">
        <v>48</v>
      </c>
      <c r="C9" s="36"/>
      <c r="D9" s="36"/>
      <c r="E9" s="36"/>
      <c r="F9" s="36"/>
      <c r="G9" s="36"/>
      <c r="H9" s="36"/>
      <c r="I9" s="36"/>
      <c r="J9" s="36"/>
      <c r="K9" s="36"/>
    </row>
    <row r="10" spans="1:19" ht="15" customHeight="1" x14ac:dyDescent="0.3">
      <c r="A10" s="18"/>
      <c r="B10" s="37" t="s">
        <v>49</v>
      </c>
      <c r="C10" s="36">
        <v>1</v>
      </c>
      <c r="D10" s="38">
        <f>1.93+1.95</f>
        <v>3.88</v>
      </c>
      <c r="E10" s="38">
        <v>0.1</v>
      </c>
      <c r="F10" s="38">
        <f>7.5/3.281</f>
        <v>2.2858884486437061</v>
      </c>
      <c r="G10" s="39">
        <f>PRODUCT(C10:F10)</f>
        <v>0.88692471807375795</v>
      </c>
      <c r="H10" s="40"/>
      <c r="I10" s="40"/>
      <c r="J10" s="40"/>
      <c r="K10" s="21"/>
    </row>
    <row r="11" spans="1:19" ht="15" customHeight="1" x14ac:dyDescent="0.3">
      <c r="A11" s="18"/>
      <c r="B11" s="37"/>
      <c r="C11" s="36">
        <v>3</v>
      </c>
      <c r="D11" s="38">
        <f>1.17/3.281</f>
        <v>0.35659859798841814</v>
      </c>
      <c r="E11" s="38">
        <f>1.17/3.281</f>
        <v>0.35659859798841814</v>
      </c>
      <c r="F11" s="38">
        <f>7.5/3.281</f>
        <v>2.2858884486437061</v>
      </c>
      <c r="G11" s="39">
        <f>PRODUCT(C11:F11)</f>
        <v>0.87203828161059815</v>
      </c>
      <c r="H11" s="40"/>
      <c r="I11" s="40"/>
      <c r="J11" s="40"/>
      <c r="K11" s="21"/>
      <c r="M11" s="89" t="s">
        <v>54</v>
      </c>
      <c r="N11" s="90"/>
      <c r="O11" s="90"/>
      <c r="P11" s="90"/>
      <c r="Q11" s="90"/>
      <c r="R11" s="90"/>
      <c r="S11" s="90"/>
    </row>
    <row r="12" spans="1:19" ht="15" customHeight="1" x14ac:dyDescent="0.3">
      <c r="A12" s="18"/>
      <c r="B12" s="37"/>
      <c r="C12" s="36">
        <v>1</v>
      </c>
      <c r="D12" s="38">
        <v>0.6</v>
      </c>
      <c r="E12" s="38">
        <v>0.6</v>
      </c>
      <c r="F12" s="38">
        <v>1.1499999999999999</v>
      </c>
      <c r="G12" s="39">
        <f>PRODUCT(C12:F12)</f>
        <v>0.41399999999999998</v>
      </c>
      <c r="H12" s="40"/>
      <c r="I12" s="40"/>
      <c r="J12" s="40"/>
      <c r="K12" s="21"/>
    </row>
    <row r="13" spans="1:19" ht="15" customHeight="1" x14ac:dyDescent="0.3">
      <c r="A13" s="18"/>
      <c r="B13" s="37" t="s">
        <v>42</v>
      </c>
      <c r="C13" s="19"/>
      <c r="D13" s="20"/>
      <c r="E13" s="21"/>
      <c r="F13" s="21"/>
      <c r="G13" s="23">
        <f>SUM(G10:G12)</f>
        <v>2.1729629996843562</v>
      </c>
      <c r="H13" s="22" t="s">
        <v>41</v>
      </c>
      <c r="I13" s="23">
        <v>1950</v>
      </c>
      <c r="J13" s="41">
        <f>G13*I13</f>
        <v>4237.2778493844944</v>
      </c>
      <c r="K13" s="21"/>
    </row>
    <row r="14" spans="1:19" ht="15" customHeight="1" x14ac:dyDescent="0.3">
      <c r="A14" s="18"/>
      <c r="B14" s="59"/>
      <c r="C14" s="19"/>
      <c r="D14" s="20"/>
      <c r="E14" s="21"/>
      <c r="F14" s="21"/>
      <c r="G14" s="23"/>
      <c r="H14" s="22"/>
      <c r="I14" s="23"/>
      <c r="J14" s="41"/>
      <c r="K14" s="21"/>
    </row>
    <row r="15" spans="1:19" ht="124.2" x14ac:dyDescent="0.3">
      <c r="A15" s="18">
        <v>2</v>
      </c>
      <c r="B15" s="30" t="s">
        <v>44</v>
      </c>
      <c r="C15" s="19"/>
      <c r="D15" s="20"/>
      <c r="E15" s="21"/>
      <c r="F15" s="21"/>
      <c r="G15" s="23"/>
      <c r="H15" s="22"/>
      <c r="I15" s="23"/>
      <c r="J15" s="41"/>
      <c r="K15" s="21"/>
    </row>
    <row r="16" spans="1:19" ht="15" customHeight="1" x14ac:dyDescent="0.3">
      <c r="A16" s="18"/>
      <c r="B16" s="37" t="s">
        <v>49</v>
      </c>
      <c r="C16" s="36">
        <v>1</v>
      </c>
      <c r="D16" s="38">
        <f>4.98+5.55</f>
        <v>10.530000000000001</v>
      </c>
      <c r="E16" s="38">
        <v>0.46</v>
      </c>
      <c r="F16" s="38">
        <v>0.75</v>
      </c>
      <c r="G16" s="39">
        <f>PRODUCT(C16:F16)</f>
        <v>3.6328500000000004</v>
      </c>
      <c r="H16" s="40"/>
      <c r="I16" s="40"/>
      <c r="J16" s="40"/>
      <c r="K16" s="21"/>
    </row>
    <row r="17" spans="1:11" ht="15" customHeight="1" x14ac:dyDescent="0.3">
      <c r="A17" s="18"/>
      <c r="B17" s="37" t="s">
        <v>42</v>
      </c>
      <c r="C17" s="19"/>
      <c r="D17" s="20"/>
      <c r="E17" s="21"/>
      <c r="F17" s="21"/>
      <c r="G17" s="23">
        <f>SUM(G16:G16)</f>
        <v>3.6328500000000004</v>
      </c>
      <c r="H17" s="22" t="s">
        <v>41</v>
      </c>
      <c r="I17" s="23">
        <v>64.63</v>
      </c>
      <c r="J17" s="41">
        <f>G17*I17</f>
        <v>234.79109550000001</v>
      </c>
      <c r="K17" s="21"/>
    </row>
    <row r="18" spans="1:11" ht="15" customHeight="1" x14ac:dyDescent="0.3">
      <c r="A18" s="18"/>
      <c r="B18" s="37" t="s">
        <v>40</v>
      </c>
      <c r="C18" s="19"/>
      <c r="D18" s="20"/>
      <c r="E18" s="21"/>
      <c r="F18" s="21"/>
      <c r="G18" s="23"/>
      <c r="H18" s="22"/>
      <c r="I18" s="23"/>
      <c r="J18" s="41">
        <f>0.13*G17*19284/360</f>
        <v>25.297956450000001</v>
      </c>
      <c r="K18" s="21"/>
    </row>
    <row r="19" spans="1:11" ht="15" customHeight="1" x14ac:dyDescent="0.3">
      <c r="A19" s="18"/>
      <c r="B19" s="59"/>
      <c r="C19" s="19"/>
      <c r="D19" s="20"/>
      <c r="E19" s="21"/>
      <c r="F19" s="21"/>
      <c r="G19" s="23"/>
      <c r="H19" s="22"/>
      <c r="I19" s="23"/>
      <c r="J19" s="41"/>
      <c r="K19" s="21"/>
    </row>
    <row r="20" spans="1:11" ht="30" x14ac:dyDescent="0.3">
      <c r="A20" s="18">
        <v>3</v>
      </c>
      <c r="B20" s="59" t="s">
        <v>59</v>
      </c>
      <c r="C20" s="19"/>
      <c r="D20" s="20"/>
      <c r="E20" s="21"/>
      <c r="F20" s="21"/>
      <c r="G20" s="23"/>
      <c r="H20" s="22"/>
      <c r="I20" s="23"/>
      <c r="J20" s="41"/>
      <c r="K20" s="21"/>
    </row>
    <row r="21" spans="1:11" ht="15" customHeight="1" x14ac:dyDescent="0.3">
      <c r="A21" s="18"/>
      <c r="B21" s="37" t="s">
        <v>55</v>
      </c>
      <c r="C21" s="36">
        <v>1</v>
      </c>
      <c r="D21" s="38">
        <v>0.6</v>
      </c>
      <c r="E21" s="38">
        <v>0.6</v>
      </c>
      <c r="F21" s="38">
        <v>0.9</v>
      </c>
      <c r="G21" s="39">
        <f>PRODUCT(C21:F21)</f>
        <v>0.32400000000000001</v>
      </c>
      <c r="H21" s="40"/>
      <c r="I21" s="40"/>
      <c r="J21" s="40"/>
      <c r="K21" s="21"/>
    </row>
    <row r="22" spans="1:11" ht="15" customHeight="1" x14ac:dyDescent="0.3">
      <c r="A22" s="18"/>
      <c r="B22" s="37" t="s">
        <v>42</v>
      </c>
      <c r="C22" s="19"/>
      <c r="D22" s="20"/>
      <c r="E22" s="21"/>
      <c r="F22" s="21"/>
      <c r="G22" s="23">
        <f>SUM(G21:G21)</f>
        <v>0.32400000000000001</v>
      </c>
      <c r="H22" s="22" t="s">
        <v>41</v>
      </c>
      <c r="I22" s="23">
        <v>663.31</v>
      </c>
      <c r="J22" s="41">
        <f>G22*I22</f>
        <v>214.91243999999998</v>
      </c>
      <c r="K22" s="21"/>
    </row>
    <row r="23" spans="1:11" ht="15" customHeight="1" x14ac:dyDescent="0.3">
      <c r="A23" s="18"/>
      <c r="B23" s="37"/>
      <c r="C23" s="19"/>
      <c r="D23" s="20"/>
      <c r="E23" s="21"/>
      <c r="F23" s="21"/>
      <c r="G23" s="23"/>
      <c r="H23" s="22"/>
      <c r="I23" s="23"/>
      <c r="J23" s="41"/>
      <c r="K23" s="21"/>
    </row>
    <row r="24" spans="1:11" ht="15" x14ac:dyDescent="0.3">
      <c r="A24" s="18">
        <v>4</v>
      </c>
      <c r="B24" s="59" t="s">
        <v>74</v>
      </c>
      <c r="C24" s="19"/>
      <c r="D24" s="20"/>
      <c r="E24" s="21"/>
      <c r="F24" s="21"/>
      <c r="G24" s="23"/>
      <c r="H24" s="22"/>
      <c r="I24" s="23"/>
      <c r="J24" s="41"/>
      <c r="K24" s="21"/>
    </row>
    <row r="25" spans="1:11" ht="15" customHeight="1" x14ac:dyDescent="0.3">
      <c r="A25" s="18"/>
      <c r="B25" s="37" t="s">
        <v>60</v>
      </c>
      <c r="C25" s="19">
        <v>1</v>
      </c>
      <c r="D25" s="20">
        <f>D16</f>
        <v>10.530000000000001</v>
      </c>
      <c r="E25" s="21">
        <f>E16</f>
        <v>0.46</v>
      </c>
      <c r="F25" s="21"/>
      <c r="G25" s="39">
        <f>PRODUCT(C25:F25)</f>
        <v>4.8438000000000008</v>
      </c>
      <c r="H25" s="22"/>
      <c r="I25" s="23"/>
      <c r="J25" s="41"/>
      <c r="K25" s="21"/>
    </row>
    <row r="26" spans="1:11" ht="15" customHeight="1" x14ac:dyDescent="0.3">
      <c r="A26" s="18"/>
      <c r="B26" s="37"/>
      <c r="C26" s="19">
        <v>1</v>
      </c>
      <c r="D26" s="20">
        <f>D21</f>
        <v>0.6</v>
      </c>
      <c r="E26" s="21">
        <f>E21</f>
        <v>0.6</v>
      </c>
      <c r="F26" s="21"/>
      <c r="G26" s="39">
        <f>PRODUCT(C26:F26)</f>
        <v>0.36</v>
      </c>
      <c r="H26" s="22"/>
      <c r="I26" s="23"/>
      <c r="J26" s="41"/>
      <c r="K26" s="21"/>
    </row>
    <row r="27" spans="1:11" ht="15" customHeight="1" x14ac:dyDescent="0.3">
      <c r="A27" s="18"/>
      <c r="B27" s="37" t="s">
        <v>42</v>
      </c>
      <c r="C27" s="19"/>
      <c r="D27" s="20"/>
      <c r="E27" s="21"/>
      <c r="F27" s="21"/>
      <c r="G27" s="23">
        <f>SUM(G25:G26)</f>
        <v>5.2038000000000011</v>
      </c>
      <c r="H27" s="22" t="s">
        <v>64</v>
      </c>
      <c r="I27" s="23">
        <v>1014.97</v>
      </c>
      <c r="J27" s="41">
        <f>G27*I27</f>
        <v>5281.7008860000014</v>
      </c>
      <c r="K27" s="21"/>
    </row>
    <row r="28" spans="1:11" ht="15" customHeight="1" x14ac:dyDescent="0.3">
      <c r="A28" s="18"/>
      <c r="B28" s="37" t="s">
        <v>40</v>
      </c>
      <c r="C28" s="19"/>
      <c r="D28" s="20"/>
      <c r="E28" s="21"/>
      <c r="F28" s="21"/>
      <c r="G28" s="23"/>
      <c r="H28" s="22"/>
      <c r="I28" s="23"/>
      <c r="J28" s="41">
        <f>0.13*G27*8617.2/10</f>
        <v>582.94840968000017</v>
      </c>
      <c r="K28" s="21"/>
    </row>
    <row r="29" spans="1:11" ht="15" customHeight="1" x14ac:dyDescent="0.3">
      <c r="A29" s="18"/>
      <c r="B29" s="37"/>
      <c r="C29" s="19"/>
      <c r="D29" s="20"/>
      <c r="E29" s="21"/>
      <c r="F29" s="21"/>
      <c r="G29" s="23"/>
      <c r="H29" s="22"/>
      <c r="I29" s="23"/>
      <c r="J29" s="41"/>
      <c r="K29" s="21"/>
    </row>
    <row r="30" spans="1:11" ht="30" x14ac:dyDescent="0.3">
      <c r="A30" s="18">
        <v>5</v>
      </c>
      <c r="B30" s="59" t="s">
        <v>75</v>
      </c>
      <c r="C30" s="19"/>
      <c r="D30" s="20"/>
      <c r="E30" s="21"/>
      <c r="F30" s="21"/>
      <c r="G30" s="23"/>
      <c r="H30" s="22"/>
      <c r="I30" s="23"/>
      <c r="J30" s="41"/>
      <c r="K30" s="21"/>
    </row>
    <row r="31" spans="1:11" ht="15" customHeight="1" x14ac:dyDescent="0.3">
      <c r="A31" s="18"/>
      <c r="B31" s="37" t="s">
        <v>60</v>
      </c>
      <c r="C31" s="19">
        <f t="shared" ref="C31:E32" si="0">C25</f>
        <v>1</v>
      </c>
      <c r="D31" s="20">
        <f t="shared" si="0"/>
        <v>10.530000000000001</v>
      </c>
      <c r="E31" s="21">
        <f t="shared" si="0"/>
        <v>0.46</v>
      </c>
      <c r="F31" s="21">
        <v>0.05</v>
      </c>
      <c r="G31" s="39">
        <f>PRODUCT(C31:F31)</f>
        <v>0.24219000000000004</v>
      </c>
      <c r="H31" s="22"/>
      <c r="I31" s="23"/>
      <c r="J31" s="41"/>
      <c r="K31" s="21"/>
    </row>
    <row r="32" spans="1:11" ht="15" customHeight="1" x14ac:dyDescent="0.3">
      <c r="A32" s="18"/>
      <c r="B32" s="37"/>
      <c r="C32" s="19">
        <f t="shared" si="0"/>
        <v>1</v>
      </c>
      <c r="D32" s="20">
        <f t="shared" si="0"/>
        <v>0.6</v>
      </c>
      <c r="E32" s="21">
        <f t="shared" si="0"/>
        <v>0.6</v>
      </c>
      <c r="F32" s="21">
        <v>0.05</v>
      </c>
      <c r="G32" s="39">
        <f>PRODUCT(C32:F32)</f>
        <v>1.7999999999999999E-2</v>
      </c>
      <c r="H32" s="22"/>
      <c r="I32" s="23"/>
      <c r="J32" s="41"/>
      <c r="K32" s="21"/>
    </row>
    <row r="33" spans="1:11" ht="15" customHeight="1" x14ac:dyDescent="0.3">
      <c r="A33" s="18"/>
      <c r="B33" s="37" t="s">
        <v>42</v>
      </c>
      <c r="C33" s="19"/>
      <c r="D33" s="20"/>
      <c r="E33" s="21"/>
      <c r="F33" s="21"/>
      <c r="G33" s="23">
        <f>SUM(G31:G32)</f>
        <v>0.26019000000000003</v>
      </c>
      <c r="H33" s="22" t="s">
        <v>41</v>
      </c>
      <c r="I33" s="23">
        <v>12983.1</v>
      </c>
      <c r="J33" s="41">
        <f>G33*I33</f>
        <v>3378.0727890000007</v>
      </c>
      <c r="K33" s="21"/>
    </row>
    <row r="34" spans="1:11" ht="15" customHeight="1" x14ac:dyDescent="0.3">
      <c r="A34" s="18"/>
      <c r="B34" s="37" t="s">
        <v>40</v>
      </c>
      <c r="C34" s="19"/>
      <c r="D34" s="20"/>
      <c r="E34" s="21"/>
      <c r="F34" s="21"/>
      <c r="G34" s="23"/>
      <c r="H34" s="22"/>
      <c r="I34" s="23"/>
      <c r="J34" s="41">
        <f>0.13*G33*8078.11</f>
        <v>273.23964731700005</v>
      </c>
      <c r="K34" s="21"/>
    </row>
    <row r="35" spans="1:11" ht="15" customHeight="1" x14ac:dyDescent="0.3">
      <c r="A35" s="18"/>
      <c r="B35" s="37"/>
      <c r="C35" s="19"/>
      <c r="D35" s="20"/>
      <c r="E35" s="21"/>
      <c r="F35" s="21"/>
      <c r="G35" s="23"/>
      <c r="H35" s="22"/>
      <c r="I35" s="23"/>
      <c r="J35" s="41"/>
      <c r="K35" s="21"/>
    </row>
    <row r="36" spans="1:11" ht="33.6" x14ac:dyDescent="0.3">
      <c r="A36" s="18">
        <v>6</v>
      </c>
      <c r="B36" s="59" t="s">
        <v>76</v>
      </c>
      <c r="C36" s="19"/>
      <c r="D36" s="20"/>
      <c r="E36" s="21"/>
      <c r="F36" s="21"/>
      <c r="G36" s="23"/>
      <c r="H36" s="22"/>
      <c r="I36" s="23"/>
      <c r="J36" s="41"/>
      <c r="K36" s="21"/>
    </row>
    <row r="37" spans="1:11" ht="15" customHeight="1" x14ac:dyDescent="0.3">
      <c r="A37" s="18"/>
      <c r="B37" s="37" t="s">
        <v>60</v>
      </c>
      <c r="C37" s="19">
        <f>C32</f>
        <v>1</v>
      </c>
      <c r="D37" s="20">
        <f>D32</f>
        <v>0.6</v>
      </c>
      <c r="E37" s="21">
        <f>E32</f>
        <v>0.6</v>
      </c>
      <c r="F37" s="21">
        <v>0.22500000000000001</v>
      </c>
      <c r="G37" s="39">
        <f>PRODUCT(C37:F37)</f>
        <v>8.1000000000000003E-2</v>
      </c>
      <c r="H37" s="22"/>
      <c r="I37" s="23"/>
      <c r="J37" s="41"/>
      <c r="K37" s="21"/>
    </row>
    <row r="38" spans="1:11" ht="15" customHeight="1" x14ac:dyDescent="0.3">
      <c r="A38" s="18"/>
      <c r="B38" s="37"/>
      <c r="C38" s="19">
        <v>1</v>
      </c>
      <c r="D38" s="20">
        <v>0.23</v>
      </c>
      <c r="E38" s="21">
        <v>0.23</v>
      </c>
      <c r="F38" s="21">
        <f>0.675+1.8</f>
        <v>2.4750000000000001</v>
      </c>
      <c r="G38" s="39">
        <f>PRODUCT(C38:F38)</f>
        <v>0.1309275</v>
      </c>
      <c r="H38" s="22"/>
      <c r="I38" s="23"/>
      <c r="J38" s="41"/>
      <c r="K38" s="21"/>
    </row>
    <row r="39" spans="1:11" ht="15" customHeight="1" x14ac:dyDescent="0.3">
      <c r="A39" s="18"/>
      <c r="B39" s="37" t="s">
        <v>86</v>
      </c>
      <c r="C39" s="36">
        <v>2</v>
      </c>
      <c r="D39" s="38">
        <f>D60</f>
        <v>11.48</v>
      </c>
      <c r="E39" s="38">
        <v>0.23</v>
      </c>
      <c r="F39" s="38">
        <v>7.4999999999999997E-2</v>
      </c>
      <c r="G39" s="39">
        <f>PRODUCT(C39:F39)</f>
        <v>0.39606000000000002</v>
      </c>
      <c r="H39" s="40"/>
      <c r="I39" s="40"/>
      <c r="J39" s="40"/>
      <c r="K39" s="21"/>
    </row>
    <row r="40" spans="1:11" ht="15" customHeight="1" x14ac:dyDescent="0.3">
      <c r="A40" s="18"/>
      <c r="B40" s="37"/>
      <c r="C40" s="36">
        <v>2</v>
      </c>
      <c r="D40" s="38">
        <f>D64</f>
        <v>9.4602042060347458</v>
      </c>
      <c r="E40" s="38">
        <v>0.23</v>
      </c>
      <c r="F40" s="38">
        <v>7.4999999999999997E-2</v>
      </c>
      <c r="G40" s="39">
        <f>PRODUCT(C40:F40)</f>
        <v>0.3263770451081987</v>
      </c>
      <c r="H40" s="40"/>
      <c r="I40" s="40"/>
      <c r="J40" s="40"/>
      <c r="K40" s="21"/>
    </row>
    <row r="41" spans="1:11" ht="15" customHeight="1" x14ac:dyDescent="0.3">
      <c r="A41" s="18"/>
      <c r="B41" s="37" t="s">
        <v>42</v>
      </c>
      <c r="C41" s="19"/>
      <c r="D41" s="20"/>
      <c r="E41" s="21"/>
      <c r="F41" s="21"/>
      <c r="G41" s="23">
        <f>SUM(G37:G40)</f>
        <v>0.93436454510819877</v>
      </c>
      <c r="H41" s="22" t="s">
        <v>41</v>
      </c>
      <c r="I41" s="23">
        <v>16512.62</v>
      </c>
      <c r="J41" s="41">
        <f>G41*I41</f>
        <v>15428.806674844544</v>
      </c>
      <c r="K41" s="21"/>
    </row>
    <row r="42" spans="1:11" ht="15" customHeight="1" x14ac:dyDescent="0.3">
      <c r="A42" s="18"/>
      <c r="B42" s="37" t="s">
        <v>40</v>
      </c>
      <c r="C42" s="19"/>
      <c r="D42" s="20"/>
      <c r="E42" s="21"/>
      <c r="F42" s="21"/>
      <c r="G42" s="23"/>
      <c r="H42" s="22"/>
      <c r="I42" s="23"/>
      <c r="J42" s="41">
        <f>0.13*G41*9092.62</f>
        <v>1104.4568275184224</v>
      </c>
      <c r="K42" s="21"/>
    </row>
    <row r="43" spans="1:11" ht="15" customHeight="1" x14ac:dyDescent="0.3">
      <c r="A43" s="18"/>
      <c r="B43" s="37"/>
      <c r="C43" s="19"/>
      <c r="D43" s="20"/>
      <c r="E43" s="21"/>
      <c r="F43" s="21"/>
      <c r="G43" s="23"/>
      <c r="H43" s="22"/>
      <c r="I43" s="23"/>
      <c r="J43" s="41"/>
      <c r="K43" s="21"/>
    </row>
    <row r="44" spans="1:11" ht="30" x14ac:dyDescent="0.3">
      <c r="A44" s="18">
        <v>7</v>
      </c>
      <c r="B44" s="59" t="s">
        <v>77</v>
      </c>
      <c r="C44" s="19"/>
      <c r="D44" s="20"/>
      <c r="E44" s="21"/>
      <c r="F44" s="21"/>
      <c r="G44" s="23"/>
      <c r="H44" s="22"/>
      <c r="I44" s="23"/>
      <c r="J44" s="41"/>
      <c r="K44" s="21"/>
    </row>
    <row r="45" spans="1:11" ht="15" customHeight="1" x14ac:dyDescent="0.3">
      <c r="A45" s="18"/>
      <c r="B45" s="37" t="s">
        <v>60</v>
      </c>
      <c r="C45" s="19">
        <f>C38</f>
        <v>1</v>
      </c>
      <c r="D45" s="20">
        <f>0.6*4</f>
        <v>2.4</v>
      </c>
      <c r="E45" s="21"/>
      <c r="F45" s="21">
        <v>0.22500000000000001</v>
      </c>
      <c r="G45" s="39">
        <f>PRODUCT(C45:F45)</f>
        <v>0.54</v>
      </c>
      <c r="H45" s="22"/>
      <c r="I45" s="23"/>
      <c r="J45" s="41"/>
      <c r="K45" s="21"/>
    </row>
    <row r="46" spans="1:11" ht="15" customHeight="1" x14ac:dyDescent="0.3">
      <c r="A46" s="18"/>
      <c r="B46" s="37"/>
      <c r="C46" s="19">
        <v>1</v>
      </c>
      <c r="D46" s="20">
        <f>0.23*4</f>
        <v>0.92</v>
      </c>
      <c r="E46" s="21"/>
      <c r="F46" s="21">
        <f>0.675+1.8</f>
        <v>2.4750000000000001</v>
      </c>
      <c r="G46" s="39">
        <f>PRODUCT(C46:F46)</f>
        <v>2.2770000000000001</v>
      </c>
      <c r="H46" s="22"/>
      <c r="I46" s="23"/>
      <c r="J46" s="41"/>
      <c r="K46" s="21"/>
    </row>
    <row r="47" spans="1:11" ht="15" customHeight="1" x14ac:dyDescent="0.3">
      <c r="A47" s="18"/>
      <c r="B47" s="37" t="s">
        <v>42</v>
      </c>
      <c r="C47" s="19"/>
      <c r="D47" s="20"/>
      <c r="E47" s="21"/>
      <c r="F47" s="21"/>
      <c r="G47" s="23">
        <f>SUM(G45:G46)</f>
        <v>2.8170000000000002</v>
      </c>
      <c r="H47" s="22" t="s">
        <v>53</v>
      </c>
      <c r="I47" s="23">
        <v>915.42</v>
      </c>
      <c r="J47" s="41">
        <f>G47*I47</f>
        <v>2578.7381399999999</v>
      </c>
      <c r="K47" s="21"/>
    </row>
    <row r="48" spans="1:11" ht="15" customHeight="1" x14ac:dyDescent="0.3">
      <c r="A48" s="18"/>
      <c r="B48" s="37" t="s">
        <v>40</v>
      </c>
      <c r="C48" s="19"/>
      <c r="D48" s="20"/>
      <c r="E48" s="21"/>
      <c r="F48" s="21"/>
      <c r="G48" s="23"/>
      <c r="H48" s="22"/>
      <c r="I48" s="23"/>
      <c r="J48" s="41">
        <f>0.13*G47*46827.87/100</f>
        <v>171.48834272700003</v>
      </c>
      <c r="K48" s="21"/>
    </row>
    <row r="49" spans="1:15" ht="15" customHeight="1" x14ac:dyDescent="0.3">
      <c r="A49" s="18"/>
      <c r="B49" s="37"/>
      <c r="C49" s="19"/>
      <c r="D49" s="20"/>
      <c r="E49" s="21"/>
      <c r="F49" s="21"/>
      <c r="G49" s="23"/>
      <c r="H49" s="22"/>
      <c r="I49" s="23"/>
      <c r="J49" s="41"/>
      <c r="K49" s="21"/>
    </row>
    <row r="50" spans="1:15" ht="30" x14ac:dyDescent="0.3">
      <c r="A50" s="18">
        <v>8</v>
      </c>
      <c r="B50" s="59" t="s">
        <v>78</v>
      </c>
      <c r="C50" s="19" t="s">
        <v>7</v>
      </c>
      <c r="D50" s="68" t="s">
        <v>43</v>
      </c>
      <c r="E50" s="69" t="s">
        <v>79</v>
      </c>
      <c r="F50" s="69" t="s">
        <v>80</v>
      </c>
      <c r="G50" s="69" t="s">
        <v>81</v>
      </c>
      <c r="H50" s="22"/>
      <c r="I50" s="23"/>
      <c r="J50" s="41"/>
      <c r="K50" s="21"/>
    </row>
    <row r="51" spans="1:15" ht="15" customHeight="1" x14ac:dyDescent="0.3">
      <c r="A51" s="18"/>
      <c r="B51" s="37" t="s">
        <v>83</v>
      </c>
      <c r="C51" s="19">
        <v>6</v>
      </c>
      <c r="D51" s="20">
        <v>0.6</v>
      </c>
      <c r="E51" s="21">
        <f>8*8/162</f>
        <v>0.39506172839506171</v>
      </c>
      <c r="F51" s="21">
        <f>PRODUCT(C51:E51)</f>
        <v>1.4222222222222221</v>
      </c>
      <c r="G51" s="70">
        <f>F51/1000</f>
        <v>1.4222222222222221E-3</v>
      </c>
      <c r="H51" s="22"/>
      <c r="I51" s="23"/>
      <c r="J51" s="41"/>
      <c r="K51" s="21"/>
    </row>
    <row r="52" spans="1:15" ht="15" customHeight="1" x14ac:dyDescent="0.3">
      <c r="A52" s="18"/>
      <c r="B52" s="37" t="s">
        <v>82</v>
      </c>
      <c r="C52" s="19">
        <v>4</v>
      </c>
      <c r="D52" s="20">
        <f>0.675+1.8+0.6</f>
        <v>3.0750000000000002</v>
      </c>
      <c r="E52" s="21">
        <f>12*12/162</f>
        <v>0.88888888888888884</v>
      </c>
      <c r="F52" s="21">
        <f>PRODUCT(C52:E52)</f>
        <v>10.933333333333334</v>
      </c>
      <c r="G52" s="70">
        <f>F52/1000</f>
        <v>1.0933333333333333E-2</v>
      </c>
      <c r="H52" s="22"/>
      <c r="I52" s="23"/>
      <c r="J52" s="41"/>
      <c r="K52" s="21"/>
    </row>
    <row r="53" spans="1:15" ht="15" customHeight="1" x14ac:dyDescent="0.3">
      <c r="A53" s="18"/>
      <c r="B53" s="37" t="s">
        <v>84</v>
      </c>
      <c r="C53" s="19">
        <v>16</v>
      </c>
      <c r="D53" s="20">
        <f>(7/12/3.281)*4</f>
        <v>0.7111652951335975</v>
      </c>
      <c r="E53" s="21">
        <f>8*8/162</f>
        <v>0.39506172839506171</v>
      </c>
      <c r="F53" s="21">
        <f>PRODUCT(C53:E53)</f>
        <v>4.4952670507210115</v>
      </c>
      <c r="G53" s="70">
        <f>F53/1000</f>
        <v>4.4952670507210114E-3</v>
      </c>
      <c r="H53" s="22"/>
      <c r="I53" s="23"/>
      <c r="J53" s="41"/>
      <c r="K53" s="21"/>
    </row>
    <row r="54" spans="1:15" ht="15" customHeight="1" x14ac:dyDescent="0.3">
      <c r="A54" s="18"/>
      <c r="B54" s="37" t="s">
        <v>87</v>
      </c>
      <c r="C54" s="19">
        <v>4</v>
      </c>
      <c r="D54" s="20">
        <f>D39+D40-0.05*10</f>
        <v>20.440204206034746</v>
      </c>
      <c r="E54" s="21">
        <f>10*10/162</f>
        <v>0.61728395061728392</v>
      </c>
      <c r="F54" s="21">
        <f>PRODUCT(C54:E54)</f>
        <v>50.469640014900605</v>
      </c>
      <c r="G54" s="70">
        <f>F54/1000</f>
        <v>5.0469640014900605E-2</v>
      </c>
      <c r="H54" s="22"/>
      <c r="I54" s="23"/>
      <c r="J54" s="41"/>
      <c r="K54" s="21"/>
    </row>
    <row r="55" spans="1:15" ht="15" customHeight="1" x14ac:dyDescent="0.3">
      <c r="A55" s="18"/>
      <c r="B55" s="37" t="s">
        <v>88</v>
      </c>
      <c r="C55" s="19">
        <v>135</v>
      </c>
      <c r="D55" s="20">
        <f>(7+2+2)/12/3.281</f>
        <v>0.27938636594534183</v>
      </c>
      <c r="E55" s="21">
        <f>8*8/162</f>
        <v>0.39506172839506171</v>
      </c>
      <c r="F55" s="21">
        <f>PRODUCT(C55:E55)</f>
        <v>14.900606183751565</v>
      </c>
      <c r="G55" s="70">
        <f>F55/1000</f>
        <v>1.4900606183751565E-2</v>
      </c>
      <c r="H55" s="22"/>
      <c r="I55" s="23"/>
      <c r="J55" s="41"/>
      <c r="K55" s="21"/>
    </row>
    <row r="56" spans="1:15" ht="15" customHeight="1" x14ac:dyDescent="0.3">
      <c r="A56" s="18"/>
      <c r="B56" s="37" t="s">
        <v>42</v>
      </c>
      <c r="C56" s="19"/>
      <c r="D56" s="20"/>
      <c r="E56" s="21"/>
      <c r="F56" s="21"/>
      <c r="G56" s="23">
        <f>SUM(G51:G55)</f>
        <v>8.2221068804928729E-2</v>
      </c>
      <c r="H56" s="22" t="s">
        <v>56</v>
      </c>
      <c r="I56" s="23">
        <v>131940</v>
      </c>
      <c r="J56" s="41">
        <f>G56*I56</f>
        <v>10848.247818122296</v>
      </c>
      <c r="K56" s="21"/>
    </row>
    <row r="57" spans="1:15" ht="15" customHeight="1" x14ac:dyDescent="0.3">
      <c r="A57" s="18"/>
      <c r="B57" s="37" t="s">
        <v>40</v>
      </c>
      <c r="C57" s="19"/>
      <c r="D57" s="20"/>
      <c r="E57" s="21"/>
      <c r="F57" s="21"/>
      <c r="G57" s="23"/>
      <c r="H57" s="22"/>
      <c r="I57" s="23"/>
      <c r="J57" s="41">
        <f>0.13*G56*106200</f>
        <v>1135.144075920846</v>
      </c>
      <c r="K57" s="21"/>
    </row>
    <row r="58" spans="1:15" ht="15" customHeight="1" x14ac:dyDescent="0.3">
      <c r="A58" s="18"/>
      <c r="B58" s="37"/>
      <c r="C58" s="19"/>
      <c r="D58" s="20"/>
      <c r="E58" s="21"/>
      <c r="F58" s="21"/>
      <c r="G58" s="23"/>
      <c r="H58" s="22"/>
      <c r="I58" s="23"/>
      <c r="J58" s="41"/>
      <c r="K58" s="21"/>
    </row>
    <row r="59" spans="1:15" ht="30" x14ac:dyDescent="0.3">
      <c r="A59" s="18">
        <v>9</v>
      </c>
      <c r="B59" s="59" t="s">
        <v>50</v>
      </c>
      <c r="C59" s="19"/>
      <c r="D59" s="20"/>
      <c r="E59" s="21"/>
      <c r="F59" s="21"/>
      <c r="G59" s="23"/>
      <c r="H59" s="22"/>
      <c r="I59" s="23"/>
      <c r="J59" s="41"/>
      <c r="K59" s="21"/>
      <c r="N59">
        <f>18.833*2</f>
        <v>37.665999999999997</v>
      </c>
    </row>
    <row r="60" spans="1:15" ht="15" customHeight="1" x14ac:dyDescent="0.3">
      <c r="A60" s="18"/>
      <c r="B60" s="37" t="s">
        <v>58</v>
      </c>
      <c r="C60" s="36">
        <v>1</v>
      </c>
      <c r="D60" s="38">
        <v>11.48</v>
      </c>
      <c r="E60" s="38">
        <v>0.23</v>
      </c>
      <c r="F60" s="38">
        <f>2.083/3.281</f>
        <v>0.63486741846997874</v>
      </c>
      <c r="G60" s="39">
        <f>PRODUCT(C60:F60)</f>
        <v>1.6763039317281319</v>
      </c>
      <c r="H60" s="40"/>
      <c r="I60" s="40"/>
      <c r="J60" s="40"/>
      <c r="K60" s="21"/>
      <c r="M60">
        <f>19.083*2/3.281</f>
        <v>11.632429137458091</v>
      </c>
      <c r="N60">
        <f>18.833*2/3.281</f>
        <v>11.480036574215177</v>
      </c>
    </row>
    <row r="61" spans="1:15" ht="15" customHeight="1" x14ac:dyDescent="0.3">
      <c r="A61" s="18"/>
      <c r="B61" s="37"/>
      <c r="C61" s="36">
        <v>1</v>
      </c>
      <c r="D61" s="38">
        <v>0.40600000000000003</v>
      </c>
      <c r="E61" s="38">
        <v>0.23</v>
      </c>
      <c r="F61" s="38">
        <f>6/3.281+0.675</f>
        <v>2.503710758914965</v>
      </c>
      <c r="G61" s="39">
        <f>PRODUCT(C61:F61)</f>
        <v>0.23379651066747945</v>
      </c>
      <c r="H61" s="40"/>
      <c r="I61" s="40"/>
      <c r="J61" s="40"/>
      <c r="K61" s="21"/>
    </row>
    <row r="62" spans="1:15" ht="15" customHeight="1" x14ac:dyDescent="0.3">
      <c r="A62" s="18"/>
      <c r="B62" s="37" t="s">
        <v>85</v>
      </c>
      <c r="C62" s="36">
        <v>-2</v>
      </c>
      <c r="D62" s="38">
        <f>D60</f>
        <v>11.48</v>
      </c>
      <c r="E62" s="38">
        <f>E60</f>
        <v>0.23</v>
      </c>
      <c r="F62" s="38">
        <v>7.4999999999999997E-2</v>
      </c>
      <c r="G62" s="39">
        <f>PRODUCT(C62:F62)</f>
        <v>-0.39606000000000002</v>
      </c>
      <c r="H62" s="40"/>
      <c r="I62" s="40"/>
      <c r="J62" s="40"/>
      <c r="K62" s="21"/>
    </row>
    <row r="63" spans="1:15" ht="15" customHeight="1" x14ac:dyDescent="0.3">
      <c r="A63" s="18"/>
      <c r="B63" s="37" t="s">
        <v>57</v>
      </c>
      <c r="C63" s="36">
        <v>1</v>
      </c>
      <c r="D63" s="38">
        <f>4.98+5.55-(3*(1.17/3.281))</f>
        <v>9.4602042060347458</v>
      </c>
      <c r="E63" s="38">
        <v>0.23</v>
      </c>
      <c r="F63" s="38">
        <f>1.8+0.4+0.15</f>
        <v>2.35</v>
      </c>
      <c r="G63" s="39">
        <f t="shared" ref="G63:G67" si="1">PRODUCT(C63:F63)</f>
        <v>5.1132403733617799</v>
      </c>
      <c r="H63" s="40"/>
      <c r="I63" s="40"/>
      <c r="J63" s="40"/>
      <c r="K63" s="21"/>
      <c r="N63">
        <f>D63/3.18</f>
        <v>2.9749069830297943</v>
      </c>
      <c r="O63" s="60" t="s">
        <v>52</v>
      </c>
    </row>
    <row r="64" spans="1:15" ht="15" customHeight="1" x14ac:dyDescent="0.3">
      <c r="A64" s="18"/>
      <c r="B64" s="37" t="s">
        <v>85</v>
      </c>
      <c r="C64" s="36">
        <v>-2</v>
      </c>
      <c r="D64" s="38">
        <f>D63</f>
        <v>9.4602042060347458</v>
      </c>
      <c r="E64" s="38">
        <f>E62</f>
        <v>0.23</v>
      </c>
      <c r="F64" s="38">
        <v>7.4999999999999997E-2</v>
      </c>
      <c r="G64" s="39">
        <f>PRODUCT(C64:F64)</f>
        <v>-0.3263770451081987</v>
      </c>
      <c r="H64" s="40"/>
      <c r="I64" s="40"/>
      <c r="J64" s="40"/>
      <c r="K64" s="21"/>
    </row>
    <row r="65" spans="1:11" ht="15" customHeight="1" x14ac:dyDescent="0.3">
      <c r="A65" s="18"/>
      <c r="B65" s="37"/>
      <c r="C65" s="36">
        <v>3</v>
      </c>
      <c r="D65" s="38">
        <f>1.17/3.281</f>
        <v>0.35659859798841814</v>
      </c>
      <c r="E65" s="38">
        <f>1.17/3.281</f>
        <v>0.35659859798841814</v>
      </c>
      <c r="F65" s="38">
        <f>1.8+0.4+0.15</f>
        <v>2.35</v>
      </c>
      <c r="G65" s="39">
        <f t="shared" si="1"/>
        <v>0.89649604861550347</v>
      </c>
      <c r="H65" s="40"/>
      <c r="I65" s="40"/>
      <c r="J65" s="40"/>
      <c r="K65" s="21"/>
    </row>
    <row r="66" spans="1:11" ht="15" customHeight="1" x14ac:dyDescent="0.3">
      <c r="A66" s="18"/>
      <c r="B66" s="37" t="s">
        <v>60</v>
      </c>
      <c r="C66" s="36">
        <v>1</v>
      </c>
      <c r="D66" s="38">
        <f>4.98+5.55</f>
        <v>10.530000000000001</v>
      </c>
      <c r="E66" s="38">
        <v>0.46</v>
      </c>
      <c r="F66" s="38">
        <v>0.2</v>
      </c>
      <c r="G66" s="39">
        <f t="shared" si="1"/>
        <v>0.96876000000000018</v>
      </c>
      <c r="H66" s="40"/>
      <c r="I66" s="40"/>
      <c r="J66" s="40"/>
      <c r="K66" s="21"/>
    </row>
    <row r="67" spans="1:11" ht="15" customHeight="1" x14ac:dyDescent="0.3">
      <c r="A67" s="18"/>
      <c r="B67" s="37" t="s">
        <v>61</v>
      </c>
      <c r="C67" s="36">
        <v>12</v>
      </c>
      <c r="D67" s="38">
        <f>2.75/3.281</f>
        <v>0.8381590978360256</v>
      </c>
      <c r="E67" s="38">
        <v>0.23</v>
      </c>
      <c r="F67" s="38">
        <f>4.083/3.281</f>
        <v>1.2444376714416336</v>
      </c>
      <c r="G67" s="39">
        <f t="shared" si="1"/>
        <v>2.8787814465839681</v>
      </c>
      <c r="H67" s="40"/>
      <c r="I67" s="40"/>
      <c r="J67" s="40"/>
      <c r="K67" s="21"/>
    </row>
    <row r="68" spans="1:11" ht="15" customHeight="1" x14ac:dyDescent="0.3">
      <c r="A68" s="18"/>
      <c r="B68" s="37" t="s">
        <v>42</v>
      </c>
      <c r="C68" s="19"/>
      <c r="D68" s="20"/>
      <c r="E68" s="21"/>
      <c r="F68" s="21"/>
      <c r="G68" s="23">
        <f>SUM(G60:G67)</f>
        <v>11.044941265848664</v>
      </c>
      <c r="H68" s="22" t="s">
        <v>41</v>
      </c>
      <c r="I68" s="23">
        <v>14362.76</v>
      </c>
      <c r="J68" s="41">
        <f>G68*I68</f>
        <v>158635.84061548056</v>
      </c>
      <c r="K68" s="21"/>
    </row>
    <row r="69" spans="1:11" ht="15" customHeight="1" x14ac:dyDescent="0.3">
      <c r="A69" s="18"/>
      <c r="B69" s="37" t="s">
        <v>40</v>
      </c>
      <c r="C69" s="19"/>
      <c r="D69" s="20"/>
      <c r="E69" s="21"/>
      <c r="F69" s="21"/>
      <c r="G69" s="23"/>
      <c r="H69" s="22"/>
      <c r="I69" s="23"/>
      <c r="J69" s="41">
        <f>0.13*G68*10311.74</f>
        <v>14806.033144331301</v>
      </c>
      <c r="K69" s="21"/>
    </row>
    <row r="70" spans="1:11" ht="15" customHeight="1" x14ac:dyDescent="0.3">
      <c r="A70" s="18"/>
      <c r="B70" s="37"/>
      <c r="C70" s="19"/>
      <c r="D70" s="20"/>
      <c r="E70" s="21"/>
      <c r="F70" s="21"/>
      <c r="G70" s="23"/>
      <c r="H70" s="22"/>
      <c r="I70" s="23"/>
      <c r="J70" s="41"/>
      <c r="K70" s="21"/>
    </row>
    <row r="71" spans="1:11" ht="30.6" x14ac:dyDescent="0.3">
      <c r="A71" s="18">
        <v>10</v>
      </c>
      <c r="B71" s="61" t="s">
        <v>52</v>
      </c>
      <c r="C71" s="19"/>
      <c r="D71" s="20"/>
      <c r="E71" s="21"/>
      <c r="F71" s="21"/>
      <c r="G71" s="23"/>
      <c r="H71" s="22"/>
      <c r="I71" s="23"/>
      <c r="J71" s="41"/>
      <c r="K71" s="21"/>
    </row>
    <row r="72" spans="1:11" ht="15" customHeight="1" x14ac:dyDescent="0.3">
      <c r="A72" s="18"/>
      <c r="B72" s="37" t="s">
        <v>51</v>
      </c>
      <c r="C72" s="36">
        <v>2</v>
      </c>
      <c r="D72" s="38">
        <f>(5.17+15.5+27+11+70+24.5+41.17+4.667+39.75)/3.281</f>
        <v>72.769582444376724</v>
      </c>
      <c r="E72" s="38"/>
      <c r="F72" s="38">
        <v>1.8</v>
      </c>
      <c r="G72" s="39">
        <f t="shared" ref="G72" si="2">PRODUCT(C72:F72)</f>
        <v>261.97049679975623</v>
      </c>
      <c r="H72" s="40"/>
      <c r="I72" s="40"/>
      <c r="J72" s="40"/>
      <c r="K72" s="21"/>
    </row>
    <row r="73" spans="1:11" ht="15" customHeight="1" x14ac:dyDescent="0.3">
      <c r="A73" s="18"/>
      <c r="B73" s="37" t="s">
        <v>42</v>
      </c>
      <c r="C73" s="19"/>
      <c r="D73" s="20"/>
      <c r="E73" s="21"/>
      <c r="F73" s="21"/>
      <c r="G73" s="23">
        <f>SUM(G72:G72)</f>
        <v>261.97049679975623</v>
      </c>
      <c r="H73" s="22" t="s">
        <v>64</v>
      </c>
      <c r="I73" s="23">
        <v>405.86</v>
      </c>
      <c r="J73" s="41">
        <f>G73*I73</f>
        <v>106323.34583114907</v>
      </c>
      <c r="K73" s="21"/>
    </row>
    <row r="74" spans="1:11" ht="15" customHeight="1" x14ac:dyDescent="0.3">
      <c r="A74" s="18"/>
      <c r="B74" s="37" t="s">
        <v>40</v>
      </c>
      <c r="C74" s="19"/>
      <c r="D74" s="20"/>
      <c r="E74" s="21"/>
      <c r="F74" s="21"/>
      <c r="G74" s="23"/>
      <c r="H74" s="22"/>
      <c r="I74" s="23"/>
      <c r="J74" s="41">
        <f>0.13*G73*11166.2/100</f>
        <v>3802.7794497750701</v>
      </c>
      <c r="K74" s="21"/>
    </row>
    <row r="75" spans="1:11" ht="15" customHeight="1" x14ac:dyDescent="0.3">
      <c r="A75" s="18"/>
      <c r="B75" s="37"/>
      <c r="C75" s="19"/>
      <c r="D75" s="20"/>
      <c r="E75" s="21"/>
      <c r="F75" s="21"/>
      <c r="G75" s="23"/>
      <c r="H75" s="22"/>
      <c r="I75" s="23"/>
      <c r="J75" s="41"/>
      <c r="K75" s="21"/>
    </row>
    <row r="76" spans="1:11" ht="76.8" x14ac:dyDescent="0.3">
      <c r="A76" s="18">
        <v>11</v>
      </c>
      <c r="B76" s="61" t="s">
        <v>62</v>
      </c>
      <c r="C76" s="61"/>
      <c r="D76" s="61"/>
      <c r="E76" s="61"/>
      <c r="F76" s="61"/>
      <c r="G76" s="61"/>
      <c r="H76" s="61"/>
      <c r="I76" s="23"/>
      <c r="J76" s="41"/>
      <c r="K76" s="21"/>
    </row>
    <row r="77" spans="1:11" ht="15" customHeight="1" x14ac:dyDescent="0.3">
      <c r="A77" s="18"/>
      <c r="B77" s="37" t="s">
        <v>63</v>
      </c>
      <c r="C77" s="19">
        <v>6</v>
      </c>
      <c r="D77" s="20">
        <f>3.917/3.281</f>
        <v>1.1938433404449862</v>
      </c>
      <c r="E77" s="21"/>
      <c r="F77" s="21">
        <f>5.42/3.281</f>
        <v>1.6519353855531849</v>
      </c>
      <c r="G77" s="39">
        <f t="shared" ref="G77:G78" si="3">PRODUCT(C77:F77)</f>
        <v>11.832912353328542</v>
      </c>
      <c r="H77" s="22"/>
      <c r="I77" s="23"/>
      <c r="J77" s="41"/>
      <c r="K77" s="21"/>
    </row>
    <row r="78" spans="1:11" ht="15" customHeight="1" x14ac:dyDescent="0.3">
      <c r="A78" s="18"/>
      <c r="B78" s="37" t="s">
        <v>94</v>
      </c>
      <c r="C78" s="19">
        <v>1</v>
      </c>
      <c r="D78" s="20">
        <v>0.88500000000000001</v>
      </c>
      <c r="E78" s="21"/>
      <c r="F78" s="21">
        <v>2.0499999999999998</v>
      </c>
      <c r="G78" s="39">
        <f t="shared" si="3"/>
        <v>1.8142499999999999</v>
      </c>
      <c r="H78" s="22"/>
      <c r="I78" s="23"/>
      <c r="J78" s="41"/>
      <c r="K78" s="21"/>
    </row>
    <row r="79" spans="1:11" ht="15" customHeight="1" x14ac:dyDescent="0.3">
      <c r="A79" s="18"/>
      <c r="B79" s="37" t="s">
        <v>42</v>
      </c>
      <c r="C79" s="19"/>
      <c r="D79" s="20"/>
      <c r="E79" s="21"/>
      <c r="F79" s="21"/>
      <c r="G79" s="23">
        <f>SUM(G77:G78)</f>
        <v>13.647162353328541</v>
      </c>
      <c r="H79" s="22" t="s">
        <v>64</v>
      </c>
      <c r="I79" s="23">
        <v>2575.34</v>
      </c>
      <c r="J79" s="41">
        <f>G79*I79</f>
        <v>35146.083095021131</v>
      </c>
      <c r="K79" s="21"/>
    </row>
    <row r="80" spans="1:11" ht="15" customHeight="1" x14ac:dyDescent="0.3">
      <c r="A80" s="18"/>
      <c r="B80" s="37" t="s">
        <v>40</v>
      </c>
      <c r="C80" s="19"/>
      <c r="D80" s="20"/>
      <c r="E80" s="21"/>
      <c r="F80" s="21"/>
      <c r="G80" s="23"/>
      <c r="H80" s="22"/>
      <c r="I80" s="23"/>
      <c r="J80" s="41">
        <f>0.13*G79*24343.96/10</f>
        <v>4318.9376677581658</v>
      </c>
      <c r="K80" s="21"/>
    </row>
    <row r="81" spans="1:11" ht="15" customHeight="1" x14ac:dyDescent="0.3">
      <c r="A81" s="18"/>
      <c r="B81" s="37"/>
      <c r="C81" s="19"/>
      <c r="D81" s="20"/>
      <c r="E81" s="21"/>
      <c r="F81" s="21"/>
      <c r="G81" s="23"/>
      <c r="H81" s="22"/>
      <c r="I81" s="23"/>
      <c r="J81" s="41"/>
      <c r="K81" s="21"/>
    </row>
    <row r="82" spans="1:11" ht="30.6" x14ac:dyDescent="0.3">
      <c r="A82" s="18">
        <v>12</v>
      </c>
      <c r="B82" s="61" t="s">
        <v>65</v>
      </c>
      <c r="C82" s="61"/>
      <c r="D82" s="61"/>
      <c r="E82" s="61"/>
      <c r="F82" s="61"/>
      <c r="G82" s="61"/>
      <c r="H82" s="61"/>
      <c r="I82" s="23"/>
      <c r="J82" s="41"/>
      <c r="K82" s="21"/>
    </row>
    <row r="83" spans="1:11" ht="15" customHeight="1" x14ac:dyDescent="0.3">
      <c r="A83" s="18"/>
      <c r="B83" s="37" t="s">
        <v>66</v>
      </c>
      <c r="C83" s="19">
        <v>1</v>
      </c>
      <c r="D83" s="20">
        <f>(5.17+15.5+27+10.917+70+53.5+21.333+24.5+41.17+4.667+39.75)/3.281</f>
        <v>95.552270649192295</v>
      </c>
      <c r="E83" s="21"/>
      <c r="F83" s="21"/>
      <c r="G83" s="39">
        <f t="shared" ref="G83" si="4">PRODUCT(C83:F83)</f>
        <v>95.552270649192295</v>
      </c>
      <c r="H83" s="22"/>
      <c r="I83" s="23"/>
      <c r="J83" s="41"/>
      <c r="K83" s="21"/>
    </row>
    <row r="84" spans="1:11" ht="15" customHeight="1" x14ac:dyDescent="0.3">
      <c r="A84" s="18"/>
      <c r="B84" s="37" t="s">
        <v>42</v>
      </c>
      <c r="C84" s="19"/>
      <c r="D84" s="20"/>
      <c r="E84" s="21"/>
      <c r="F84" s="21"/>
      <c r="G84" s="23">
        <f>SUM(G83:G83)</f>
        <v>95.552270649192295</v>
      </c>
      <c r="H84" s="22" t="s">
        <v>67</v>
      </c>
      <c r="I84" s="23">
        <v>82.59</v>
      </c>
      <c r="J84" s="41">
        <f>G84*I84</f>
        <v>7891.6620329167918</v>
      </c>
      <c r="K84" s="21"/>
    </row>
    <row r="85" spans="1:11" ht="15" customHeight="1" x14ac:dyDescent="0.3">
      <c r="A85" s="18"/>
      <c r="B85" s="37" t="s">
        <v>40</v>
      </c>
      <c r="C85" s="19"/>
      <c r="D85" s="20"/>
      <c r="E85" s="21"/>
      <c r="F85" s="21"/>
      <c r="G85" s="23"/>
      <c r="H85" s="22"/>
      <c r="I85" s="23"/>
      <c r="J85" s="41">
        <f>0.13*G84*1992.14/100</f>
        <v>247.45955058640655</v>
      </c>
      <c r="K85" s="21"/>
    </row>
    <row r="86" spans="1:11" ht="15" customHeight="1" x14ac:dyDescent="0.3">
      <c r="A86" s="18"/>
      <c r="B86" s="37"/>
      <c r="C86" s="19"/>
      <c r="D86" s="20"/>
      <c r="E86" s="21"/>
      <c r="F86" s="21"/>
      <c r="G86" s="23"/>
      <c r="H86" s="22"/>
      <c r="I86" s="23"/>
      <c r="J86" s="41"/>
      <c r="K86" s="21"/>
    </row>
    <row r="87" spans="1:11" ht="135.6" x14ac:dyDescent="0.3">
      <c r="A87" s="18">
        <v>13</v>
      </c>
      <c r="B87" s="61" t="s">
        <v>70</v>
      </c>
      <c r="C87" s="61"/>
      <c r="D87" s="61"/>
      <c r="E87" s="61"/>
      <c r="F87" s="61"/>
      <c r="G87" s="61"/>
      <c r="H87" s="61"/>
      <c r="I87" s="23"/>
      <c r="J87" s="41"/>
      <c r="K87" s="21"/>
    </row>
    <row r="88" spans="1:11" ht="15" customHeight="1" x14ac:dyDescent="0.3">
      <c r="A88" s="18"/>
      <c r="B88" s="37" t="s">
        <v>66</v>
      </c>
      <c r="C88" s="19">
        <v>1</v>
      </c>
      <c r="D88" s="20">
        <f>(13.5+12.333)/3.281</f>
        <v>7.873514172508381</v>
      </c>
      <c r="E88" s="21"/>
      <c r="F88" s="21"/>
      <c r="G88" s="39">
        <f t="shared" ref="G88" si="5">PRODUCT(C88:F88)</f>
        <v>7.873514172508381</v>
      </c>
      <c r="H88" s="22"/>
      <c r="I88" s="23"/>
      <c r="J88" s="41"/>
      <c r="K88" s="21"/>
    </row>
    <row r="89" spans="1:11" ht="15" customHeight="1" x14ac:dyDescent="0.3">
      <c r="A89" s="18"/>
      <c r="B89" s="37" t="s">
        <v>42</v>
      </c>
      <c r="C89" s="19"/>
      <c r="D89" s="20"/>
      <c r="E89" s="21"/>
      <c r="F89" s="21"/>
      <c r="G89" s="23">
        <f>SUM(G88:G88)</f>
        <v>7.873514172508381</v>
      </c>
      <c r="H89" s="22" t="s">
        <v>67</v>
      </c>
      <c r="I89" s="23">
        <v>4132.8</v>
      </c>
      <c r="J89" s="41">
        <f>G89*I89</f>
        <v>32539.65937214264</v>
      </c>
      <c r="K89" s="21"/>
    </row>
    <row r="90" spans="1:11" ht="15" customHeight="1" x14ac:dyDescent="0.3">
      <c r="A90" s="18"/>
      <c r="B90" s="37" t="s">
        <v>40</v>
      </c>
      <c r="C90" s="19"/>
      <c r="D90" s="20"/>
      <c r="E90" s="21"/>
      <c r="F90" s="21"/>
      <c r="G90" s="23"/>
      <c r="H90" s="22"/>
      <c r="I90" s="23"/>
      <c r="J90" s="41">
        <f>0.13*G89*4132.8</f>
        <v>4230.1557183785426</v>
      </c>
      <c r="K90" s="21"/>
    </row>
    <row r="91" spans="1:11" ht="15" customHeight="1" x14ac:dyDescent="0.3">
      <c r="A91" s="18"/>
      <c r="B91" s="37"/>
      <c r="C91" s="19"/>
      <c r="D91" s="20"/>
      <c r="E91" s="21"/>
      <c r="F91" s="21"/>
      <c r="G91" s="23"/>
      <c r="H91" s="22"/>
      <c r="I91" s="23"/>
      <c r="J91" s="41"/>
      <c r="K91" s="21"/>
    </row>
    <row r="92" spans="1:11" ht="30.6" x14ac:dyDescent="0.3">
      <c r="A92" s="18">
        <v>14</v>
      </c>
      <c r="B92" s="61" t="s">
        <v>89</v>
      </c>
      <c r="C92" s="19"/>
      <c r="D92" s="20"/>
      <c r="E92" s="21"/>
      <c r="F92" s="21"/>
      <c r="G92" s="23"/>
      <c r="H92" s="22"/>
      <c r="I92" s="23"/>
      <c r="J92" s="41"/>
      <c r="K92" s="21"/>
    </row>
    <row r="93" spans="1:11" ht="15" customHeight="1" x14ac:dyDescent="0.3">
      <c r="A93" s="18"/>
      <c r="B93" s="37" t="str">
        <f>B72</f>
        <v>-wall</v>
      </c>
      <c r="C93" s="19">
        <f>C72</f>
        <v>2</v>
      </c>
      <c r="D93" s="20">
        <f>D72</f>
        <v>72.769582444376724</v>
      </c>
      <c r="E93" s="21"/>
      <c r="F93" s="21">
        <f>F72</f>
        <v>1.8</v>
      </c>
      <c r="G93" s="39">
        <f t="shared" ref="G93" si="6">PRODUCT(C93:F93)</f>
        <v>261.97049679975623</v>
      </c>
      <c r="H93" s="22"/>
      <c r="I93" s="23"/>
      <c r="J93" s="41"/>
      <c r="K93" s="21"/>
    </row>
    <row r="94" spans="1:11" ht="15" customHeight="1" x14ac:dyDescent="0.3">
      <c r="A94" s="18"/>
      <c r="B94" s="37" t="s">
        <v>42</v>
      </c>
      <c r="C94" s="19"/>
      <c r="D94" s="20"/>
      <c r="E94" s="21"/>
      <c r="F94" s="21"/>
      <c r="G94" s="23">
        <f>SUM(G93:G93)</f>
        <v>261.97049679975623</v>
      </c>
      <c r="H94" s="22" t="s">
        <v>64</v>
      </c>
      <c r="I94" s="23">
        <v>251.77</v>
      </c>
      <c r="J94" s="41">
        <f>G94*I94</f>
        <v>65956.311979274629</v>
      </c>
      <c r="K94" s="21"/>
    </row>
    <row r="95" spans="1:11" ht="15" customHeight="1" x14ac:dyDescent="0.3">
      <c r="A95" s="18"/>
      <c r="B95" s="37" t="s">
        <v>40</v>
      </c>
      <c r="C95" s="19"/>
      <c r="D95" s="20"/>
      <c r="E95" s="21"/>
      <c r="F95" s="21"/>
      <c r="G95" s="23"/>
      <c r="H95" s="22"/>
      <c r="I95" s="23"/>
      <c r="J95" s="41">
        <f>0.13*G94*12736/100</f>
        <v>4337.393121414204</v>
      </c>
      <c r="K95" s="21"/>
    </row>
    <row r="96" spans="1:11" ht="15" customHeight="1" x14ac:dyDescent="0.3">
      <c r="A96" s="18"/>
      <c r="B96" s="37"/>
      <c r="C96" s="19"/>
      <c r="D96" s="20"/>
      <c r="E96" s="21"/>
      <c r="F96" s="21"/>
      <c r="G96" s="23"/>
      <c r="H96" s="22"/>
      <c r="I96" s="23"/>
      <c r="J96" s="41"/>
      <c r="K96" s="21"/>
    </row>
    <row r="97" spans="1:11" ht="30.6" x14ac:dyDescent="0.3">
      <c r="A97" s="18">
        <v>15</v>
      </c>
      <c r="B97" s="61" t="s">
        <v>90</v>
      </c>
      <c r="C97" s="19" t="s">
        <v>7</v>
      </c>
      <c r="D97" s="68" t="s">
        <v>43</v>
      </c>
      <c r="E97" s="69" t="s">
        <v>79</v>
      </c>
      <c r="F97" s="69" t="s">
        <v>80</v>
      </c>
      <c r="G97" s="69" t="s">
        <v>99</v>
      </c>
      <c r="H97" s="22"/>
      <c r="I97" s="23"/>
      <c r="J97" s="41"/>
      <c r="K97" s="21"/>
    </row>
    <row r="98" spans="1:11" ht="28.2" x14ac:dyDescent="0.3">
      <c r="A98" s="18"/>
      <c r="B98" s="37" t="s">
        <v>91</v>
      </c>
      <c r="C98" s="19">
        <v>4</v>
      </c>
      <c r="D98" s="20">
        <f>(3.333*3+8.333*2)/3.281</f>
        <v>8.1270953977445899</v>
      </c>
      <c r="E98" s="21">
        <v>1.04</v>
      </c>
      <c r="F98" s="21">
        <f>PRODUCT(C98:E98)</f>
        <v>33.808716854617494</v>
      </c>
      <c r="G98" s="70">
        <f>F98</f>
        <v>33.808716854617494</v>
      </c>
      <c r="H98" s="22"/>
      <c r="I98" s="23"/>
      <c r="J98" s="41"/>
      <c r="K98" s="21"/>
    </row>
    <row r="99" spans="1:11" ht="28.2" x14ac:dyDescent="0.3">
      <c r="A99" s="18"/>
      <c r="B99" s="37" t="s">
        <v>93</v>
      </c>
      <c r="C99" s="19">
        <v>4</v>
      </c>
      <c r="D99" s="20">
        <f>8/3.281</f>
        <v>2.4382810118866196</v>
      </c>
      <c r="E99" s="21">
        <v>14.13</v>
      </c>
      <c r="F99" s="21">
        <f>PRODUCT(C99:E99)</f>
        <v>137.81164279183176</v>
      </c>
      <c r="G99" s="70">
        <f>F99</f>
        <v>137.81164279183176</v>
      </c>
      <c r="H99" s="22"/>
      <c r="I99" s="23"/>
      <c r="J99" s="41"/>
      <c r="K99" s="21"/>
    </row>
    <row r="100" spans="1:11" ht="15" customHeight="1" x14ac:dyDescent="0.3">
      <c r="A100" s="18"/>
      <c r="B100" s="37" t="s">
        <v>42</v>
      </c>
      <c r="C100" s="19"/>
      <c r="D100" s="20"/>
      <c r="E100" s="21"/>
      <c r="F100" s="21"/>
      <c r="G100" s="23">
        <f>SUM(G98:G99)</f>
        <v>171.62035964644926</v>
      </c>
      <c r="H100" s="22" t="s">
        <v>92</v>
      </c>
      <c r="I100" s="23">
        <v>181.17</v>
      </c>
      <c r="J100" s="41">
        <f>G100*I100</f>
        <v>31092.460557147209</v>
      </c>
      <c r="K100" s="21"/>
    </row>
    <row r="101" spans="1:11" ht="15" customHeight="1" x14ac:dyDescent="0.3">
      <c r="A101" s="18"/>
      <c r="B101" s="37" t="s">
        <v>40</v>
      </c>
      <c r="C101" s="19"/>
      <c r="D101" s="20"/>
      <c r="E101" s="21"/>
      <c r="F101" s="21"/>
      <c r="G101" s="23"/>
      <c r="H101" s="22"/>
      <c r="I101" s="23"/>
      <c r="J101" s="41">
        <f>0.13*G100*1871.42/18.94</f>
        <v>2204.4662380381496</v>
      </c>
      <c r="K101" s="21"/>
    </row>
    <row r="102" spans="1:11" ht="15" customHeight="1" x14ac:dyDescent="0.3">
      <c r="A102" s="18"/>
      <c r="B102" s="37"/>
      <c r="C102" s="19"/>
      <c r="D102" s="20"/>
      <c r="E102" s="21"/>
      <c r="F102" s="21"/>
      <c r="G102" s="23"/>
      <c r="H102" s="22"/>
      <c r="I102" s="23"/>
      <c r="J102" s="41"/>
      <c r="K102" s="21"/>
    </row>
    <row r="103" spans="1:11" ht="30.6" x14ac:dyDescent="0.3">
      <c r="A103" s="18">
        <v>16</v>
      </c>
      <c r="B103" s="61" t="s">
        <v>95</v>
      </c>
      <c r="C103" s="19"/>
      <c r="D103" s="20"/>
      <c r="E103" s="21"/>
      <c r="F103" s="21"/>
      <c r="G103" s="23"/>
      <c r="H103" s="22"/>
      <c r="I103" s="23"/>
      <c r="J103" s="41"/>
      <c r="K103" s="21"/>
    </row>
    <row r="104" spans="1:11" ht="15" customHeight="1" x14ac:dyDescent="0.3">
      <c r="A104" s="18"/>
      <c r="B104" s="37" t="s">
        <v>96</v>
      </c>
      <c r="C104" s="19">
        <v>1</v>
      </c>
      <c r="D104" s="20">
        <v>3.23</v>
      </c>
      <c r="E104" s="21"/>
      <c r="F104" s="21">
        <v>2.5350000000000001</v>
      </c>
      <c r="G104" s="39">
        <f t="shared" ref="G104" si="7">PRODUCT(C104:F104)</f>
        <v>8.1880500000000005</v>
      </c>
      <c r="H104" s="22"/>
      <c r="I104" s="23"/>
      <c r="J104" s="41"/>
      <c r="K104" s="21"/>
    </row>
    <row r="105" spans="1:11" ht="15" customHeight="1" x14ac:dyDescent="0.3">
      <c r="A105" s="18"/>
      <c r="B105" s="37" t="s">
        <v>42</v>
      </c>
      <c r="C105" s="19"/>
      <c r="D105" s="20"/>
      <c r="E105" s="21"/>
      <c r="F105" s="21"/>
      <c r="G105" s="23">
        <f>SUM(G104:G104)</f>
        <v>8.1880500000000005</v>
      </c>
      <c r="H105" s="22" t="s">
        <v>64</v>
      </c>
      <c r="I105" s="23">
        <v>6391.43</v>
      </c>
      <c r="J105" s="41">
        <f>G105*I105</f>
        <v>52333.348411500003</v>
      </c>
      <c r="K105" s="21"/>
    </row>
    <row r="106" spans="1:11" ht="15" customHeight="1" x14ac:dyDescent="0.3">
      <c r="A106" s="18"/>
      <c r="B106" s="37" t="s">
        <v>40</v>
      </c>
      <c r="C106" s="19"/>
      <c r="D106" s="20"/>
      <c r="E106" s="21"/>
      <c r="F106" s="21"/>
      <c r="G106" s="23"/>
      <c r="H106" s="22"/>
      <c r="I106" s="23"/>
      <c r="J106" s="41">
        <f>0.13*J105</f>
        <v>6803.3352934950008</v>
      </c>
      <c r="K106" s="21"/>
    </row>
    <row r="107" spans="1:11" ht="15" customHeight="1" x14ac:dyDescent="0.3">
      <c r="A107" s="18"/>
      <c r="B107" s="37"/>
      <c r="C107" s="19"/>
      <c r="D107" s="20"/>
      <c r="E107" s="21"/>
      <c r="F107" s="21"/>
      <c r="G107" s="23"/>
      <c r="H107" s="22"/>
      <c r="I107" s="23"/>
      <c r="J107" s="41"/>
      <c r="K107" s="21"/>
    </row>
    <row r="108" spans="1:11" ht="15" customHeight="1" x14ac:dyDescent="0.3">
      <c r="A108" s="18">
        <v>17</v>
      </c>
      <c r="B108" s="30" t="s">
        <v>68</v>
      </c>
      <c r="C108" s="19">
        <v>1</v>
      </c>
      <c r="D108" s="20"/>
      <c r="E108" s="21"/>
      <c r="F108" s="21"/>
      <c r="G108" s="34">
        <f t="shared" ref="G108" si="8">PRODUCT(C108:F108)</f>
        <v>1</v>
      </c>
      <c r="H108" s="22" t="s">
        <v>69</v>
      </c>
      <c r="I108" s="23">
        <v>5000</v>
      </c>
      <c r="J108" s="34">
        <f>G108*I108</f>
        <v>5000</v>
      </c>
      <c r="K108" s="21"/>
    </row>
    <row r="109" spans="1:11" ht="15" customHeight="1" x14ac:dyDescent="0.3">
      <c r="A109" s="18"/>
      <c r="B109" s="37"/>
      <c r="C109" s="19"/>
      <c r="D109" s="20"/>
      <c r="E109" s="21"/>
      <c r="F109" s="21"/>
      <c r="G109" s="23"/>
      <c r="H109" s="22"/>
      <c r="I109" s="23"/>
      <c r="J109" s="41"/>
      <c r="K109" s="21"/>
    </row>
    <row r="110" spans="1:11" ht="15" customHeight="1" x14ac:dyDescent="0.3">
      <c r="A110" s="18">
        <v>18</v>
      </c>
      <c r="B110" s="30" t="s">
        <v>30</v>
      </c>
      <c r="C110" s="19">
        <v>1</v>
      </c>
      <c r="D110" s="20"/>
      <c r="E110" s="21"/>
      <c r="F110" s="21"/>
      <c r="G110" s="34">
        <f t="shared" ref="G110" si="9">PRODUCT(C110:F110)</f>
        <v>1</v>
      </c>
      <c r="H110" s="22" t="s">
        <v>31</v>
      </c>
      <c r="I110" s="23">
        <v>500</v>
      </c>
      <c r="J110" s="34">
        <f>G110*I110</f>
        <v>500</v>
      </c>
      <c r="K110" s="21"/>
    </row>
    <row r="111" spans="1:11" ht="15" customHeight="1" x14ac:dyDescent="0.3">
      <c r="A111" s="18"/>
      <c r="B111" s="24"/>
      <c r="C111" s="19"/>
      <c r="D111" s="20"/>
      <c r="E111" s="21"/>
      <c r="F111" s="21"/>
      <c r="G111" s="23"/>
      <c r="H111" s="22"/>
      <c r="I111" s="23"/>
      <c r="J111" s="41"/>
      <c r="K111" s="21"/>
    </row>
    <row r="112" spans="1:11" x14ac:dyDescent="0.3">
      <c r="A112" s="40"/>
      <c r="B112" s="42" t="s">
        <v>17</v>
      </c>
      <c r="C112" s="43"/>
      <c r="D112" s="38"/>
      <c r="E112" s="38"/>
      <c r="F112" s="38"/>
      <c r="G112" s="41"/>
      <c r="H112" s="41"/>
      <c r="I112" s="41"/>
      <c r="J112" s="41">
        <f>SUM(J10:J110)</f>
        <v>581664.39503087348</v>
      </c>
      <c r="K112" s="36"/>
    </row>
    <row r="113" spans="1:16" x14ac:dyDescent="0.3">
      <c r="A113" s="54"/>
      <c r="B113" s="57"/>
      <c r="C113" s="58"/>
      <c r="D113" s="55"/>
      <c r="E113" s="55"/>
      <c r="F113" s="55"/>
      <c r="G113" s="56"/>
      <c r="H113" s="56"/>
      <c r="I113" s="56"/>
      <c r="J113" s="56"/>
      <c r="K113" s="53"/>
    </row>
    <row r="114" spans="1:16" s="1" customFormat="1" x14ac:dyDescent="0.3">
      <c r="A114" s="46"/>
      <c r="B114" s="29" t="s">
        <v>27</v>
      </c>
      <c r="C114" s="91">
        <f>J112</f>
        <v>581664.39503087348</v>
      </c>
      <c r="D114" s="91"/>
      <c r="E114" s="39">
        <v>100</v>
      </c>
      <c r="F114" s="47"/>
      <c r="G114" s="48"/>
      <c r="H114" s="47"/>
      <c r="I114" s="49"/>
      <c r="J114" s="50"/>
      <c r="K114" s="51"/>
    </row>
    <row r="115" spans="1:16" x14ac:dyDescent="0.3">
      <c r="A115" s="52"/>
      <c r="B115" s="29" t="s">
        <v>32</v>
      </c>
      <c r="C115" s="94">
        <v>500000</v>
      </c>
      <c r="D115" s="94"/>
      <c r="E115" s="39"/>
      <c r="F115" s="45"/>
      <c r="G115" s="44"/>
      <c r="H115" s="54"/>
      <c r="I115" s="54"/>
      <c r="J115" s="54"/>
      <c r="K115" s="53"/>
      <c r="L115" s="35"/>
      <c r="M115" s="35"/>
      <c r="N115" s="35"/>
      <c r="O115" s="35"/>
      <c r="P115" s="35"/>
    </row>
    <row r="116" spans="1:16" ht="14.4" customHeight="1" x14ac:dyDescent="0.3">
      <c r="A116" s="52"/>
      <c r="B116" s="29" t="s">
        <v>33</v>
      </c>
      <c r="C116" s="94">
        <f>C115-C118-C119</f>
        <v>475000</v>
      </c>
      <c r="D116" s="94"/>
      <c r="E116" s="39">
        <f>C116/C114*100</f>
        <v>81.6622100403426</v>
      </c>
      <c r="F116" s="45"/>
      <c r="G116" s="44"/>
      <c r="H116" s="54"/>
      <c r="I116" s="25"/>
      <c r="J116" s="25"/>
      <c r="K116" s="25"/>
      <c r="L116" s="25"/>
      <c r="M116" s="25"/>
      <c r="N116" s="25"/>
      <c r="O116" s="25"/>
      <c r="P116" s="35"/>
    </row>
    <row r="117" spans="1:16" ht="14.4" customHeight="1" x14ac:dyDescent="0.3">
      <c r="A117" s="52"/>
      <c r="B117" s="29" t="s">
        <v>34</v>
      </c>
      <c r="C117" s="91">
        <f>C114-C116</f>
        <v>106664.39503087348</v>
      </c>
      <c r="D117" s="91"/>
      <c r="E117" s="39">
        <f>100-E116</f>
        <v>18.3377899596574</v>
      </c>
      <c r="F117" s="45"/>
      <c r="G117" s="44"/>
      <c r="H117" s="54"/>
      <c r="I117" s="25"/>
      <c r="J117" s="25"/>
      <c r="K117" s="25"/>
      <c r="L117" s="25"/>
      <c r="M117" s="25"/>
      <c r="N117" s="25"/>
      <c r="O117" s="25"/>
      <c r="P117" s="35"/>
    </row>
    <row r="118" spans="1:16" x14ac:dyDescent="0.3">
      <c r="A118" s="52"/>
      <c r="B118" s="29" t="s">
        <v>35</v>
      </c>
      <c r="C118" s="91">
        <f>C115*0.03</f>
        <v>15000</v>
      </c>
      <c r="D118" s="91"/>
      <c r="E118" s="39">
        <v>3</v>
      </c>
      <c r="F118" s="45"/>
      <c r="G118" s="44"/>
      <c r="H118" s="54"/>
      <c r="I118" s="54"/>
      <c r="J118" s="54"/>
      <c r="K118" s="53"/>
      <c r="L118" s="35"/>
      <c r="M118" s="35"/>
      <c r="N118" s="35"/>
      <c r="O118" s="35"/>
      <c r="P118" s="35"/>
    </row>
    <row r="119" spans="1:16" x14ac:dyDescent="0.3">
      <c r="A119" s="52"/>
      <c r="B119" s="29" t="s">
        <v>36</v>
      </c>
      <c r="C119" s="91">
        <f>C115*0.02</f>
        <v>10000</v>
      </c>
      <c r="D119" s="91"/>
      <c r="E119" s="39">
        <v>2</v>
      </c>
      <c r="F119" s="45"/>
      <c r="G119" s="44"/>
      <c r="H119" s="54"/>
      <c r="I119" s="54"/>
      <c r="J119" s="54"/>
      <c r="K119" s="53"/>
      <c r="L119" s="35"/>
      <c r="M119" s="35"/>
      <c r="N119" s="35"/>
      <c r="O119" s="35"/>
      <c r="P119" s="35"/>
    </row>
    <row r="120" spans="1:16" s="35" customFormat="1" x14ac:dyDescent="0.3">
      <c r="A120" s="53"/>
      <c r="B120" s="53"/>
      <c r="C120" s="53"/>
      <c r="D120" s="53"/>
      <c r="E120" s="53"/>
      <c r="F120" s="53"/>
      <c r="G120" s="53"/>
      <c r="H120" s="53"/>
      <c r="I120" s="53"/>
      <c r="J120" s="53"/>
      <c r="K120" s="53"/>
    </row>
    <row r="121" spans="1:16" s="35" customFormat="1" x14ac:dyDescent="0.3"/>
    <row r="122" spans="1:16" s="35" customFormat="1" x14ac:dyDescent="0.3"/>
    <row r="123" spans="1:16" s="35" customFormat="1" x14ac:dyDescent="0.3"/>
    <row r="124" spans="1:16" s="35" customFormat="1" x14ac:dyDescent="0.3"/>
    <row r="125" spans="1:16" s="35" customFormat="1" x14ac:dyDescent="0.3"/>
    <row r="126" spans="1:16" s="35" customFormat="1" x14ac:dyDescent="0.3"/>
    <row r="127" spans="1:16" s="35" customFormat="1" x14ac:dyDescent="0.3"/>
    <row r="128" spans="1:16"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row r="155" s="35" customFormat="1" x14ac:dyDescent="0.3"/>
    <row r="156" s="35" customFormat="1" x14ac:dyDescent="0.3"/>
    <row r="157" s="35" customFormat="1" x14ac:dyDescent="0.3"/>
    <row r="158" s="35" customFormat="1" x14ac:dyDescent="0.3"/>
    <row r="159" s="35" customFormat="1" x14ac:dyDescent="0.3"/>
    <row r="160" s="35" customFormat="1" x14ac:dyDescent="0.3"/>
    <row r="161" s="35" customFormat="1" x14ac:dyDescent="0.3"/>
    <row r="162" s="35" customFormat="1" x14ac:dyDescent="0.3"/>
    <row r="163" s="35" customFormat="1" x14ac:dyDescent="0.3"/>
    <row r="164" s="35" customFormat="1" x14ac:dyDescent="0.3"/>
    <row r="165" s="35" customFormat="1" x14ac:dyDescent="0.3"/>
    <row r="166" s="35" customFormat="1" x14ac:dyDescent="0.3"/>
    <row r="167" s="35" customFormat="1" x14ac:dyDescent="0.3"/>
    <row r="168" s="35" customFormat="1" x14ac:dyDescent="0.3"/>
    <row r="169" s="35" customFormat="1" x14ac:dyDescent="0.3"/>
    <row r="170" s="35" customFormat="1" x14ac:dyDescent="0.3"/>
    <row r="171" s="35" customFormat="1" x14ac:dyDescent="0.3"/>
    <row r="172" s="35" customFormat="1" x14ac:dyDescent="0.3"/>
    <row r="173" s="35" customFormat="1" x14ac:dyDescent="0.3"/>
    <row r="174" s="35" customFormat="1" x14ac:dyDescent="0.3"/>
    <row r="175" s="35" customFormat="1" x14ac:dyDescent="0.3"/>
    <row r="176" s="35" customFormat="1" x14ac:dyDescent="0.3"/>
  </sheetData>
  <mergeCells count="16">
    <mergeCell ref="M11:S11"/>
    <mergeCell ref="C114:D114"/>
    <mergeCell ref="C115:D115"/>
    <mergeCell ref="C116:D116"/>
    <mergeCell ref="A1:K1"/>
    <mergeCell ref="A2:K2"/>
    <mergeCell ref="A3:K3"/>
    <mergeCell ref="A4:K4"/>
    <mergeCell ref="A5:K5"/>
    <mergeCell ref="A6:F6"/>
    <mergeCell ref="H6:K6"/>
    <mergeCell ref="C117:D117"/>
    <mergeCell ref="C118:D118"/>
    <mergeCell ref="C119:D119"/>
    <mergeCell ref="A7:F7"/>
    <mergeCell ref="H7:K7"/>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45" max="10"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WCR</vt:lpstr>
      <vt:lpstr>re-estimate</vt:lpstr>
      <vt:lpstr>grill item changed</vt:lpstr>
      <vt:lpstr>callapsible gate added</vt:lpstr>
      <vt:lpstr>'callapsible gate added'!Print_Area</vt:lpstr>
      <vt:lpstr>'grill item changed'!Print_Area</vt:lpstr>
      <vt:lpstr>'re-estimate'!Print_Area</vt:lpstr>
      <vt:lpstr>'callapsible gate added'!Print_Titles</vt:lpstr>
      <vt:lpstr>'grill item changed'!Print_Titles</vt:lpstr>
      <vt:lpstr>'re-estimate'!Print_Titles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2025-01-12T06:46:32Z</cp:lastPrinted>
  <dcterms:created xsi:type="dcterms:W3CDTF">2015-06-05T18:17:20Z</dcterms:created>
  <dcterms:modified xsi:type="dcterms:W3CDTF">2025-01-13T00:57:00Z</dcterms:modified>
</cp:coreProperties>
</file>