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final valuation merged" sheetId="16" r:id="rId1"/>
    <sheet name="WCR" sheetId="17" r:id="rId2"/>
    <sheet name="V" sheetId="18"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2">#REF!</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2">V!$A$1:$K$168</definedName>
    <definedName name="_xlnm.Print_Area" localSheetId="1">WCR!$A$1:$K$80</definedName>
    <definedName name="_xlnm.Print_Titles" localSheetId="1">WCR!$1:$12</definedName>
  </definedNames>
  <calcPr calcId="162913"/>
</workbook>
</file>

<file path=xl/calcChain.xml><?xml version="1.0" encoding="utf-8"?>
<calcChain xmlns="http://schemas.openxmlformats.org/spreadsheetml/2006/main">
  <c r="C172" i="18" l="1"/>
  <c r="G69" i="18" l="1"/>
  <c r="G68" i="18"/>
  <c r="I73" i="17"/>
  <c r="J73" i="17" s="1"/>
  <c r="H72" i="17"/>
  <c r="G72" i="17"/>
  <c r="F73" i="17"/>
  <c r="E72" i="17"/>
  <c r="D72" i="17"/>
  <c r="C72" i="17"/>
  <c r="B73" i="17"/>
  <c r="B72" i="17"/>
  <c r="A72" i="17"/>
  <c r="J162" i="18"/>
  <c r="I161" i="18"/>
  <c r="F160" i="18"/>
  <c r="D160" i="18"/>
  <c r="G160" i="18" s="1"/>
  <c r="G161" i="18" s="1"/>
  <c r="J161" i="18" s="1"/>
  <c r="J161" i="16"/>
  <c r="I160" i="16"/>
  <c r="G159" i="16"/>
  <c r="G160" i="16" s="1"/>
  <c r="F159" i="16"/>
  <c r="D159" i="16"/>
  <c r="G119" i="18"/>
  <c r="G118" i="16"/>
  <c r="C69" i="17"/>
  <c r="B70" i="17"/>
  <c r="B69" i="17"/>
  <c r="A69" i="17"/>
  <c r="I156" i="18"/>
  <c r="H69" i="17" s="1"/>
  <c r="D155" i="18"/>
  <c r="C155" i="18"/>
  <c r="I155" i="16"/>
  <c r="E69" i="17" s="1"/>
  <c r="D154" i="16"/>
  <c r="C154" i="16"/>
  <c r="G154" i="16" s="1"/>
  <c r="G155" i="16" s="1"/>
  <c r="J156" i="16" s="1"/>
  <c r="F70" i="17" s="1"/>
  <c r="I72" i="17" l="1"/>
  <c r="F72" i="17"/>
  <c r="J72" i="17" s="1"/>
  <c r="J160" i="16"/>
  <c r="G155" i="18"/>
  <c r="G156" i="18" s="1"/>
  <c r="G69" i="17" s="1"/>
  <c r="I69" i="17" s="1"/>
  <c r="D69" i="17"/>
  <c r="F69" i="17" s="1"/>
  <c r="J155" i="16"/>
  <c r="J157" i="18" l="1"/>
  <c r="I70" i="17" s="1"/>
  <c r="J70" i="17" s="1"/>
  <c r="J156" i="18"/>
  <c r="J69" i="17"/>
  <c r="H77" i="17" l="1"/>
  <c r="E77" i="17"/>
  <c r="C77" i="17"/>
  <c r="B77" i="17"/>
  <c r="A77" i="17"/>
  <c r="H75" i="17"/>
  <c r="E75" i="17"/>
  <c r="C75" i="17"/>
  <c r="B75" i="17"/>
  <c r="A75" i="17"/>
  <c r="C66" i="17"/>
  <c r="B67" i="17"/>
  <c r="B66" i="17"/>
  <c r="A66" i="17"/>
  <c r="C63" i="17"/>
  <c r="B64" i="17"/>
  <c r="B63" i="17"/>
  <c r="A63" i="17"/>
  <c r="C60" i="17"/>
  <c r="B61" i="17"/>
  <c r="B60" i="17"/>
  <c r="A60" i="17"/>
  <c r="C57" i="17"/>
  <c r="B58" i="17"/>
  <c r="B57" i="17"/>
  <c r="A57" i="17"/>
  <c r="C54" i="17"/>
  <c r="B55" i="17"/>
  <c r="B54" i="17"/>
  <c r="A54" i="17"/>
  <c r="C51" i="17"/>
  <c r="B52" i="17"/>
  <c r="B51" i="17"/>
  <c r="A51" i="17"/>
  <c r="C49" i="17"/>
  <c r="B49" i="17"/>
  <c r="A49" i="17"/>
  <c r="C46" i="17"/>
  <c r="B47" i="17"/>
  <c r="B46" i="17"/>
  <c r="A46" i="17"/>
  <c r="H43" i="17"/>
  <c r="E43" i="17"/>
  <c r="B44" i="17"/>
  <c r="C43" i="17"/>
  <c r="B43" i="17"/>
  <c r="A43" i="17"/>
  <c r="C40" i="17"/>
  <c r="B41" i="17"/>
  <c r="B40" i="17"/>
  <c r="A40" i="17"/>
  <c r="C37" i="17"/>
  <c r="B38" i="17"/>
  <c r="B37" i="17"/>
  <c r="A37" i="17"/>
  <c r="C35" i="17"/>
  <c r="B35" i="17"/>
  <c r="A35" i="17"/>
  <c r="C33" i="17"/>
  <c r="B33" i="17"/>
  <c r="A33" i="17"/>
  <c r="C30" i="17"/>
  <c r="B31" i="17"/>
  <c r="B30" i="17"/>
  <c r="A30" i="17"/>
  <c r="C27" i="17"/>
  <c r="B28" i="17"/>
  <c r="B27" i="17"/>
  <c r="A27" i="17"/>
  <c r="C24" i="17"/>
  <c r="C21" i="17"/>
  <c r="B24" i="17"/>
  <c r="B25" i="17"/>
  <c r="A24" i="17"/>
  <c r="B22" i="17"/>
  <c r="B21" i="17"/>
  <c r="A21" i="17"/>
  <c r="C18" i="17"/>
  <c r="B19" i="17"/>
  <c r="B18" i="17"/>
  <c r="A18" i="17"/>
  <c r="C16" i="17"/>
  <c r="B16" i="17"/>
  <c r="A16" i="17"/>
  <c r="C13" i="17"/>
  <c r="B14" i="17"/>
  <c r="B13" i="17"/>
  <c r="A13" i="17"/>
  <c r="A9" i="17"/>
  <c r="A8" i="17"/>
  <c r="C175" i="18"/>
  <c r="C174" i="18"/>
  <c r="G166" i="18"/>
  <c r="J166" i="18" s="1"/>
  <c r="G164" i="18"/>
  <c r="J164" i="18" s="1"/>
  <c r="I151" i="18"/>
  <c r="H66" i="17" s="1"/>
  <c r="C149" i="18"/>
  <c r="I145" i="18"/>
  <c r="H63" i="17" s="1"/>
  <c r="C143" i="18"/>
  <c r="I139" i="18"/>
  <c r="H60" i="17" s="1"/>
  <c r="C137" i="18"/>
  <c r="I133" i="18"/>
  <c r="H57" i="17" s="1"/>
  <c r="C132" i="18"/>
  <c r="I128" i="18"/>
  <c r="H54" i="17" s="1"/>
  <c r="I123" i="18"/>
  <c r="H51" i="17" s="1"/>
  <c r="F122" i="18"/>
  <c r="F121" i="18"/>
  <c r="D121" i="18"/>
  <c r="F120" i="18"/>
  <c r="D120" i="18"/>
  <c r="E118" i="18"/>
  <c r="G118" i="18" s="1"/>
  <c r="F117" i="18"/>
  <c r="G117" i="18" s="1"/>
  <c r="E117" i="18"/>
  <c r="F116" i="18"/>
  <c r="E116" i="18"/>
  <c r="E122" i="18" s="1"/>
  <c r="F115" i="18"/>
  <c r="F114" i="18"/>
  <c r="D114" i="18"/>
  <c r="F113" i="18"/>
  <c r="D113" i="18"/>
  <c r="F112" i="18"/>
  <c r="E112" i="18"/>
  <c r="D137" i="18" s="1"/>
  <c r="I109" i="18"/>
  <c r="H49" i="17" s="1"/>
  <c r="F108" i="18"/>
  <c r="D108" i="18"/>
  <c r="G108" i="18" s="1"/>
  <c r="G109" i="18" s="1"/>
  <c r="J109" i="18" s="1"/>
  <c r="I104" i="18"/>
  <c r="H46" i="17" s="1"/>
  <c r="G103" i="18"/>
  <c r="G104" i="18" s="1"/>
  <c r="M99" i="18"/>
  <c r="F98" i="18"/>
  <c r="E98" i="18"/>
  <c r="D98" i="18"/>
  <c r="F97" i="18"/>
  <c r="E97" i="18"/>
  <c r="D97" i="18"/>
  <c r="F96" i="18"/>
  <c r="E96" i="18"/>
  <c r="D96" i="18"/>
  <c r="G95" i="18"/>
  <c r="G94" i="18"/>
  <c r="G93" i="18"/>
  <c r="G92" i="18"/>
  <c r="F91" i="18"/>
  <c r="E91" i="18"/>
  <c r="D91" i="18"/>
  <c r="D90" i="18"/>
  <c r="G90" i="18" s="1"/>
  <c r="G89" i="18"/>
  <c r="D88" i="18"/>
  <c r="G88" i="18" s="1"/>
  <c r="D87" i="18"/>
  <c r="G87" i="18" s="1"/>
  <c r="D86" i="18"/>
  <c r="G86" i="18" s="1"/>
  <c r="M82" i="18"/>
  <c r="I82" i="18"/>
  <c r="H40" i="17" s="1"/>
  <c r="F81" i="18"/>
  <c r="D81" i="18"/>
  <c r="F80" i="18"/>
  <c r="E80" i="18"/>
  <c r="D80" i="18"/>
  <c r="F79" i="18"/>
  <c r="E79" i="18"/>
  <c r="D79" i="18"/>
  <c r="D78" i="18"/>
  <c r="G78" i="18" s="1"/>
  <c r="E77" i="18"/>
  <c r="D77" i="18"/>
  <c r="I73" i="18"/>
  <c r="H37" i="17" s="1"/>
  <c r="O72" i="18"/>
  <c r="F72" i="18"/>
  <c r="D72" i="18"/>
  <c r="I69" i="18"/>
  <c r="H35" i="17" s="1"/>
  <c r="G67" i="18"/>
  <c r="G66" i="18"/>
  <c r="G65" i="18"/>
  <c r="I62" i="18"/>
  <c r="H33" i="17" s="1"/>
  <c r="E61" i="18"/>
  <c r="C61" i="18"/>
  <c r="E60" i="18"/>
  <c r="C60" i="18"/>
  <c r="B60" i="18"/>
  <c r="I56" i="18"/>
  <c r="H30" i="17" s="1"/>
  <c r="F55" i="18"/>
  <c r="D55" i="18"/>
  <c r="F54" i="18"/>
  <c r="D54" i="18"/>
  <c r="I50" i="18"/>
  <c r="H27" i="17" s="1"/>
  <c r="F49" i="18"/>
  <c r="E49" i="18"/>
  <c r="D49" i="18"/>
  <c r="D61" i="18" s="1"/>
  <c r="F48" i="18"/>
  <c r="E48" i="18"/>
  <c r="D48" i="18"/>
  <c r="D60" i="18" s="1"/>
  <c r="F47" i="18"/>
  <c r="E47" i="18"/>
  <c r="D47" i="18"/>
  <c r="B47" i="18"/>
  <c r="F46" i="18"/>
  <c r="E46" i="18"/>
  <c r="F45" i="18"/>
  <c r="E45" i="18"/>
  <c r="B43" i="18"/>
  <c r="I39" i="18"/>
  <c r="H24" i="17" s="1"/>
  <c r="E38" i="18"/>
  <c r="D38" i="18"/>
  <c r="I34" i="18"/>
  <c r="G33" i="18"/>
  <c r="G34" i="18" s="1"/>
  <c r="I30" i="18"/>
  <c r="H18" i="17" s="1"/>
  <c r="G29" i="18"/>
  <c r="I27" i="18"/>
  <c r="H16" i="17" s="1"/>
  <c r="D26" i="18"/>
  <c r="C26" i="18"/>
  <c r="C25" i="18"/>
  <c r="I21" i="18"/>
  <c r="H13" i="17" s="1"/>
  <c r="E20" i="18"/>
  <c r="G20" i="18" s="1"/>
  <c r="E19" i="18"/>
  <c r="D19" i="18"/>
  <c r="G18" i="18"/>
  <c r="E17" i="18"/>
  <c r="D17" i="18"/>
  <c r="D16" i="18"/>
  <c r="G16" i="18" s="1"/>
  <c r="D15" i="18"/>
  <c r="G15" i="18" s="1"/>
  <c r="D14" i="18"/>
  <c r="G14" i="18" s="1"/>
  <c r="D13" i="18"/>
  <c r="G13" i="18" s="1"/>
  <c r="D12" i="18"/>
  <c r="D44" i="18" s="1"/>
  <c r="G44" i="18" s="1"/>
  <c r="E11" i="18"/>
  <c r="D11" i="18"/>
  <c r="D43" i="18" s="1"/>
  <c r="G43" i="18" s="1"/>
  <c r="D10" i="18"/>
  <c r="G10" i="18" s="1"/>
  <c r="D9" i="18"/>
  <c r="G9" i="18" s="1"/>
  <c r="L84" i="17"/>
  <c r="M84" i="17" s="1"/>
  <c r="G19" i="18" l="1"/>
  <c r="G122" i="18"/>
  <c r="G113" i="18"/>
  <c r="J30" i="18"/>
  <c r="G79" i="18"/>
  <c r="G114" i="18"/>
  <c r="D144" i="18"/>
  <c r="D150" i="18" s="1"/>
  <c r="G150" i="18" s="1"/>
  <c r="G120" i="18"/>
  <c r="G48" i="18"/>
  <c r="G77" i="18"/>
  <c r="G98" i="18"/>
  <c r="G91" i="18"/>
  <c r="J35" i="18"/>
  <c r="I22" i="17" s="1"/>
  <c r="G21" i="17"/>
  <c r="J34" i="18"/>
  <c r="G72" i="18"/>
  <c r="G73" i="18" s="1"/>
  <c r="G37" i="17" s="1"/>
  <c r="I37" i="17" s="1"/>
  <c r="J104" i="18"/>
  <c r="J105" i="18"/>
  <c r="I47" i="17" s="1"/>
  <c r="G46" i="17"/>
  <c r="I46" i="17" s="1"/>
  <c r="G11" i="18"/>
  <c r="G17" i="18"/>
  <c r="G26" i="18"/>
  <c r="G38" i="18"/>
  <c r="G39" i="18" s="1"/>
  <c r="G24" i="17" s="1"/>
  <c r="I24" i="17" s="1"/>
  <c r="G81" i="18"/>
  <c r="G77" i="17"/>
  <c r="I77" i="17" s="1"/>
  <c r="G55" i="18"/>
  <c r="G80" i="18"/>
  <c r="H21" i="17"/>
  <c r="G49" i="17"/>
  <c r="I49" i="17" s="1"/>
  <c r="G47" i="18"/>
  <c r="G96" i="18"/>
  <c r="D45" i="18"/>
  <c r="G45" i="18" s="1"/>
  <c r="G121" i="18"/>
  <c r="D138" i="18"/>
  <c r="G138" i="18" s="1"/>
  <c r="G54" i="18"/>
  <c r="G61" i="18"/>
  <c r="G97" i="18"/>
  <c r="G116" i="18"/>
  <c r="G75" i="17"/>
  <c r="I75" i="17" s="1"/>
  <c r="G60" i="18"/>
  <c r="D143" i="18"/>
  <c r="G143" i="18" s="1"/>
  <c r="G137" i="18"/>
  <c r="D127" i="18"/>
  <c r="G112" i="18"/>
  <c r="G12" i="18"/>
  <c r="G30" i="18"/>
  <c r="D46" i="18"/>
  <c r="G46" i="18" s="1"/>
  <c r="G49" i="18"/>
  <c r="D25" i="18"/>
  <c r="G25" i="18" s="1"/>
  <c r="E115" i="18"/>
  <c r="G115" i="18" s="1"/>
  <c r="D149" i="18"/>
  <c r="G149" i="18" s="1"/>
  <c r="G144" i="18" l="1"/>
  <c r="G139" i="18"/>
  <c r="G60" i="17" s="1"/>
  <c r="I60" i="17" s="1"/>
  <c r="G56" i="18"/>
  <c r="G30" i="17" s="1"/>
  <c r="I30" i="17" s="1"/>
  <c r="I21" i="17"/>
  <c r="G50" i="18"/>
  <c r="G27" i="17" s="1"/>
  <c r="I27" i="17" s="1"/>
  <c r="G151" i="18"/>
  <c r="G66" i="17" s="1"/>
  <c r="I66" i="17" s="1"/>
  <c r="G99" i="18"/>
  <c r="G43" i="17" s="1"/>
  <c r="I43" i="17" s="1"/>
  <c r="G82" i="18"/>
  <c r="G40" i="17" s="1"/>
  <c r="I40" i="17" s="1"/>
  <c r="G123" i="18"/>
  <c r="G51" i="17" s="1"/>
  <c r="I51" i="17" s="1"/>
  <c r="J40" i="18"/>
  <c r="I25" i="17" s="1"/>
  <c r="G21" i="18"/>
  <c r="G13" i="17" s="1"/>
  <c r="I13" i="17" s="1"/>
  <c r="J39" i="18"/>
  <c r="G27" i="18"/>
  <c r="J27" i="18" s="1"/>
  <c r="J73" i="18"/>
  <c r="J74" i="18"/>
  <c r="I38" i="17" s="1"/>
  <c r="G145" i="18"/>
  <c r="G63" i="17" s="1"/>
  <c r="I63" i="17" s="1"/>
  <c r="G62" i="18"/>
  <c r="J69" i="18"/>
  <c r="G35" i="17"/>
  <c r="I35" i="17" s="1"/>
  <c r="J31" i="18"/>
  <c r="I19" i="17" s="1"/>
  <c r="G18" i="17"/>
  <c r="I18" i="17" s="1"/>
  <c r="J50" i="18"/>
  <c r="J51" i="18"/>
  <c r="I28" i="17" s="1"/>
  <c r="G127" i="18"/>
  <c r="G128" i="18" s="1"/>
  <c r="G54" i="17" s="1"/>
  <c r="I54" i="17" s="1"/>
  <c r="D132" i="18"/>
  <c r="G132" i="18" s="1"/>
  <c r="G133" i="18" s="1"/>
  <c r="G57" i="17" s="1"/>
  <c r="I57" i="17" s="1"/>
  <c r="J140" i="18"/>
  <c r="I61" i="17" s="1"/>
  <c r="J139" i="18"/>
  <c r="J57" i="18"/>
  <c r="I31" i="17" s="1"/>
  <c r="J56" i="18"/>
  <c r="N110" i="18" l="1"/>
  <c r="G16" i="17"/>
  <c r="I16" i="17" s="1"/>
  <c r="J21" i="18"/>
  <c r="J22" i="18"/>
  <c r="I14" i="17" s="1"/>
  <c r="J124" i="18"/>
  <c r="I52" i="17" s="1"/>
  <c r="J123" i="18"/>
  <c r="J151" i="18"/>
  <c r="J82" i="18"/>
  <c r="J152" i="18"/>
  <c r="I67" i="17" s="1"/>
  <c r="J83" i="18"/>
  <c r="I41" i="17" s="1"/>
  <c r="J100" i="18"/>
  <c r="I44" i="17" s="1"/>
  <c r="M91" i="18"/>
  <c r="J99" i="18"/>
  <c r="J145" i="18"/>
  <c r="J146" i="18"/>
  <c r="I64" i="17" s="1"/>
  <c r="J62" i="18"/>
  <c r="G33" i="17"/>
  <c r="I33" i="17" s="1"/>
  <c r="J129" i="18"/>
  <c r="I55" i="17" s="1"/>
  <c r="J128" i="18"/>
  <c r="J134" i="18"/>
  <c r="J133" i="18"/>
  <c r="G163" i="16"/>
  <c r="D75" i="17" s="1"/>
  <c r="F75" i="17" s="1"/>
  <c r="J75" i="17" s="1"/>
  <c r="J168" i="18" l="1"/>
  <c r="I58" i="17"/>
  <c r="J163" i="16"/>
  <c r="C170" i="18" l="1"/>
  <c r="C173" i="18" s="1"/>
  <c r="I79" i="17"/>
  <c r="E172" i="18" l="1"/>
  <c r="E173" i="18" s="1"/>
  <c r="J6" i="17"/>
  <c r="I68" i="16"/>
  <c r="E35" i="17" s="1"/>
  <c r="I56" i="16"/>
  <c r="E30" i="17" s="1"/>
  <c r="I150" i="16" l="1"/>
  <c r="E66" i="17" s="1"/>
  <c r="C148" i="16"/>
  <c r="I144" i="16"/>
  <c r="E63" i="17" s="1"/>
  <c r="C142" i="16"/>
  <c r="I138" i="16"/>
  <c r="E60" i="17" s="1"/>
  <c r="C136" i="16"/>
  <c r="I132" i="16"/>
  <c r="E57" i="17" s="1"/>
  <c r="C131" i="16"/>
  <c r="I127" i="16"/>
  <c r="E54" i="17" s="1"/>
  <c r="I122" i="16"/>
  <c r="E51" i="17" s="1"/>
  <c r="F121" i="16"/>
  <c r="F120" i="16"/>
  <c r="D120" i="16"/>
  <c r="F119" i="16"/>
  <c r="D119" i="16"/>
  <c r="E117" i="16"/>
  <c r="G117" i="16" s="1"/>
  <c r="F116" i="16"/>
  <c r="E116" i="16"/>
  <c r="G116" i="16" s="1"/>
  <c r="F115" i="16"/>
  <c r="E115" i="16"/>
  <c r="D137" i="16" s="1"/>
  <c r="G137" i="16" s="1"/>
  <c r="F114" i="16"/>
  <c r="F113" i="16"/>
  <c r="D113" i="16"/>
  <c r="F112" i="16"/>
  <c r="D112" i="16"/>
  <c r="F111" i="16"/>
  <c r="E111" i="16"/>
  <c r="D136" i="16" s="1"/>
  <c r="D142" i="16" s="1"/>
  <c r="I81" i="16"/>
  <c r="E40" i="17" s="1"/>
  <c r="F78" i="16"/>
  <c r="E78" i="16"/>
  <c r="D78" i="16"/>
  <c r="D77" i="16"/>
  <c r="G77" i="16" s="1"/>
  <c r="E76" i="16"/>
  <c r="D76" i="16"/>
  <c r="F97" i="16"/>
  <c r="E97" i="16"/>
  <c r="D97" i="16"/>
  <c r="F96" i="16"/>
  <c r="E96" i="16"/>
  <c r="D96" i="16"/>
  <c r="F95" i="16"/>
  <c r="E95" i="16"/>
  <c r="D95" i="16"/>
  <c r="G94" i="16"/>
  <c r="G93" i="16"/>
  <c r="G92" i="16"/>
  <c r="G91" i="16"/>
  <c r="F90" i="16"/>
  <c r="E90" i="16"/>
  <c r="D90" i="16"/>
  <c r="D89" i="16"/>
  <c r="G89" i="16" s="1"/>
  <c r="G88" i="16"/>
  <c r="D87" i="16"/>
  <c r="G87" i="16" s="1"/>
  <c r="D86" i="16"/>
  <c r="G86" i="16" s="1"/>
  <c r="D85" i="16"/>
  <c r="G85" i="16" s="1"/>
  <c r="F80" i="16"/>
  <c r="D80" i="16"/>
  <c r="F79" i="16"/>
  <c r="E79" i="16"/>
  <c r="D79" i="16"/>
  <c r="I108" i="16"/>
  <c r="E49" i="17" s="1"/>
  <c r="F107" i="16"/>
  <c r="D107" i="16"/>
  <c r="I103" i="16"/>
  <c r="E46" i="17" s="1"/>
  <c r="G102" i="16"/>
  <c r="G103" i="16" s="1"/>
  <c r="I72" i="16"/>
  <c r="E37" i="17" s="1"/>
  <c r="F71" i="16"/>
  <c r="D71" i="16"/>
  <c r="G67" i="16"/>
  <c r="G66" i="16"/>
  <c r="G65" i="16"/>
  <c r="I62" i="16"/>
  <c r="E33" i="17" s="1"/>
  <c r="E61" i="16"/>
  <c r="C61" i="16"/>
  <c r="E60" i="16"/>
  <c r="C60" i="16"/>
  <c r="F55" i="16"/>
  <c r="D55" i="16"/>
  <c r="F54" i="16"/>
  <c r="D54" i="16"/>
  <c r="I50" i="16"/>
  <c r="E27" i="17" s="1"/>
  <c r="F49" i="16"/>
  <c r="E49" i="16"/>
  <c r="D49" i="16"/>
  <c r="F48" i="16"/>
  <c r="E48" i="16"/>
  <c r="D48" i="16"/>
  <c r="D60" i="16" s="1"/>
  <c r="F47" i="16"/>
  <c r="E47" i="16"/>
  <c r="D47" i="16"/>
  <c r="F46" i="16"/>
  <c r="E46" i="16"/>
  <c r="F45" i="16"/>
  <c r="E45" i="16"/>
  <c r="I39" i="16"/>
  <c r="E24" i="17" s="1"/>
  <c r="E38" i="16"/>
  <c r="D38" i="16"/>
  <c r="I34" i="16"/>
  <c r="E21" i="17" s="1"/>
  <c r="G33" i="16"/>
  <c r="I30" i="16"/>
  <c r="E18" i="17" s="1"/>
  <c r="G29" i="16"/>
  <c r="I27" i="16"/>
  <c r="E16" i="17" s="1"/>
  <c r="D26" i="16"/>
  <c r="C26" i="16"/>
  <c r="C25" i="16"/>
  <c r="I21" i="16"/>
  <c r="E13" i="17" s="1"/>
  <c r="G18" i="16"/>
  <c r="E20" i="16"/>
  <c r="G20" i="16" s="1"/>
  <c r="E19" i="16"/>
  <c r="D19" i="16"/>
  <c r="D25" i="16" s="1"/>
  <c r="E17" i="16"/>
  <c r="D17" i="16"/>
  <c r="D16" i="16"/>
  <c r="G16" i="16" s="1"/>
  <c r="D15" i="16"/>
  <c r="G15" i="16" s="1"/>
  <c r="D14" i="16"/>
  <c r="D46" i="16" s="1"/>
  <c r="D13" i="16"/>
  <c r="D45" i="16" s="1"/>
  <c r="D12" i="16"/>
  <c r="D44" i="16" s="1"/>
  <c r="G44" i="16" s="1"/>
  <c r="E11" i="16"/>
  <c r="D11" i="16"/>
  <c r="D43" i="16" s="1"/>
  <c r="G43" i="16" s="1"/>
  <c r="D10" i="16"/>
  <c r="G10" i="16" s="1"/>
  <c r="D9" i="16"/>
  <c r="G9" i="16" s="1"/>
  <c r="M98" i="16"/>
  <c r="M81" i="16"/>
  <c r="O71" i="16"/>
  <c r="C178" i="16"/>
  <c r="C177" i="16"/>
  <c r="G165" i="16"/>
  <c r="B60" i="16"/>
  <c r="B47" i="16"/>
  <c r="B43" i="16"/>
  <c r="G120" i="16" l="1"/>
  <c r="J34" i="16"/>
  <c r="G113" i="16"/>
  <c r="G26" i="16"/>
  <c r="G54" i="16"/>
  <c r="J30" i="16"/>
  <c r="G38" i="16"/>
  <c r="G39" i="16" s="1"/>
  <c r="D24" i="17" s="1"/>
  <c r="F24" i="17" s="1"/>
  <c r="J24" i="17" s="1"/>
  <c r="G107" i="16"/>
  <c r="G108" i="16" s="1"/>
  <c r="J108" i="16" s="1"/>
  <c r="G111" i="16"/>
  <c r="G14" i="16"/>
  <c r="G119" i="16"/>
  <c r="G17" i="16"/>
  <c r="J104" i="16"/>
  <c r="F47" i="17" s="1"/>
  <c r="J47" i="17" s="1"/>
  <c r="D46" i="17"/>
  <c r="F46" i="17" s="1"/>
  <c r="J46" i="17" s="1"/>
  <c r="J165" i="16"/>
  <c r="D77" i="17"/>
  <c r="F77" i="17" s="1"/>
  <c r="G78" i="16"/>
  <c r="G46" i="16"/>
  <c r="G49" i="16"/>
  <c r="G60" i="16"/>
  <c r="G25" i="16"/>
  <c r="G27" i="16" s="1"/>
  <c r="G55" i="16"/>
  <c r="G79" i="16"/>
  <c r="G19" i="16"/>
  <c r="G45" i="16"/>
  <c r="D61" i="16"/>
  <c r="G61" i="16" s="1"/>
  <c r="G95" i="16"/>
  <c r="G90" i="16"/>
  <c r="G76" i="16"/>
  <c r="G68" i="16"/>
  <c r="D35" i="17" s="1"/>
  <c r="F35" i="17" s="1"/>
  <c r="J35" i="17" s="1"/>
  <c r="G112" i="16"/>
  <c r="G13" i="16"/>
  <c r="G71" i="16"/>
  <c r="G72" i="16" s="1"/>
  <c r="E114" i="16"/>
  <c r="G114" i="16" s="1"/>
  <c r="D126" i="16"/>
  <c r="D131" i="16" s="1"/>
  <c r="G131" i="16" s="1"/>
  <c r="G132" i="16" s="1"/>
  <c r="D143" i="16"/>
  <c r="D149" i="16" s="1"/>
  <c r="G149" i="16" s="1"/>
  <c r="G12" i="16"/>
  <c r="G47" i="16"/>
  <c r="G96" i="16"/>
  <c r="G142" i="16"/>
  <c r="G115" i="16"/>
  <c r="D148" i="16"/>
  <c r="G148" i="16" s="1"/>
  <c r="G48" i="16"/>
  <c r="G97" i="16"/>
  <c r="G11" i="16"/>
  <c r="G80" i="16"/>
  <c r="E121" i="16"/>
  <c r="G121" i="16" s="1"/>
  <c r="G136" i="16"/>
  <c r="G138" i="16" s="1"/>
  <c r="D60" i="17" s="1"/>
  <c r="F60" i="17" s="1"/>
  <c r="J60" i="17" s="1"/>
  <c r="J103" i="16"/>
  <c r="G34" i="16"/>
  <c r="G30" i="16"/>
  <c r="C175" i="16"/>
  <c r="J68" i="16" l="1"/>
  <c r="J39" i="16"/>
  <c r="G56" i="16"/>
  <c r="D30" i="17" s="1"/>
  <c r="F30" i="17" s="1"/>
  <c r="J30" i="17" s="1"/>
  <c r="G81" i="16"/>
  <c r="D40" i="17" s="1"/>
  <c r="F40" i="17" s="1"/>
  <c r="J40" i="17" s="1"/>
  <c r="J40" i="16"/>
  <c r="F25" i="17" s="1"/>
  <c r="J25" i="17" s="1"/>
  <c r="D49" i="17"/>
  <c r="F49" i="17" s="1"/>
  <c r="J49" i="17" s="1"/>
  <c r="G122" i="16"/>
  <c r="D51" i="17" s="1"/>
  <c r="F51" i="17" s="1"/>
  <c r="J51" i="17" s="1"/>
  <c r="G98" i="16"/>
  <c r="D43" i="17" s="1"/>
  <c r="F43" i="17" s="1"/>
  <c r="J43" i="17" s="1"/>
  <c r="J132" i="16"/>
  <c r="D57" i="17"/>
  <c r="F57" i="17" s="1"/>
  <c r="J57" i="17" s="1"/>
  <c r="G62" i="16"/>
  <c r="J27" i="16"/>
  <c r="D16" i="17"/>
  <c r="F16" i="17" s="1"/>
  <c r="J16" i="17" s="1"/>
  <c r="J31" i="16"/>
  <c r="F19" i="17" s="1"/>
  <c r="J19" i="17" s="1"/>
  <c r="D18" i="17"/>
  <c r="F18" i="17" s="1"/>
  <c r="J18" i="17" s="1"/>
  <c r="M77" i="17"/>
  <c r="J77" i="17"/>
  <c r="J72" i="16"/>
  <c r="D37" i="17"/>
  <c r="F37" i="17" s="1"/>
  <c r="J37" i="17" s="1"/>
  <c r="J133" i="16"/>
  <c r="F58" i="17" s="1"/>
  <c r="J58" i="17" s="1"/>
  <c r="J35" i="16"/>
  <c r="F22" i="17" s="1"/>
  <c r="J22" i="17" s="1"/>
  <c r="D21" i="17"/>
  <c r="F21" i="17" s="1"/>
  <c r="J21" i="17" s="1"/>
  <c r="G143" i="16"/>
  <c r="G144" i="16" s="1"/>
  <c r="D63" i="17" s="1"/>
  <c r="F63" i="17" s="1"/>
  <c r="J63" i="17" s="1"/>
  <c r="G50" i="16"/>
  <c r="J50" i="16" s="1"/>
  <c r="G21" i="16"/>
  <c r="D13" i="17" s="1"/>
  <c r="F13" i="17" s="1"/>
  <c r="J73" i="16"/>
  <c r="F38" i="17" s="1"/>
  <c r="J38" i="17" s="1"/>
  <c r="J82" i="16"/>
  <c r="F41" i="17" s="1"/>
  <c r="J41" i="17" s="1"/>
  <c r="J81" i="16"/>
  <c r="G150" i="16"/>
  <c r="D66" i="17" s="1"/>
  <c r="F66" i="17" s="1"/>
  <c r="J66" i="17" s="1"/>
  <c r="G126" i="16"/>
  <c r="G127" i="16" s="1"/>
  <c r="J138" i="16"/>
  <c r="J139" i="16"/>
  <c r="F61" i="17" s="1"/>
  <c r="J61" i="17" s="1"/>
  <c r="J56" i="16" l="1"/>
  <c r="J57" i="16"/>
  <c r="F31" i="17" s="1"/>
  <c r="J31" i="17" s="1"/>
  <c r="J122" i="16"/>
  <c r="J123" i="16"/>
  <c r="F52" i="17" s="1"/>
  <c r="J52" i="17" s="1"/>
  <c r="N109" i="16"/>
  <c r="J99" i="16"/>
  <c r="F44" i="17" s="1"/>
  <c r="J44" i="17" s="1"/>
  <c r="M90" i="16"/>
  <c r="J98" i="16"/>
  <c r="J13" i="17"/>
  <c r="J51" i="16"/>
  <c r="F28" i="17" s="1"/>
  <c r="J28" i="17" s="1"/>
  <c r="D27" i="17"/>
  <c r="F27" i="17" s="1"/>
  <c r="J27" i="17" s="1"/>
  <c r="J62" i="16"/>
  <c r="D33" i="17"/>
  <c r="F33" i="17" s="1"/>
  <c r="J33" i="17" s="1"/>
  <c r="J127" i="16"/>
  <c r="D54" i="17"/>
  <c r="F54" i="17" s="1"/>
  <c r="J54" i="17" s="1"/>
  <c r="J144" i="16"/>
  <c r="J145" i="16"/>
  <c r="F64" i="17" s="1"/>
  <c r="J64" i="17" s="1"/>
  <c r="J22" i="16"/>
  <c r="J21" i="16"/>
  <c r="J151" i="16"/>
  <c r="F67" i="17" s="1"/>
  <c r="J67" i="17" s="1"/>
  <c r="J150" i="16"/>
  <c r="J128" i="16"/>
  <c r="F55" i="17" s="1"/>
  <c r="J55" i="17" s="1"/>
  <c r="J167" i="16" l="1"/>
  <c r="C173" i="16" s="1"/>
  <c r="F14" i="17"/>
  <c r="J14" i="17" l="1"/>
  <c r="F79" i="17"/>
  <c r="C169" i="16"/>
  <c r="C170" i="16" s="1"/>
  <c r="C171" i="16" s="1"/>
  <c r="C176" i="16"/>
  <c r="E175" i="16"/>
  <c r="E176" i="16" s="1"/>
  <c r="C6" i="17" l="1"/>
  <c r="J79" i="17"/>
</calcChain>
</file>

<file path=xl/comments1.xml><?xml version="1.0" encoding="utf-8"?>
<comments xmlns="http://schemas.openxmlformats.org/spreadsheetml/2006/main">
  <authors>
    <author>Author</author>
  </authors>
  <commentList>
    <comment ref="D43" authorId="0" shapeId="0">
      <text>
        <r>
          <rPr>
            <b/>
            <sz val="10"/>
            <color indexed="81"/>
            <rFont val="Tahoma"/>
            <family val="2"/>
          </rPr>
          <t>Author:</t>
        </r>
        <r>
          <rPr>
            <sz val="10"/>
            <color indexed="81"/>
            <rFont val="Tahoma"/>
            <family val="2"/>
          </rPr>
          <t xml:space="preserve">
killa thokna lai bich bich maa rakhne kath baala</t>
        </r>
      </text>
    </comment>
    <comment ref="D47" authorId="0" shapeId="0">
      <text>
        <r>
          <rPr>
            <b/>
            <sz val="10"/>
            <color indexed="81"/>
            <rFont val="Tahoma"/>
            <family val="2"/>
          </rPr>
          <t>Author:</t>
        </r>
        <r>
          <rPr>
            <sz val="10"/>
            <color indexed="81"/>
            <rFont val="Tahoma"/>
            <family val="2"/>
          </rPr>
          <t xml:space="preserve">
edge ko wood</t>
        </r>
      </text>
    </comment>
    <comment ref="C142" authorId="0" shapeId="0">
      <text>
        <r>
          <rPr>
            <b/>
            <sz val="10"/>
            <color indexed="81"/>
            <rFont val="Tahoma"/>
            <family val="2"/>
          </rPr>
          <t>Author:</t>
        </r>
        <r>
          <rPr>
            <sz val="10"/>
            <color indexed="81"/>
            <rFont val="Tahoma"/>
            <family val="2"/>
          </rPr>
          <t xml:space="preserve">
at top also</t>
        </r>
      </text>
    </comment>
  </commentList>
</comments>
</file>

<file path=xl/comments2.xml><?xml version="1.0" encoding="utf-8"?>
<comments xmlns="http://schemas.openxmlformats.org/spreadsheetml/2006/main">
  <authors>
    <author>Author</author>
  </authors>
  <commentList>
    <comment ref="D43" authorId="0" shapeId="0">
      <text>
        <r>
          <rPr>
            <b/>
            <sz val="10"/>
            <color indexed="81"/>
            <rFont val="Tahoma"/>
            <family val="2"/>
          </rPr>
          <t>Author:</t>
        </r>
        <r>
          <rPr>
            <sz val="10"/>
            <color indexed="81"/>
            <rFont val="Tahoma"/>
            <family val="2"/>
          </rPr>
          <t xml:space="preserve">
killa thokna lai bich bich maa rakhne kath baala</t>
        </r>
      </text>
    </comment>
    <comment ref="D47" authorId="0" shapeId="0">
      <text>
        <r>
          <rPr>
            <b/>
            <sz val="10"/>
            <color indexed="81"/>
            <rFont val="Tahoma"/>
            <family val="2"/>
          </rPr>
          <t>Author:</t>
        </r>
        <r>
          <rPr>
            <sz val="10"/>
            <color indexed="81"/>
            <rFont val="Tahoma"/>
            <family val="2"/>
          </rPr>
          <t xml:space="preserve">
edge ko wood</t>
        </r>
      </text>
    </comment>
    <comment ref="C143" authorId="0" shapeId="0">
      <text>
        <r>
          <rPr>
            <b/>
            <sz val="10"/>
            <color indexed="81"/>
            <rFont val="Tahoma"/>
            <family val="2"/>
          </rPr>
          <t>Author:</t>
        </r>
        <r>
          <rPr>
            <sz val="10"/>
            <color indexed="81"/>
            <rFont val="Tahoma"/>
            <family val="2"/>
          </rPr>
          <t xml:space="preserve">
at top also</t>
        </r>
      </text>
    </comment>
  </commentList>
</comments>
</file>

<file path=xl/sharedStrings.xml><?xml version="1.0" encoding="utf-8"?>
<sst xmlns="http://schemas.openxmlformats.org/spreadsheetml/2006/main" count="336" uniqueCount="111">
  <si>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</si>
  <si>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</si>
  <si>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</si>
  <si>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</si>
  <si>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</si>
  <si>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</si>
  <si>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Date:                        </t>
  </si>
  <si>
    <t>S.N.</t>
  </si>
  <si>
    <t>Description of work</t>
  </si>
  <si>
    <t>No.</t>
  </si>
  <si>
    <t>Length</t>
  </si>
  <si>
    <t>Breadth</t>
  </si>
  <si>
    <t>Height</t>
  </si>
  <si>
    <t>Quantity</t>
  </si>
  <si>
    <t>Unit</t>
  </si>
  <si>
    <t>Rate</t>
  </si>
  <si>
    <t>Amount</t>
  </si>
  <si>
    <t>Remarks</t>
  </si>
  <si>
    <t>-deduction for door opening</t>
  </si>
  <si>
    <t>Sub-total</t>
  </si>
  <si>
    <t>sqm</t>
  </si>
  <si>
    <t>cum</t>
  </si>
  <si>
    <t>-VAT 13% for materials</t>
  </si>
  <si>
    <t>-wall</t>
  </si>
  <si>
    <t>Traditional Brick (Small Dachi Appa) work in (1:4)cement sand mortar</t>
  </si>
  <si>
    <t>-Outer face front wall</t>
  </si>
  <si>
    <t>-Outer face side wall</t>
  </si>
  <si>
    <t>-Deduction for butta works</t>
  </si>
  <si>
    <t>Traditional Kassimo Brick work in (1:1:2) lime,surkhi, sand mortar</t>
  </si>
  <si>
    <t>rm</t>
  </si>
  <si>
    <t>Traditional Nago Brick work in (1:1:2) lime,surkhi, sand mortar</t>
  </si>
  <si>
    <t>Traditional Jhallr Brick work in (1:1:2) lime,surkhi, sand mortar</t>
  </si>
  <si>
    <t>Traditional Palefo Brick work in (1:1:2) lime,surkhi, sand mortar</t>
  </si>
  <si>
    <t>3 Traditional Fya Brick work in (1:1:2) lime,surkhi, sand mortar</t>
  </si>
  <si>
    <t>Single layers of plastic felt laying on roofing with bitumen</t>
  </si>
  <si>
    <t>no.</t>
  </si>
  <si>
    <t>cu|fv sf7sf] rf}s; agfO hf]8\g] sfd</t>
  </si>
  <si>
    <t>-For Door</t>
  </si>
  <si>
    <t>-For window</t>
  </si>
  <si>
    <t>-Window khapa</t>
  </si>
  <si>
    <t>#* dL=dL= afSnf] lr/fg cu|fv sf7sf] k|m]d xfnL l8nfvfkf agfO</t>
  </si>
  <si>
    <t>-door</t>
  </si>
  <si>
    <t>-New Roof</t>
  </si>
  <si>
    <t>kg</t>
  </si>
  <si>
    <t>Provisional sum for unforseen works</t>
  </si>
  <si>
    <t>PS</t>
  </si>
  <si>
    <t>Information board (सुचना पाटि)</t>
  </si>
  <si>
    <t>Total Estimated</t>
  </si>
  <si>
    <t>Budget allocated</t>
  </si>
  <si>
    <t>Municipal payment</t>
  </si>
  <si>
    <t>User Contribution</t>
  </si>
  <si>
    <t xml:space="preserve">Contingencies </t>
  </si>
  <si>
    <t xml:space="preserve">Maintanince </t>
  </si>
  <si>
    <t>Carved salwood Lattice (jali) of Carved Window highly carving including wood</t>
  </si>
  <si>
    <t>VAT 13%</t>
  </si>
  <si>
    <t>Grand total</t>
  </si>
  <si>
    <t>Total</t>
  </si>
  <si>
    <t xml:space="preserve">F.Y.: 2081/2082      </t>
  </si>
  <si>
    <t>Sal timber work for chaukhat frame (upto 8'-0")</t>
  </si>
  <si>
    <t>-window</t>
  </si>
  <si>
    <t>-VAT for materials only</t>
  </si>
  <si>
    <t>18 gauge Brass sheet gajur making and fixing on roof with Gajur size height 18" approx. weight 2kg</t>
  </si>
  <si>
    <t>Sal Timber work for beam, joist, column etc. (upto 8'-0")</t>
  </si>
  <si>
    <t>-Strip wood</t>
  </si>
  <si>
    <t>-VAT 13% for materials only</t>
  </si>
  <si>
    <t>Window carving (except lattice jali) excluding wood</t>
  </si>
  <si>
    <t>Carved Door works excluding wood</t>
  </si>
  <si>
    <t>Location:- Shankharapur 9</t>
  </si>
  <si>
    <t>-Front roof</t>
  </si>
  <si>
    <t>-Back roof</t>
  </si>
  <si>
    <t>-ridge</t>
  </si>
  <si>
    <t>-Ridge part/bhangi</t>
  </si>
  <si>
    <t>-eaves</t>
  </si>
  <si>
    <t>20/22/26 gauge 6"/8" copper/brass sheet Eaves/jhaller &amp; butta making(labour cost only)</t>
  </si>
  <si>
    <t>-deduction for lattice jali</t>
  </si>
  <si>
    <t>-Tundal</t>
  </si>
  <si>
    <t>Carved Tundal work excluding wood</t>
  </si>
  <si>
    <t>-deduction for window opening</t>
  </si>
  <si>
    <t>-Deduction for bell post</t>
  </si>
  <si>
    <t>-chu</t>
  </si>
  <si>
    <t>-pakadi</t>
  </si>
  <si>
    <t>-kota</t>
  </si>
  <si>
    <t>-handle bar</t>
  </si>
  <si>
    <t>-handle post</t>
  </si>
  <si>
    <t>-carnesh</t>
  </si>
  <si>
    <t>-sipu</t>
  </si>
  <si>
    <t>-khapa frame</t>
  </si>
  <si>
    <t>1" thick salwood planking works with 3 side plaining not &lt;4" width</t>
  </si>
  <si>
    <t>Remark</t>
  </si>
  <si>
    <t>20 gauge Brass sheet gajur making and fixing on roof with Gajur size height 24" approx. wt. 3.5kg</t>
  </si>
  <si>
    <t>-for door</t>
  </si>
  <si>
    <t>Work Completion Report</t>
  </si>
  <si>
    <t>Total Estimated Amount:</t>
  </si>
  <si>
    <t>Total Valuated Amount :</t>
  </si>
  <si>
    <t xml:space="preserve">Work Started : </t>
  </si>
  <si>
    <t xml:space="preserve">Work Finished:           </t>
  </si>
  <si>
    <t>S.No.</t>
  </si>
  <si>
    <t>Description</t>
  </si>
  <si>
    <t>Estimated</t>
  </si>
  <si>
    <t>Valuated</t>
  </si>
  <si>
    <t>Difference</t>
  </si>
  <si>
    <t xml:space="preserve">Quantity </t>
  </si>
  <si>
    <t xml:space="preserve">Date:2082/03/08       </t>
  </si>
  <si>
    <t xml:space="preserve">F.Y:2081/2082            </t>
  </si>
  <si>
    <t>Traditional Fya Brick work in (1:1:2) lime,surkhi, sand mortar</t>
  </si>
  <si>
    <t>20 gauge Brass plate making and fixing on roof</t>
  </si>
  <si>
    <t>!@=% dL=dL= l;d]G6 afn'jf -!M$_ Knfi6/</t>
  </si>
  <si>
    <t>Total Valuated</t>
  </si>
  <si>
    <t>Detail Valuated Sheet</t>
  </si>
  <si>
    <t>-for wall</t>
  </si>
  <si>
    <t>Single bamboo scaffolding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</si>
</sst>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sz val="10"/>
      <color indexed="81"/>
      <name val="Tahoma"/>
      <family val="2"/>
    </font>
    <font>
      <b/>
      <sz val="10"/>
      <color indexed="81"/>
      <name val="Tahoma"/>
      <family val="2"/>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sz val="11"/>
      <color theme="1"/>
      <name val="Times New Roman"/>
      <family val="1"/>
    </font>
    <font>
      <sz val="11"/>
      <color rgb="FFFF0000"/>
      <name val="Calibri"/>
      <family val="2"/>
      <scheme val="minor"/>
    </font>
    <font>
      <sz val="11"/>
      <name val="Calibri"/>
      <family val="2"/>
      <scheme val="minor"/>
    </font>
    <font>
      <b/>
      <sz val="11"/>
      <name val="Calibri"/>
      <family val="2"/>
      <scheme val="minor"/>
    </font>
    <font>
      <b/>
      <sz val="12"/>
      <name val="Times New Roman"/>
      <family val="1"/>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93">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vertical="center"/>
    </xf>
    <xf numFmtId="0" fontId="7" fillId="0" borderId="1" xfId="0" applyFont="1" applyBorder="1" applyAlignment="1">
      <alignment horizontal="center" vertical="top" wrapText="1"/>
    </xf>
    <xf numFmtId="0" fontId="7" fillId="0" borderId="1" xfId="0" applyFont="1" applyBorder="1" applyAlignment="1">
      <alignment horizontal="center"/>
    </xf>
    <xf numFmtId="164" fontId="7" fillId="0" borderId="1" xfId="1" applyFont="1" applyBorder="1" applyAlignment="1">
      <alignment horizontal="center"/>
    </xf>
    <xf numFmtId="0" fontId="7" fillId="0" borderId="1" xfId="0" applyFont="1" applyBorder="1" applyAlignment="1">
      <alignment horizontal="center" wrapText="1"/>
    </xf>
    <xf numFmtId="0" fontId="8" fillId="2" borderId="1" xfId="0" applyFont="1" applyFill="1" applyBorder="1" applyAlignment="1">
      <alignment wrapText="1"/>
    </xf>
    <xf numFmtId="1" fontId="9" fillId="0" borderId="1" xfId="0" applyNumberFormat="1" applyFont="1" applyFill="1" applyBorder="1" applyAlignment="1">
      <alignment vertical="center"/>
    </xf>
    <xf numFmtId="165"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10" fillId="0" borderId="1" xfId="0" applyNumberFormat="1" applyFont="1" applyFill="1" applyBorder="1" applyAlignment="1">
      <alignment vertical="center"/>
    </xf>
    <xf numFmtId="2"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2" fillId="0" borderId="1" xfId="0" applyNumberFormat="1" applyFont="1" applyBorder="1"/>
    <xf numFmtId="0" fontId="11" fillId="0" borderId="0" xfId="0" applyFont="1" applyBorder="1" applyAlignment="1"/>
    <xf numFmtId="0" fontId="0" fillId="0" borderId="1" xfId="0" applyBorder="1"/>
    <xf numFmtId="2" fontId="0" fillId="0" borderId="1" xfId="0" applyNumberFormat="1" applyBorder="1" applyAlignment="1">
      <alignment vertical="center"/>
    </xf>
    <xf numFmtId="0" fontId="0" fillId="0" borderId="1" xfId="0" applyBorder="1" applyAlignment="1">
      <alignment vertical="center"/>
    </xf>
    <xf numFmtId="1" fontId="10"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0" fillId="0" borderId="1" xfId="0" applyNumberFormat="1" applyFont="1" applyFill="1"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xf numFmtId="2" fontId="0" fillId="0" borderId="0" xfId="0" applyNumberFormat="1" applyAlignment="1">
      <alignment vertical="center"/>
    </xf>
    <xf numFmtId="0" fontId="0" fillId="0" borderId="1" xfId="0" applyFill="1" applyBorder="1" applyAlignment="1">
      <alignment vertical="center"/>
    </xf>
    <xf numFmtId="2" fontId="0" fillId="0" borderId="0" xfId="0" applyNumberFormat="1"/>
    <xf numFmtId="166" fontId="0" fillId="0" borderId="0" xfId="0" applyNumberFormat="1"/>
    <xf numFmtId="0" fontId="16" fillId="0" borderId="0" xfId="0" applyFont="1"/>
    <xf numFmtId="0" fontId="17" fillId="0" borderId="0" xfId="0" applyFont="1" applyAlignment="1">
      <alignment horizontal="center"/>
    </xf>
    <xf numFmtId="0" fontId="0" fillId="0" borderId="0" xfId="0" applyAlignment="1">
      <alignment horizontal="left"/>
    </xf>
    <xf numFmtId="0" fontId="0" fillId="3" borderId="1" xfId="0" applyFill="1" applyBorder="1"/>
    <xf numFmtId="1" fontId="3" fillId="0" borderId="1" xfId="0" applyNumberFormat="1" applyFont="1" applyBorder="1" applyAlignment="1">
      <alignment vertical="center"/>
    </xf>
    <xf numFmtId="164" fontId="2" fillId="0" borderId="1" xfId="1" applyFont="1" applyBorder="1" applyAlignment="1">
      <alignment vertical="center"/>
    </xf>
    <xf numFmtId="0" fontId="18" fillId="0" borderId="1" xfId="0" applyFont="1" applyBorder="1" applyAlignment="1">
      <alignment vertical="center"/>
    </xf>
    <xf numFmtId="1" fontId="18" fillId="0" borderId="1" xfId="0" applyNumberFormat="1" applyFont="1" applyBorder="1" applyAlignment="1">
      <alignment vertical="center" wrapText="1"/>
    </xf>
    <xf numFmtId="0" fontId="2" fillId="0" borderId="1" xfId="0" applyFont="1" applyBorder="1" applyAlignment="1">
      <alignment horizontal="right"/>
    </xf>
    <xf numFmtId="164" fontId="2" fillId="0" borderId="1" xfId="1" applyFont="1" applyBorder="1"/>
    <xf numFmtId="1" fontId="18" fillId="0" borderId="1" xfId="0" applyNumberFormat="1" applyFont="1" applyBorder="1" applyAlignment="1">
      <alignment horizontal="right" vertical="center" wrapText="1"/>
    </xf>
    <xf numFmtId="1" fontId="8" fillId="2" borderId="1" xfId="0" applyNumberFormat="1" applyFont="1" applyFill="1" applyBorder="1" applyAlignment="1">
      <alignment wrapText="1"/>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0" xfId="0" applyFont="1"/>
    <xf numFmtId="2" fontId="0" fillId="0" borderId="1" xfId="0" applyNumberFormat="1" applyBorder="1" applyAlignment="1">
      <alignment horizontal="center"/>
    </xf>
    <xf numFmtId="164" fontId="16" fillId="0" borderId="0" xfId="0" applyNumberFormat="1" applyFont="1" applyAlignment="1">
      <alignment horizontal="center"/>
    </xf>
    <xf numFmtId="0" fontId="16" fillId="0" borderId="0" xfId="0" applyFont="1" applyAlignment="1">
      <alignment horizontal="center"/>
    </xf>
    <xf numFmtId="0" fontId="3"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20" fillId="0" borderId="1" xfId="0" applyFont="1" applyBorder="1" applyAlignment="1">
      <alignment wrapText="1"/>
    </xf>
    <xf numFmtId="2" fontId="21" fillId="0" borderId="1" xfId="0" applyNumberFormat="1" applyFont="1" applyBorder="1"/>
    <xf numFmtId="1" fontId="10" fillId="0" borderId="1" xfId="0" quotePrefix="1" applyNumberFormat="1" applyFont="1" applyFill="1" applyBorder="1" applyAlignment="1">
      <alignment horizontal="right" vertical="center" wrapText="1"/>
    </xf>
    <xf numFmtId="2" fontId="20" fillId="0" borderId="1" xfId="0" applyNumberFormat="1" applyFont="1" applyBorder="1" applyAlignment="1"/>
    <xf numFmtId="0" fontId="21" fillId="0" borderId="1" xfId="0" applyFont="1" applyBorder="1" applyAlignment="1">
      <alignment vertical="center"/>
    </xf>
    <xf numFmtId="0" fontId="20" fillId="0" borderId="1" xfId="0" quotePrefix="1" applyFont="1" applyBorder="1" applyAlignment="1">
      <alignment horizontal="right" wrapText="1"/>
    </xf>
    <xf numFmtId="165" fontId="20" fillId="0" borderId="1" xfId="0" applyNumberFormat="1" applyFont="1" applyBorder="1" applyAlignment="1"/>
    <xf numFmtId="2" fontId="21" fillId="0" borderId="1" xfId="0" applyNumberFormat="1" applyFont="1" applyBorder="1" applyAlignment="1"/>
    <xf numFmtId="2" fontId="9" fillId="0" borderId="1" xfId="0" applyNumberFormat="1" applyFont="1" applyBorder="1" applyAlignment="1"/>
    <xf numFmtId="2" fontId="21" fillId="0" borderId="1" xfId="1" applyNumberFormat="1" applyFont="1" applyBorder="1" applyAlignment="1"/>
    <xf numFmtId="0" fontId="20" fillId="0" borderId="1" xfId="0" applyFont="1" applyBorder="1"/>
    <xf numFmtId="0" fontId="20" fillId="0" borderId="1" xfId="0" quotePrefix="1" applyFont="1" applyBorder="1" applyAlignment="1">
      <alignment wrapText="1"/>
    </xf>
    <xf numFmtId="2" fontId="21" fillId="0" borderId="1" xfId="1" applyNumberFormat="1" applyFont="1" applyBorder="1" applyAlignment="1">
      <alignment vertical="center"/>
    </xf>
    <xf numFmtId="0" fontId="20" fillId="0" borderId="1" xfId="0" quotePrefix="1" applyFont="1" applyBorder="1" applyAlignment="1">
      <alignment vertical="center" wrapText="1"/>
    </xf>
    <xf numFmtId="1" fontId="20" fillId="0" borderId="1" xfId="0" quotePrefix="1" applyNumberFormat="1" applyFont="1" applyBorder="1" applyAlignment="1">
      <alignment horizontal="right" wrapText="1"/>
    </xf>
    <xf numFmtId="0" fontId="22" fillId="2" borderId="1" xfId="0" applyFont="1" applyFill="1" applyBorder="1" applyAlignment="1">
      <alignment wrapText="1"/>
    </xf>
    <xf numFmtId="0" fontId="21" fillId="0" borderId="1" xfId="0" applyFont="1" applyBorder="1"/>
    <xf numFmtId="2" fontId="21" fillId="0" borderId="1" xfId="0" applyNumberFormat="1" applyFont="1" applyBorder="1" applyAlignment="1">
      <alignment vertical="center"/>
    </xf>
    <xf numFmtId="0" fontId="21" fillId="0" borderId="1" xfId="0" applyFont="1" applyBorder="1" applyAlignment="1">
      <alignment horizontal="right" wrapText="1"/>
    </xf>
    <xf numFmtId="165" fontId="20" fillId="0" borderId="1" xfId="0" applyNumberFormat="1" applyFont="1" applyBorder="1"/>
    <xf numFmtId="2" fontId="20" fillId="0" borderId="1" xfId="0" applyNumberFormat="1" applyFont="1" applyBorder="1"/>
    <xf numFmtId="0" fontId="19" fillId="0" borderId="1" xfId="0" quotePrefix="1" applyFont="1" applyBorder="1" applyAlignment="1">
      <alignment horizontal="right"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78"/>
  <sheetViews>
    <sheetView tabSelected="1" topLeftCell="A83" zoomScaleNormal="100" workbookViewId="0">
      <selection activeCell="E92" sqref="E92"/>
    </sheetView>
  </sheetViews>
  <sheetFormatPr defaultRowHeight="14.4" x14ac:dyDescent="0.3"/>
  <cols>
    <col min="1" max="1" width="4.44140625" customWidth="1"/>
    <col min="2" max="2" width="31.33203125" customWidth="1"/>
    <col min="3" max="3" width="5.33203125" customWidth="1"/>
    <col min="4" max="4" width="8.5546875" customWidth="1"/>
    <col min="5" max="5" width="7.88671875" customWidth="1"/>
    <col min="6" max="6" width="8.33203125" customWidth="1"/>
    <col min="7" max="7" width="8.5546875" customWidth="1"/>
    <col min="8" max="8" width="5.33203125" customWidth="1"/>
    <col min="9" max="9" width="10.44140625" customWidth="1"/>
    <col min="10" max="10" width="10.5546875" customWidth="1"/>
    <col min="11" max="11" width="8.88671875" customWidth="1"/>
    <col min="12" max="12" width="10.5546875" bestFit="1" customWidth="1"/>
  </cols>
  <sheetData>
    <row r="1" spans="1:11" ht="22.8" x14ac:dyDescent="0.3">
      <c r="A1" s="52" t="s">
        <v>1</v>
      </c>
      <c r="B1" s="52"/>
      <c r="C1" s="52"/>
      <c r="D1" s="52"/>
      <c r="E1" s="52"/>
      <c r="F1" s="52"/>
      <c r="G1" s="52"/>
      <c r="H1" s="52"/>
      <c r="I1" s="52"/>
      <c r="J1" s="52"/>
      <c r="K1" s="52"/>
    </row>
    <row r="2" spans="1:11" x14ac:dyDescent="0.3">
      <c r="A2" s="53" t="s">
        <v>2</v>
      </c>
      <c r="B2" s="53"/>
      <c r="C2" s="53"/>
      <c r="D2" s="53"/>
      <c r="E2" s="53"/>
      <c r="F2" s="53"/>
      <c r="G2" s="53"/>
      <c r="H2" s="53"/>
      <c r="I2" s="53"/>
      <c r="J2" s="53"/>
      <c r="K2" s="53"/>
    </row>
    <row r="3" spans="1:11" x14ac:dyDescent="0.3">
      <c r="A3" s="53" t="s">
        <v>3</v>
      </c>
      <c r="B3" s="53"/>
      <c r="C3" s="53"/>
      <c r="D3" s="53"/>
      <c r="E3" s="53"/>
      <c r="F3" s="53"/>
      <c r="G3" s="53"/>
      <c r="H3" s="53"/>
      <c r="I3" s="53"/>
      <c r="J3" s="53"/>
      <c r="K3" s="53"/>
    </row>
    <row r="4" spans="1:11" ht="17.399999999999999" x14ac:dyDescent="0.3">
      <c r="A4" s="54" t="s">
        <v>4</v>
      </c>
      <c r="B4" s="54"/>
      <c r="C4" s="54"/>
      <c r="D4" s="54"/>
      <c r="E4" s="54"/>
      <c r="F4" s="54"/>
      <c r="G4" s="54"/>
      <c r="H4" s="54"/>
      <c r="I4" s="54"/>
      <c r="J4" s="54"/>
      <c r="K4" s="54"/>
    </row>
    <row r="5" spans="1:11" ht="15.6" x14ac:dyDescent="0.3">
      <c r="A5" s="55" t="s">
        <v>5</v>
      </c>
      <c r="B5" s="55"/>
      <c r="C5" s="55"/>
      <c r="D5" s="55"/>
      <c r="E5" s="55"/>
      <c r="F5" s="55"/>
      <c r="G5" s="2"/>
      <c r="H5" s="56" t="s">
        <v>57</v>
      </c>
      <c r="I5" s="56"/>
      <c r="J5" s="56"/>
      <c r="K5" s="56"/>
    </row>
    <row r="6" spans="1:11" ht="15.6" x14ac:dyDescent="0.3">
      <c r="A6" s="57" t="s">
        <v>67</v>
      </c>
      <c r="B6" s="57"/>
      <c r="C6" s="57"/>
      <c r="D6" s="57"/>
      <c r="E6" s="57"/>
      <c r="F6" s="57"/>
      <c r="G6" s="3"/>
      <c r="H6" s="56" t="s">
        <v>6</v>
      </c>
      <c r="I6" s="56"/>
      <c r="J6" s="56"/>
      <c r="K6" s="56"/>
    </row>
    <row r="7" spans="1:11" ht="15.6" x14ac:dyDescent="0.3">
      <c r="A7" s="4" t="s">
        <v>7</v>
      </c>
      <c r="B7" s="5" t="s">
        <v>8</v>
      </c>
      <c r="C7" s="6" t="s">
        <v>9</v>
      </c>
      <c r="D7" s="7" t="s">
        <v>10</v>
      </c>
      <c r="E7" s="7" t="s">
        <v>11</v>
      </c>
      <c r="F7" s="7" t="s">
        <v>12</v>
      </c>
      <c r="G7" s="7" t="s">
        <v>13</v>
      </c>
      <c r="H7" s="6" t="s">
        <v>14</v>
      </c>
      <c r="I7" s="7" t="s">
        <v>15</v>
      </c>
      <c r="J7" s="7" t="s">
        <v>16</v>
      </c>
      <c r="K7" s="8" t="s">
        <v>88</v>
      </c>
    </row>
    <row r="8" spans="1:11" ht="28.8" x14ac:dyDescent="0.3">
      <c r="A8" s="10">
        <v>1</v>
      </c>
      <c r="B8" s="71" t="s">
        <v>105</v>
      </c>
      <c r="C8" s="11"/>
      <c r="D8" s="12"/>
      <c r="E8" s="13"/>
      <c r="F8" s="13"/>
      <c r="G8" s="15"/>
      <c r="H8" s="14"/>
      <c r="I8" s="15"/>
      <c r="J8" s="72"/>
      <c r="K8" s="13"/>
    </row>
    <row r="9" spans="1:11" x14ac:dyDescent="0.3">
      <c r="A9" s="10"/>
      <c r="B9" s="73" t="s">
        <v>68</v>
      </c>
      <c r="C9" s="11">
        <v>1</v>
      </c>
      <c r="D9" s="12">
        <f>5.23+0.025*2</f>
        <v>5.28</v>
      </c>
      <c r="E9" s="13">
        <v>3.31</v>
      </c>
      <c r="F9" s="13"/>
      <c r="G9" s="74">
        <f t="shared" ref="G9:G20" si="0">PRODUCT(C9:F9)</f>
        <v>17.476800000000001</v>
      </c>
      <c r="H9" s="14"/>
      <c r="I9" s="15"/>
      <c r="J9" s="72"/>
      <c r="K9" s="13"/>
    </row>
    <row r="10" spans="1:11" x14ac:dyDescent="0.3">
      <c r="A10" s="10"/>
      <c r="B10" s="73" t="s">
        <v>69</v>
      </c>
      <c r="C10" s="11">
        <v>1</v>
      </c>
      <c r="D10" s="12">
        <f>200/12/3.281</f>
        <v>5.0797521080971251</v>
      </c>
      <c r="E10" s="13">
        <v>3.31</v>
      </c>
      <c r="F10" s="13"/>
      <c r="G10" s="74">
        <f t="shared" si="0"/>
        <v>16.813979477801485</v>
      </c>
      <c r="H10" s="14"/>
      <c r="I10" s="15"/>
      <c r="J10" s="72"/>
      <c r="K10" s="13"/>
    </row>
    <row r="11" spans="1:11" x14ac:dyDescent="0.3">
      <c r="A11" s="10"/>
      <c r="B11" s="73" t="s">
        <v>63</v>
      </c>
      <c r="C11" s="11">
        <v>4</v>
      </c>
      <c r="D11" s="12">
        <f>204/12/3.281</f>
        <v>5.1813471502590671</v>
      </c>
      <c r="E11" s="13">
        <f>(E43*2+F43)</f>
        <v>0.15000000000000002</v>
      </c>
      <c r="F11" s="13"/>
      <c r="G11" s="74">
        <f t="shared" si="0"/>
        <v>3.1088082901554408</v>
      </c>
      <c r="H11" s="14"/>
      <c r="I11" s="15"/>
      <c r="J11" s="72"/>
      <c r="K11" s="13"/>
    </row>
    <row r="12" spans="1:11" x14ac:dyDescent="0.3">
      <c r="A12" s="10"/>
      <c r="B12" s="73"/>
      <c r="C12" s="11">
        <v>2</v>
      </c>
      <c r="D12" s="12">
        <f>196/12/3.281</f>
        <v>4.9781570659351821</v>
      </c>
      <c r="E12" s="13">
        <v>0.15</v>
      </c>
      <c r="F12" s="13"/>
      <c r="G12" s="74">
        <f t="shared" si="0"/>
        <v>1.4934471197805546</v>
      </c>
      <c r="H12" s="14"/>
      <c r="I12" s="15"/>
      <c r="J12" s="72"/>
      <c r="K12" s="13"/>
    </row>
    <row r="13" spans="1:11" x14ac:dyDescent="0.3">
      <c r="A13" s="10"/>
      <c r="B13" s="73"/>
      <c r="C13" s="11">
        <v>4</v>
      </c>
      <c r="D13" s="12">
        <f>196/12/3.281</f>
        <v>4.9781570659351821</v>
      </c>
      <c r="E13" s="13">
        <v>0.15</v>
      </c>
      <c r="F13" s="13"/>
      <c r="G13" s="74">
        <f t="shared" si="0"/>
        <v>2.9868942395611091</v>
      </c>
      <c r="H13" s="14"/>
      <c r="I13" s="15"/>
      <c r="J13" s="72"/>
      <c r="K13" s="13"/>
    </row>
    <row r="14" spans="1:11" x14ac:dyDescent="0.3">
      <c r="A14" s="10"/>
      <c r="B14" s="73"/>
      <c r="C14" s="11">
        <v>2</v>
      </c>
      <c r="D14" s="12">
        <f>190/12/3.281</f>
        <v>4.8257645026922686</v>
      </c>
      <c r="E14" s="13">
        <v>0.15</v>
      </c>
      <c r="F14" s="13"/>
      <c r="G14" s="74">
        <f t="shared" si="0"/>
        <v>1.4477293508076805</v>
      </c>
      <c r="H14" s="14"/>
      <c r="I14" s="15"/>
      <c r="J14" s="72"/>
      <c r="K14" s="13"/>
    </row>
    <row r="15" spans="1:11" x14ac:dyDescent="0.3">
      <c r="A15" s="10"/>
      <c r="B15" s="73" t="s">
        <v>71</v>
      </c>
      <c r="C15" s="11">
        <v>2</v>
      </c>
      <c r="D15" s="12">
        <f>17/12/3.281</f>
        <v>0.43177892918825561</v>
      </c>
      <c r="E15" s="13">
        <v>0.3</v>
      </c>
      <c r="F15" s="13"/>
      <c r="G15" s="74">
        <f t="shared" si="0"/>
        <v>0.25906735751295334</v>
      </c>
      <c r="H15" s="14"/>
      <c r="I15" s="15"/>
      <c r="J15" s="72"/>
      <c r="K15" s="13"/>
    </row>
    <row r="16" spans="1:11" x14ac:dyDescent="0.3">
      <c r="A16" s="10"/>
      <c r="B16" s="73"/>
      <c r="C16" s="11">
        <v>2</v>
      </c>
      <c r="D16" s="12">
        <f>40/12/3.281</f>
        <v>1.0159504216194251</v>
      </c>
      <c r="E16" s="13">
        <v>0.3</v>
      </c>
      <c r="F16" s="13"/>
      <c r="G16" s="74">
        <f t="shared" si="0"/>
        <v>0.60957025297165501</v>
      </c>
      <c r="H16" s="14"/>
      <c r="I16" s="15"/>
      <c r="J16" s="72"/>
      <c r="K16" s="13"/>
    </row>
    <row r="17" spans="1:11" x14ac:dyDescent="0.3">
      <c r="A17" s="10"/>
      <c r="B17" s="73"/>
      <c r="C17" s="11">
        <v>1</v>
      </c>
      <c r="D17" s="12">
        <f>40/12/3.281</f>
        <v>1.0159504216194251</v>
      </c>
      <c r="E17" s="13">
        <f>17/12/3.281</f>
        <v>0.43177892918825561</v>
      </c>
      <c r="F17" s="13"/>
      <c r="G17" s="74">
        <f t="shared" si="0"/>
        <v>0.43866598515519217</v>
      </c>
      <c r="H17" s="14"/>
      <c r="I17" s="15"/>
      <c r="J17" s="72"/>
      <c r="K17" s="13"/>
    </row>
    <row r="18" spans="1:11" x14ac:dyDescent="0.3">
      <c r="A18" s="10"/>
      <c r="B18" s="73" t="s">
        <v>70</v>
      </c>
      <c r="C18" s="11">
        <v>2</v>
      </c>
      <c r="D18" s="12">
        <v>1.2</v>
      </c>
      <c r="E18" s="13">
        <v>0.23</v>
      </c>
      <c r="F18" s="13"/>
      <c r="G18" s="74">
        <f t="shared" si="0"/>
        <v>0.55200000000000005</v>
      </c>
      <c r="H18" s="14"/>
      <c r="I18" s="15"/>
      <c r="J18" s="72"/>
      <c r="K18" s="13"/>
    </row>
    <row r="19" spans="1:11" x14ac:dyDescent="0.3">
      <c r="A19" s="10"/>
      <c r="B19" s="73" t="s">
        <v>72</v>
      </c>
      <c r="C19" s="11">
        <v>1</v>
      </c>
      <c r="D19" s="12">
        <f>11/3.281</f>
        <v>3.3526363913441024</v>
      </c>
      <c r="E19" s="13">
        <f>8/12/3.281</f>
        <v>0.20319008432388497</v>
      </c>
      <c r="F19" s="13"/>
      <c r="G19" s="74">
        <f t="shared" si="0"/>
        <v>0.6812224710645336</v>
      </c>
      <c r="H19" s="14"/>
      <c r="I19" s="15"/>
      <c r="J19" s="72"/>
      <c r="K19" s="13"/>
    </row>
    <row r="20" spans="1:11" x14ac:dyDescent="0.3">
      <c r="A20" s="10"/>
      <c r="B20" s="73"/>
      <c r="C20" s="11">
        <v>1</v>
      </c>
      <c r="D20" s="12">
        <v>3.31</v>
      </c>
      <c r="E20" s="13">
        <f>8/12/3.281</f>
        <v>0.20319008432388497</v>
      </c>
      <c r="F20" s="13"/>
      <c r="G20" s="74">
        <f t="shared" si="0"/>
        <v>0.6725591791120592</v>
      </c>
      <c r="H20" s="14"/>
      <c r="I20" s="15"/>
      <c r="J20" s="72"/>
      <c r="K20" s="13"/>
    </row>
    <row r="21" spans="1:11" x14ac:dyDescent="0.3">
      <c r="A21" s="75"/>
      <c r="B21" s="76" t="s">
        <v>19</v>
      </c>
      <c r="C21" s="77"/>
      <c r="D21" s="74"/>
      <c r="E21" s="74"/>
      <c r="F21" s="74"/>
      <c r="G21" s="78">
        <f>SUM(G9:G20)</f>
        <v>46.540743723922667</v>
      </c>
      <c r="H21" s="78" t="s">
        <v>20</v>
      </c>
      <c r="I21" s="79">
        <f>14913.64/1.15</f>
        <v>12968.382608695652</v>
      </c>
      <c r="J21" s="80">
        <f>G21*I21</f>
        <v>603558.17150508007</v>
      </c>
      <c r="K21" s="81"/>
    </row>
    <row r="22" spans="1:11" x14ac:dyDescent="0.3">
      <c r="A22" s="75"/>
      <c r="B22" s="76" t="s">
        <v>60</v>
      </c>
      <c r="C22" s="77"/>
      <c r="D22" s="74"/>
      <c r="E22" s="74"/>
      <c r="F22" s="74"/>
      <c r="G22" s="78"/>
      <c r="H22" s="78"/>
      <c r="I22" s="79"/>
      <c r="J22" s="80">
        <f>0.13*G21*(119145)/10</f>
        <v>72086.25984282796</v>
      </c>
      <c r="K22" s="81"/>
    </row>
    <row r="23" spans="1:11" x14ac:dyDescent="0.3">
      <c r="A23" s="75"/>
      <c r="B23" s="76"/>
      <c r="C23" s="77"/>
      <c r="D23" s="74"/>
      <c r="E23" s="74"/>
      <c r="F23" s="74"/>
      <c r="G23" s="78"/>
      <c r="H23" s="78"/>
      <c r="I23" s="79"/>
      <c r="J23" s="80"/>
      <c r="K23" s="81"/>
    </row>
    <row r="24" spans="1:11" ht="43.2" x14ac:dyDescent="0.3">
      <c r="A24" s="75">
        <v>2</v>
      </c>
      <c r="B24" s="82" t="s">
        <v>73</v>
      </c>
      <c r="C24" s="77"/>
      <c r="D24" s="74"/>
      <c r="E24" s="74"/>
      <c r="F24" s="74"/>
      <c r="G24" s="74"/>
      <c r="H24" s="74"/>
      <c r="I24" s="74"/>
      <c r="J24" s="83"/>
      <c r="K24" s="81"/>
    </row>
    <row r="25" spans="1:11" ht="15" customHeight="1" x14ac:dyDescent="0.3">
      <c r="A25" s="10"/>
      <c r="B25" s="73" t="s">
        <v>42</v>
      </c>
      <c r="C25" s="11">
        <f>C19</f>
        <v>1</v>
      </c>
      <c r="D25" s="13">
        <f>D19</f>
        <v>3.3526363913441024</v>
      </c>
      <c r="E25" s="13"/>
      <c r="F25" s="13"/>
      <c r="G25" s="74">
        <f>PRODUCT(C25:F25)</f>
        <v>3.3526363913441024</v>
      </c>
      <c r="H25" s="14"/>
      <c r="I25" s="15"/>
      <c r="J25" s="72"/>
      <c r="K25" s="13"/>
    </row>
    <row r="26" spans="1:11" ht="15" customHeight="1" x14ac:dyDescent="0.3">
      <c r="A26" s="10"/>
      <c r="B26" s="73"/>
      <c r="C26" s="11">
        <f>C20</f>
        <v>1</v>
      </c>
      <c r="D26" s="13">
        <f>D20</f>
        <v>3.31</v>
      </c>
      <c r="E26" s="13"/>
      <c r="F26" s="13"/>
      <c r="G26" s="74">
        <f>PRODUCT(C26:F26)</f>
        <v>3.31</v>
      </c>
      <c r="H26" s="14"/>
      <c r="I26" s="15"/>
      <c r="J26" s="72"/>
      <c r="K26" s="13"/>
    </row>
    <row r="27" spans="1:11" ht="15" customHeight="1" x14ac:dyDescent="0.3">
      <c r="A27" s="75"/>
      <c r="B27" s="76" t="s">
        <v>19</v>
      </c>
      <c r="C27" s="77"/>
      <c r="D27" s="74"/>
      <c r="E27" s="74"/>
      <c r="F27" s="74"/>
      <c r="G27" s="78">
        <f>SUM(G25:G26)</f>
        <v>6.6626363913441029</v>
      </c>
      <c r="H27" s="78" t="s">
        <v>29</v>
      </c>
      <c r="I27" s="79">
        <f>2563.07/1.15</f>
        <v>2228.7565217391307</v>
      </c>
      <c r="J27" s="80">
        <f>G27*I27</f>
        <v>14849.394309184636</v>
      </c>
      <c r="K27" s="81"/>
    </row>
    <row r="28" spans="1:11" ht="15" customHeight="1" x14ac:dyDescent="0.3">
      <c r="A28" s="75"/>
      <c r="B28" s="76"/>
      <c r="C28" s="77"/>
      <c r="D28" s="74"/>
      <c r="E28" s="74"/>
      <c r="F28" s="74"/>
      <c r="G28" s="74"/>
      <c r="H28" s="74"/>
      <c r="I28" s="74"/>
      <c r="J28" s="83"/>
      <c r="K28" s="81"/>
    </row>
    <row r="29" spans="1:11" ht="43.2" x14ac:dyDescent="0.3">
      <c r="A29" s="75">
        <v>3</v>
      </c>
      <c r="B29" s="82" t="s">
        <v>89</v>
      </c>
      <c r="C29" s="77">
        <v>1</v>
      </c>
      <c r="D29" s="74">
        <v>3.5</v>
      </c>
      <c r="E29" s="74"/>
      <c r="F29" s="74"/>
      <c r="G29" s="74">
        <f>PRODUCT(C29:F29)</f>
        <v>3.5</v>
      </c>
      <c r="H29" s="74"/>
      <c r="I29" s="74"/>
      <c r="J29" s="83"/>
      <c r="K29" s="81"/>
    </row>
    <row r="30" spans="1:11" ht="15" customHeight="1" x14ac:dyDescent="0.3">
      <c r="A30" s="75"/>
      <c r="B30" s="76" t="s">
        <v>19</v>
      </c>
      <c r="C30" s="77"/>
      <c r="D30" s="74"/>
      <c r="E30" s="74"/>
      <c r="F30" s="74"/>
      <c r="G30" s="78">
        <f>SUM(G29:G29)</f>
        <v>3.5</v>
      </c>
      <c r="H30" s="78" t="s">
        <v>43</v>
      </c>
      <c r="I30" s="78">
        <f>4289.73/1.15</f>
        <v>3730.2</v>
      </c>
      <c r="J30" s="80">
        <f>G29*I30</f>
        <v>13055.699999999999</v>
      </c>
      <c r="K30" s="81"/>
    </row>
    <row r="31" spans="1:11" ht="15" customHeight="1" x14ac:dyDescent="0.3">
      <c r="A31" s="75"/>
      <c r="B31" s="76" t="s">
        <v>60</v>
      </c>
      <c r="C31" s="77"/>
      <c r="D31" s="74"/>
      <c r="E31" s="74"/>
      <c r="F31" s="74"/>
      <c r="G31" s="78"/>
      <c r="H31" s="78"/>
      <c r="I31" s="79"/>
      <c r="J31" s="80">
        <f>0.13*G30*(7326/5)</f>
        <v>666.66600000000005</v>
      </c>
      <c r="K31" s="81"/>
    </row>
    <row r="32" spans="1:11" ht="15" customHeight="1" x14ac:dyDescent="0.3">
      <c r="A32" s="75"/>
      <c r="B32" s="76"/>
      <c r="C32" s="77"/>
      <c r="D32" s="74"/>
      <c r="E32" s="74"/>
      <c r="F32" s="74"/>
      <c r="G32" s="74"/>
      <c r="H32" s="74"/>
      <c r="I32" s="74"/>
      <c r="J32" s="83"/>
      <c r="K32" s="81"/>
    </row>
    <row r="33" spans="1:11" ht="43.2" x14ac:dyDescent="0.3">
      <c r="A33" s="75">
        <v>4</v>
      </c>
      <c r="B33" s="82" t="s">
        <v>61</v>
      </c>
      <c r="C33" s="77">
        <v>2</v>
      </c>
      <c r="D33" s="74">
        <v>2</v>
      </c>
      <c r="E33" s="74"/>
      <c r="F33" s="74"/>
      <c r="G33" s="74">
        <f>PRODUCT(C33:F33)</f>
        <v>4</v>
      </c>
      <c r="H33" s="74"/>
      <c r="I33" s="74"/>
      <c r="J33" s="83"/>
      <c r="K33" s="81"/>
    </row>
    <row r="34" spans="1:11" ht="15" customHeight="1" x14ac:dyDescent="0.3">
      <c r="A34" s="75"/>
      <c r="B34" s="76" t="s">
        <v>19</v>
      </c>
      <c r="C34" s="77"/>
      <c r="D34" s="74"/>
      <c r="E34" s="74"/>
      <c r="F34" s="74"/>
      <c r="G34" s="78">
        <f>SUM(G33:G33)</f>
        <v>4</v>
      </c>
      <c r="H34" s="78" t="s">
        <v>43</v>
      </c>
      <c r="I34" s="78">
        <f>4289.73/1.15</f>
        <v>3730.2</v>
      </c>
      <c r="J34" s="80">
        <f>G33*I34</f>
        <v>14920.8</v>
      </c>
      <c r="K34" s="81"/>
    </row>
    <row r="35" spans="1:11" ht="15" customHeight="1" x14ac:dyDescent="0.3">
      <c r="A35" s="75"/>
      <c r="B35" s="76" t="s">
        <v>60</v>
      </c>
      <c r="C35" s="77"/>
      <c r="D35" s="74"/>
      <c r="E35" s="74"/>
      <c r="F35" s="74"/>
      <c r="G35" s="78"/>
      <c r="H35" s="78"/>
      <c r="I35" s="79"/>
      <c r="J35" s="80">
        <f>0.13*G34*(7326/5)</f>
        <v>761.904</v>
      </c>
      <c r="K35" s="81"/>
    </row>
    <row r="36" spans="1:11" ht="15" customHeight="1" x14ac:dyDescent="0.3">
      <c r="A36" s="75"/>
      <c r="B36" s="76"/>
      <c r="C36" s="77"/>
      <c r="D36" s="74"/>
      <c r="E36" s="74"/>
      <c r="F36" s="74"/>
      <c r="G36" s="74"/>
      <c r="H36" s="74"/>
      <c r="I36" s="74"/>
      <c r="J36" s="83"/>
      <c r="K36" s="81"/>
    </row>
    <row r="37" spans="1:11" ht="28.8" x14ac:dyDescent="0.3">
      <c r="A37" s="75">
        <v>5</v>
      </c>
      <c r="B37" s="84" t="s">
        <v>34</v>
      </c>
      <c r="C37" s="77"/>
      <c r="D37" s="74"/>
      <c r="E37" s="74"/>
      <c r="F37" s="74"/>
      <c r="G37" s="74"/>
      <c r="H37" s="74"/>
      <c r="I37" s="74"/>
      <c r="J37" s="83"/>
      <c r="K37" s="81"/>
    </row>
    <row r="38" spans="1:11" ht="15" customHeight="1" x14ac:dyDescent="0.3">
      <c r="A38" s="10"/>
      <c r="B38" s="73" t="s">
        <v>42</v>
      </c>
      <c r="C38" s="11">
        <v>2</v>
      </c>
      <c r="D38" s="12">
        <f>(((15.667+16.25)/2)/3.281)+0.2</f>
        <v>5.063913441024078</v>
      </c>
      <c r="E38" s="13">
        <f>((10.75)/3.281)</f>
        <v>3.2764401097226452</v>
      </c>
      <c r="F38" s="13"/>
      <c r="G38" s="74">
        <f>PRODUCT(C38:F38)</f>
        <v>33.183218220669815</v>
      </c>
      <c r="H38" s="14"/>
      <c r="I38" s="15"/>
      <c r="J38" s="72"/>
      <c r="K38" s="13"/>
    </row>
    <row r="39" spans="1:11" ht="15" customHeight="1" x14ac:dyDescent="0.3">
      <c r="A39" s="75"/>
      <c r="B39" s="76" t="s">
        <v>19</v>
      </c>
      <c r="C39" s="77"/>
      <c r="D39" s="74"/>
      <c r="E39" s="74"/>
      <c r="F39" s="74"/>
      <c r="G39" s="78">
        <f>SUM(G38:G38)</f>
        <v>33.183218220669815</v>
      </c>
      <c r="H39" s="78" t="s">
        <v>20</v>
      </c>
      <c r="I39" s="79">
        <f>685.98/1.15</f>
        <v>596.50434782608704</v>
      </c>
      <c r="J39" s="80">
        <f>G39*I39</f>
        <v>19793.933943491378</v>
      </c>
      <c r="K39" s="81"/>
    </row>
    <row r="40" spans="1:11" ht="15" customHeight="1" x14ac:dyDescent="0.3">
      <c r="A40" s="75"/>
      <c r="B40" s="76" t="s">
        <v>60</v>
      </c>
      <c r="C40" s="77"/>
      <c r="D40" s="74"/>
      <c r="E40" s="74"/>
      <c r="F40" s="74"/>
      <c r="G40" s="78"/>
      <c r="H40" s="78"/>
      <c r="I40" s="79"/>
      <c r="J40" s="80">
        <f>0.13*G39*(1397.55/10)</f>
        <v>602.87768611586228</v>
      </c>
      <c r="K40" s="81"/>
    </row>
    <row r="41" spans="1:11" ht="15" customHeight="1" x14ac:dyDescent="0.3">
      <c r="A41" s="75"/>
      <c r="B41" s="76"/>
      <c r="C41" s="77"/>
      <c r="D41" s="74"/>
      <c r="E41" s="74"/>
      <c r="F41" s="74"/>
      <c r="G41" s="78"/>
      <c r="H41" s="78"/>
      <c r="I41" s="79"/>
      <c r="J41" s="80"/>
      <c r="K41" s="81"/>
    </row>
    <row r="42" spans="1:11" ht="28.8" x14ac:dyDescent="0.3">
      <c r="A42" s="75">
        <v>6</v>
      </c>
      <c r="B42" s="84" t="s">
        <v>62</v>
      </c>
      <c r="C42" s="77"/>
      <c r="D42" s="74"/>
      <c r="E42" s="74"/>
      <c r="F42" s="74"/>
      <c r="G42" s="74"/>
      <c r="H42" s="74"/>
      <c r="I42" s="74"/>
      <c r="J42" s="83"/>
      <c r="K42" s="81"/>
    </row>
    <row r="43" spans="1:11" ht="15" customHeight="1" x14ac:dyDescent="0.3">
      <c r="A43" s="10"/>
      <c r="B43" s="73" t="str">
        <f>B11</f>
        <v>-Strip wood</v>
      </c>
      <c r="C43" s="11">
        <v>4</v>
      </c>
      <c r="D43" s="12">
        <f>D11</f>
        <v>5.1813471502590671</v>
      </c>
      <c r="E43" s="13">
        <v>0.05</v>
      </c>
      <c r="F43" s="13">
        <v>0.05</v>
      </c>
      <c r="G43" s="74">
        <f>PRODUCT(C43:F43)</f>
        <v>5.181347150259067E-2</v>
      </c>
      <c r="H43" s="14"/>
      <c r="I43" s="15"/>
      <c r="J43" s="72"/>
      <c r="K43" s="13"/>
    </row>
    <row r="44" spans="1:11" ht="15" customHeight="1" x14ac:dyDescent="0.3">
      <c r="A44" s="10"/>
      <c r="B44" s="73"/>
      <c r="C44" s="11">
        <v>2</v>
      </c>
      <c r="D44" s="12">
        <f>D12</f>
        <v>4.9781570659351821</v>
      </c>
      <c r="E44" s="13">
        <v>0.05</v>
      </c>
      <c r="F44" s="13">
        <v>0.05</v>
      </c>
      <c r="G44" s="74">
        <f t="shared" ref="G44:G46" si="1">PRODUCT(C44:F44)</f>
        <v>2.4890785329675914E-2</v>
      </c>
      <c r="H44" s="14"/>
      <c r="I44" s="15"/>
      <c r="J44" s="72"/>
      <c r="K44" s="13"/>
    </row>
    <row r="45" spans="1:11" ht="15" customHeight="1" x14ac:dyDescent="0.3">
      <c r="A45" s="10"/>
      <c r="B45" s="73"/>
      <c r="C45" s="11">
        <v>4</v>
      </c>
      <c r="D45" s="12">
        <f>D13</f>
        <v>4.9781570659351821</v>
      </c>
      <c r="E45" s="13">
        <f>2/12/3.281</f>
        <v>5.0797521080971242E-2</v>
      </c>
      <c r="F45" s="13">
        <f>2/12/3.281</f>
        <v>5.0797521080971242E-2</v>
      </c>
      <c r="G45" s="74">
        <f t="shared" si="1"/>
        <v>5.1382309966723223E-2</v>
      </c>
      <c r="H45" s="14"/>
      <c r="I45" s="15"/>
      <c r="J45" s="72"/>
      <c r="K45" s="13"/>
    </row>
    <row r="46" spans="1:11" ht="15" customHeight="1" x14ac:dyDescent="0.3">
      <c r="A46" s="10"/>
      <c r="B46" s="73"/>
      <c r="C46" s="11">
        <v>2</v>
      </c>
      <c r="D46" s="12">
        <f>D14</f>
        <v>4.8257645026922686</v>
      </c>
      <c r="E46" s="13">
        <f>2/12/3.281</f>
        <v>5.0797521080971242E-2</v>
      </c>
      <c r="F46" s="13">
        <f>2/12/3.281</f>
        <v>5.0797521080971242E-2</v>
      </c>
      <c r="G46" s="74">
        <f t="shared" si="1"/>
        <v>2.4904691055299522E-2</v>
      </c>
      <c r="H46" s="14"/>
      <c r="I46" s="15"/>
      <c r="J46" s="72"/>
      <c r="K46" s="13"/>
    </row>
    <row r="47" spans="1:11" ht="15" customHeight="1" x14ac:dyDescent="0.3">
      <c r="A47" s="10"/>
      <c r="B47" s="73" t="str">
        <f>B18</f>
        <v>-ridge</v>
      </c>
      <c r="C47" s="11">
        <v>2</v>
      </c>
      <c r="D47" s="12">
        <f>D18</f>
        <v>1.2</v>
      </c>
      <c r="E47" s="13">
        <f>3/12/3.281</f>
        <v>7.6196281621456863E-2</v>
      </c>
      <c r="F47" s="13">
        <f>4/12/3.281</f>
        <v>0.10159504216194248</v>
      </c>
      <c r="G47" s="74">
        <f>PRODUCT(C47:F47)</f>
        <v>1.8578794665396366E-2</v>
      </c>
      <c r="H47" s="14"/>
      <c r="I47" s="15"/>
      <c r="J47" s="72"/>
      <c r="K47" s="13"/>
    </row>
    <row r="48" spans="1:11" ht="15" customHeight="1" x14ac:dyDescent="0.3">
      <c r="A48" s="10"/>
      <c r="B48" s="73" t="s">
        <v>75</v>
      </c>
      <c r="C48" s="11">
        <v>2</v>
      </c>
      <c r="D48" s="12">
        <f>45/12/3.281</f>
        <v>1.1429442243218531</v>
      </c>
      <c r="E48" s="13">
        <f>3/12/3.281</f>
        <v>7.6196281621456863E-2</v>
      </c>
      <c r="F48" s="13">
        <f>5/12/3.281</f>
        <v>0.12699380270242813</v>
      </c>
      <c r="G48" s="74">
        <f>PRODUCT(C48:F48)</f>
        <v>2.2119297976746291E-2</v>
      </c>
      <c r="H48" s="14"/>
      <c r="I48" s="15"/>
      <c r="J48" s="72"/>
      <c r="K48" s="13"/>
    </row>
    <row r="49" spans="1:11" ht="15" customHeight="1" x14ac:dyDescent="0.3">
      <c r="A49" s="10"/>
      <c r="B49" s="73"/>
      <c r="C49" s="11">
        <v>2</v>
      </c>
      <c r="D49" s="12">
        <f>39/12/3.281</f>
        <v>0.99055166107893933</v>
      </c>
      <c r="E49" s="13">
        <f>3/12/3.281</f>
        <v>7.6196281621456863E-2</v>
      </c>
      <c r="F49" s="13">
        <f>5/12/3.281</f>
        <v>0.12699380270242813</v>
      </c>
      <c r="G49" s="74">
        <f>PRODUCT(C49:F49)</f>
        <v>1.9170058246513449E-2</v>
      </c>
      <c r="H49" s="14"/>
      <c r="I49" s="15"/>
      <c r="J49" s="72"/>
      <c r="K49" s="13"/>
    </row>
    <row r="50" spans="1:11" ht="15" customHeight="1" x14ac:dyDescent="0.3">
      <c r="A50" s="75"/>
      <c r="B50" s="76" t="s">
        <v>19</v>
      </c>
      <c r="C50" s="77"/>
      <c r="D50" s="74"/>
      <c r="E50" s="74"/>
      <c r="F50" s="74"/>
      <c r="G50" s="78">
        <f>SUM(G43:G49)</f>
        <v>0.21285940874294543</v>
      </c>
      <c r="H50" s="78" t="s">
        <v>21</v>
      </c>
      <c r="I50" s="79">
        <f>286497.45/1.15</f>
        <v>249128.21739130438</v>
      </c>
      <c r="J50" s="80">
        <f>G50*I50</f>
        <v>53029.285055097025</v>
      </c>
      <c r="K50" s="81"/>
    </row>
    <row r="51" spans="1:11" ht="15" customHeight="1" x14ac:dyDescent="0.3">
      <c r="A51" s="75"/>
      <c r="B51" s="76" t="s">
        <v>64</v>
      </c>
      <c r="C51" s="77"/>
      <c r="D51" s="74"/>
      <c r="E51" s="74"/>
      <c r="F51" s="74"/>
      <c r="G51" s="78"/>
      <c r="H51" s="78"/>
      <c r="I51" s="79"/>
      <c r="J51" s="80">
        <f>0.13*G50*225887.77</f>
        <v>6250.7038313801177</v>
      </c>
      <c r="K51" s="81"/>
    </row>
    <row r="52" spans="1:11" ht="15" customHeight="1" x14ac:dyDescent="0.3">
      <c r="A52" s="75"/>
      <c r="B52" s="76"/>
      <c r="C52" s="77"/>
      <c r="D52" s="74"/>
      <c r="E52" s="74"/>
      <c r="F52" s="74"/>
      <c r="G52" s="78"/>
      <c r="H52" s="78"/>
      <c r="I52" s="79"/>
      <c r="J52" s="80"/>
      <c r="K52" s="81"/>
    </row>
    <row r="53" spans="1:11" ht="28.8" x14ac:dyDescent="0.3">
      <c r="A53" s="75">
        <v>7</v>
      </c>
      <c r="B53" s="82" t="s">
        <v>87</v>
      </c>
      <c r="C53" s="77"/>
      <c r="D53" s="74"/>
      <c r="E53" s="74"/>
      <c r="F53" s="74"/>
      <c r="G53" s="78"/>
      <c r="H53" s="78"/>
      <c r="I53" s="79"/>
      <c r="J53" s="80"/>
      <c r="K53" s="81"/>
    </row>
    <row r="54" spans="1:11" ht="15" customHeight="1" x14ac:dyDescent="0.3">
      <c r="A54" s="75"/>
      <c r="B54" s="76"/>
      <c r="C54" s="77">
        <v>2</v>
      </c>
      <c r="D54" s="74">
        <f>17/12/3.281</f>
        <v>0.43177892918825561</v>
      </c>
      <c r="E54" s="74"/>
      <c r="F54" s="74">
        <f>12/12/3.281</f>
        <v>0.30478512648582745</v>
      </c>
      <c r="G54" s="74">
        <f>PRODUCT(C54:F54)</f>
        <v>0.26319959109311525</v>
      </c>
      <c r="H54" s="78"/>
      <c r="I54" s="79"/>
      <c r="J54" s="80"/>
      <c r="K54" s="81"/>
    </row>
    <row r="55" spans="1:11" ht="15" customHeight="1" x14ac:dyDescent="0.3">
      <c r="A55" s="75"/>
      <c r="B55" s="76"/>
      <c r="C55" s="77">
        <v>2</v>
      </c>
      <c r="D55" s="74">
        <f>40/12/3.281</f>
        <v>1.0159504216194251</v>
      </c>
      <c r="E55" s="74"/>
      <c r="F55" s="74">
        <f>12/12/3.281</f>
        <v>0.30478512648582745</v>
      </c>
      <c r="G55" s="74">
        <f>PRODUCT(C55:F55)</f>
        <v>0.6192931555132124</v>
      </c>
      <c r="H55" s="78"/>
      <c r="I55" s="79"/>
      <c r="J55" s="80"/>
      <c r="K55" s="81"/>
    </row>
    <row r="56" spans="1:11" ht="15" customHeight="1" x14ac:dyDescent="0.3">
      <c r="A56" s="75"/>
      <c r="B56" s="76" t="s">
        <v>19</v>
      </c>
      <c r="C56" s="77"/>
      <c r="D56" s="74"/>
      <c r="E56" s="74"/>
      <c r="F56" s="74"/>
      <c r="G56" s="78">
        <f>SUM(G54:G55)</f>
        <v>0.8824927466063277</v>
      </c>
      <c r="H56" s="78" t="s">
        <v>21</v>
      </c>
      <c r="I56" s="79">
        <f>6679.1/1.15</f>
        <v>5807.9130434782619</v>
      </c>
      <c r="J56" s="80">
        <f>G56*I56</f>
        <v>5125.4411337898473</v>
      </c>
      <c r="K56" s="81"/>
    </row>
    <row r="57" spans="1:11" ht="15" customHeight="1" x14ac:dyDescent="0.3">
      <c r="A57" s="75"/>
      <c r="B57" s="76" t="s">
        <v>64</v>
      </c>
      <c r="C57" s="77"/>
      <c r="D57" s="74"/>
      <c r="E57" s="74"/>
      <c r="F57" s="74"/>
      <c r="G57" s="78"/>
      <c r="H57" s="78"/>
      <c r="I57" s="79"/>
      <c r="J57" s="80">
        <f>0.13*G56*(571320.75/100)</f>
        <v>655.44234321889326</v>
      </c>
      <c r="K57" s="81"/>
    </row>
    <row r="58" spans="1:11" ht="15" customHeight="1" x14ac:dyDescent="0.3">
      <c r="A58" s="75"/>
      <c r="B58" s="76"/>
      <c r="C58" s="77"/>
      <c r="D58" s="74"/>
      <c r="E58" s="74"/>
      <c r="F58" s="74"/>
      <c r="G58" s="78"/>
      <c r="H58" s="78"/>
      <c r="I58" s="79"/>
      <c r="J58" s="80"/>
      <c r="K58" s="81"/>
    </row>
    <row r="59" spans="1:11" x14ac:dyDescent="0.3">
      <c r="A59" s="75">
        <v>8</v>
      </c>
      <c r="B59" s="84" t="s">
        <v>76</v>
      </c>
      <c r="C59" s="77"/>
      <c r="D59" s="74"/>
      <c r="E59" s="74"/>
      <c r="F59" s="74"/>
      <c r="G59" s="74"/>
      <c r="H59" s="74"/>
      <c r="I59" s="74"/>
      <c r="J59" s="83"/>
      <c r="K59" s="81"/>
    </row>
    <row r="60" spans="1:11" ht="15" customHeight="1" x14ac:dyDescent="0.3">
      <c r="A60" s="75"/>
      <c r="B60" s="85" t="str">
        <f>B48</f>
        <v>-Tundal</v>
      </c>
      <c r="C60" s="77">
        <f>C48</f>
        <v>2</v>
      </c>
      <c r="D60" s="74">
        <f>D48</f>
        <v>1.1429442243218531</v>
      </c>
      <c r="E60" s="74">
        <f>(3*2+5)/12/3.281</f>
        <v>0.27938636594534183</v>
      </c>
      <c r="F60" s="74"/>
      <c r="G60" s="74">
        <f>PRODUCT(C60:F60)</f>
        <v>0.63864606662300016</v>
      </c>
      <c r="H60" s="74"/>
      <c r="I60" s="74"/>
      <c r="J60" s="83"/>
      <c r="K60" s="81"/>
    </row>
    <row r="61" spans="1:11" ht="15" customHeight="1" x14ac:dyDescent="0.3">
      <c r="A61" s="75"/>
      <c r="B61" s="76"/>
      <c r="C61" s="77">
        <f>C49</f>
        <v>2</v>
      </c>
      <c r="D61" s="74">
        <f>D49</f>
        <v>0.99055166107893933</v>
      </c>
      <c r="E61" s="74">
        <f>(3*2+5)/12/3.281</f>
        <v>0.27938636594534183</v>
      </c>
      <c r="F61" s="74"/>
      <c r="G61" s="74">
        <f>PRODUCT(C61:F61)</f>
        <v>0.55349325773993352</v>
      </c>
      <c r="H61" s="74"/>
      <c r="I61" s="74"/>
      <c r="J61" s="83"/>
      <c r="K61" s="81"/>
    </row>
    <row r="62" spans="1:11" ht="15" customHeight="1" x14ac:dyDescent="0.3">
      <c r="A62" s="75"/>
      <c r="B62" s="76" t="s">
        <v>19</v>
      </c>
      <c r="C62" s="77"/>
      <c r="D62" s="74"/>
      <c r="E62" s="74"/>
      <c r="F62" s="74"/>
      <c r="G62" s="78">
        <f>SUM(G60:G61)</f>
        <v>1.1921393243629337</v>
      </c>
      <c r="H62" s="78" t="s">
        <v>20</v>
      </c>
      <c r="I62" s="79">
        <f>15743.5/1.15</f>
        <v>13690.000000000002</v>
      </c>
      <c r="J62" s="80">
        <f>G62*I62</f>
        <v>16320.387350528565</v>
      </c>
      <c r="K62" s="81"/>
    </row>
    <row r="63" spans="1:11" x14ac:dyDescent="0.3">
      <c r="A63" s="75"/>
      <c r="B63" s="82"/>
      <c r="C63" s="77"/>
      <c r="D63" s="74"/>
      <c r="E63" s="74"/>
      <c r="F63" s="74"/>
      <c r="G63" s="74"/>
      <c r="H63" s="74"/>
      <c r="I63" s="74"/>
      <c r="J63" s="83"/>
      <c r="K63" s="81"/>
    </row>
    <row r="64" spans="1:11" ht="28.8" x14ac:dyDescent="0.3">
      <c r="A64" s="75">
        <v>9</v>
      </c>
      <c r="B64" s="82" t="s">
        <v>65</v>
      </c>
      <c r="C64" s="77"/>
      <c r="D64" s="74"/>
      <c r="E64" s="74"/>
      <c r="F64" s="74"/>
      <c r="G64" s="74"/>
      <c r="H64" s="74"/>
      <c r="I64" s="74"/>
      <c r="J64" s="83"/>
      <c r="K64" s="81"/>
    </row>
    <row r="65" spans="1:15" ht="15" customHeight="1" x14ac:dyDescent="0.3">
      <c r="A65" s="75"/>
      <c r="B65" s="76" t="s">
        <v>59</v>
      </c>
      <c r="C65" s="77">
        <v>1</v>
      </c>
      <c r="D65" s="74">
        <v>0.9</v>
      </c>
      <c r="E65" s="74"/>
      <c r="F65" s="74">
        <v>1.5</v>
      </c>
      <c r="G65" s="74">
        <f>PRODUCT(C65:F65)</f>
        <v>1.35</v>
      </c>
      <c r="H65" s="74"/>
      <c r="I65" s="74"/>
      <c r="J65" s="83"/>
      <c r="K65" s="81"/>
    </row>
    <row r="66" spans="1:15" ht="15" customHeight="1" x14ac:dyDescent="0.3">
      <c r="A66" s="75"/>
      <c r="B66" s="76" t="s">
        <v>74</v>
      </c>
      <c r="C66" s="77">
        <v>-2</v>
      </c>
      <c r="D66" s="74">
        <v>0.88</v>
      </c>
      <c r="E66" s="74"/>
      <c r="F66" s="74">
        <v>0.3</v>
      </c>
      <c r="G66" s="74">
        <f>PRODUCT(C66:F66)</f>
        <v>-0.52800000000000002</v>
      </c>
      <c r="H66" s="74"/>
      <c r="I66" s="74"/>
      <c r="J66" s="83"/>
      <c r="K66" s="81"/>
    </row>
    <row r="67" spans="1:15" ht="15" customHeight="1" x14ac:dyDescent="0.3">
      <c r="A67" s="75"/>
      <c r="B67" s="76" t="s">
        <v>84</v>
      </c>
      <c r="C67" s="77">
        <v>1</v>
      </c>
      <c r="D67" s="74">
        <v>0.73</v>
      </c>
      <c r="E67" s="74"/>
      <c r="F67" s="74">
        <v>0.23</v>
      </c>
      <c r="G67" s="74">
        <f>PRODUCT(C67:F67)</f>
        <v>0.16789999999999999</v>
      </c>
      <c r="H67" s="74"/>
      <c r="I67" s="74"/>
      <c r="J67" s="83"/>
      <c r="K67" s="81"/>
    </row>
    <row r="68" spans="1:15" ht="15" customHeight="1" x14ac:dyDescent="0.3">
      <c r="A68" s="75"/>
      <c r="B68" s="76" t="s">
        <v>19</v>
      </c>
      <c r="C68" s="77"/>
      <c r="D68" s="74"/>
      <c r="E68" s="74"/>
      <c r="F68" s="74"/>
      <c r="G68" s="78">
        <f>SUM(G65:G67)</f>
        <v>0.9899</v>
      </c>
      <c r="H68" s="78" t="s">
        <v>20</v>
      </c>
      <c r="I68" s="78">
        <f>50828.44/1.15</f>
        <v>44198.643478260878</v>
      </c>
      <c r="J68" s="80">
        <f>G68*I68</f>
        <v>43752.237179130439</v>
      </c>
      <c r="K68" s="81"/>
      <c r="M68">
        <v>73689.555541760725</v>
      </c>
    </row>
    <row r="69" spans="1:15" x14ac:dyDescent="0.3">
      <c r="A69" s="75"/>
      <c r="B69" s="82"/>
      <c r="C69" s="77"/>
      <c r="D69" s="74"/>
      <c r="E69" s="74"/>
      <c r="F69" s="74"/>
      <c r="G69" s="74"/>
      <c r="H69" s="74"/>
      <c r="I69" s="74"/>
      <c r="J69" s="83"/>
      <c r="K69" s="81"/>
    </row>
    <row r="70" spans="1:15" ht="43.2" x14ac:dyDescent="0.3">
      <c r="A70" s="75">
        <v>10</v>
      </c>
      <c r="B70" s="82" t="s">
        <v>53</v>
      </c>
      <c r="C70" s="77"/>
      <c r="D70" s="74"/>
      <c r="E70" s="74"/>
      <c r="F70" s="74"/>
      <c r="G70" s="74"/>
      <c r="H70" s="74"/>
      <c r="I70" s="74"/>
      <c r="J70" s="83"/>
      <c r="K70" s="81"/>
    </row>
    <row r="71" spans="1:15" ht="15" customHeight="1" x14ac:dyDescent="0.3">
      <c r="A71" s="75"/>
      <c r="B71" s="76" t="s">
        <v>39</v>
      </c>
      <c r="C71" s="77">
        <v>2</v>
      </c>
      <c r="D71" s="74">
        <f>D66</f>
        <v>0.88</v>
      </c>
      <c r="E71" s="74"/>
      <c r="F71" s="74">
        <f>F66</f>
        <v>0.3</v>
      </c>
      <c r="G71" s="74">
        <f>PRODUCT(C71:F71)</f>
        <v>0.52800000000000002</v>
      </c>
      <c r="H71" s="74"/>
      <c r="I71" s="74"/>
      <c r="J71" s="83"/>
      <c r="K71" s="81"/>
      <c r="O71">
        <f>0.93-0.05*2</f>
        <v>0.83000000000000007</v>
      </c>
    </row>
    <row r="72" spans="1:15" ht="15" customHeight="1" x14ac:dyDescent="0.3">
      <c r="A72" s="75"/>
      <c r="B72" s="76" t="s">
        <v>19</v>
      </c>
      <c r="C72" s="77"/>
      <c r="D72" s="74"/>
      <c r="E72" s="74"/>
      <c r="F72" s="74"/>
      <c r="G72" s="78">
        <f>SUM(G71:G71)</f>
        <v>0.52800000000000002</v>
      </c>
      <c r="H72" s="78" t="s">
        <v>20</v>
      </c>
      <c r="I72" s="79">
        <f>69579.92/1.15</f>
        <v>60504.278260869571</v>
      </c>
      <c r="J72" s="80">
        <f>G72*I72</f>
        <v>31946.258921739136</v>
      </c>
      <c r="K72" s="81"/>
      <c r="M72">
        <v>15973.129460869568</v>
      </c>
    </row>
    <row r="73" spans="1:15" ht="15" customHeight="1" x14ac:dyDescent="0.3">
      <c r="A73" s="75"/>
      <c r="B73" s="76" t="s">
        <v>64</v>
      </c>
      <c r="C73" s="77"/>
      <c r="D73" s="74"/>
      <c r="E73" s="74"/>
      <c r="F73" s="74"/>
      <c r="G73" s="78"/>
      <c r="H73" s="78"/>
      <c r="I73" s="79"/>
      <c r="J73" s="80">
        <f>0.13*G72*(9888.94/0.92)</f>
        <v>737.80091478260874</v>
      </c>
      <c r="K73" s="81"/>
      <c r="M73">
        <v>368.90045739130437</v>
      </c>
    </row>
    <row r="74" spans="1:15" ht="15" customHeight="1" x14ac:dyDescent="0.3">
      <c r="A74" s="75"/>
      <c r="B74" s="76"/>
      <c r="C74" s="77"/>
      <c r="D74" s="74"/>
      <c r="E74" s="74"/>
      <c r="F74" s="74"/>
      <c r="G74" s="74"/>
      <c r="H74" s="74"/>
      <c r="I74" s="74"/>
      <c r="J74" s="83"/>
      <c r="K74" s="81"/>
    </row>
    <row r="75" spans="1:15" ht="28.8" x14ac:dyDescent="0.3">
      <c r="A75" s="75">
        <v>11</v>
      </c>
      <c r="B75" s="84" t="s">
        <v>58</v>
      </c>
      <c r="C75" s="77"/>
      <c r="D75" s="74"/>
      <c r="E75" s="74"/>
      <c r="F75" s="74"/>
      <c r="G75" s="74"/>
      <c r="H75" s="74"/>
      <c r="I75" s="74"/>
      <c r="J75" s="83"/>
      <c r="K75" s="81"/>
    </row>
    <row r="76" spans="1:15" x14ac:dyDescent="0.3">
      <c r="A76" s="75"/>
      <c r="B76" s="76" t="s">
        <v>37</v>
      </c>
      <c r="C76" s="77">
        <v>2</v>
      </c>
      <c r="D76" s="74">
        <f>7/3.281</f>
        <v>2.1334958854007922</v>
      </c>
      <c r="E76" s="74">
        <f>0.1</f>
        <v>0.1</v>
      </c>
      <c r="F76" s="74">
        <v>0.125</v>
      </c>
      <c r="G76" s="74">
        <f>PRODUCT(C76:F76)</f>
        <v>5.333739713501981E-2</v>
      </c>
      <c r="H76" s="74"/>
      <c r="I76" s="74"/>
      <c r="J76" s="83"/>
      <c r="K76" s="81"/>
    </row>
    <row r="77" spans="1:15" x14ac:dyDescent="0.3">
      <c r="A77" s="75"/>
      <c r="B77" s="76"/>
      <c r="C77" s="77">
        <v>1</v>
      </c>
      <c r="D77" s="74">
        <f>4/3.281</f>
        <v>1.2191405059433098</v>
      </c>
      <c r="E77" s="74">
        <v>0.1</v>
      </c>
      <c r="F77" s="74">
        <v>0.125</v>
      </c>
      <c r="G77" s="74">
        <f>PRODUCT(C77:F77)</f>
        <v>1.5239256324291373E-2</v>
      </c>
      <c r="H77" s="74"/>
      <c r="I77" s="74"/>
      <c r="J77" s="83"/>
      <c r="K77" s="81"/>
    </row>
    <row r="78" spans="1:15" x14ac:dyDescent="0.3">
      <c r="A78" s="75"/>
      <c r="B78" s="76"/>
      <c r="C78" s="77">
        <v>1</v>
      </c>
      <c r="D78" s="74">
        <f>4/3.281</f>
        <v>1.2191405059433098</v>
      </c>
      <c r="E78" s="74">
        <f>3/12/3.281</f>
        <v>7.6196281621456863E-2</v>
      </c>
      <c r="F78" s="74">
        <f>7/12/3.281</f>
        <v>0.17779132378339937</v>
      </c>
      <c r="G78" s="74">
        <f>PRODUCT(C78:F78)</f>
        <v>1.6515742489303892E-2</v>
      </c>
      <c r="H78" s="74"/>
      <c r="I78" s="74"/>
      <c r="J78" s="83"/>
      <c r="K78" s="81"/>
    </row>
    <row r="79" spans="1:15" x14ac:dyDescent="0.3">
      <c r="A79" s="75"/>
      <c r="B79" s="76" t="s">
        <v>38</v>
      </c>
      <c r="C79" s="77">
        <v>2</v>
      </c>
      <c r="D79" s="74">
        <f>5/3.281</f>
        <v>1.5239256324291375</v>
      </c>
      <c r="E79" s="74">
        <f>0.1</f>
        <v>0.1</v>
      </c>
      <c r="F79" s="74">
        <f>3/12/3.281</f>
        <v>7.6196281621456863E-2</v>
      </c>
      <c r="G79" s="74">
        <f>PRODUCT(C79:F79)</f>
        <v>2.3223493331745462E-2</v>
      </c>
      <c r="H79" s="74"/>
      <c r="I79" s="74"/>
      <c r="J79" s="83"/>
      <c r="K79" s="81"/>
    </row>
    <row r="80" spans="1:15" x14ac:dyDescent="0.3">
      <c r="A80" s="75"/>
      <c r="B80" s="76"/>
      <c r="C80" s="77">
        <v>2</v>
      </c>
      <c r="D80" s="74">
        <f>4.5/3.281</f>
        <v>1.3715330691862238</v>
      </c>
      <c r="E80" s="74">
        <v>0.15</v>
      </c>
      <c r="F80" s="74">
        <f>3/12/3.281</f>
        <v>7.6196281621456863E-2</v>
      </c>
      <c r="G80" s="74">
        <f>PRODUCT(C80:F80)</f>
        <v>3.1351715997856376E-2</v>
      </c>
      <c r="H80" s="74"/>
      <c r="I80" s="74"/>
      <c r="J80" s="83"/>
      <c r="K80" s="81"/>
    </row>
    <row r="81" spans="1:13" ht="15" customHeight="1" x14ac:dyDescent="0.3">
      <c r="A81" s="75"/>
      <c r="B81" s="76" t="s">
        <v>19</v>
      </c>
      <c r="C81" s="77"/>
      <c r="D81" s="74"/>
      <c r="E81" s="74"/>
      <c r="F81" s="74"/>
      <c r="G81" s="78">
        <f>SUM(G76:G80)</f>
        <v>0.13966760527821692</v>
      </c>
      <c r="H81" s="78" t="s">
        <v>21</v>
      </c>
      <c r="I81" s="79">
        <f>353723.98/1.15</f>
        <v>307586.06956521742</v>
      </c>
      <c r="J81" s="80">
        <f>G81*I81</f>
        <v>42959.809753112961</v>
      </c>
      <c r="K81" s="81"/>
      <c r="M81">
        <f>1.03*3.281</f>
        <v>3.3794300000000002</v>
      </c>
    </row>
    <row r="82" spans="1:13" ht="15" customHeight="1" x14ac:dyDescent="0.3">
      <c r="A82" s="75"/>
      <c r="B82" s="76" t="s">
        <v>64</v>
      </c>
      <c r="C82" s="77"/>
      <c r="D82" s="74"/>
      <c r="E82" s="74"/>
      <c r="F82" s="74"/>
      <c r="G82" s="78"/>
      <c r="H82" s="78"/>
      <c r="I82" s="79"/>
      <c r="J82" s="80">
        <f>0.13*G81*262808.07</f>
        <v>4771.7505920097001</v>
      </c>
      <c r="K82" s="81"/>
    </row>
    <row r="83" spans="1:13" x14ac:dyDescent="0.3">
      <c r="A83" s="75"/>
      <c r="B83" s="76"/>
      <c r="C83" s="77"/>
      <c r="D83" s="74"/>
      <c r="E83" s="74"/>
      <c r="F83" s="74"/>
      <c r="G83" s="74"/>
      <c r="H83" s="74"/>
      <c r="I83" s="74"/>
      <c r="J83" s="83"/>
      <c r="K83" s="81"/>
    </row>
    <row r="84" spans="1:13" ht="15.6" x14ac:dyDescent="0.3">
      <c r="A84" s="75">
        <v>12</v>
      </c>
      <c r="B84" s="9" t="s">
        <v>36</v>
      </c>
      <c r="C84" s="77"/>
      <c r="D84" s="74"/>
      <c r="E84" s="74"/>
      <c r="F84" s="74"/>
      <c r="G84" s="74"/>
      <c r="H84" s="74"/>
      <c r="I84" s="74"/>
      <c r="J84" s="83"/>
      <c r="K84" s="81"/>
    </row>
    <row r="85" spans="1:13" x14ac:dyDescent="0.3">
      <c r="A85" s="75"/>
      <c r="B85" s="92" t="s">
        <v>79</v>
      </c>
      <c r="C85" s="77">
        <v>2</v>
      </c>
      <c r="D85" s="74">
        <f>6/3.281</f>
        <v>1.8287107589149649</v>
      </c>
      <c r="E85" s="74">
        <v>0.1</v>
      </c>
      <c r="F85" s="74">
        <v>0.05</v>
      </c>
      <c r="G85" s="74">
        <f t="shared" ref="G85:G94" si="2">PRODUCT(C85:F85)</f>
        <v>1.8287107589149653E-2</v>
      </c>
      <c r="H85" s="74"/>
      <c r="I85" s="74"/>
      <c r="J85" s="83"/>
      <c r="K85" s="81"/>
    </row>
    <row r="86" spans="1:13" x14ac:dyDescent="0.3">
      <c r="A86" s="75"/>
      <c r="B86" s="76"/>
      <c r="C86" s="77">
        <v>2</v>
      </c>
      <c r="D86" s="74">
        <f>4.5/3.281</f>
        <v>1.3715330691862238</v>
      </c>
      <c r="E86" s="74">
        <v>0.1</v>
      </c>
      <c r="F86" s="74">
        <v>0.05</v>
      </c>
      <c r="G86" s="74">
        <f t="shared" si="2"/>
        <v>1.3715330691862239E-2</v>
      </c>
      <c r="H86" s="74"/>
      <c r="I86" s="74"/>
      <c r="J86" s="83"/>
      <c r="K86" s="81"/>
    </row>
    <row r="87" spans="1:13" x14ac:dyDescent="0.3">
      <c r="A87" s="75"/>
      <c r="B87" s="76" t="s">
        <v>80</v>
      </c>
      <c r="C87" s="77">
        <v>1</v>
      </c>
      <c r="D87" s="74">
        <f>1.5</f>
        <v>1.5</v>
      </c>
      <c r="E87" s="74">
        <v>0.1</v>
      </c>
      <c r="F87" s="74">
        <v>0.05</v>
      </c>
      <c r="G87" s="74">
        <f t="shared" si="2"/>
        <v>7.5000000000000015E-3</v>
      </c>
      <c r="H87" s="74"/>
      <c r="I87" s="74"/>
      <c r="J87" s="83"/>
      <c r="K87" s="81"/>
    </row>
    <row r="88" spans="1:13" x14ac:dyDescent="0.3">
      <c r="A88" s="75"/>
      <c r="B88" s="76" t="s">
        <v>81</v>
      </c>
      <c r="C88" s="77">
        <v>1</v>
      </c>
      <c r="D88" s="74">
        <v>0.9</v>
      </c>
      <c r="E88" s="74">
        <v>7.4999999999999997E-2</v>
      </c>
      <c r="F88" s="74">
        <v>0.125</v>
      </c>
      <c r="G88" s="74">
        <f t="shared" si="2"/>
        <v>8.4375000000000006E-3</v>
      </c>
      <c r="H88" s="74"/>
      <c r="I88" s="74"/>
      <c r="J88" s="83"/>
      <c r="K88" s="81"/>
    </row>
    <row r="89" spans="1:13" x14ac:dyDescent="0.3">
      <c r="A89" s="75"/>
      <c r="B89" s="76" t="s">
        <v>82</v>
      </c>
      <c r="C89" s="77">
        <v>1</v>
      </c>
      <c r="D89" s="74">
        <f>2.33/3.281</f>
        <v>0.71014934471197799</v>
      </c>
      <c r="E89" s="74">
        <v>2.5000000000000001E-2</v>
      </c>
      <c r="F89" s="74">
        <v>0.05</v>
      </c>
      <c r="G89" s="74">
        <f t="shared" si="2"/>
        <v>8.876866808899726E-4</v>
      </c>
      <c r="H89" s="74"/>
      <c r="I89" s="74"/>
      <c r="J89" s="83"/>
      <c r="K89" s="81"/>
    </row>
    <row r="90" spans="1:13" x14ac:dyDescent="0.3">
      <c r="A90" s="75"/>
      <c r="B90" s="76" t="s">
        <v>83</v>
      </c>
      <c r="C90" s="77">
        <v>2</v>
      </c>
      <c r="D90" s="74">
        <f>7/12/3.281</f>
        <v>0.17779132378339937</v>
      </c>
      <c r="E90" s="74">
        <f>1.5/12/3.281</f>
        <v>3.8098140810728431E-2</v>
      </c>
      <c r="F90" s="74">
        <f>1.5/12/3.281</f>
        <v>3.8098140810728431E-2</v>
      </c>
      <c r="G90" s="74">
        <f t="shared" si="2"/>
        <v>5.1611695279074664E-4</v>
      </c>
      <c r="H90" s="74"/>
      <c r="I90" s="74"/>
      <c r="J90" s="83"/>
      <c r="K90" s="81"/>
      <c r="M90" s="34">
        <f>G81+G98</f>
        <v>0.26563338377585882</v>
      </c>
    </row>
    <row r="91" spans="1:13" x14ac:dyDescent="0.3">
      <c r="A91" s="75"/>
      <c r="B91" s="76" t="s">
        <v>84</v>
      </c>
      <c r="C91" s="77">
        <v>1</v>
      </c>
      <c r="D91" s="74">
        <v>0.73</v>
      </c>
      <c r="E91" s="74">
        <v>0.05</v>
      </c>
      <c r="F91" s="74">
        <v>0.23</v>
      </c>
      <c r="G91" s="74">
        <f t="shared" si="2"/>
        <v>8.3949999999999997E-3</v>
      </c>
      <c r="H91" s="74"/>
      <c r="I91" s="74"/>
      <c r="J91" s="83"/>
      <c r="K91" s="81"/>
    </row>
    <row r="92" spans="1:13" x14ac:dyDescent="0.3">
      <c r="A92" s="75"/>
      <c r="B92" s="76" t="s">
        <v>85</v>
      </c>
      <c r="C92" s="77">
        <v>1</v>
      </c>
      <c r="D92" s="74">
        <v>0.32</v>
      </c>
      <c r="E92" s="74">
        <v>0.72</v>
      </c>
      <c r="F92" s="74">
        <v>0.05</v>
      </c>
      <c r="G92" s="74">
        <f t="shared" si="2"/>
        <v>1.1520000000000001E-2</v>
      </c>
      <c r="H92" s="74"/>
      <c r="I92" s="74"/>
      <c r="J92" s="83"/>
      <c r="K92" s="81"/>
    </row>
    <row r="93" spans="1:13" x14ac:dyDescent="0.3">
      <c r="A93" s="75"/>
      <c r="B93" s="76" t="s">
        <v>86</v>
      </c>
      <c r="C93" s="77">
        <v>4</v>
      </c>
      <c r="D93" s="74">
        <v>0.93</v>
      </c>
      <c r="E93" s="74">
        <v>0.05</v>
      </c>
      <c r="F93" s="74">
        <v>7.4999999999999997E-2</v>
      </c>
      <c r="G93" s="74">
        <f t="shared" si="2"/>
        <v>1.3950000000000002E-2</v>
      </c>
      <c r="H93" s="74"/>
      <c r="I93" s="74"/>
      <c r="J93" s="83"/>
      <c r="K93" s="81"/>
    </row>
    <row r="94" spans="1:13" x14ac:dyDescent="0.3">
      <c r="A94" s="75"/>
      <c r="B94" s="76"/>
      <c r="C94" s="77">
        <v>4</v>
      </c>
      <c r="D94" s="74">
        <v>0.36</v>
      </c>
      <c r="E94" s="74">
        <v>0.05</v>
      </c>
      <c r="F94" s="74">
        <v>7.4999999999999997E-2</v>
      </c>
      <c r="G94" s="74">
        <f t="shared" si="2"/>
        <v>5.3999999999999994E-3</v>
      </c>
      <c r="H94" s="74"/>
      <c r="I94" s="74"/>
      <c r="J94" s="83"/>
      <c r="K94" s="81"/>
    </row>
    <row r="95" spans="1:13" x14ac:dyDescent="0.3">
      <c r="A95" s="75"/>
      <c r="B95" s="76" t="s">
        <v>90</v>
      </c>
      <c r="C95" s="77">
        <v>2</v>
      </c>
      <c r="D95" s="74">
        <f>6.75/3.281</f>
        <v>2.0572996037793354</v>
      </c>
      <c r="E95" s="74">
        <f>4/12/3.281</f>
        <v>0.10159504216194248</v>
      </c>
      <c r="F95" s="74">
        <f>2/12/3.281</f>
        <v>5.0797521080971242E-2</v>
      </c>
      <c r="G95" s="74">
        <f>PRODUCT(C95:F95)</f>
        <v>2.1234526057676433E-2</v>
      </c>
      <c r="H95" s="74"/>
      <c r="I95" s="74"/>
      <c r="J95" s="83"/>
      <c r="K95" s="81"/>
    </row>
    <row r="96" spans="1:13" x14ac:dyDescent="0.3">
      <c r="A96" s="75"/>
      <c r="B96" s="76"/>
      <c r="C96" s="77">
        <v>1</v>
      </c>
      <c r="D96" s="74">
        <f>4/3.281</f>
        <v>1.2191405059433098</v>
      </c>
      <c r="E96" s="74">
        <f>4/12/3.281</f>
        <v>0.10159504216194248</v>
      </c>
      <c r="F96" s="74">
        <f>2/12/3.281</f>
        <v>5.0797521080971242E-2</v>
      </c>
      <c r="G96" s="74">
        <f>PRODUCT(C96:F96)</f>
        <v>6.2917114244967201E-3</v>
      </c>
      <c r="H96" s="74"/>
      <c r="I96" s="74"/>
      <c r="J96" s="83"/>
      <c r="K96" s="81"/>
    </row>
    <row r="97" spans="1:14" x14ac:dyDescent="0.3">
      <c r="A97" s="75"/>
      <c r="B97" s="76"/>
      <c r="C97" s="77">
        <v>1</v>
      </c>
      <c r="D97" s="74">
        <f>5/3.281</f>
        <v>1.5239256324291375</v>
      </c>
      <c r="E97" s="74">
        <f>5/12/3.281</f>
        <v>0.12699380270242813</v>
      </c>
      <c r="F97" s="74">
        <f>2/12/3.281</f>
        <v>5.0797521080971242E-2</v>
      </c>
      <c r="G97" s="74">
        <f>PRODUCT(C97:F97)</f>
        <v>9.8307991007761299E-3</v>
      </c>
      <c r="H97" s="74"/>
      <c r="I97" s="74"/>
      <c r="J97" s="83"/>
      <c r="K97" s="81"/>
    </row>
    <row r="98" spans="1:14" ht="15" customHeight="1" x14ac:dyDescent="0.3">
      <c r="A98" s="75"/>
      <c r="B98" s="76" t="s">
        <v>19</v>
      </c>
      <c r="C98" s="77"/>
      <c r="D98" s="74"/>
      <c r="E98" s="74"/>
      <c r="F98" s="74"/>
      <c r="G98" s="78">
        <f>SUM(G85:G97)</f>
        <v>0.1259657784976419</v>
      </c>
      <c r="H98" s="78" t="s">
        <v>21</v>
      </c>
      <c r="I98" s="79">
        <v>284000.83</v>
      </c>
      <c r="J98" s="80">
        <f>G98*I98</f>
        <v>35774.385644926457</v>
      </c>
      <c r="K98" s="81"/>
      <c r="M98">
        <f>1.03*3.281</f>
        <v>3.3794300000000002</v>
      </c>
    </row>
    <row r="99" spans="1:14" ht="15" customHeight="1" x14ac:dyDescent="0.3">
      <c r="A99" s="75"/>
      <c r="B99" s="76" t="s">
        <v>64</v>
      </c>
      <c r="C99" s="77"/>
      <c r="D99" s="74"/>
      <c r="E99" s="74"/>
      <c r="F99" s="74"/>
      <c r="G99" s="78"/>
      <c r="H99" s="78"/>
      <c r="I99" s="79"/>
      <c r="J99" s="80">
        <f>0.13*G98*239222.83</f>
        <v>3917.4057019966758</v>
      </c>
      <c r="K99" s="81"/>
    </row>
    <row r="100" spans="1:14" ht="15" customHeight="1" x14ac:dyDescent="0.3">
      <c r="A100" s="75"/>
      <c r="B100" s="76"/>
      <c r="C100" s="77"/>
      <c r="D100" s="74"/>
      <c r="E100" s="74"/>
      <c r="F100" s="74"/>
      <c r="G100" s="78"/>
      <c r="H100" s="78"/>
      <c r="I100" s="79"/>
      <c r="J100" s="80"/>
      <c r="K100" s="81"/>
    </row>
    <row r="101" spans="1:14" ht="30.6" x14ac:dyDescent="0.3">
      <c r="A101" s="75">
        <v>13</v>
      </c>
      <c r="B101" s="9" t="s">
        <v>40</v>
      </c>
      <c r="C101" s="77"/>
      <c r="D101" s="74"/>
      <c r="E101" s="74"/>
      <c r="F101" s="74"/>
      <c r="G101" s="74"/>
      <c r="H101" s="74"/>
      <c r="I101" s="74"/>
      <c r="J101" s="83"/>
      <c r="K101" s="81"/>
    </row>
    <row r="102" spans="1:14" ht="15" customHeight="1" x14ac:dyDescent="0.3">
      <c r="A102" s="75"/>
      <c r="B102" s="76" t="s">
        <v>41</v>
      </c>
      <c r="C102" s="77">
        <v>1</v>
      </c>
      <c r="D102" s="74">
        <v>0.95</v>
      </c>
      <c r="E102" s="74"/>
      <c r="F102" s="74">
        <v>1.85</v>
      </c>
      <c r="G102" s="74">
        <f>PRODUCT(C102:F102)</f>
        <v>1.7575000000000001</v>
      </c>
      <c r="H102" s="74"/>
      <c r="I102" s="74"/>
      <c r="J102" s="83"/>
      <c r="K102" s="81"/>
    </row>
    <row r="103" spans="1:14" ht="15" customHeight="1" x14ac:dyDescent="0.3">
      <c r="A103" s="75"/>
      <c r="B103" s="76" t="s">
        <v>19</v>
      </c>
      <c r="C103" s="77"/>
      <c r="D103" s="74"/>
      <c r="E103" s="74"/>
      <c r="F103" s="74"/>
      <c r="G103" s="78">
        <f>SUM(G102:G102)</f>
        <v>1.7575000000000001</v>
      </c>
      <c r="H103" s="78" t="s">
        <v>20</v>
      </c>
      <c r="I103" s="79">
        <f>15859.11</f>
        <v>15859.11</v>
      </c>
      <c r="J103" s="80">
        <f>G103*I103</f>
        <v>27872.385825000001</v>
      </c>
      <c r="K103" s="81"/>
    </row>
    <row r="104" spans="1:14" ht="15" customHeight="1" x14ac:dyDescent="0.3">
      <c r="A104" s="75"/>
      <c r="B104" s="76" t="s">
        <v>64</v>
      </c>
      <c r="C104" s="77"/>
      <c r="D104" s="74"/>
      <c r="E104" s="74"/>
      <c r="F104" s="74"/>
      <c r="G104" s="78"/>
      <c r="H104" s="78"/>
      <c r="I104" s="79"/>
      <c r="J104" s="80">
        <f>0.13*G103*(20356.18/2.114)</f>
        <v>2200.0370035477767</v>
      </c>
      <c r="K104" s="81"/>
    </row>
    <row r="105" spans="1:14" ht="15.6" x14ac:dyDescent="0.3">
      <c r="A105" s="75"/>
      <c r="B105" s="9"/>
      <c r="C105" s="77"/>
      <c r="D105" s="74"/>
      <c r="E105" s="74"/>
      <c r="F105" s="74"/>
      <c r="G105" s="74"/>
      <c r="H105" s="74"/>
      <c r="I105" s="74"/>
      <c r="J105" s="83"/>
      <c r="K105" s="81"/>
    </row>
    <row r="106" spans="1:14" x14ac:dyDescent="0.3">
      <c r="A106" s="75">
        <v>14</v>
      </c>
      <c r="B106" s="82" t="s">
        <v>66</v>
      </c>
      <c r="C106" s="77"/>
      <c r="D106" s="74"/>
      <c r="E106" s="74"/>
      <c r="F106" s="74"/>
      <c r="G106" s="74"/>
      <c r="H106" s="74"/>
      <c r="I106" s="74"/>
      <c r="J106" s="83"/>
      <c r="K106" s="81"/>
    </row>
    <row r="107" spans="1:14" ht="15" customHeight="1" x14ac:dyDescent="0.3">
      <c r="A107" s="75"/>
      <c r="B107" s="76" t="s">
        <v>41</v>
      </c>
      <c r="C107" s="77">
        <v>1</v>
      </c>
      <c r="D107" s="74">
        <f>1.2+(2.5/12/3.281)*2</f>
        <v>1.3269938027024282</v>
      </c>
      <c r="E107" s="74"/>
      <c r="F107" s="74">
        <f>2.07+(2.5/12/3.281)</f>
        <v>2.1334969013512137</v>
      </c>
      <c r="G107" s="74">
        <f>PRODUCT(C107:F107)</f>
        <v>2.8311371661778946</v>
      </c>
      <c r="H107" s="74"/>
      <c r="I107" s="74"/>
      <c r="J107" s="83"/>
      <c r="K107" s="81"/>
    </row>
    <row r="108" spans="1:14" ht="15" customHeight="1" x14ac:dyDescent="0.3">
      <c r="A108" s="75"/>
      <c r="B108" s="76" t="s">
        <v>19</v>
      </c>
      <c r="C108" s="77"/>
      <c r="D108" s="74"/>
      <c r="E108" s="74"/>
      <c r="F108" s="74"/>
      <c r="G108" s="78">
        <f>SUM(G107:G107)</f>
        <v>2.8311371661778946</v>
      </c>
      <c r="H108" s="78" t="s">
        <v>20</v>
      </c>
      <c r="I108" s="79">
        <f>46573/1.15</f>
        <v>40498.260869565223</v>
      </c>
      <c r="J108" s="80">
        <f>G108*I108</f>
        <v>114656.13151339401</v>
      </c>
      <c r="K108" s="81"/>
    </row>
    <row r="109" spans="1:14" x14ac:dyDescent="0.3">
      <c r="A109" s="75"/>
      <c r="B109" s="82"/>
      <c r="C109" s="77"/>
      <c r="D109" s="74"/>
      <c r="E109" s="74"/>
      <c r="F109" s="74"/>
      <c r="G109" s="74"/>
      <c r="H109" s="74"/>
      <c r="I109" s="74"/>
      <c r="J109" s="83"/>
      <c r="K109" s="81"/>
      <c r="N109" s="33">
        <f>G98+G169</f>
        <v>0.1259657784976419</v>
      </c>
    </row>
    <row r="110" spans="1:14" ht="46.8" x14ac:dyDescent="0.3">
      <c r="A110" s="10">
        <v>15</v>
      </c>
      <c r="B110" s="86" t="s">
        <v>24</v>
      </c>
      <c r="C110" s="81"/>
      <c r="D110" s="81"/>
      <c r="E110" s="81"/>
      <c r="F110" s="81"/>
      <c r="G110" s="87"/>
      <c r="H110" s="14"/>
      <c r="I110" s="15"/>
      <c r="J110" s="15"/>
      <c r="K110" s="13"/>
    </row>
    <row r="111" spans="1:14" ht="15" customHeight="1" x14ac:dyDescent="0.3">
      <c r="A111" s="10"/>
      <c r="B111" s="73" t="s">
        <v>25</v>
      </c>
      <c r="C111" s="11">
        <v>1</v>
      </c>
      <c r="D111" s="12"/>
      <c r="E111" s="13">
        <f>11.667/3.281</f>
        <v>3.555928070710149</v>
      </c>
      <c r="F111" s="13">
        <f>18.33/3.281</f>
        <v>5.5867113684852168</v>
      </c>
      <c r="G111" s="74">
        <f t="shared" ref="G111:G121" si="3">PRODUCT(C111:F111)</f>
        <v>19.865943778152094</v>
      </c>
      <c r="H111" s="14"/>
      <c r="I111" s="15"/>
      <c r="J111" s="72"/>
      <c r="K111" s="13"/>
      <c r="N111" s="17"/>
    </row>
    <row r="112" spans="1:14" ht="15" customHeight="1" x14ac:dyDescent="0.3">
      <c r="A112" s="10"/>
      <c r="B112" s="73" t="s">
        <v>77</v>
      </c>
      <c r="C112" s="11">
        <v>-1</v>
      </c>
      <c r="D112" s="12">
        <f>3/3.281</f>
        <v>0.91435537945748246</v>
      </c>
      <c r="E112" s="13"/>
      <c r="F112" s="13">
        <f>5/3.281</f>
        <v>1.5239256324291375</v>
      </c>
      <c r="G112" s="74">
        <f t="shared" si="3"/>
        <v>-1.393409599904728</v>
      </c>
      <c r="H112" s="14"/>
      <c r="I112" s="15"/>
      <c r="J112" s="72"/>
      <c r="K112" s="13"/>
      <c r="N112" s="17"/>
    </row>
    <row r="113" spans="1:14" ht="15" customHeight="1" x14ac:dyDescent="0.3">
      <c r="A113" s="10"/>
      <c r="B113" s="73" t="s">
        <v>18</v>
      </c>
      <c r="C113" s="11">
        <v>-1</v>
      </c>
      <c r="D113" s="12">
        <f>1.18</f>
        <v>1.18</v>
      </c>
      <c r="E113" s="13"/>
      <c r="F113" s="13">
        <f>2.07+0.127</f>
        <v>2.1970000000000001</v>
      </c>
      <c r="G113" s="74">
        <f t="shared" si="3"/>
        <v>-2.59246</v>
      </c>
      <c r="H113" s="14"/>
      <c r="I113" s="15"/>
      <c r="J113" s="72"/>
      <c r="K113" s="13"/>
      <c r="N113" s="17"/>
    </row>
    <row r="114" spans="1:14" ht="15" customHeight="1" x14ac:dyDescent="0.3">
      <c r="A114" s="10"/>
      <c r="B114" s="73" t="s">
        <v>27</v>
      </c>
      <c r="C114" s="11">
        <v>-1</v>
      </c>
      <c r="D114" s="12"/>
      <c r="E114" s="13">
        <f>E111</f>
        <v>3.555928070710149</v>
      </c>
      <c r="F114" s="13">
        <f>(2.5/12/3.281)*12</f>
        <v>0.76196281621456885</v>
      </c>
      <c r="G114" s="74">
        <f t="shared" si="3"/>
        <v>-2.7094849670147436</v>
      </c>
      <c r="H114" s="14"/>
      <c r="I114" s="15"/>
      <c r="J114" s="72"/>
      <c r="K114" s="13"/>
      <c r="N114" s="17"/>
    </row>
    <row r="115" spans="1:14" ht="15" customHeight="1" x14ac:dyDescent="0.3">
      <c r="A115" s="10"/>
      <c r="B115" s="73" t="s">
        <v>26</v>
      </c>
      <c r="C115" s="11">
        <v>1</v>
      </c>
      <c r="D115" s="12"/>
      <c r="E115" s="13">
        <f>78/12/3.281</f>
        <v>1.9811033221578787</v>
      </c>
      <c r="F115" s="13">
        <f>18.083/3.281</f>
        <v>5.5114294422432177</v>
      </c>
      <c r="G115" s="74">
        <f t="shared" si="3"/>
        <v>10.918711177866783</v>
      </c>
      <c r="H115" s="14"/>
      <c r="I115" s="15"/>
      <c r="J115" s="72"/>
      <c r="K115" s="13"/>
      <c r="N115" s="17"/>
    </row>
    <row r="116" spans="1:14" ht="15" customHeight="1" x14ac:dyDescent="0.3">
      <c r="A116" s="10"/>
      <c r="B116" s="73"/>
      <c r="C116" s="11">
        <v>0.5</v>
      </c>
      <c r="D116" s="12"/>
      <c r="E116" s="12">
        <f>92/12/3.281</f>
        <v>2.3366859697246776</v>
      </c>
      <c r="F116" s="13">
        <f>32/12/3.281</f>
        <v>0.81276033729553987</v>
      </c>
      <c r="G116" s="74">
        <f t="shared" si="3"/>
        <v>0.94958283845359226</v>
      </c>
      <c r="H116" s="14"/>
      <c r="I116" s="15"/>
      <c r="J116" s="72"/>
      <c r="K116" s="13"/>
      <c r="N116" s="17"/>
    </row>
    <row r="117" spans="1:14" ht="15" customHeight="1" x14ac:dyDescent="0.3">
      <c r="A117" s="10"/>
      <c r="B117" s="73"/>
      <c r="C117" s="11">
        <v>0.5</v>
      </c>
      <c r="D117" s="12"/>
      <c r="E117" s="13">
        <f>7.5/12/3.281</f>
        <v>0.19049070405364218</v>
      </c>
      <c r="F117" s="13">
        <v>0.9</v>
      </c>
      <c r="G117" s="74">
        <f t="shared" si="3"/>
        <v>8.5720816824138985E-2</v>
      </c>
      <c r="H117" s="14"/>
      <c r="I117" s="15"/>
      <c r="J117" s="72"/>
      <c r="K117" s="13"/>
      <c r="N117" s="17"/>
    </row>
    <row r="118" spans="1:14" ht="15" customHeight="1" x14ac:dyDescent="0.3">
      <c r="A118" s="10"/>
      <c r="B118" s="73"/>
      <c r="C118" s="11">
        <v>0.5</v>
      </c>
      <c r="D118" s="12">
        <v>0.6</v>
      </c>
      <c r="E118" s="13"/>
      <c r="F118" s="13">
        <v>0.5</v>
      </c>
      <c r="G118" s="74">
        <f t="shared" si="3"/>
        <v>0.15</v>
      </c>
      <c r="H118" s="14"/>
      <c r="I118" s="15"/>
      <c r="J118" s="72"/>
      <c r="K118" s="13"/>
      <c r="N118" s="17"/>
    </row>
    <row r="119" spans="1:14" ht="15" customHeight="1" x14ac:dyDescent="0.3">
      <c r="A119" s="10"/>
      <c r="B119" s="73" t="s">
        <v>78</v>
      </c>
      <c r="C119" s="11">
        <v>-1</v>
      </c>
      <c r="D119" s="12">
        <f>2/3.281</f>
        <v>0.6095702529716549</v>
      </c>
      <c r="E119" s="13"/>
      <c r="F119" s="13">
        <f>14/12/3.281</f>
        <v>0.35558264756679875</v>
      </c>
      <c r="G119" s="74">
        <f t="shared" si="3"/>
        <v>-0.21675260442962432</v>
      </c>
      <c r="H119" s="14"/>
      <c r="I119" s="15"/>
      <c r="J119" s="72"/>
      <c r="K119" s="13"/>
      <c r="N119" s="17"/>
    </row>
    <row r="120" spans="1:14" ht="15" customHeight="1" x14ac:dyDescent="0.3">
      <c r="A120" s="10"/>
      <c r="B120" s="73"/>
      <c r="C120" s="11">
        <v>-1</v>
      </c>
      <c r="D120" s="12">
        <f>11/12/3.281</f>
        <v>0.27938636594534183</v>
      </c>
      <c r="E120" s="13"/>
      <c r="F120" s="13">
        <f>5.42/3.281</f>
        <v>1.6519353855531849</v>
      </c>
      <c r="G120" s="74">
        <f t="shared" si="3"/>
        <v>-0.46152822414622147</v>
      </c>
      <c r="H120" s="14"/>
      <c r="I120" s="15"/>
      <c r="J120" s="72"/>
      <c r="K120" s="13"/>
      <c r="N120" s="17"/>
    </row>
    <row r="121" spans="1:14" ht="15" customHeight="1" x14ac:dyDescent="0.3">
      <c r="A121" s="10"/>
      <c r="B121" s="73" t="s">
        <v>27</v>
      </c>
      <c r="C121" s="11">
        <v>-1</v>
      </c>
      <c r="D121" s="12"/>
      <c r="E121" s="13">
        <f>E115</f>
        <v>1.9811033221578787</v>
      </c>
      <c r="F121" s="14">
        <f>(2.5/12/3.281)*9</f>
        <v>0.57147211216092664</v>
      </c>
      <c r="G121" s="74">
        <f t="shared" si="3"/>
        <v>-1.1321452999225916</v>
      </c>
      <c r="H121" s="14"/>
      <c r="I121" s="15"/>
      <c r="J121" s="72"/>
      <c r="K121" s="13"/>
      <c r="N121" s="17"/>
    </row>
    <row r="122" spans="1:14" ht="15" customHeight="1" x14ac:dyDescent="0.3">
      <c r="A122" s="10"/>
      <c r="B122" s="76" t="s">
        <v>19</v>
      </c>
      <c r="C122" s="11"/>
      <c r="D122" s="12"/>
      <c r="E122" s="13"/>
      <c r="F122" s="13"/>
      <c r="G122" s="15">
        <f>SUM(G111:G121)</f>
        <v>23.4641779158787</v>
      </c>
      <c r="H122" s="14" t="s">
        <v>20</v>
      </c>
      <c r="I122" s="15">
        <f>5810.57/1.15</f>
        <v>5052.6695652173912</v>
      </c>
      <c r="J122" s="72">
        <f>G122*I122</f>
        <v>118556.73762840635</v>
      </c>
      <c r="K122" s="13"/>
      <c r="N122" s="17"/>
    </row>
    <row r="123" spans="1:14" ht="15" customHeight="1" x14ac:dyDescent="0.3">
      <c r="A123" s="10"/>
      <c r="B123" s="76" t="s">
        <v>22</v>
      </c>
      <c r="C123" s="11"/>
      <c r="D123" s="12"/>
      <c r="E123" s="13"/>
      <c r="F123" s="13"/>
      <c r="G123" s="15"/>
      <c r="H123" s="14"/>
      <c r="I123" s="15"/>
      <c r="J123" s="72">
        <f>G122*0.13*(309557.25/100)</f>
        <v>9442.5583058951852</v>
      </c>
      <c r="K123" s="13"/>
      <c r="N123" s="17"/>
    </row>
    <row r="124" spans="1:14" ht="15" customHeight="1" x14ac:dyDescent="0.3">
      <c r="A124" s="10"/>
      <c r="B124" s="76"/>
      <c r="C124" s="11"/>
      <c r="D124" s="12"/>
      <c r="E124" s="13"/>
      <c r="F124" s="13"/>
      <c r="G124" s="15"/>
      <c r="H124" s="14"/>
      <c r="I124" s="15"/>
      <c r="J124" s="72"/>
      <c r="K124" s="13"/>
      <c r="N124" s="17"/>
    </row>
    <row r="125" spans="1:14" ht="46.8" x14ac:dyDescent="0.3">
      <c r="A125" s="10">
        <v>16</v>
      </c>
      <c r="B125" s="86" t="s">
        <v>28</v>
      </c>
      <c r="C125" s="11"/>
      <c r="D125" s="12"/>
      <c r="E125" s="13"/>
      <c r="F125" s="13"/>
      <c r="G125" s="15"/>
      <c r="H125" s="14"/>
      <c r="I125" s="15"/>
      <c r="J125" s="72"/>
      <c r="K125" s="13"/>
      <c r="N125" s="17"/>
    </row>
    <row r="126" spans="1:14" ht="15" customHeight="1" x14ac:dyDescent="0.3">
      <c r="A126" s="10"/>
      <c r="B126" s="76" t="s">
        <v>23</v>
      </c>
      <c r="C126" s="11">
        <v>2</v>
      </c>
      <c r="D126" s="12">
        <f>E111+E115</f>
        <v>5.5370313928680277</v>
      </c>
      <c r="E126" s="13"/>
      <c r="F126" s="13"/>
      <c r="G126" s="74">
        <f>PRODUCT(C126:F126)</f>
        <v>11.074062785736055</v>
      </c>
      <c r="H126" s="14"/>
      <c r="I126" s="15"/>
      <c r="J126" s="72"/>
      <c r="K126" s="13"/>
      <c r="N126" s="17"/>
    </row>
    <row r="127" spans="1:14" ht="15" customHeight="1" x14ac:dyDescent="0.3">
      <c r="A127" s="10"/>
      <c r="B127" s="76" t="s">
        <v>19</v>
      </c>
      <c r="C127" s="11"/>
      <c r="D127" s="12"/>
      <c r="E127" s="13"/>
      <c r="F127" s="13"/>
      <c r="G127" s="15">
        <f>SUM(G126:G126)</f>
        <v>11.074062785736055</v>
      </c>
      <c r="H127" s="14" t="s">
        <v>29</v>
      </c>
      <c r="I127" s="15">
        <f>396.86/1.15</f>
        <v>345.09565217391309</v>
      </c>
      <c r="J127" s="72">
        <f>G127*I127</f>
        <v>3821.6109192584449</v>
      </c>
      <c r="K127" s="13"/>
      <c r="N127" s="17"/>
    </row>
    <row r="128" spans="1:14" ht="15" customHeight="1" x14ac:dyDescent="0.3">
      <c r="A128" s="10"/>
      <c r="B128" s="76" t="s">
        <v>22</v>
      </c>
      <c r="C128" s="11"/>
      <c r="D128" s="12"/>
      <c r="E128" s="13"/>
      <c r="F128" s="13"/>
      <c r="G128" s="15"/>
      <c r="H128" s="14"/>
      <c r="I128" s="15"/>
      <c r="J128" s="72">
        <f>G127*0.13*(2182.61/10)</f>
        <v>314.21468229807988</v>
      </c>
      <c r="K128" s="13"/>
      <c r="N128" s="17"/>
    </row>
    <row r="129" spans="1:14" ht="15" customHeight="1" x14ac:dyDescent="0.3">
      <c r="A129" s="10"/>
      <c r="B129" s="76"/>
      <c r="C129" s="11"/>
      <c r="D129" s="12"/>
      <c r="E129" s="13"/>
      <c r="F129" s="13"/>
      <c r="G129" s="15"/>
      <c r="H129" s="14"/>
      <c r="I129" s="15"/>
      <c r="J129" s="72"/>
      <c r="K129" s="13"/>
      <c r="N129" s="17"/>
    </row>
    <row r="130" spans="1:14" ht="31.2" x14ac:dyDescent="0.3">
      <c r="A130" s="10">
        <v>17</v>
      </c>
      <c r="B130" s="86" t="s">
        <v>30</v>
      </c>
      <c r="C130" s="11"/>
      <c r="D130" s="12"/>
      <c r="E130" s="13"/>
      <c r="F130" s="13"/>
      <c r="G130" s="15"/>
      <c r="H130" s="14"/>
      <c r="I130" s="15"/>
      <c r="J130" s="72"/>
      <c r="K130" s="13"/>
      <c r="N130" s="17"/>
    </row>
    <row r="131" spans="1:14" ht="15" customHeight="1" x14ac:dyDescent="0.3">
      <c r="A131" s="10"/>
      <c r="B131" s="76" t="s">
        <v>23</v>
      </c>
      <c r="C131" s="11">
        <f>1</f>
        <v>1</v>
      </c>
      <c r="D131" s="12">
        <f>D126</f>
        <v>5.5370313928680277</v>
      </c>
      <c r="E131" s="13"/>
      <c r="F131" s="13"/>
      <c r="G131" s="74">
        <f>PRODUCT(C131:F131)</f>
        <v>5.5370313928680277</v>
      </c>
      <c r="H131" s="14"/>
      <c r="I131" s="15"/>
      <c r="J131" s="72"/>
      <c r="K131" s="13"/>
      <c r="N131" s="17"/>
    </row>
    <row r="132" spans="1:14" ht="15" customHeight="1" x14ac:dyDescent="0.3">
      <c r="A132" s="10"/>
      <c r="B132" s="76" t="s">
        <v>19</v>
      </c>
      <c r="C132" s="11"/>
      <c r="D132" s="12"/>
      <c r="E132" s="13"/>
      <c r="F132" s="13"/>
      <c r="G132" s="15">
        <f>SUM(G131:G131)</f>
        <v>5.5370313928680277</v>
      </c>
      <c r="H132" s="14" t="s">
        <v>29</v>
      </c>
      <c r="I132" s="15">
        <f>465.63/1.15</f>
        <v>404.89565217391305</v>
      </c>
      <c r="J132" s="72">
        <f>G132*I132</f>
        <v>2241.9199369227304</v>
      </c>
      <c r="K132" s="13"/>
      <c r="N132" s="17"/>
    </row>
    <row r="133" spans="1:14" ht="15" customHeight="1" x14ac:dyDescent="0.3">
      <c r="A133" s="10"/>
      <c r="B133" s="76" t="s">
        <v>22</v>
      </c>
      <c r="C133" s="11"/>
      <c r="D133" s="12"/>
      <c r="E133" s="13"/>
      <c r="F133" s="13"/>
      <c r="G133" s="15"/>
      <c r="H133" s="14"/>
      <c r="I133" s="15"/>
      <c r="J133" s="72">
        <f>G132*0.13*(2780.61/10)</f>
        <v>200.15222319719598</v>
      </c>
      <c r="K133" s="13"/>
      <c r="N133" s="17"/>
    </row>
    <row r="134" spans="1:14" ht="15" customHeight="1" x14ac:dyDescent="0.3">
      <c r="A134" s="10"/>
      <c r="B134" s="76"/>
      <c r="C134" s="11"/>
      <c r="D134" s="12"/>
      <c r="E134" s="13"/>
      <c r="F134" s="13"/>
      <c r="G134" s="15"/>
      <c r="H134" s="14"/>
      <c r="I134" s="15"/>
      <c r="J134" s="72"/>
      <c r="K134" s="13"/>
      <c r="N134" s="17"/>
    </row>
    <row r="135" spans="1:14" ht="46.8" x14ac:dyDescent="0.3">
      <c r="A135" s="10">
        <v>18</v>
      </c>
      <c r="B135" s="86" t="s">
        <v>31</v>
      </c>
      <c r="C135" s="11"/>
      <c r="D135" s="12"/>
      <c r="E135" s="13"/>
      <c r="F135" s="13"/>
      <c r="G135" s="15"/>
      <c r="H135" s="14"/>
      <c r="I135" s="15"/>
      <c r="J135" s="72"/>
      <c r="K135" s="13"/>
      <c r="N135" s="17"/>
    </row>
    <row r="136" spans="1:14" ht="15" customHeight="1" x14ac:dyDescent="0.3">
      <c r="A136" s="10"/>
      <c r="B136" s="76" t="s">
        <v>23</v>
      </c>
      <c r="C136" s="11">
        <f>1*2</f>
        <v>2</v>
      </c>
      <c r="D136" s="12">
        <f>E111</f>
        <v>3.555928070710149</v>
      </c>
      <c r="E136" s="13"/>
      <c r="F136" s="13"/>
      <c r="G136" s="74">
        <f>PRODUCT(C136:F136)</f>
        <v>7.1118561414202981</v>
      </c>
      <c r="H136" s="14"/>
      <c r="I136" s="15"/>
      <c r="J136" s="72"/>
      <c r="K136" s="13"/>
      <c r="N136" s="17"/>
    </row>
    <row r="137" spans="1:14" ht="15" customHeight="1" x14ac:dyDescent="0.3">
      <c r="A137" s="10"/>
      <c r="B137" s="76"/>
      <c r="C137" s="11">
        <v>2</v>
      </c>
      <c r="D137" s="12">
        <f>E115</f>
        <v>1.9811033221578787</v>
      </c>
      <c r="E137" s="13"/>
      <c r="F137" s="13"/>
      <c r="G137" s="74">
        <f>PRODUCT(C137:F137)</f>
        <v>3.9622066443157573</v>
      </c>
      <c r="H137" s="14"/>
      <c r="I137" s="15"/>
      <c r="J137" s="72"/>
      <c r="K137" s="13"/>
      <c r="N137" s="17"/>
    </row>
    <row r="138" spans="1:14" ht="15" customHeight="1" x14ac:dyDescent="0.3">
      <c r="A138" s="10"/>
      <c r="B138" s="76" t="s">
        <v>19</v>
      </c>
      <c r="C138" s="11"/>
      <c r="D138" s="12"/>
      <c r="E138" s="13"/>
      <c r="F138" s="13"/>
      <c r="G138" s="15">
        <f>SUM(G136:G137)</f>
        <v>11.074062785736055</v>
      </c>
      <c r="H138" s="14" t="s">
        <v>29</v>
      </c>
      <c r="I138" s="15">
        <f>469.79/1.15</f>
        <v>408.5130434782609</v>
      </c>
      <c r="J138" s="72">
        <f>G138*I138</f>
        <v>4523.8990922703842</v>
      </c>
      <c r="K138" s="13"/>
      <c r="N138" s="17"/>
    </row>
    <row r="139" spans="1:14" ht="15" customHeight="1" x14ac:dyDescent="0.3">
      <c r="A139" s="10"/>
      <c r="B139" s="76" t="s">
        <v>22</v>
      </c>
      <c r="C139" s="11"/>
      <c r="D139" s="12"/>
      <c r="E139" s="13"/>
      <c r="F139" s="13"/>
      <c r="G139" s="15"/>
      <c r="H139" s="14"/>
      <c r="I139" s="15"/>
      <c r="J139" s="72">
        <f>G138*0.13*(2140.61/10)</f>
        <v>308.16824401706799</v>
      </c>
      <c r="K139" s="13"/>
      <c r="N139" s="17"/>
    </row>
    <row r="140" spans="1:14" ht="15" customHeight="1" x14ac:dyDescent="0.3">
      <c r="A140" s="10"/>
      <c r="B140" s="81"/>
      <c r="C140" s="11"/>
      <c r="D140" s="12"/>
      <c r="E140" s="13"/>
      <c r="F140" s="13"/>
      <c r="G140" s="15"/>
      <c r="H140" s="14"/>
      <c r="I140" s="15"/>
      <c r="J140" s="72"/>
      <c r="K140" s="13"/>
      <c r="N140" s="17"/>
    </row>
    <row r="141" spans="1:14" ht="46.8" x14ac:dyDescent="0.3">
      <c r="A141" s="10">
        <v>19</v>
      </c>
      <c r="B141" s="86" t="s">
        <v>32</v>
      </c>
      <c r="C141" s="11"/>
      <c r="D141" s="12"/>
      <c r="E141" s="13"/>
      <c r="F141" s="13"/>
      <c r="G141" s="15"/>
      <c r="H141" s="14"/>
      <c r="I141" s="15"/>
      <c r="J141" s="72"/>
      <c r="K141" s="13"/>
      <c r="N141" s="17"/>
    </row>
    <row r="142" spans="1:14" ht="15" customHeight="1" x14ac:dyDescent="0.3">
      <c r="A142" s="10"/>
      <c r="B142" s="76" t="s">
        <v>23</v>
      </c>
      <c r="C142" s="11">
        <f>1*2</f>
        <v>2</v>
      </c>
      <c r="D142" s="12">
        <f>D136</f>
        <v>3.555928070710149</v>
      </c>
      <c r="E142" s="13"/>
      <c r="F142" s="13"/>
      <c r="G142" s="74">
        <f>PRODUCT(C142:F142)</f>
        <v>7.1118561414202981</v>
      </c>
      <c r="H142" s="14"/>
      <c r="I142" s="15"/>
      <c r="J142" s="72"/>
      <c r="K142" s="13"/>
      <c r="N142" s="17"/>
    </row>
    <row r="143" spans="1:14" ht="15" customHeight="1" x14ac:dyDescent="0.3">
      <c r="A143" s="10"/>
      <c r="B143" s="76"/>
      <c r="C143" s="11">
        <v>1</v>
      </c>
      <c r="D143" s="12">
        <f>E115</f>
        <v>1.9811033221578787</v>
      </c>
      <c r="E143" s="13"/>
      <c r="F143" s="13"/>
      <c r="G143" s="74">
        <f>PRODUCT(C143:F143)</f>
        <v>1.9811033221578787</v>
      </c>
      <c r="H143" s="14"/>
      <c r="I143" s="15"/>
      <c r="J143" s="72"/>
      <c r="K143" s="13"/>
      <c r="N143" s="17"/>
    </row>
    <row r="144" spans="1:14" ht="15" customHeight="1" x14ac:dyDescent="0.3">
      <c r="A144" s="10"/>
      <c r="B144" s="76" t="s">
        <v>19</v>
      </c>
      <c r="C144" s="11"/>
      <c r="D144" s="12"/>
      <c r="E144" s="13"/>
      <c r="F144" s="13"/>
      <c r="G144" s="15">
        <f>SUM(G142:G143)</f>
        <v>9.0929594635781772</v>
      </c>
      <c r="H144" s="14" t="s">
        <v>29</v>
      </c>
      <c r="I144" s="15">
        <f>487.71/1.15</f>
        <v>424.09565217391304</v>
      </c>
      <c r="J144" s="72">
        <f>G144*I144</f>
        <v>3856.2845738971414</v>
      </c>
      <c r="K144" s="13"/>
      <c r="N144" s="17"/>
    </row>
    <row r="145" spans="1:14" ht="15" customHeight="1" x14ac:dyDescent="0.3">
      <c r="A145" s="10"/>
      <c r="B145" s="76" t="s">
        <v>22</v>
      </c>
      <c r="C145" s="11"/>
      <c r="D145" s="12"/>
      <c r="E145" s="13"/>
      <c r="F145" s="13"/>
      <c r="G145" s="15"/>
      <c r="H145" s="14"/>
      <c r="I145" s="15"/>
      <c r="J145" s="72">
        <f>G144*0.13*(2972.61/10)</f>
        <v>351.3876890033527</v>
      </c>
      <c r="K145" s="13"/>
      <c r="N145" s="17"/>
    </row>
    <row r="146" spans="1:14" ht="15" customHeight="1" x14ac:dyDescent="0.3">
      <c r="A146" s="10"/>
      <c r="B146" s="76"/>
      <c r="C146" s="11"/>
      <c r="D146" s="12"/>
      <c r="E146" s="13"/>
      <c r="F146" s="13"/>
      <c r="G146" s="15"/>
      <c r="H146" s="14"/>
      <c r="I146" s="15"/>
      <c r="J146" s="72"/>
      <c r="K146" s="13"/>
      <c r="N146" s="17"/>
    </row>
    <row r="147" spans="1:14" ht="31.2" x14ac:dyDescent="0.3">
      <c r="A147" s="10">
        <v>20</v>
      </c>
      <c r="B147" s="86" t="s">
        <v>33</v>
      </c>
      <c r="C147" s="11"/>
      <c r="D147" s="12"/>
      <c r="E147" s="13"/>
      <c r="F147" s="13"/>
      <c r="G147" s="15"/>
      <c r="H147" s="14"/>
      <c r="I147" s="15"/>
      <c r="J147" s="72"/>
      <c r="K147" s="13"/>
      <c r="N147" s="17"/>
    </row>
    <row r="148" spans="1:14" ht="15" customHeight="1" x14ac:dyDescent="0.3">
      <c r="A148" s="10"/>
      <c r="B148" s="76" t="s">
        <v>23</v>
      </c>
      <c r="C148" s="11">
        <f>2</f>
        <v>2</v>
      </c>
      <c r="D148" s="12">
        <f>E111</f>
        <v>3.555928070710149</v>
      </c>
      <c r="E148" s="13"/>
      <c r="F148" s="13"/>
      <c r="G148" s="74">
        <f>PRODUCT(C148:F148)</f>
        <v>7.1118561414202981</v>
      </c>
      <c r="H148" s="14"/>
      <c r="I148" s="15"/>
      <c r="J148" s="72"/>
      <c r="K148" s="13"/>
      <c r="N148" s="17"/>
    </row>
    <row r="149" spans="1:14" ht="15" customHeight="1" x14ac:dyDescent="0.3">
      <c r="A149" s="10"/>
      <c r="B149" s="76"/>
      <c r="C149" s="11">
        <v>1</v>
      </c>
      <c r="D149" s="12">
        <f>D143</f>
        <v>1.9811033221578787</v>
      </c>
      <c r="E149" s="13"/>
      <c r="F149" s="13"/>
      <c r="G149" s="74">
        <f>PRODUCT(C149:F149)</f>
        <v>1.9811033221578787</v>
      </c>
      <c r="H149" s="14"/>
      <c r="I149" s="15"/>
      <c r="J149" s="72"/>
      <c r="K149" s="13"/>
      <c r="N149" s="17"/>
    </row>
    <row r="150" spans="1:14" ht="15" customHeight="1" x14ac:dyDescent="0.3">
      <c r="A150" s="10"/>
      <c r="B150" s="76" t="s">
        <v>19</v>
      </c>
      <c r="C150" s="11"/>
      <c r="D150" s="12"/>
      <c r="E150" s="13"/>
      <c r="F150" s="13"/>
      <c r="G150" s="15">
        <f>SUM(G148:G149)</f>
        <v>9.0929594635781772</v>
      </c>
      <c r="H150" s="14" t="s">
        <v>29</v>
      </c>
      <c r="I150" s="15">
        <f>465.63/1.15</f>
        <v>404.89565217391305</v>
      </c>
      <c r="J150" s="72">
        <f>G150*I150</f>
        <v>3681.6997521964408</v>
      </c>
      <c r="K150" s="13"/>
      <c r="N150" s="17"/>
    </row>
    <row r="151" spans="1:14" ht="15" customHeight="1" x14ac:dyDescent="0.3">
      <c r="A151" s="10"/>
      <c r="B151" s="76" t="s">
        <v>22</v>
      </c>
      <c r="C151" s="11"/>
      <c r="D151" s="12"/>
      <c r="E151" s="13"/>
      <c r="F151" s="13"/>
      <c r="G151" s="15"/>
      <c r="H151" s="14"/>
      <c r="I151" s="15"/>
      <c r="J151" s="72">
        <f>G150*0.13*(2780.61/10)</f>
        <v>328.69166218226155</v>
      </c>
      <c r="K151" s="13"/>
      <c r="N151" s="17"/>
    </row>
    <row r="152" spans="1:14" ht="15" customHeight="1" x14ac:dyDescent="0.3">
      <c r="A152" s="10"/>
      <c r="B152" s="76"/>
      <c r="C152" s="11"/>
      <c r="D152" s="12"/>
      <c r="E152" s="13"/>
      <c r="F152" s="13"/>
      <c r="G152" s="15"/>
      <c r="H152" s="14"/>
      <c r="I152" s="15"/>
      <c r="J152" s="72"/>
      <c r="K152" s="13"/>
      <c r="N152" s="17"/>
    </row>
    <row r="153" spans="1:14" ht="15" customHeight="1" x14ac:dyDescent="0.3">
      <c r="A153" s="10">
        <v>21</v>
      </c>
      <c r="B153" s="9" t="s">
        <v>106</v>
      </c>
      <c r="C153" s="11"/>
      <c r="D153" s="12"/>
      <c r="E153" s="13"/>
      <c r="F153" s="13"/>
      <c r="G153" s="15"/>
      <c r="H153" s="14"/>
      <c r="I153" s="15"/>
      <c r="J153" s="72"/>
      <c r="K153" s="13"/>
      <c r="N153" s="17"/>
    </row>
    <row r="154" spans="1:14" ht="15" customHeight="1" x14ac:dyDescent="0.3">
      <c r="A154" s="10"/>
      <c r="B154" s="76" t="s">
        <v>23</v>
      </c>
      <c r="C154" s="11">
        <f>2</f>
        <v>2</v>
      </c>
      <c r="D154" s="12">
        <f>(1.13+3.2)/2</f>
        <v>2.165</v>
      </c>
      <c r="E154" s="13"/>
      <c r="F154" s="13">
        <v>3.46</v>
      </c>
      <c r="G154" s="74">
        <f>PRODUCT(C154:F154)</f>
        <v>14.9818</v>
      </c>
      <c r="H154" s="14"/>
      <c r="I154" s="15"/>
      <c r="J154" s="72"/>
      <c r="K154" s="13"/>
      <c r="N154" s="17"/>
    </row>
    <row r="155" spans="1:14" ht="15" customHeight="1" x14ac:dyDescent="0.3">
      <c r="A155" s="10"/>
      <c r="B155" s="76" t="s">
        <v>19</v>
      </c>
      <c r="C155" s="11"/>
      <c r="D155" s="12"/>
      <c r="E155" s="13"/>
      <c r="F155" s="13"/>
      <c r="G155" s="15">
        <f>SUM(G154:G154)</f>
        <v>14.9818</v>
      </c>
      <c r="H155" s="14" t="s">
        <v>29</v>
      </c>
      <c r="I155" s="15">
        <f>405.86</f>
        <v>405.86</v>
      </c>
      <c r="J155" s="72">
        <f>G155*I155</f>
        <v>6080.5133480000004</v>
      </c>
      <c r="K155" s="13"/>
      <c r="N155" s="17"/>
    </row>
    <row r="156" spans="1:14" ht="15" customHeight="1" x14ac:dyDescent="0.3">
      <c r="A156" s="10"/>
      <c r="B156" s="76" t="s">
        <v>22</v>
      </c>
      <c r="C156" s="11"/>
      <c r="D156" s="12"/>
      <c r="E156" s="13"/>
      <c r="F156" s="13"/>
      <c r="G156" s="15"/>
      <c r="H156" s="14"/>
      <c r="I156" s="15"/>
      <c r="J156" s="72">
        <f>G155*0.13*(11166.2/100)</f>
        <v>217.47670770800002</v>
      </c>
      <c r="K156" s="13"/>
      <c r="N156" s="17"/>
    </row>
    <row r="157" spans="1:14" ht="15" customHeight="1" x14ac:dyDescent="0.3">
      <c r="A157" s="10"/>
      <c r="B157" s="76"/>
      <c r="C157" s="11"/>
      <c r="D157" s="12"/>
      <c r="E157" s="13"/>
      <c r="F157" s="13"/>
      <c r="G157" s="15"/>
      <c r="H157" s="14"/>
      <c r="I157" s="15"/>
      <c r="J157" s="72"/>
      <c r="K157" s="13"/>
      <c r="N157" s="17"/>
    </row>
    <row r="158" spans="1:14" ht="15" customHeight="1" x14ac:dyDescent="0.3">
      <c r="A158" s="10">
        <v>22</v>
      </c>
      <c r="B158" s="23" t="s">
        <v>110</v>
      </c>
      <c r="C158" s="11"/>
      <c r="D158" s="12"/>
      <c r="E158" s="13"/>
      <c r="F158" s="13"/>
      <c r="G158" s="88"/>
      <c r="H158" s="14"/>
      <c r="I158" s="15"/>
      <c r="J158" s="88"/>
      <c r="K158" s="13"/>
    </row>
    <row r="159" spans="1:14" ht="15" customHeight="1" x14ac:dyDescent="0.3">
      <c r="A159" s="10"/>
      <c r="B159" s="76" t="s">
        <v>109</v>
      </c>
      <c r="C159" s="11">
        <v>1</v>
      </c>
      <c r="D159" s="12">
        <f>11/3.281</f>
        <v>3.3526363913441024</v>
      </c>
      <c r="E159" s="13"/>
      <c r="F159" s="13">
        <f>18/3.281</f>
        <v>5.486132276744895</v>
      </c>
      <c r="G159" s="74">
        <f>PRODUCT(C159:F159)</f>
        <v>18.393006718742409</v>
      </c>
      <c r="H159" s="14"/>
      <c r="I159" s="15"/>
      <c r="J159" s="72"/>
      <c r="K159" s="13"/>
      <c r="N159" s="17"/>
    </row>
    <row r="160" spans="1:14" ht="15" customHeight="1" x14ac:dyDescent="0.3">
      <c r="A160" s="10"/>
      <c r="B160" s="76" t="s">
        <v>19</v>
      </c>
      <c r="C160" s="11"/>
      <c r="D160" s="12"/>
      <c r="E160" s="13"/>
      <c r="F160" s="13"/>
      <c r="G160" s="15">
        <f>SUM(G159:G159)</f>
        <v>18.393006718742409</v>
      </c>
      <c r="H160" s="14" t="s">
        <v>29</v>
      </c>
      <c r="I160" s="15">
        <f>12150.96/100</f>
        <v>121.50959999999999</v>
      </c>
      <c r="J160" s="72">
        <f>G160*I160</f>
        <v>2234.9268891917027</v>
      </c>
      <c r="K160" s="13"/>
      <c r="N160" s="17"/>
    </row>
    <row r="161" spans="1:14" ht="15" customHeight="1" x14ac:dyDescent="0.3">
      <c r="A161" s="10"/>
      <c r="B161" s="76" t="s">
        <v>22</v>
      </c>
      <c r="C161" s="11"/>
      <c r="D161" s="12"/>
      <c r="E161" s="13"/>
      <c r="F161" s="13"/>
      <c r="G161" s="15"/>
      <c r="H161" s="14"/>
      <c r="I161" s="15"/>
      <c r="J161" s="72">
        <f>6900/100</f>
        <v>69</v>
      </c>
      <c r="K161" s="13"/>
      <c r="N161" s="17"/>
    </row>
    <row r="162" spans="1:14" ht="15" customHeight="1" x14ac:dyDescent="0.3">
      <c r="A162" s="10"/>
      <c r="B162" s="76"/>
      <c r="C162" s="11"/>
      <c r="D162" s="12"/>
      <c r="E162" s="13"/>
      <c r="F162" s="13"/>
      <c r="G162" s="15"/>
      <c r="H162" s="14"/>
      <c r="I162" s="15"/>
      <c r="J162" s="72"/>
      <c r="K162" s="13"/>
      <c r="N162" s="17"/>
    </row>
    <row r="163" spans="1:14" ht="15" customHeight="1" x14ac:dyDescent="0.3">
      <c r="A163" s="10">
        <v>23</v>
      </c>
      <c r="B163" s="23" t="s">
        <v>44</v>
      </c>
      <c r="C163" s="11">
        <v>1</v>
      </c>
      <c r="D163" s="12"/>
      <c r="E163" s="13"/>
      <c r="F163" s="13"/>
      <c r="G163" s="88">
        <f>PRODUCT(C163:F163)</f>
        <v>1</v>
      </c>
      <c r="H163" s="14" t="s">
        <v>45</v>
      </c>
      <c r="I163" s="15">
        <v>55000</v>
      </c>
      <c r="J163" s="88">
        <f>G163*I163</f>
        <v>55000</v>
      </c>
      <c r="K163" s="13"/>
    </row>
    <row r="164" spans="1:14" ht="15" customHeight="1" x14ac:dyDescent="0.3">
      <c r="A164" s="10"/>
      <c r="B164" s="21"/>
      <c r="C164" s="11"/>
      <c r="D164" s="12"/>
      <c r="E164" s="13"/>
      <c r="F164" s="13"/>
      <c r="G164" s="15"/>
      <c r="H164" s="14"/>
      <c r="I164" s="15"/>
      <c r="J164" s="72"/>
      <c r="K164" s="13"/>
    </row>
    <row r="165" spans="1:14" ht="15" customHeight="1" x14ac:dyDescent="0.3">
      <c r="A165" s="10">
        <v>24</v>
      </c>
      <c r="B165" s="23" t="s">
        <v>46</v>
      </c>
      <c r="C165" s="11">
        <v>1</v>
      </c>
      <c r="D165" s="12"/>
      <c r="E165" s="13"/>
      <c r="F165" s="13"/>
      <c r="G165" s="88">
        <f>PRODUCT(C165:F165)</f>
        <v>1</v>
      </c>
      <c r="H165" s="14" t="s">
        <v>35</v>
      </c>
      <c r="I165" s="15">
        <v>500</v>
      </c>
      <c r="J165" s="88">
        <f>G165*I165</f>
        <v>500</v>
      </c>
      <c r="K165" s="13"/>
    </row>
    <row r="166" spans="1:14" ht="15" customHeight="1" x14ac:dyDescent="0.3">
      <c r="A166" s="10"/>
      <c r="B166" s="21"/>
      <c r="C166" s="11"/>
      <c r="D166" s="12"/>
      <c r="E166" s="13"/>
      <c r="F166" s="13"/>
      <c r="G166" s="15"/>
      <c r="H166" s="14"/>
      <c r="I166" s="15"/>
      <c r="J166" s="72"/>
      <c r="K166" s="13"/>
    </row>
    <row r="167" spans="1:14" x14ac:dyDescent="0.3">
      <c r="A167" s="75"/>
      <c r="B167" s="89" t="s">
        <v>56</v>
      </c>
      <c r="C167" s="90"/>
      <c r="D167" s="91"/>
      <c r="E167" s="91"/>
      <c r="F167" s="91"/>
      <c r="G167" s="72"/>
      <c r="H167" s="72"/>
      <c r="I167" s="72"/>
      <c r="J167" s="72">
        <f>SUM(J21:J165)</f>
        <v>1341994.4117047987</v>
      </c>
      <c r="K167" s="81"/>
    </row>
    <row r="168" spans="1:14" x14ac:dyDescent="0.3">
      <c r="A168" s="29"/>
      <c r="G168" s="30"/>
      <c r="H168" s="30"/>
      <c r="I168" s="30"/>
      <c r="J168" s="30"/>
    </row>
    <row r="169" spans="1:14" s="1" customFormat="1" hidden="1" x14ac:dyDescent="0.3">
      <c r="B169" s="20" t="s">
        <v>47</v>
      </c>
      <c r="C169" s="49">
        <f>J167</f>
        <v>1341994.4117047987</v>
      </c>
      <c r="D169" s="49"/>
      <c r="E169" s="49"/>
      <c r="F169" s="24"/>
      <c r="G169" s="25"/>
      <c r="H169" s="24"/>
      <c r="I169" s="26"/>
      <c r="J169" s="27"/>
      <c r="K169" s="28"/>
    </row>
    <row r="170" spans="1:14" hidden="1" x14ac:dyDescent="0.3">
      <c r="A170" s="29"/>
      <c r="B170" s="32" t="s">
        <v>54</v>
      </c>
      <c r="C170" s="58">
        <f>C169*0.13</f>
        <v>174459.27352162384</v>
      </c>
      <c r="D170" s="58"/>
      <c r="E170" s="58"/>
      <c r="G170" s="30"/>
      <c r="H170" s="30"/>
      <c r="I170" s="30"/>
      <c r="J170" s="30"/>
    </row>
    <row r="171" spans="1:14" hidden="1" x14ac:dyDescent="0.3">
      <c r="A171" s="29"/>
      <c r="B171" s="32" t="s">
        <v>55</v>
      </c>
      <c r="C171" s="58">
        <f>C169+C170</f>
        <v>1516453.6852264225</v>
      </c>
      <c r="D171" s="58"/>
      <c r="E171" s="58"/>
      <c r="G171" s="30"/>
      <c r="H171" s="30"/>
      <c r="I171" s="30"/>
      <c r="J171" s="30"/>
    </row>
    <row r="172" spans="1:14" x14ac:dyDescent="0.3">
      <c r="A172" s="29"/>
      <c r="G172" s="30"/>
      <c r="H172" s="30"/>
      <c r="I172" s="30"/>
      <c r="J172" s="30"/>
    </row>
    <row r="173" spans="1:14" s="1" customFormat="1" x14ac:dyDescent="0.3">
      <c r="B173" s="20" t="s">
        <v>47</v>
      </c>
      <c r="C173" s="50">
        <f>J167</f>
        <v>1341994.4117047987</v>
      </c>
      <c r="D173" s="51"/>
      <c r="E173" s="19">
        <v>100</v>
      </c>
      <c r="F173" s="24"/>
      <c r="G173" s="25"/>
      <c r="H173" s="24"/>
      <c r="I173" s="26"/>
      <c r="J173" s="27"/>
      <c r="K173" s="28"/>
    </row>
    <row r="174" spans="1:14" x14ac:dyDescent="0.3">
      <c r="A174" s="29"/>
      <c r="B174" s="20" t="s">
        <v>48</v>
      </c>
      <c r="C174" s="47">
        <v>1200000</v>
      </c>
      <c r="D174" s="48"/>
      <c r="E174" s="19"/>
      <c r="G174" s="30"/>
      <c r="H174" s="30"/>
      <c r="I174" s="30"/>
      <c r="J174" s="30"/>
    </row>
    <row r="175" spans="1:14" x14ac:dyDescent="0.3">
      <c r="A175" s="29"/>
      <c r="B175" s="20" t="s">
        <v>49</v>
      </c>
      <c r="C175" s="47">
        <f>C174-C177-C178</f>
        <v>1140000</v>
      </c>
      <c r="D175" s="48"/>
      <c r="E175" s="19">
        <f>C175/C173*100</f>
        <v>84.948192783590244</v>
      </c>
      <c r="G175" s="30"/>
      <c r="H175" s="30"/>
      <c r="I175" s="30"/>
      <c r="J175" s="30"/>
    </row>
    <row r="176" spans="1:14" x14ac:dyDescent="0.3">
      <c r="A176" s="29"/>
      <c r="B176" s="20" t="s">
        <v>50</v>
      </c>
      <c r="C176" s="49">
        <f>C173-C175</f>
        <v>201994.41170479869</v>
      </c>
      <c r="D176" s="49"/>
      <c r="E176" s="19">
        <f>100-E175</f>
        <v>15.051807216409756</v>
      </c>
      <c r="G176" s="30"/>
      <c r="H176" s="30"/>
      <c r="I176" s="30"/>
      <c r="J176" s="30"/>
    </row>
    <row r="177" spans="1:10" x14ac:dyDescent="0.3">
      <c r="A177" s="29"/>
      <c r="B177" s="20" t="s">
        <v>51</v>
      </c>
      <c r="C177" s="50">
        <f>C174*0.03</f>
        <v>36000</v>
      </c>
      <c r="D177" s="51"/>
      <c r="E177" s="19">
        <v>3</v>
      </c>
      <c r="G177" s="30"/>
      <c r="H177" s="30"/>
      <c r="I177" s="30"/>
      <c r="J177" s="30"/>
    </row>
    <row r="178" spans="1:10" x14ac:dyDescent="0.3">
      <c r="A178" s="29"/>
      <c r="B178" s="20" t="s">
        <v>52</v>
      </c>
      <c r="C178" s="50">
        <f>C174*0.02</f>
        <v>24000</v>
      </c>
      <c r="D178" s="51"/>
      <c r="E178" s="19">
        <v>2</v>
      </c>
      <c r="G178" s="30"/>
      <c r="H178" s="30"/>
      <c r="I178" s="30"/>
      <c r="J178" s="30"/>
    </row>
  </sheetData>
  <mergeCells count="17">
    <mergeCell ref="C173:D173"/>
    <mergeCell ref="A1:K1"/>
    <mergeCell ref="A2:K2"/>
    <mergeCell ref="A3:K3"/>
    <mergeCell ref="A4:K4"/>
    <mergeCell ref="A5:F5"/>
    <mergeCell ref="H5:K5"/>
    <mergeCell ref="A6:F6"/>
    <mergeCell ref="H6:K6"/>
    <mergeCell ref="C169:E169"/>
    <mergeCell ref="C170:E170"/>
    <mergeCell ref="C171:E171"/>
    <mergeCell ref="C174:D174"/>
    <mergeCell ref="C175:D175"/>
    <mergeCell ref="C176:D176"/>
    <mergeCell ref="C177:D177"/>
    <mergeCell ref="C178:D178"/>
  </mergeCells>
  <hyperlinks>
    <hyperlink ref="B153" r:id="rId1"/>
  </hyperlinks>
  <pageMargins left="0.7" right="0.7" top="0.75" bottom="0.75" header="0.3" footer="0.3"/>
  <pageSetup paperSize="9" scale="80" orientation="portrait" verticalDpi="120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64" zoomScaleNormal="100" workbookViewId="0">
      <selection activeCell="F75" sqref="F75"/>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9.5546875" bestFit="1" customWidth="1"/>
  </cols>
  <sheetData>
    <row r="1" spans="1:13" x14ac:dyDescent="0.3">
      <c r="A1" s="61" t="s">
        <v>0</v>
      </c>
      <c r="B1" s="61"/>
      <c r="C1" s="61"/>
      <c r="D1" s="61"/>
      <c r="E1" s="61"/>
      <c r="F1" s="61"/>
      <c r="G1" s="61"/>
      <c r="H1" s="61"/>
      <c r="I1" s="61"/>
      <c r="J1" s="61"/>
      <c r="K1" s="61"/>
    </row>
    <row r="2" spans="1:13" ht="24.6" x14ac:dyDescent="0.4">
      <c r="A2" s="62" t="s">
        <v>1</v>
      </c>
      <c r="B2" s="62"/>
      <c r="C2" s="62"/>
      <c r="D2" s="62"/>
      <c r="E2" s="62"/>
      <c r="F2" s="62"/>
      <c r="G2" s="62"/>
      <c r="H2" s="62"/>
      <c r="I2" s="62"/>
      <c r="J2" s="62"/>
      <c r="K2" s="62"/>
    </row>
    <row r="3" spans="1:13" s="1" customFormat="1" x14ac:dyDescent="0.3">
      <c r="A3" s="53" t="s">
        <v>2</v>
      </c>
      <c r="B3" s="53"/>
      <c r="C3" s="53"/>
      <c r="D3" s="53"/>
      <c r="E3" s="53"/>
      <c r="F3" s="53"/>
      <c r="G3" s="53"/>
      <c r="H3" s="53"/>
      <c r="I3" s="53"/>
      <c r="J3" s="53"/>
      <c r="K3" s="53"/>
    </row>
    <row r="4" spans="1:13" s="1" customFormat="1" x14ac:dyDescent="0.3">
      <c r="A4" s="53" t="s">
        <v>3</v>
      </c>
      <c r="B4" s="53"/>
      <c r="C4" s="53"/>
      <c r="D4" s="53"/>
      <c r="E4" s="53"/>
      <c r="F4" s="53"/>
      <c r="G4" s="53"/>
      <c r="H4" s="53"/>
      <c r="I4" s="53"/>
      <c r="J4" s="53"/>
      <c r="K4" s="53"/>
    </row>
    <row r="5" spans="1:13" ht="18" x14ac:dyDescent="0.35">
      <c r="A5" s="63" t="s">
        <v>91</v>
      </c>
      <c r="B5" s="63"/>
      <c r="C5" s="63"/>
      <c r="D5" s="63"/>
      <c r="E5" s="63"/>
      <c r="F5" s="63"/>
      <c r="G5" s="63"/>
      <c r="H5" s="63"/>
      <c r="I5" s="63"/>
      <c r="J5" s="63"/>
      <c r="K5" s="63"/>
    </row>
    <row r="6" spans="1:13" ht="18" x14ac:dyDescent="0.35">
      <c r="A6" s="35" t="s">
        <v>92</v>
      </c>
      <c r="B6" s="35"/>
      <c r="C6" s="59">
        <f>F79</f>
        <v>1341994.4117047987</v>
      </c>
      <c r="D6" s="60"/>
      <c r="E6" s="36"/>
      <c r="F6" s="35"/>
      <c r="G6" s="35"/>
      <c r="H6" s="35" t="s">
        <v>93</v>
      </c>
      <c r="I6" s="35"/>
      <c r="J6" s="59">
        <f>I79</f>
        <v>1304646.3303134944</v>
      </c>
      <c r="K6" s="60"/>
    </row>
    <row r="7" spans="1:13" x14ac:dyDescent="0.3">
      <c r="A7" s="37" t="s">
        <v>94</v>
      </c>
      <c r="B7" s="37"/>
      <c r="C7" s="37"/>
      <c r="D7" s="37"/>
      <c r="F7" s="64"/>
      <c r="G7" s="64"/>
      <c r="I7" s="65" t="s">
        <v>95</v>
      </c>
      <c r="J7" s="65"/>
      <c r="K7" s="65"/>
    </row>
    <row r="8" spans="1:13" ht="15.6" x14ac:dyDescent="0.3">
      <c r="A8" s="55" t="str">
        <f>'final valuation merged'!A5:F5</f>
        <v>Project:- इन्द्रायणी माई राख्ने घर व्यवस्थापन</v>
      </c>
      <c r="B8" s="55"/>
      <c r="C8" s="55"/>
      <c r="D8" s="55"/>
      <c r="E8" s="55"/>
      <c r="F8" s="55"/>
      <c r="I8" s="66" t="s">
        <v>103</v>
      </c>
      <c r="J8" s="66"/>
      <c r="K8" s="66"/>
    </row>
    <row r="9" spans="1:13" x14ac:dyDescent="0.3">
      <c r="A9" s="67" t="str">
        <f>'final valuation merged'!A6:F6</f>
        <v>Location:- Shankharapur 9</v>
      </c>
      <c r="B9" s="67"/>
      <c r="C9" s="67"/>
      <c r="D9" s="67"/>
      <c r="E9" s="67"/>
      <c r="F9" s="67"/>
      <c r="I9" s="66" t="s">
        <v>102</v>
      </c>
      <c r="J9" s="66"/>
      <c r="K9" s="66"/>
    </row>
    <row r="11" spans="1:13" x14ac:dyDescent="0.3">
      <c r="A11" s="69" t="s">
        <v>96</v>
      </c>
      <c r="B11" s="69" t="s">
        <v>97</v>
      </c>
      <c r="C11" s="69" t="s">
        <v>14</v>
      </c>
      <c r="D11" s="70" t="s">
        <v>98</v>
      </c>
      <c r="E11" s="70"/>
      <c r="F11" s="70"/>
      <c r="G11" s="70" t="s">
        <v>99</v>
      </c>
      <c r="H11" s="70"/>
      <c r="I11" s="70"/>
      <c r="J11" s="69" t="s">
        <v>100</v>
      </c>
      <c r="K11" s="68" t="s">
        <v>17</v>
      </c>
    </row>
    <row r="12" spans="1:13" x14ac:dyDescent="0.3">
      <c r="A12" s="69"/>
      <c r="B12" s="69"/>
      <c r="C12" s="69"/>
      <c r="D12" s="38" t="s">
        <v>101</v>
      </c>
      <c r="E12" s="38" t="s">
        <v>15</v>
      </c>
      <c r="F12" s="38" t="s">
        <v>16</v>
      </c>
      <c r="G12" s="38" t="s">
        <v>101</v>
      </c>
      <c r="H12" s="38" t="s">
        <v>15</v>
      </c>
      <c r="I12" s="38" t="s">
        <v>16</v>
      </c>
      <c r="J12" s="69"/>
      <c r="K12" s="68"/>
    </row>
    <row r="13" spans="1:13" s="1" customFormat="1" ht="27.6" x14ac:dyDescent="0.3">
      <c r="A13" s="39">
        <f>'final valuation merged'!A8</f>
        <v>1</v>
      </c>
      <c r="B13" s="42" t="str">
        <f>'final valuation merged'!B8</f>
        <v>20 gauge Brass plate making and fixing on roof</v>
      </c>
      <c r="C13" s="19" t="str">
        <f>'final valuation merged'!H21</f>
        <v>sqm</v>
      </c>
      <c r="D13" s="19">
        <f>'final valuation merged'!G21</f>
        <v>46.540743723922667</v>
      </c>
      <c r="E13" s="19">
        <f>'final valuation merged'!I21</f>
        <v>12968.382608695652</v>
      </c>
      <c r="F13" s="19">
        <f>D13*E13</f>
        <v>603558.17150508007</v>
      </c>
      <c r="G13" s="19">
        <f>V!G21</f>
        <v>46.540743723922667</v>
      </c>
      <c r="H13" s="19">
        <f>V!I21</f>
        <v>12968.382608695652</v>
      </c>
      <c r="I13" s="19">
        <f>G13*H13</f>
        <v>603558.17150508007</v>
      </c>
      <c r="J13" s="40">
        <f t="shared" ref="J13:J75" si="0">I13-F13</f>
        <v>0</v>
      </c>
      <c r="K13" s="22"/>
      <c r="M13" s="31"/>
    </row>
    <row r="14" spans="1:13" s="1" customFormat="1" x14ac:dyDescent="0.3">
      <c r="A14" s="39"/>
      <c r="B14" s="45" t="str">
        <f>'final valuation merged'!B22</f>
        <v>-VAT for materials only</v>
      </c>
      <c r="C14" s="19"/>
      <c r="D14" s="19"/>
      <c r="E14" s="19"/>
      <c r="F14" s="19">
        <f>'final valuation merged'!J22</f>
        <v>72086.25984282796</v>
      </c>
      <c r="G14" s="19"/>
      <c r="H14" s="19"/>
      <c r="I14" s="19">
        <f>V!J22</f>
        <v>72086.25984282796</v>
      </c>
      <c r="J14" s="40">
        <f t="shared" si="0"/>
        <v>0</v>
      </c>
      <c r="K14" s="22"/>
      <c r="M14" s="31"/>
    </row>
    <row r="15" spans="1:13" s="1" customFormat="1" x14ac:dyDescent="0.3">
      <c r="A15" s="39"/>
      <c r="B15" s="42"/>
      <c r="C15" s="19"/>
      <c r="D15" s="19"/>
      <c r="E15" s="19"/>
      <c r="F15" s="19"/>
      <c r="G15" s="19"/>
      <c r="H15" s="19"/>
      <c r="I15" s="19"/>
      <c r="J15" s="40"/>
      <c r="K15" s="22"/>
      <c r="M15" s="31"/>
    </row>
    <row r="16" spans="1:13" s="1" customFormat="1" ht="41.4" x14ac:dyDescent="0.3">
      <c r="A16" s="39">
        <f>'final valuation merged'!A24</f>
        <v>2</v>
      </c>
      <c r="B16" s="42" t="str">
        <f>'final valuation merged'!B24</f>
        <v>20/22/26 gauge 6"/8" copper/brass sheet Eaves/jhaller &amp; butta making(labour cost only)</v>
      </c>
      <c r="C16" s="19" t="str">
        <f>'final valuation merged'!H27</f>
        <v>rm</v>
      </c>
      <c r="D16" s="19">
        <f>'final valuation merged'!G27</f>
        <v>6.6626363913441029</v>
      </c>
      <c r="E16" s="19">
        <f>'final valuation merged'!I27</f>
        <v>2228.7565217391307</v>
      </c>
      <c r="F16" s="19">
        <f>D16*E16</f>
        <v>14849.394309184636</v>
      </c>
      <c r="G16" s="19">
        <f>V!G27</f>
        <v>6.6626363913441029</v>
      </c>
      <c r="H16" s="19">
        <f>V!I27</f>
        <v>2228.7565217391307</v>
      </c>
      <c r="I16" s="19">
        <f>G16*H16</f>
        <v>14849.394309184636</v>
      </c>
      <c r="J16" s="40">
        <f t="shared" si="0"/>
        <v>0</v>
      </c>
      <c r="K16" s="22"/>
      <c r="M16" s="31"/>
    </row>
    <row r="17" spans="1:13" s="1" customFormat="1" x14ac:dyDescent="0.3">
      <c r="A17" s="39"/>
      <c r="B17" s="42"/>
      <c r="C17" s="19"/>
      <c r="D17" s="19"/>
      <c r="E17" s="19"/>
      <c r="F17" s="19"/>
      <c r="G17" s="19"/>
      <c r="H17" s="19"/>
      <c r="I17" s="19"/>
      <c r="J17" s="40"/>
      <c r="K17" s="22"/>
      <c r="M17" s="31"/>
    </row>
    <row r="18" spans="1:13" s="1" customFormat="1" ht="41.4" x14ac:dyDescent="0.3">
      <c r="A18" s="39">
        <f>'final valuation merged'!A29</f>
        <v>3</v>
      </c>
      <c r="B18" s="42" t="str">
        <f>'final valuation merged'!B29</f>
        <v>20 gauge Brass sheet gajur making and fixing on roof with Gajur size height 24" approx. wt. 3.5kg</v>
      </c>
      <c r="C18" s="19" t="str">
        <f>'final valuation merged'!H30</f>
        <v>kg</v>
      </c>
      <c r="D18" s="19">
        <f>'final valuation merged'!G30</f>
        <v>3.5</v>
      </c>
      <c r="E18" s="19">
        <f>'final valuation merged'!I30</f>
        <v>3730.2</v>
      </c>
      <c r="F18" s="19">
        <f>D18*E18</f>
        <v>13055.699999999999</v>
      </c>
      <c r="G18" s="19">
        <f>V!G30</f>
        <v>3.5</v>
      </c>
      <c r="H18" s="19">
        <f>V!I30</f>
        <v>3730.2</v>
      </c>
      <c r="I18" s="19">
        <f>G18*H18</f>
        <v>13055.699999999999</v>
      </c>
      <c r="J18" s="40">
        <f t="shared" si="0"/>
        <v>0</v>
      </c>
      <c r="K18" s="22"/>
      <c r="M18" s="31"/>
    </row>
    <row r="19" spans="1:13" s="1" customFormat="1" x14ac:dyDescent="0.3">
      <c r="A19" s="39"/>
      <c r="B19" s="45" t="str">
        <f>'final valuation merged'!B31</f>
        <v>-VAT for materials only</v>
      </c>
      <c r="C19" s="19"/>
      <c r="D19" s="19"/>
      <c r="E19" s="19"/>
      <c r="F19" s="19">
        <f>'final valuation merged'!J31</f>
        <v>666.66600000000005</v>
      </c>
      <c r="G19" s="19"/>
      <c r="H19" s="19"/>
      <c r="I19" s="19">
        <f>V!J31</f>
        <v>666.66600000000005</v>
      </c>
      <c r="J19" s="40">
        <f t="shared" si="0"/>
        <v>0</v>
      </c>
      <c r="K19" s="22"/>
      <c r="M19" s="31"/>
    </row>
    <row r="20" spans="1:13" s="1" customFormat="1" x14ac:dyDescent="0.3">
      <c r="A20" s="39"/>
      <c r="B20" s="42"/>
      <c r="C20" s="19"/>
      <c r="D20" s="19"/>
      <c r="E20" s="19"/>
      <c r="F20" s="19"/>
      <c r="G20" s="19"/>
      <c r="H20" s="19"/>
      <c r="I20" s="19"/>
      <c r="J20" s="40"/>
      <c r="K20" s="22"/>
      <c r="M20" s="31"/>
    </row>
    <row r="21" spans="1:13" s="1" customFormat="1" ht="41.4" x14ac:dyDescent="0.3">
      <c r="A21" s="39">
        <f>'final valuation merged'!A33</f>
        <v>4</v>
      </c>
      <c r="B21" s="42" t="str">
        <f>'final valuation merged'!B33</f>
        <v>18 gauge Brass sheet gajur making and fixing on roof with Gajur size height 18" approx. weight 2kg</v>
      </c>
      <c r="C21" s="19" t="str">
        <f>'final valuation merged'!H34</f>
        <v>kg</v>
      </c>
      <c r="D21" s="19">
        <f>'final valuation merged'!G34</f>
        <v>4</v>
      </c>
      <c r="E21" s="19">
        <f>'final valuation merged'!I34</f>
        <v>3730.2</v>
      </c>
      <c r="F21" s="19">
        <f>D21*E21</f>
        <v>14920.8</v>
      </c>
      <c r="G21" s="19">
        <f>V!G34</f>
        <v>4</v>
      </c>
      <c r="H21" s="19">
        <f>V!I34</f>
        <v>3730.2</v>
      </c>
      <c r="I21" s="19">
        <f>G21*H21</f>
        <v>14920.8</v>
      </c>
      <c r="J21" s="40">
        <f t="shared" si="0"/>
        <v>0</v>
      </c>
      <c r="K21" s="22"/>
      <c r="M21" s="31"/>
    </row>
    <row r="22" spans="1:13" s="1" customFormat="1" x14ac:dyDescent="0.3">
      <c r="A22" s="39"/>
      <c r="B22" s="45" t="str">
        <f>'final valuation merged'!B35</f>
        <v>-VAT for materials only</v>
      </c>
      <c r="C22" s="19"/>
      <c r="D22" s="19"/>
      <c r="E22" s="19"/>
      <c r="F22" s="19">
        <f>'final valuation merged'!J35</f>
        <v>761.904</v>
      </c>
      <c r="G22" s="19"/>
      <c r="H22" s="19"/>
      <c r="I22" s="19">
        <f>V!J35</f>
        <v>761.904</v>
      </c>
      <c r="J22" s="40">
        <f t="shared" si="0"/>
        <v>0</v>
      </c>
      <c r="K22" s="22"/>
      <c r="M22" s="31"/>
    </row>
    <row r="23" spans="1:13" s="1" customFormat="1" x14ac:dyDescent="0.3">
      <c r="A23" s="39"/>
      <c r="B23" s="42"/>
      <c r="C23" s="19"/>
      <c r="D23" s="19"/>
      <c r="E23" s="19"/>
      <c r="F23" s="19"/>
      <c r="G23" s="19"/>
      <c r="H23" s="19"/>
      <c r="I23" s="19"/>
      <c r="J23" s="40"/>
      <c r="K23" s="22"/>
      <c r="M23" s="31"/>
    </row>
    <row r="24" spans="1:13" s="1" customFormat="1" ht="27.6" x14ac:dyDescent="0.3">
      <c r="A24" s="39">
        <f>'final valuation merged'!A37</f>
        <v>5</v>
      </c>
      <c r="B24" s="42" t="str">
        <f>'final valuation merged'!B37</f>
        <v>Single layers of plastic felt laying on roofing with bitumen</v>
      </c>
      <c r="C24" s="19" t="str">
        <f>'final valuation merged'!H39</f>
        <v>sqm</v>
      </c>
      <c r="D24" s="19">
        <f>'final valuation merged'!G39</f>
        <v>33.183218220669815</v>
      </c>
      <c r="E24" s="19">
        <f>'final valuation merged'!I39</f>
        <v>596.50434782608704</v>
      </c>
      <c r="F24" s="19">
        <f>D24*E24</f>
        <v>19793.933943491378</v>
      </c>
      <c r="G24" s="19">
        <f>V!G39</f>
        <v>33.183218220669815</v>
      </c>
      <c r="H24" s="19">
        <f>V!I39</f>
        <v>596.50434782608704</v>
      </c>
      <c r="I24" s="19">
        <f>G24*H24</f>
        <v>19793.933943491378</v>
      </c>
      <c r="J24" s="40">
        <f t="shared" si="0"/>
        <v>0</v>
      </c>
      <c r="K24" s="22"/>
      <c r="M24" s="31"/>
    </row>
    <row r="25" spans="1:13" s="1" customFormat="1" x14ac:dyDescent="0.3">
      <c r="A25" s="39"/>
      <c r="B25" s="45" t="str">
        <f>'final valuation merged'!B40</f>
        <v>-VAT for materials only</v>
      </c>
      <c r="C25" s="19"/>
      <c r="D25" s="19"/>
      <c r="E25" s="19"/>
      <c r="F25" s="19">
        <f>'final valuation merged'!J40</f>
        <v>602.87768611586228</v>
      </c>
      <c r="G25" s="19"/>
      <c r="H25" s="19"/>
      <c r="I25" s="19">
        <f>V!J40</f>
        <v>602.87768611586228</v>
      </c>
      <c r="J25" s="40">
        <f t="shared" si="0"/>
        <v>0</v>
      </c>
      <c r="K25" s="22"/>
      <c r="M25" s="31"/>
    </row>
    <row r="26" spans="1:13" s="1" customFormat="1" x14ac:dyDescent="0.3">
      <c r="A26" s="39"/>
      <c r="B26" s="42"/>
      <c r="C26" s="19"/>
      <c r="D26" s="19"/>
      <c r="E26" s="19"/>
      <c r="F26" s="19"/>
      <c r="G26" s="19"/>
      <c r="H26" s="19"/>
      <c r="I26" s="19"/>
      <c r="J26" s="40"/>
      <c r="K26" s="22"/>
      <c r="M26" s="31"/>
    </row>
    <row r="27" spans="1:13" s="1" customFormat="1" ht="27.6" x14ac:dyDescent="0.3">
      <c r="A27" s="39">
        <f>'final valuation merged'!A42</f>
        <v>6</v>
      </c>
      <c r="B27" s="42" t="str">
        <f>'final valuation merged'!B42</f>
        <v>Sal Timber work for beam, joist, column etc. (upto 8'-0")</v>
      </c>
      <c r="C27" s="19" t="str">
        <f>'final valuation merged'!H50</f>
        <v>cum</v>
      </c>
      <c r="D27" s="19">
        <f>'final valuation merged'!G50</f>
        <v>0.21285940874294543</v>
      </c>
      <c r="E27" s="19">
        <f>'final valuation merged'!I50</f>
        <v>249128.21739130438</v>
      </c>
      <c r="F27" s="19">
        <f>D27*E27</f>
        <v>53029.285055097025</v>
      </c>
      <c r="G27" s="19">
        <f>V!G50</f>
        <v>0.21285940874294543</v>
      </c>
      <c r="H27" s="19">
        <f>V!I50</f>
        <v>249128.21739130438</v>
      </c>
      <c r="I27" s="19">
        <f>G27*H27</f>
        <v>53029.285055097025</v>
      </c>
      <c r="J27" s="40">
        <f t="shared" si="0"/>
        <v>0</v>
      </c>
      <c r="K27" s="22"/>
      <c r="M27" s="31"/>
    </row>
    <row r="28" spans="1:13" s="1" customFormat="1" x14ac:dyDescent="0.3">
      <c r="A28" s="39"/>
      <c r="B28" s="45" t="str">
        <f>'final valuation merged'!B51</f>
        <v>-VAT 13% for materials only</v>
      </c>
      <c r="C28" s="19"/>
      <c r="D28" s="19"/>
      <c r="E28" s="19"/>
      <c r="F28" s="19">
        <f>'final valuation merged'!J51</f>
        <v>6250.7038313801177</v>
      </c>
      <c r="G28" s="19"/>
      <c r="H28" s="19"/>
      <c r="I28" s="19">
        <f>V!J51</f>
        <v>6250.7038313801177</v>
      </c>
      <c r="J28" s="40">
        <f t="shared" si="0"/>
        <v>0</v>
      </c>
      <c r="K28" s="22"/>
      <c r="M28" s="31"/>
    </row>
    <row r="29" spans="1:13" s="1" customFormat="1" x14ac:dyDescent="0.3">
      <c r="A29" s="39"/>
      <c r="B29" s="42"/>
      <c r="C29" s="19"/>
      <c r="D29" s="19"/>
      <c r="E29" s="19"/>
      <c r="F29" s="19"/>
      <c r="G29" s="19"/>
      <c r="H29" s="19"/>
      <c r="I29" s="19"/>
      <c r="J29" s="40"/>
      <c r="K29" s="22"/>
      <c r="M29" s="31"/>
    </row>
    <row r="30" spans="1:13" s="1" customFormat="1" ht="27.6" x14ac:dyDescent="0.3">
      <c r="A30" s="39">
        <f>'final valuation merged'!A53</f>
        <v>7</v>
      </c>
      <c r="B30" s="42" t="str">
        <f>'final valuation merged'!B53</f>
        <v>1" thick salwood planking works with 3 side plaining not &lt;4" width</v>
      </c>
      <c r="C30" s="19" t="str">
        <f>'final valuation merged'!H56</f>
        <v>cum</v>
      </c>
      <c r="D30" s="19">
        <f>'final valuation merged'!G56</f>
        <v>0.8824927466063277</v>
      </c>
      <c r="E30" s="19">
        <f>'final valuation merged'!I56</f>
        <v>5807.9130434782619</v>
      </c>
      <c r="F30" s="19">
        <f>D30*E30</f>
        <v>5125.4411337898473</v>
      </c>
      <c r="G30" s="19">
        <f>V!G56</f>
        <v>0.8824927466063277</v>
      </c>
      <c r="H30" s="19">
        <f>V!I56</f>
        <v>5807.9130434782619</v>
      </c>
      <c r="I30" s="19">
        <f>G30*H30</f>
        <v>5125.4411337898473</v>
      </c>
      <c r="J30" s="40">
        <f t="shared" si="0"/>
        <v>0</v>
      </c>
      <c r="K30" s="22"/>
      <c r="M30" s="31"/>
    </row>
    <row r="31" spans="1:13" s="1" customFormat="1" x14ac:dyDescent="0.3">
      <c r="A31" s="39"/>
      <c r="B31" s="45" t="str">
        <f>'final valuation merged'!B57</f>
        <v>-VAT 13% for materials only</v>
      </c>
      <c r="C31" s="19"/>
      <c r="D31" s="19"/>
      <c r="E31" s="19"/>
      <c r="F31" s="19">
        <f>'final valuation merged'!J57</f>
        <v>655.44234321889326</v>
      </c>
      <c r="G31" s="19"/>
      <c r="H31" s="19"/>
      <c r="I31" s="19">
        <f>V!J57</f>
        <v>655.44234321889326</v>
      </c>
      <c r="J31" s="40">
        <f t="shared" si="0"/>
        <v>0</v>
      </c>
      <c r="K31" s="22"/>
      <c r="M31" s="31"/>
    </row>
    <row r="32" spans="1:13" s="1" customFormat="1" x14ac:dyDescent="0.3">
      <c r="A32" s="39"/>
      <c r="B32" s="42"/>
      <c r="C32" s="19"/>
      <c r="D32" s="19"/>
      <c r="E32" s="19"/>
      <c r="F32" s="19"/>
      <c r="G32" s="19"/>
      <c r="H32" s="19"/>
      <c r="I32" s="19"/>
      <c r="J32" s="40"/>
      <c r="K32" s="22"/>
      <c r="M32" s="31"/>
    </row>
    <row r="33" spans="1:13" s="1" customFormat="1" x14ac:dyDescent="0.3">
      <c r="A33" s="39">
        <f>'final valuation merged'!A59</f>
        <v>8</v>
      </c>
      <c r="B33" s="42" t="str">
        <f>'final valuation merged'!B59</f>
        <v>Carved Tundal work excluding wood</v>
      </c>
      <c r="C33" s="19" t="str">
        <f>'final valuation merged'!H62</f>
        <v>sqm</v>
      </c>
      <c r="D33" s="19">
        <f>'final valuation merged'!G62</f>
        <v>1.1921393243629337</v>
      </c>
      <c r="E33" s="19">
        <f>'final valuation merged'!I62</f>
        <v>13690.000000000002</v>
      </c>
      <c r="F33" s="19">
        <f>D33*E33</f>
        <v>16320.387350528565</v>
      </c>
      <c r="G33" s="19">
        <f>V!G62</f>
        <v>1.1921393243629337</v>
      </c>
      <c r="H33" s="19">
        <f>V!I62</f>
        <v>13690.000000000002</v>
      </c>
      <c r="I33" s="19">
        <f>G33*H33</f>
        <v>16320.387350528565</v>
      </c>
      <c r="J33" s="40">
        <f t="shared" si="0"/>
        <v>0</v>
      </c>
      <c r="K33" s="22"/>
      <c r="M33" s="31"/>
    </row>
    <row r="34" spans="1:13" s="1" customFormat="1" x14ac:dyDescent="0.3">
      <c r="A34" s="39"/>
      <c r="B34" s="42"/>
      <c r="C34" s="19"/>
      <c r="D34" s="19"/>
      <c r="E34" s="19"/>
      <c r="F34" s="19"/>
      <c r="G34" s="19"/>
      <c r="H34" s="19"/>
      <c r="I34" s="19"/>
      <c r="J34" s="40"/>
      <c r="K34" s="22"/>
      <c r="M34" s="31"/>
    </row>
    <row r="35" spans="1:13" s="1" customFormat="1" ht="27.6" x14ac:dyDescent="0.3">
      <c r="A35" s="39">
        <f>'final valuation merged'!A64</f>
        <v>9</v>
      </c>
      <c r="B35" s="42" t="str">
        <f>'final valuation merged'!B64</f>
        <v>Window carving (except lattice jali) excluding wood</v>
      </c>
      <c r="C35" s="19" t="str">
        <f>'final valuation merged'!H68</f>
        <v>sqm</v>
      </c>
      <c r="D35" s="19">
        <f>'final valuation merged'!G68</f>
        <v>0.9899</v>
      </c>
      <c r="E35" s="19">
        <f>'final valuation merged'!I68</f>
        <v>44198.643478260878</v>
      </c>
      <c r="F35" s="19">
        <f>D35*E35</f>
        <v>43752.237179130439</v>
      </c>
      <c r="G35" s="19">
        <f>V!G69</f>
        <v>1.0499000000000001</v>
      </c>
      <c r="H35" s="19">
        <f>V!I69</f>
        <v>44198.643478260878</v>
      </c>
      <c r="I35" s="19">
        <f>G35*H35</f>
        <v>46404.155787826101</v>
      </c>
      <c r="J35" s="40">
        <f t="shared" si="0"/>
        <v>2651.9186086956615</v>
      </c>
      <c r="K35" s="22"/>
      <c r="M35" s="31"/>
    </row>
    <row r="36" spans="1:13" s="1" customFormat="1" x14ac:dyDescent="0.3">
      <c r="A36" s="39"/>
      <c r="B36" s="42"/>
      <c r="C36" s="19"/>
      <c r="D36" s="19"/>
      <c r="E36" s="19"/>
      <c r="F36" s="19"/>
      <c r="G36" s="19"/>
      <c r="H36" s="19"/>
      <c r="I36" s="19"/>
      <c r="J36" s="40"/>
      <c r="K36" s="22"/>
      <c r="M36" s="31"/>
    </row>
    <row r="37" spans="1:13" s="1" customFormat="1" ht="27.6" x14ac:dyDescent="0.3">
      <c r="A37" s="39">
        <f>'final valuation merged'!A70</f>
        <v>10</v>
      </c>
      <c r="B37" s="42" t="str">
        <f>'final valuation merged'!B70</f>
        <v>Carved salwood Lattice (jali) of Carved Window highly carving including wood</v>
      </c>
      <c r="C37" s="19" t="str">
        <f>'final valuation merged'!H72</f>
        <v>sqm</v>
      </c>
      <c r="D37" s="19">
        <f>'final valuation merged'!G72</f>
        <v>0.52800000000000002</v>
      </c>
      <c r="E37" s="19">
        <f>'final valuation merged'!I72</f>
        <v>60504.278260869571</v>
      </c>
      <c r="F37" s="19">
        <f>D37*E37</f>
        <v>31946.258921739136</v>
      </c>
      <c r="G37" s="19">
        <f>V!G73</f>
        <v>0.52800000000000002</v>
      </c>
      <c r="H37" s="19">
        <f>V!I73</f>
        <v>60504.278260869571</v>
      </c>
      <c r="I37" s="19">
        <f>G37*H37</f>
        <v>31946.258921739136</v>
      </c>
      <c r="J37" s="40">
        <f t="shared" si="0"/>
        <v>0</v>
      </c>
      <c r="K37" s="22"/>
      <c r="M37" s="31"/>
    </row>
    <row r="38" spans="1:13" s="1" customFormat="1" x14ac:dyDescent="0.3">
      <c r="A38" s="39"/>
      <c r="B38" s="45" t="str">
        <f>'final valuation merged'!B73</f>
        <v>-VAT 13% for materials only</v>
      </c>
      <c r="C38" s="19"/>
      <c r="D38" s="19"/>
      <c r="E38" s="19"/>
      <c r="F38" s="19">
        <f>'final valuation merged'!J73</f>
        <v>737.80091478260874</v>
      </c>
      <c r="G38" s="19"/>
      <c r="H38" s="19"/>
      <c r="I38" s="19">
        <f>V!J74</f>
        <v>737.80091478260874</v>
      </c>
      <c r="J38" s="40">
        <f t="shared" si="0"/>
        <v>0</v>
      </c>
      <c r="K38" s="22"/>
      <c r="M38" s="31"/>
    </row>
    <row r="39" spans="1:13" s="1" customFormat="1" x14ac:dyDescent="0.3">
      <c r="A39" s="39"/>
      <c r="B39" s="42"/>
      <c r="C39" s="19"/>
      <c r="D39" s="19"/>
      <c r="E39" s="19"/>
      <c r="F39" s="19"/>
      <c r="G39" s="19"/>
      <c r="H39" s="19"/>
      <c r="I39" s="19"/>
      <c r="J39" s="40"/>
      <c r="K39" s="22"/>
      <c r="M39" s="31"/>
    </row>
    <row r="40" spans="1:13" s="1" customFormat="1" ht="27.6" x14ac:dyDescent="0.3">
      <c r="A40" s="39">
        <f>'final valuation merged'!A75</f>
        <v>11</v>
      </c>
      <c r="B40" s="42" t="str">
        <f>'final valuation merged'!B75</f>
        <v>Sal timber work for chaukhat frame (upto 8'-0")</v>
      </c>
      <c r="C40" s="19" t="str">
        <f>'final valuation merged'!H81</f>
        <v>cum</v>
      </c>
      <c r="D40" s="19">
        <f>'final valuation merged'!G81</f>
        <v>0.13966760527821692</v>
      </c>
      <c r="E40" s="19">
        <f>'final valuation merged'!I81</f>
        <v>307586.06956521742</v>
      </c>
      <c r="F40" s="19">
        <f>D40*E40</f>
        <v>42959.809753112961</v>
      </c>
      <c r="G40" s="19">
        <f>V!G82</f>
        <v>0.13966760527821692</v>
      </c>
      <c r="H40" s="19">
        <f>V!I82</f>
        <v>307586.06956521742</v>
      </c>
      <c r="I40" s="19">
        <f>G40*H40</f>
        <v>42959.809753112961</v>
      </c>
      <c r="J40" s="40">
        <f t="shared" si="0"/>
        <v>0</v>
      </c>
      <c r="K40" s="22"/>
      <c r="M40" s="31"/>
    </row>
    <row r="41" spans="1:13" s="1" customFormat="1" x14ac:dyDescent="0.3">
      <c r="A41" s="39"/>
      <c r="B41" s="45" t="str">
        <f>'final valuation merged'!B82</f>
        <v>-VAT 13% for materials only</v>
      </c>
      <c r="C41" s="19"/>
      <c r="D41" s="19"/>
      <c r="E41" s="19"/>
      <c r="F41" s="19">
        <f>'final valuation merged'!J82</f>
        <v>4771.7505920097001</v>
      </c>
      <c r="G41" s="19"/>
      <c r="H41" s="19"/>
      <c r="I41" s="19">
        <f>V!J83</f>
        <v>4771.7505920097001</v>
      </c>
      <c r="J41" s="40">
        <f t="shared" si="0"/>
        <v>0</v>
      </c>
      <c r="K41" s="22"/>
      <c r="M41" s="31"/>
    </row>
    <row r="42" spans="1:13" s="1" customFormat="1" x14ac:dyDescent="0.3">
      <c r="A42" s="39"/>
      <c r="B42" s="42"/>
      <c r="C42" s="19"/>
      <c r="D42" s="19"/>
      <c r="E42" s="19"/>
      <c r="F42" s="19"/>
      <c r="G42" s="19"/>
      <c r="H42" s="19"/>
      <c r="I42" s="19"/>
      <c r="J42" s="40"/>
      <c r="K42" s="22"/>
      <c r="M42" s="31"/>
    </row>
    <row r="43" spans="1:13" s="1" customFormat="1" ht="15" x14ac:dyDescent="0.25">
      <c r="A43" s="39">
        <f>'final valuation merged'!A84</f>
        <v>12</v>
      </c>
      <c r="B43" s="9" t="str">
        <f>'final valuation merged'!B84</f>
        <v>cu|fv sf7sf] rf}s; agfO hf]8\g] sfd</v>
      </c>
      <c r="C43" s="19" t="str">
        <f>'final valuation merged'!H98</f>
        <v>cum</v>
      </c>
      <c r="D43" s="19">
        <f>'final valuation merged'!G98</f>
        <v>0.1259657784976419</v>
      </c>
      <c r="E43" s="19">
        <f>'final valuation merged'!I98</f>
        <v>284000.83</v>
      </c>
      <c r="F43" s="19">
        <f>D43*E43</f>
        <v>35774.385644926457</v>
      </c>
      <c r="G43" s="19">
        <f>V!G99</f>
        <v>0.1259657784976419</v>
      </c>
      <c r="H43" s="19">
        <f>V!I99</f>
        <v>284000.83</v>
      </c>
      <c r="I43" s="19">
        <f>G43*H43</f>
        <v>35774.385644926457</v>
      </c>
      <c r="J43" s="40">
        <f t="shared" si="0"/>
        <v>0</v>
      </c>
      <c r="K43" s="22"/>
      <c r="M43" s="31"/>
    </row>
    <row r="44" spans="1:13" s="1" customFormat="1" x14ac:dyDescent="0.3">
      <c r="A44" s="39"/>
      <c r="B44" s="45" t="str">
        <f>'final valuation merged'!B99</f>
        <v>-VAT 13% for materials only</v>
      </c>
      <c r="C44" s="19"/>
      <c r="D44" s="19"/>
      <c r="E44" s="19"/>
      <c r="F44" s="19">
        <f>'final valuation merged'!J99</f>
        <v>3917.4057019966758</v>
      </c>
      <c r="G44" s="19"/>
      <c r="H44" s="19"/>
      <c r="I44" s="19">
        <f>V!J100</f>
        <v>3917.4057019966758</v>
      </c>
      <c r="J44" s="40">
        <f t="shared" si="0"/>
        <v>0</v>
      </c>
      <c r="K44" s="22"/>
      <c r="M44" s="31"/>
    </row>
    <row r="45" spans="1:13" s="1" customFormat="1" x14ac:dyDescent="0.3">
      <c r="A45" s="39"/>
      <c r="B45" s="42"/>
      <c r="C45" s="19"/>
      <c r="D45" s="19"/>
      <c r="E45" s="19"/>
      <c r="F45" s="19"/>
      <c r="G45" s="19"/>
      <c r="H45" s="19"/>
      <c r="I45" s="19"/>
      <c r="J45" s="40"/>
      <c r="K45" s="22"/>
      <c r="M45" s="31"/>
    </row>
    <row r="46" spans="1:13" s="1" customFormat="1" ht="30" x14ac:dyDescent="0.25">
      <c r="A46" s="39">
        <f>'final valuation merged'!A101</f>
        <v>13</v>
      </c>
      <c r="B46" s="9" t="str">
        <f>'final valuation merged'!B101</f>
        <v>#* dL=dL= afSnf] lr/fg cu|fv sf7sf] k|m]d xfnL l8nfvfkf agfO</v>
      </c>
      <c r="C46" s="19" t="str">
        <f>'final valuation merged'!H103</f>
        <v>sqm</v>
      </c>
      <c r="D46" s="19">
        <f>'final valuation merged'!G103</f>
        <v>1.7575000000000001</v>
      </c>
      <c r="E46" s="19">
        <f>'final valuation merged'!I103</f>
        <v>15859.11</v>
      </c>
      <c r="F46" s="19">
        <f>D46*E46</f>
        <v>27872.385825000001</v>
      </c>
      <c r="G46" s="19">
        <f>V!G104</f>
        <v>1.7575000000000001</v>
      </c>
      <c r="H46" s="19">
        <f>V!I104</f>
        <v>15859.11</v>
      </c>
      <c r="I46" s="19">
        <f>G46*H46</f>
        <v>27872.385825000001</v>
      </c>
      <c r="J46" s="40">
        <f t="shared" si="0"/>
        <v>0</v>
      </c>
      <c r="K46" s="22"/>
      <c r="M46" s="31"/>
    </row>
    <row r="47" spans="1:13" s="1" customFormat="1" x14ac:dyDescent="0.3">
      <c r="A47" s="39"/>
      <c r="B47" s="45" t="str">
        <f>'final valuation merged'!B104</f>
        <v>-VAT 13% for materials only</v>
      </c>
      <c r="C47" s="19"/>
      <c r="D47" s="19"/>
      <c r="E47" s="19"/>
      <c r="F47" s="19">
        <f>'final valuation merged'!J104</f>
        <v>2200.0370035477767</v>
      </c>
      <c r="G47" s="19"/>
      <c r="H47" s="19"/>
      <c r="I47" s="19">
        <f>V!J105</f>
        <v>2200.0370035477767</v>
      </c>
      <c r="J47" s="40">
        <f t="shared" si="0"/>
        <v>0</v>
      </c>
      <c r="K47" s="22"/>
      <c r="M47" s="31"/>
    </row>
    <row r="48" spans="1:13" s="1" customFormat="1" x14ac:dyDescent="0.3">
      <c r="A48" s="39"/>
      <c r="B48" s="42"/>
      <c r="C48" s="19"/>
      <c r="D48" s="19"/>
      <c r="E48" s="19"/>
      <c r="F48" s="19"/>
      <c r="G48" s="19"/>
      <c r="H48" s="19"/>
      <c r="I48" s="19"/>
      <c r="J48" s="40"/>
      <c r="K48" s="22"/>
      <c r="M48" s="31"/>
    </row>
    <row r="49" spans="1:13" s="1" customFormat="1" x14ac:dyDescent="0.3">
      <c r="A49" s="39">
        <f>'final valuation merged'!A106</f>
        <v>14</v>
      </c>
      <c r="B49" s="42" t="str">
        <f>'final valuation merged'!B106</f>
        <v>Carved Door works excluding wood</v>
      </c>
      <c r="C49" s="19" t="str">
        <f>'final valuation merged'!H108</f>
        <v>sqm</v>
      </c>
      <c r="D49" s="19">
        <f>'final valuation merged'!G108</f>
        <v>2.8311371661778946</v>
      </c>
      <c r="E49" s="19">
        <f>'final valuation merged'!I108</f>
        <v>40498.260869565223</v>
      </c>
      <c r="F49" s="19">
        <f>D49*E49</f>
        <v>114656.13151339401</v>
      </c>
      <c r="G49" s="19">
        <f>V!G109</f>
        <v>2.8311371661778946</v>
      </c>
      <c r="H49" s="19">
        <f>V!I109</f>
        <v>40498.260869565223</v>
      </c>
      <c r="I49" s="19">
        <f>G49*H49</f>
        <v>114656.13151339401</v>
      </c>
      <c r="J49" s="40">
        <f t="shared" si="0"/>
        <v>0</v>
      </c>
      <c r="K49" s="22"/>
      <c r="M49" s="31"/>
    </row>
    <row r="50" spans="1:13" s="1" customFormat="1" x14ac:dyDescent="0.3">
      <c r="A50" s="39"/>
      <c r="B50" s="42"/>
      <c r="C50" s="19"/>
      <c r="D50" s="19"/>
      <c r="E50" s="19"/>
      <c r="F50" s="19"/>
      <c r="G50" s="19"/>
      <c r="H50" s="19"/>
      <c r="I50" s="19"/>
      <c r="J50" s="40"/>
      <c r="K50" s="22"/>
      <c r="M50" s="31"/>
    </row>
    <row r="51" spans="1:13" s="1" customFormat="1" ht="27.6" x14ac:dyDescent="0.3">
      <c r="A51" s="39">
        <f>'final valuation merged'!A110</f>
        <v>15</v>
      </c>
      <c r="B51" s="42" t="str">
        <f>'final valuation merged'!B110</f>
        <v>Traditional Brick (Small Dachi Appa) work in (1:4)cement sand mortar</v>
      </c>
      <c r="C51" s="19" t="str">
        <f>'final valuation merged'!H122</f>
        <v>sqm</v>
      </c>
      <c r="D51" s="19">
        <f>'final valuation merged'!G122</f>
        <v>23.4641779158787</v>
      </c>
      <c r="E51" s="19">
        <f>'final valuation merged'!I122</f>
        <v>5052.6695652173912</v>
      </c>
      <c r="F51" s="19">
        <f>D51*E51</f>
        <v>118556.73762840635</v>
      </c>
      <c r="G51" s="19">
        <f>V!G123</f>
        <v>23.4641779158787</v>
      </c>
      <c r="H51" s="19">
        <f>V!I123</f>
        <v>5052.6695652173912</v>
      </c>
      <c r="I51" s="19">
        <f>G51*H51</f>
        <v>118556.73762840635</v>
      </c>
      <c r="J51" s="40">
        <f t="shared" si="0"/>
        <v>0</v>
      </c>
      <c r="K51" s="22"/>
      <c r="M51" s="31"/>
    </row>
    <row r="52" spans="1:13" s="1" customFormat="1" x14ac:dyDescent="0.3">
      <c r="A52" s="39"/>
      <c r="B52" s="45" t="str">
        <f>'final valuation merged'!B123</f>
        <v>-VAT 13% for materials</v>
      </c>
      <c r="C52" s="19"/>
      <c r="D52" s="19"/>
      <c r="E52" s="19"/>
      <c r="F52" s="19">
        <f>'final valuation merged'!J123</f>
        <v>9442.5583058951852</v>
      </c>
      <c r="G52" s="19"/>
      <c r="H52" s="19"/>
      <c r="I52" s="19">
        <f>V!J124</f>
        <v>9442.5583058951852</v>
      </c>
      <c r="J52" s="40">
        <f t="shared" si="0"/>
        <v>0</v>
      </c>
      <c r="K52" s="22"/>
      <c r="M52" s="31"/>
    </row>
    <row r="53" spans="1:13" s="1" customFormat="1" x14ac:dyDescent="0.3">
      <c r="A53" s="39"/>
      <c r="B53" s="42"/>
      <c r="C53" s="19"/>
      <c r="D53" s="19"/>
      <c r="E53" s="19"/>
      <c r="F53" s="19"/>
      <c r="G53" s="19"/>
      <c r="H53" s="19"/>
      <c r="I53" s="19"/>
      <c r="J53" s="40"/>
      <c r="K53" s="22"/>
      <c r="M53" s="31"/>
    </row>
    <row r="54" spans="1:13" s="1" customFormat="1" ht="27.6" x14ac:dyDescent="0.3">
      <c r="A54" s="39">
        <f>'final valuation merged'!A125</f>
        <v>16</v>
      </c>
      <c r="B54" s="42" t="str">
        <f>'final valuation merged'!B125</f>
        <v>Traditional Kassimo Brick work in (1:1:2) lime,surkhi, sand mortar</v>
      </c>
      <c r="C54" s="19" t="str">
        <f>'final valuation merged'!H127</f>
        <v>rm</v>
      </c>
      <c r="D54" s="19">
        <f>'final valuation merged'!G127</f>
        <v>11.074062785736055</v>
      </c>
      <c r="E54" s="19">
        <f>'final valuation merged'!I127</f>
        <v>345.09565217391309</v>
      </c>
      <c r="F54" s="19">
        <f>D54*E54</f>
        <v>3821.6109192584449</v>
      </c>
      <c r="G54" s="19">
        <f>V!G128</f>
        <v>11.074062785736055</v>
      </c>
      <c r="H54" s="19">
        <f>V!I128</f>
        <v>345.09565217391309</v>
      </c>
      <c r="I54" s="19">
        <f>G54*H54</f>
        <v>3821.6109192584449</v>
      </c>
      <c r="J54" s="40">
        <f t="shared" si="0"/>
        <v>0</v>
      </c>
      <c r="K54" s="22"/>
      <c r="M54" s="31"/>
    </row>
    <row r="55" spans="1:13" s="1" customFormat="1" x14ac:dyDescent="0.3">
      <c r="A55" s="39"/>
      <c r="B55" s="45" t="str">
        <f>'final valuation merged'!B128</f>
        <v>-VAT 13% for materials</v>
      </c>
      <c r="C55" s="19"/>
      <c r="D55" s="19"/>
      <c r="E55" s="19"/>
      <c r="F55" s="19">
        <f>'final valuation merged'!J128</f>
        <v>314.21468229807988</v>
      </c>
      <c r="G55" s="19"/>
      <c r="H55" s="19"/>
      <c r="I55" s="19">
        <f>V!J129</f>
        <v>314.21468229807988</v>
      </c>
      <c r="J55" s="40">
        <f t="shared" si="0"/>
        <v>0</v>
      </c>
      <c r="K55" s="22"/>
      <c r="M55" s="31"/>
    </row>
    <row r="56" spans="1:13" s="1" customFormat="1" x14ac:dyDescent="0.3">
      <c r="A56" s="39"/>
      <c r="B56" s="42"/>
      <c r="C56" s="19"/>
      <c r="D56" s="19"/>
      <c r="E56" s="19"/>
      <c r="F56" s="19"/>
      <c r="G56" s="19"/>
      <c r="H56" s="19"/>
      <c r="I56" s="19"/>
      <c r="J56" s="40"/>
      <c r="K56" s="22"/>
      <c r="M56" s="31"/>
    </row>
    <row r="57" spans="1:13" s="1" customFormat="1" ht="27.6" x14ac:dyDescent="0.3">
      <c r="A57" s="39">
        <f>'final valuation merged'!A130</f>
        <v>17</v>
      </c>
      <c r="B57" s="42" t="str">
        <f>'final valuation merged'!B130</f>
        <v>Traditional Nago Brick work in (1:1:2) lime,surkhi, sand mortar</v>
      </c>
      <c r="C57" s="19" t="str">
        <f>'final valuation merged'!H132</f>
        <v>rm</v>
      </c>
      <c r="D57" s="19">
        <f>'final valuation merged'!G132</f>
        <v>5.5370313928680277</v>
      </c>
      <c r="E57" s="19">
        <f>'final valuation merged'!I132</f>
        <v>404.89565217391305</v>
      </c>
      <c r="F57" s="19">
        <f>D57*E57</f>
        <v>2241.9199369227304</v>
      </c>
      <c r="G57" s="19">
        <f>V!G133</f>
        <v>5.5370313928680277</v>
      </c>
      <c r="H57" s="19">
        <f>V!I133</f>
        <v>404.89565217391305</v>
      </c>
      <c r="I57" s="19">
        <f>G57*H57</f>
        <v>2241.9199369227304</v>
      </c>
      <c r="J57" s="40">
        <f t="shared" si="0"/>
        <v>0</v>
      </c>
      <c r="K57" s="22"/>
      <c r="M57" s="31"/>
    </row>
    <row r="58" spans="1:13" s="1" customFormat="1" x14ac:dyDescent="0.3">
      <c r="A58" s="39"/>
      <c r="B58" s="45" t="str">
        <f>'final valuation merged'!B133</f>
        <v>-VAT 13% for materials</v>
      </c>
      <c r="C58" s="19"/>
      <c r="D58" s="19"/>
      <c r="E58" s="19"/>
      <c r="F58" s="19">
        <f>'final valuation merged'!J133</f>
        <v>200.15222319719598</v>
      </c>
      <c r="G58" s="19"/>
      <c r="H58" s="19"/>
      <c r="I58" s="19">
        <f>V!J134</f>
        <v>200.15222319719598</v>
      </c>
      <c r="J58" s="40">
        <f t="shared" si="0"/>
        <v>0</v>
      </c>
      <c r="K58" s="22"/>
      <c r="M58" s="31"/>
    </row>
    <row r="59" spans="1:13" s="1" customFormat="1" x14ac:dyDescent="0.3">
      <c r="A59" s="39"/>
      <c r="B59" s="42"/>
      <c r="C59" s="19"/>
      <c r="D59" s="19"/>
      <c r="E59" s="19"/>
      <c r="F59" s="19"/>
      <c r="G59" s="19"/>
      <c r="H59" s="19"/>
      <c r="I59" s="19"/>
      <c r="J59" s="40"/>
      <c r="K59" s="22"/>
      <c r="M59" s="31"/>
    </row>
    <row r="60" spans="1:13" s="1" customFormat="1" ht="27.6" x14ac:dyDescent="0.3">
      <c r="A60" s="39">
        <f>'final valuation merged'!A135</f>
        <v>18</v>
      </c>
      <c r="B60" s="42" t="str">
        <f>'final valuation merged'!B135</f>
        <v>Traditional Jhallr Brick work in (1:1:2) lime,surkhi, sand mortar</v>
      </c>
      <c r="C60" s="19" t="str">
        <f>'final valuation merged'!H138</f>
        <v>rm</v>
      </c>
      <c r="D60" s="19">
        <f>'final valuation merged'!G138</f>
        <v>11.074062785736055</v>
      </c>
      <c r="E60" s="19">
        <f>'final valuation merged'!I138</f>
        <v>408.5130434782609</v>
      </c>
      <c r="F60" s="19">
        <f>D60*E60</f>
        <v>4523.8990922703842</v>
      </c>
      <c r="G60" s="19">
        <f>V!G139</f>
        <v>11.074062785736055</v>
      </c>
      <c r="H60" s="19">
        <f>V!I139</f>
        <v>408.5130434782609</v>
      </c>
      <c r="I60" s="19">
        <f>G60*H60</f>
        <v>4523.8990922703842</v>
      </c>
      <c r="J60" s="40">
        <f t="shared" si="0"/>
        <v>0</v>
      </c>
      <c r="K60" s="22"/>
      <c r="M60" s="31"/>
    </row>
    <row r="61" spans="1:13" s="1" customFormat="1" x14ac:dyDescent="0.3">
      <c r="A61" s="39"/>
      <c r="B61" s="45" t="str">
        <f>'final valuation merged'!B139</f>
        <v>-VAT 13% for materials</v>
      </c>
      <c r="C61" s="19"/>
      <c r="D61" s="19"/>
      <c r="E61" s="19"/>
      <c r="F61" s="19">
        <f>'final valuation merged'!J139</f>
        <v>308.16824401706799</v>
      </c>
      <c r="G61" s="19"/>
      <c r="H61" s="19"/>
      <c r="I61" s="19">
        <f>V!J140</f>
        <v>308.16824401706799</v>
      </c>
      <c r="J61" s="40">
        <f t="shared" si="0"/>
        <v>0</v>
      </c>
      <c r="K61" s="22"/>
      <c r="M61" s="31"/>
    </row>
    <row r="62" spans="1:13" s="1" customFormat="1" x14ac:dyDescent="0.3">
      <c r="A62" s="39"/>
      <c r="B62" s="42"/>
      <c r="C62" s="19"/>
      <c r="D62" s="19"/>
      <c r="E62" s="19"/>
      <c r="F62" s="19"/>
      <c r="G62" s="19"/>
      <c r="H62" s="19"/>
      <c r="I62" s="19"/>
      <c r="J62" s="40"/>
      <c r="K62" s="22"/>
      <c r="M62" s="31"/>
    </row>
    <row r="63" spans="1:13" s="1" customFormat="1" ht="27.6" x14ac:dyDescent="0.3">
      <c r="A63" s="39">
        <f>'final valuation merged'!A141</f>
        <v>19</v>
      </c>
      <c r="B63" s="42" t="str">
        <f>'final valuation merged'!B141</f>
        <v>Traditional Palefo Brick work in (1:1:2) lime,surkhi, sand mortar</v>
      </c>
      <c r="C63" s="19" t="str">
        <f>'final valuation merged'!H144</f>
        <v>rm</v>
      </c>
      <c r="D63" s="19">
        <f>'final valuation merged'!G144</f>
        <v>9.0929594635781772</v>
      </c>
      <c r="E63" s="19">
        <f>'final valuation merged'!I144</f>
        <v>424.09565217391304</v>
      </c>
      <c r="F63" s="19">
        <f>D63*E63</f>
        <v>3856.2845738971414</v>
      </c>
      <c r="G63" s="19">
        <f>V!G145</f>
        <v>9.0929594635781772</v>
      </c>
      <c r="H63" s="19">
        <f>V!I145</f>
        <v>424.09565217391304</v>
      </c>
      <c r="I63" s="19">
        <f>G63*H63</f>
        <v>3856.2845738971414</v>
      </c>
      <c r="J63" s="40">
        <f t="shared" si="0"/>
        <v>0</v>
      </c>
      <c r="K63" s="22"/>
      <c r="M63" s="31"/>
    </row>
    <row r="64" spans="1:13" s="1" customFormat="1" x14ac:dyDescent="0.3">
      <c r="A64" s="39"/>
      <c r="B64" s="45" t="str">
        <f>'final valuation merged'!B145</f>
        <v>-VAT 13% for materials</v>
      </c>
      <c r="C64" s="19"/>
      <c r="D64" s="19"/>
      <c r="E64" s="19"/>
      <c r="F64" s="19">
        <f>'final valuation merged'!J145</f>
        <v>351.3876890033527</v>
      </c>
      <c r="G64" s="19"/>
      <c r="H64" s="19"/>
      <c r="I64" s="19">
        <f>V!J146</f>
        <v>351.3876890033527</v>
      </c>
      <c r="J64" s="40">
        <f t="shared" si="0"/>
        <v>0</v>
      </c>
      <c r="K64" s="22"/>
      <c r="M64" s="31"/>
    </row>
    <row r="65" spans="1:13" s="1" customFormat="1" x14ac:dyDescent="0.3">
      <c r="A65" s="39"/>
      <c r="B65" s="45"/>
      <c r="C65" s="19"/>
      <c r="D65" s="19"/>
      <c r="E65" s="19"/>
      <c r="F65" s="19"/>
      <c r="G65" s="19"/>
      <c r="H65" s="19"/>
      <c r="I65" s="19"/>
      <c r="J65" s="40"/>
      <c r="K65" s="22"/>
      <c r="M65" s="31"/>
    </row>
    <row r="66" spans="1:13" s="1" customFormat="1" ht="27.6" x14ac:dyDescent="0.3">
      <c r="A66" s="39">
        <f>'final valuation merged'!A147</f>
        <v>20</v>
      </c>
      <c r="B66" s="42" t="str">
        <f>'final valuation merged'!B147</f>
        <v>3 Traditional Fya Brick work in (1:1:2) lime,surkhi, sand mortar</v>
      </c>
      <c r="C66" s="19" t="str">
        <f>'final valuation merged'!H150</f>
        <v>rm</v>
      </c>
      <c r="D66" s="19">
        <f>'final valuation merged'!G150</f>
        <v>9.0929594635781772</v>
      </c>
      <c r="E66" s="19">
        <f>'final valuation merged'!I150</f>
        <v>404.89565217391305</v>
      </c>
      <c r="F66" s="19">
        <f>D66*E66</f>
        <v>3681.6997521964408</v>
      </c>
      <c r="G66" s="19">
        <f>V!G151</f>
        <v>9.0929594635781772</v>
      </c>
      <c r="H66" s="19">
        <f>V!I151</f>
        <v>404.89565217391305</v>
      </c>
      <c r="I66" s="19">
        <f>G66*H66</f>
        <v>3681.6997521964408</v>
      </c>
      <c r="J66" s="40">
        <f t="shared" si="0"/>
        <v>0</v>
      </c>
      <c r="K66" s="22"/>
      <c r="M66" s="31"/>
    </row>
    <row r="67" spans="1:13" s="1" customFormat="1" x14ac:dyDescent="0.3">
      <c r="A67" s="39"/>
      <c r="B67" s="45" t="str">
        <f>'final valuation merged'!B151</f>
        <v>-VAT 13% for materials</v>
      </c>
      <c r="C67" s="19"/>
      <c r="D67" s="19"/>
      <c r="E67" s="19"/>
      <c r="F67" s="19">
        <f>'final valuation merged'!J151</f>
        <v>328.69166218226155</v>
      </c>
      <c r="G67" s="19"/>
      <c r="H67" s="19"/>
      <c r="I67" s="19">
        <f>V!J152</f>
        <v>328.69166218226155</v>
      </c>
      <c r="J67" s="40">
        <f t="shared" si="0"/>
        <v>0</v>
      </c>
      <c r="K67" s="22"/>
      <c r="M67" s="31"/>
    </row>
    <row r="68" spans="1:13" s="1" customFormat="1" x14ac:dyDescent="0.3">
      <c r="A68" s="39"/>
      <c r="B68" s="45"/>
      <c r="C68" s="19"/>
      <c r="D68" s="19"/>
      <c r="E68" s="19"/>
      <c r="F68" s="19"/>
      <c r="G68" s="19"/>
      <c r="H68" s="19"/>
      <c r="I68" s="19"/>
      <c r="J68" s="40"/>
      <c r="K68" s="22"/>
      <c r="M68" s="31"/>
    </row>
    <row r="69" spans="1:13" s="1" customFormat="1" ht="15" x14ac:dyDescent="0.25">
      <c r="A69" s="39">
        <f>'final valuation merged'!A153</f>
        <v>21</v>
      </c>
      <c r="B69" s="9" t="str">
        <f>'final valuation merged'!B153</f>
        <v>!@=% dL=dL= l;d]G6 afn'jf -!M$_ Knfi6/</v>
      </c>
      <c r="C69" s="19" t="str">
        <f>'final valuation merged'!H155</f>
        <v>rm</v>
      </c>
      <c r="D69" s="19">
        <f>'final valuation merged'!G155</f>
        <v>14.9818</v>
      </c>
      <c r="E69" s="19">
        <f>'final valuation merged'!I155</f>
        <v>405.86</v>
      </c>
      <c r="F69" s="19">
        <f>D69*E69</f>
        <v>6080.5133480000004</v>
      </c>
      <c r="G69" s="19">
        <f>V!G156</f>
        <v>14.9818</v>
      </c>
      <c r="H69" s="19">
        <f>V!I156</f>
        <v>405.86</v>
      </c>
      <c r="I69" s="19">
        <f>G69*H69</f>
        <v>6080.5133480000004</v>
      </c>
      <c r="J69" s="40">
        <f t="shared" ref="J69:J70" si="1">I69-F69</f>
        <v>0</v>
      </c>
      <c r="K69" s="22"/>
      <c r="M69" s="31"/>
    </row>
    <row r="70" spans="1:13" s="1" customFormat="1" x14ac:dyDescent="0.3">
      <c r="A70" s="39"/>
      <c r="B70" s="45" t="str">
        <f>'final valuation merged'!B156</f>
        <v>-VAT 13% for materials</v>
      </c>
      <c r="C70" s="19"/>
      <c r="D70" s="19"/>
      <c r="E70" s="19"/>
      <c r="F70" s="19">
        <f>'final valuation merged'!J156</f>
        <v>217.47670770800002</v>
      </c>
      <c r="G70" s="19"/>
      <c r="H70" s="19"/>
      <c r="I70" s="19">
        <f>V!J157</f>
        <v>217.47670770800002</v>
      </c>
      <c r="J70" s="40">
        <f t="shared" si="1"/>
        <v>0</v>
      </c>
      <c r="K70" s="22"/>
      <c r="M70" s="31"/>
    </row>
    <row r="71" spans="1:13" s="1" customFormat="1" x14ac:dyDescent="0.3">
      <c r="A71" s="39"/>
      <c r="B71" s="45"/>
      <c r="C71" s="19"/>
      <c r="D71" s="19"/>
      <c r="E71" s="19"/>
      <c r="F71" s="19"/>
      <c r="G71" s="19"/>
      <c r="H71" s="19"/>
      <c r="I71" s="19"/>
      <c r="J71" s="40"/>
      <c r="K71" s="22"/>
      <c r="M71" s="31"/>
    </row>
    <row r="72" spans="1:13" s="1" customFormat="1" ht="15" x14ac:dyDescent="0.25">
      <c r="A72" s="39">
        <f>'final valuation merged'!A158</f>
        <v>22</v>
      </c>
      <c r="B72" s="46" t="str">
        <f>'final valuation merged'!B158</f>
        <v>Single bamboo scaffolding works</v>
      </c>
      <c r="C72" s="19" t="str">
        <f>'final valuation merged'!H160</f>
        <v>rm</v>
      </c>
      <c r="D72" s="19">
        <f>'final valuation merged'!G160</f>
        <v>18.393006718742409</v>
      </c>
      <c r="E72" s="19">
        <f>'final valuation merged'!I160</f>
        <v>121.50959999999999</v>
      </c>
      <c r="F72" s="19">
        <f>D72*E72</f>
        <v>2234.9268891917027</v>
      </c>
      <c r="G72" s="19">
        <f>V!G161</f>
        <v>18.393006718742409</v>
      </c>
      <c r="H72" s="19">
        <f>V!I161</f>
        <v>121.50959999999999</v>
      </c>
      <c r="I72" s="19">
        <f>G72*H72</f>
        <v>2234.9268891917027</v>
      </c>
      <c r="J72" s="40">
        <f t="shared" ref="J72:J73" si="2">I72-F72</f>
        <v>0</v>
      </c>
      <c r="K72" s="22"/>
      <c r="M72" s="31"/>
    </row>
    <row r="73" spans="1:13" s="1" customFormat="1" x14ac:dyDescent="0.3">
      <c r="A73" s="39"/>
      <c r="B73" s="45" t="str">
        <f>'final valuation merged'!B161</f>
        <v>-VAT 13% for materials</v>
      </c>
      <c r="C73" s="19"/>
      <c r="D73" s="19"/>
      <c r="E73" s="19"/>
      <c r="F73" s="19">
        <f>'final valuation merged'!J161</f>
        <v>69</v>
      </c>
      <c r="G73" s="19"/>
      <c r="H73" s="19"/>
      <c r="I73" s="19">
        <f>V!J162</f>
        <v>69</v>
      </c>
      <c r="J73" s="40">
        <f t="shared" si="2"/>
        <v>0</v>
      </c>
      <c r="K73" s="22"/>
      <c r="M73" s="31"/>
    </row>
    <row r="74" spans="1:13" s="1" customFormat="1" x14ac:dyDescent="0.3">
      <c r="A74" s="39"/>
      <c r="B74" s="45"/>
      <c r="C74" s="19"/>
      <c r="D74" s="19"/>
      <c r="E74" s="19"/>
      <c r="F74" s="19"/>
      <c r="G74" s="19"/>
      <c r="H74" s="19"/>
      <c r="I74" s="19"/>
      <c r="J74" s="40"/>
      <c r="K74" s="22"/>
      <c r="M74" s="31"/>
    </row>
    <row r="75" spans="1:13" s="1" customFormat="1" x14ac:dyDescent="0.3">
      <c r="A75" s="39">
        <f>'final valuation merged'!A163</f>
        <v>23</v>
      </c>
      <c r="B75" s="42" t="str">
        <f>'final valuation merged'!B163</f>
        <v>Provisional sum for unforseen works</v>
      </c>
      <c r="C75" s="19" t="str">
        <f>'final valuation merged'!H163</f>
        <v>PS</v>
      </c>
      <c r="D75" s="19">
        <f>'final valuation merged'!G163</f>
        <v>1</v>
      </c>
      <c r="E75" s="19">
        <f>'final valuation merged'!I163</f>
        <v>55000</v>
      </c>
      <c r="F75" s="19">
        <f>D75*E75</f>
        <v>55000</v>
      </c>
      <c r="G75" s="19">
        <f>V!G164</f>
        <v>1</v>
      </c>
      <c r="H75" s="19">
        <f>V!I164</f>
        <v>15000</v>
      </c>
      <c r="I75" s="19">
        <f>G75*H75</f>
        <v>15000</v>
      </c>
      <c r="J75" s="40">
        <f t="shared" si="0"/>
        <v>-40000</v>
      </c>
      <c r="K75" s="22"/>
      <c r="M75" s="31"/>
    </row>
    <row r="76" spans="1:13" s="1" customFormat="1" x14ac:dyDescent="0.3">
      <c r="A76" s="39"/>
      <c r="B76" s="42"/>
      <c r="C76" s="19"/>
      <c r="D76" s="19"/>
      <c r="E76" s="19"/>
      <c r="F76" s="19"/>
      <c r="G76" s="19"/>
      <c r="H76" s="19"/>
      <c r="I76" s="19"/>
      <c r="J76" s="40"/>
      <c r="K76" s="22"/>
      <c r="M76" s="31"/>
    </row>
    <row r="77" spans="1:13" s="1" customFormat="1" x14ac:dyDescent="0.3">
      <c r="A77" s="39">
        <f>'final valuation merged'!A165</f>
        <v>24</v>
      </c>
      <c r="B77" s="42" t="str">
        <f>'final valuation merged'!B165</f>
        <v>Information board (सुचना पाटि)</v>
      </c>
      <c r="C77" s="19" t="str">
        <f>'final valuation merged'!H165</f>
        <v>no.</v>
      </c>
      <c r="D77" s="19">
        <f>'final valuation merged'!G165</f>
        <v>1</v>
      </c>
      <c r="E77" s="19">
        <f>'final valuation merged'!I165</f>
        <v>500</v>
      </c>
      <c r="F77" s="19">
        <f>D77*E77</f>
        <v>500</v>
      </c>
      <c r="G77" s="19">
        <f>V!G166</f>
        <v>1</v>
      </c>
      <c r="H77" s="19">
        <f>V!I166</f>
        <v>500</v>
      </c>
      <c r="I77" s="19">
        <f>G77*H77</f>
        <v>500</v>
      </c>
      <c r="J77" s="40">
        <f>I77-F77</f>
        <v>0</v>
      </c>
      <c r="K77" s="22"/>
      <c r="M77" s="31">
        <f t="shared" ref="M77" si="3">1.25*F77</f>
        <v>625</v>
      </c>
    </row>
    <row r="78" spans="1:13" s="1" customFormat="1" x14ac:dyDescent="0.3">
      <c r="A78" s="41"/>
      <c r="B78" s="41"/>
      <c r="C78" s="19"/>
      <c r="D78" s="19"/>
      <c r="E78" s="19"/>
      <c r="F78" s="19"/>
      <c r="G78" s="19"/>
      <c r="H78" s="19"/>
      <c r="I78" s="19"/>
      <c r="J78" s="40"/>
      <c r="K78" s="22"/>
    </row>
    <row r="79" spans="1:13" x14ac:dyDescent="0.3">
      <c r="A79" s="18"/>
      <c r="B79" s="43" t="s">
        <v>56</v>
      </c>
      <c r="C79" s="43"/>
      <c r="D79" s="16"/>
      <c r="E79" s="16"/>
      <c r="F79" s="16">
        <f>SUM(F13:F77)</f>
        <v>1341994.4117047987</v>
      </c>
      <c r="G79" s="16"/>
      <c r="H79" s="16"/>
      <c r="I79" s="16">
        <f>SUM(I13:I77)</f>
        <v>1304646.3303134944</v>
      </c>
      <c r="J79" s="44">
        <f>I79-F79</f>
        <v>-37348.081391304266</v>
      </c>
      <c r="K79" s="18"/>
    </row>
    <row r="84" spans="11:13" x14ac:dyDescent="0.3">
      <c r="K84">
        <v>1070</v>
      </c>
      <c r="L84">
        <f>(21/3.281)*(36/3.281)</f>
        <v>70.227843835198286</v>
      </c>
      <c r="M84">
        <f>L84*K84</f>
        <v>75143.792903662164</v>
      </c>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75"/>
  <sheetViews>
    <sheetView topLeftCell="A75" zoomScaleNormal="100" workbookViewId="0">
      <selection activeCell="D89" sqref="D89"/>
    </sheetView>
  </sheetViews>
  <sheetFormatPr defaultRowHeight="14.4" x14ac:dyDescent="0.3"/>
  <cols>
    <col min="1" max="1" width="4.44140625" customWidth="1"/>
    <col min="2" max="2" width="31.33203125" customWidth="1"/>
    <col min="3" max="3" width="5.33203125" customWidth="1"/>
    <col min="4" max="4" width="8.5546875" customWidth="1"/>
    <col min="5" max="5" width="7.88671875" customWidth="1"/>
    <col min="6" max="6" width="8.33203125" customWidth="1"/>
    <col min="7" max="7" width="8.5546875" customWidth="1"/>
    <col min="8" max="8" width="5.33203125" customWidth="1"/>
    <col min="9" max="9" width="10.44140625" customWidth="1"/>
    <col min="10" max="10" width="10.5546875" customWidth="1"/>
    <col min="11" max="11" width="8.88671875" customWidth="1"/>
    <col min="12" max="12" width="10.5546875" bestFit="1" customWidth="1"/>
  </cols>
  <sheetData>
    <row r="1" spans="1:11" ht="22.8" x14ac:dyDescent="0.3">
      <c r="A1" s="52" t="s">
        <v>1</v>
      </c>
      <c r="B1" s="52"/>
      <c r="C1" s="52"/>
      <c r="D1" s="52"/>
      <c r="E1" s="52"/>
      <c r="F1" s="52"/>
      <c r="G1" s="52"/>
      <c r="H1" s="52"/>
      <c r="I1" s="52"/>
      <c r="J1" s="52"/>
      <c r="K1" s="52"/>
    </row>
    <row r="2" spans="1:11" x14ac:dyDescent="0.3">
      <c r="A2" s="53" t="s">
        <v>2</v>
      </c>
      <c r="B2" s="53"/>
      <c r="C2" s="53"/>
      <c r="D2" s="53"/>
      <c r="E2" s="53"/>
      <c r="F2" s="53"/>
      <c r="G2" s="53"/>
      <c r="H2" s="53"/>
      <c r="I2" s="53"/>
      <c r="J2" s="53"/>
      <c r="K2" s="53"/>
    </row>
    <row r="3" spans="1:11" x14ac:dyDescent="0.3">
      <c r="A3" s="53" t="s">
        <v>3</v>
      </c>
      <c r="B3" s="53"/>
      <c r="C3" s="53"/>
      <c r="D3" s="53"/>
      <c r="E3" s="53"/>
      <c r="F3" s="53"/>
      <c r="G3" s="53"/>
      <c r="H3" s="53"/>
      <c r="I3" s="53"/>
      <c r="J3" s="53"/>
      <c r="K3" s="53"/>
    </row>
    <row r="4" spans="1:11" ht="17.399999999999999" x14ac:dyDescent="0.3">
      <c r="A4" s="54" t="s">
        <v>108</v>
      </c>
      <c r="B4" s="54"/>
      <c r="C4" s="54"/>
      <c r="D4" s="54"/>
      <c r="E4" s="54"/>
      <c r="F4" s="54"/>
      <c r="G4" s="54"/>
      <c r="H4" s="54"/>
      <c r="I4" s="54"/>
      <c r="J4" s="54"/>
      <c r="K4" s="54"/>
    </row>
    <row r="5" spans="1:11" ht="15.6" x14ac:dyDescent="0.3">
      <c r="A5" s="55" t="s">
        <v>5</v>
      </c>
      <c r="B5" s="55"/>
      <c r="C5" s="55"/>
      <c r="D5" s="55"/>
      <c r="E5" s="55"/>
      <c r="F5" s="55"/>
      <c r="G5" s="2"/>
      <c r="H5" s="56" t="s">
        <v>57</v>
      </c>
      <c r="I5" s="56"/>
      <c r="J5" s="56"/>
      <c r="K5" s="56"/>
    </row>
    <row r="6" spans="1:11" ht="15.6" x14ac:dyDescent="0.3">
      <c r="A6" s="57" t="s">
        <v>67</v>
      </c>
      <c r="B6" s="57"/>
      <c r="C6" s="57"/>
      <c r="D6" s="57"/>
      <c r="E6" s="57"/>
      <c r="F6" s="57"/>
      <c r="G6" s="3"/>
      <c r="H6" s="56" t="s">
        <v>6</v>
      </c>
      <c r="I6" s="56"/>
      <c r="J6" s="56"/>
      <c r="K6" s="56"/>
    </row>
    <row r="7" spans="1:11" ht="15.6" x14ac:dyDescent="0.3">
      <c r="A7" s="4" t="s">
        <v>7</v>
      </c>
      <c r="B7" s="5" t="s">
        <v>8</v>
      </c>
      <c r="C7" s="6" t="s">
        <v>9</v>
      </c>
      <c r="D7" s="7" t="s">
        <v>10</v>
      </c>
      <c r="E7" s="7" t="s">
        <v>11</v>
      </c>
      <c r="F7" s="7" t="s">
        <v>12</v>
      </c>
      <c r="G7" s="7" t="s">
        <v>13</v>
      </c>
      <c r="H7" s="6" t="s">
        <v>14</v>
      </c>
      <c r="I7" s="7" t="s">
        <v>15</v>
      </c>
      <c r="J7" s="7" t="s">
        <v>16</v>
      </c>
      <c r="K7" s="8" t="s">
        <v>88</v>
      </c>
    </row>
    <row r="8" spans="1:11" ht="28.8" x14ac:dyDescent="0.3">
      <c r="A8" s="10">
        <v>1</v>
      </c>
      <c r="B8" s="71" t="s">
        <v>105</v>
      </c>
      <c r="C8" s="11"/>
      <c r="D8" s="12"/>
      <c r="E8" s="13"/>
      <c r="F8" s="13"/>
      <c r="G8" s="15"/>
      <c r="H8" s="14"/>
      <c r="I8" s="15"/>
      <c r="J8" s="72"/>
      <c r="K8" s="13"/>
    </row>
    <row r="9" spans="1:11" x14ac:dyDescent="0.3">
      <c r="A9" s="10"/>
      <c r="B9" s="73" t="s">
        <v>68</v>
      </c>
      <c r="C9" s="11">
        <v>1</v>
      </c>
      <c r="D9" s="12">
        <f>5.23+0.025*2</f>
        <v>5.28</v>
      </c>
      <c r="E9" s="13">
        <v>3.31</v>
      </c>
      <c r="F9" s="13"/>
      <c r="G9" s="74">
        <f t="shared" ref="G9:G20" si="0">PRODUCT(C9:F9)</f>
        <v>17.476800000000001</v>
      </c>
      <c r="H9" s="14"/>
      <c r="I9" s="15"/>
      <c r="J9" s="72"/>
      <c r="K9" s="13"/>
    </row>
    <row r="10" spans="1:11" x14ac:dyDescent="0.3">
      <c r="A10" s="10"/>
      <c r="B10" s="73" t="s">
        <v>69</v>
      </c>
      <c r="C10" s="11">
        <v>1</v>
      </c>
      <c r="D10" s="12">
        <f>200/12/3.281</f>
        <v>5.0797521080971251</v>
      </c>
      <c r="E10" s="13">
        <v>3.31</v>
      </c>
      <c r="F10" s="13"/>
      <c r="G10" s="74">
        <f t="shared" si="0"/>
        <v>16.813979477801485</v>
      </c>
      <c r="H10" s="14"/>
      <c r="I10" s="15"/>
      <c r="J10" s="72"/>
      <c r="K10" s="13"/>
    </row>
    <row r="11" spans="1:11" x14ac:dyDescent="0.3">
      <c r="A11" s="10"/>
      <c r="B11" s="73" t="s">
        <v>63</v>
      </c>
      <c r="C11" s="11">
        <v>4</v>
      </c>
      <c r="D11" s="12">
        <f>204/12/3.281</f>
        <v>5.1813471502590671</v>
      </c>
      <c r="E11" s="13">
        <f>(E43*2+F43)</f>
        <v>0.15000000000000002</v>
      </c>
      <c r="F11" s="13"/>
      <c r="G11" s="74">
        <f t="shared" si="0"/>
        <v>3.1088082901554408</v>
      </c>
      <c r="H11" s="14"/>
      <c r="I11" s="15"/>
      <c r="J11" s="72"/>
      <c r="K11" s="13"/>
    </row>
    <row r="12" spans="1:11" x14ac:dyDescent="0.3">
      <c r="A12" s="10"/>
      <c r="B12" s="73"/>
      <c r="C12" s="11">
        <v>2</v>
      </c>
      <c r="D12" s="12">
        <f>196/12/3.281</f>
        <v>4.9781570659351821</v>
      </c>
      <c r="E12" s="13">
        <v>0.15</v>
      </c>
      <c r="F12" s="13"/>
      <c r="G12" s="74">
        <f t="shared" si="0"/>
        <v>1.4934471197805546</v>
      </c>
      <c r="H12" s="14"/>
      <c r="I12" s="15"/>
      <c r="J12" s="72"/>
      <c r="K12" s="13"/>
    </row>
    <row r="13" spans="1:11" x14ac:dyDescent="0.3">
      <c r="A13" s="10"/>
      <c r="B13" s="73"/>
      <c r="C13" s="11">
        <v>4</v>
      </c>
      <c r="D13" s="12">
        <f>196/12/3.281</f>
        <v>4.9781570659351821</v>
      </c>
      <c r="E13" s="13">
        <v>0.15</v>
      </c>
      <c r="F13" s="13"/>
      <c r="G13" s="74">
        <f t="shared" si="0"/>
        <v>2.9868942395611091</v>
      </c>
      <c r="H13" s="14"/>
      <c r="I13" s="15"/>
      <c r="J13" s="72"/>
      <c r="K13" s="13"/>
    </row>
    <row r="14" spans="1:11" x14ac:dyDescent="0.3">
      <c r="A14" s="10"/>
      <c r="B14" s="73"/>
      <c r="C14" s="11">
        <v>2</v>
      </c>
      <c r="D14" s="12">
        <f>190/12/3.281</f>
        <v>4.8257645026922686</v>
      </c>
      <c r="E14" s="13">
        <v>0.15</v>
      </c>
      <c r="F14" s="13"/>
      <c r="G14" s="74">
        <f t="shared" si="0"/>
        <v>1.4477293508076805</v>
      </c>
      <c r="H14" s="14"/>
      <c r="I14" s="15"/>
      <c r="J14" s="72"/>
      <c r="K14" s="13"/>
    </row>
    <row r="15" spans="1:11" x14ac:dyDescent="0.3">
      <c r="A15" s="10"/>
      <c r="B15" s="73" t="s">
        <v>71</v>
      </c>
      <c r="C15" s="11">
        <v>2</v>
      </c>
      <c r="D15" s="12">
        <f>17/12/3.281</f>
        <v>0.43177892918825561</v>
      </c>
      <c r="E15" s="13">
        <v>0.3</v>
      </c>
      <c r="F15" s="13"/>
      <c r="G15" s="74">
        <f t="shared" si="0"/>
        <v>0.25906735751295334</v>
      </c>
      <c r="H15" s="14"/>
      <c r="I15" s="15"/>
      <c r="J15" s="72"/>
      <c r="K15" s="13"/>
    </row>
    <row r="16" spans="1:11" x14ac:dyDescent="0.3">
      <c r="A16" s="10"/>
      <c r="B16" s="73"/>
      <c r="C16" s="11">
        <v>2</v>
      </c>
      <c r="D16" s="12">
        <f>40/12/3.281</f>
        <v>1.0159504216194251</v>
      </c>
      <c r="E16" s="13">
        <v>0.3</v>
      </c>
      <c r="F16" s="13"/>
      <c r="G16" s="74">
        <f t="shared" si="0"/>
        <v>0.60957025297165501</v>
      </c>
      <c r="H16" s="14"/>
      <c r="I16" s="15"/>
      <c r="J16" s="72"/>
      <c r="K16" s="13"/>
    </row>
    <row r="17" spans="1:11" x14ac:dyDescent="0.3">
      <c r="A17" s="10"/>
      <c r="B17" s="73"/>
      <c r="C17" s="11">
        <v>1</v>
      </c>
      <c r="D17" s="12">
        <f>40/12/3.281</f>
        <v>1.0159504216194251</v>
      </c>
      <c r="E17" s="13">
        <f>17/12/3.281</f>
        <v>0.43177892918825561</v>
      </c>
      <c r="F17" s="13"/>
      <c r="G17" s="74">
        <f t="shared" si="0"/>
        <v>0.43866598515519217</v>
      </c>
      <c r="H17" s="14"/>
      <c r="I17" s="15"/>
      <c r="J17" s="72"/>
      <c r="K17" s="13"/>
    </row>
    <row r="18" spans="1:11" x14ac:dyDescent="0.3">
      <c r="A18" s="10"/>
      <c r="B18" s="73" t="s">
        <v>70</v>
      </c>
      <c r="C18" s="11">
        <v>2</v>
      </c>
      <c r="D18" s="12">
        <v>1.2</v>
      </c>
      <c r="E18" s="13">
        <v>0.23</v>
      </c>
      <c r="F18" s="13"/>
      <c r="G18" s="74">
        <f t="shared" si="0"/>
        <v>0.55200000000000005</v>
      </c>
      <c r="H18" s="14"/>
      <c r="I18" s="15"/>
      <c r="J18" s="72"/>
      <c r="K18" s="13"/>
    </row>
    <row r="19" spans="1:11" x14ac:dyDescent="0.3">
      <c r="A19" s="10"/>
      <c r="B19" s="73" t="s">
        <v>72</v>
      </c>
      <c r="C19" s="11">
        <v>1</v>
      </c>
      <c r="D19" s="12">
        <f>11/3.281</f>
        <v>3.3526363913441024</v>
      </c>
      <c r="E19" s="13">
        <f>8/12/3.281</f>
        <v>0.20319008432388497</v>
      </c>
      <c r="F19" s="13"/>
      <c r="G19" s="74">
        <f t="shared" si="0"/>
        <v>0.6812224710645336</v>
      </c>
      <c r="H19" s="14"/>
      <c r="I19" s="15"/>
      <c r="J19" s="72"/>
      <c r="K19" s="13"/>
    </row>
    <row r="20" spans="1:11" x14ac:dyDescent="0.3">
      <c r="A20" s="10"/>
      <c r="B20" s="73"/>
      <c r="C20" s="11">
        <v>1</v>
      </c>
      <c r="D20" s="12">
        <v>3.31</v>
      </c>
      <c r="E20" s="13">
        <f>8/12/3.281</f>
        <v>0.20319008432388497</v>
      </c>
      <c r="F20" s="13"/>
      <c r="G20" s="74">
        <f t="shared" si="0"/>
        <v>0.6725591791120592</v>
      </c>
      <c r="H20" s="14"/>
      <c r="I20" s="15"/>
      <c r="J20" s="72"/>
      <c r="K20" s="13"/>
    </row>
    <row r="21" spans="1:11" x14ac:dyDescent="0.3">
      <c r="A21" s="75"/>
      <c r="B21" s="76" t="s">
        <v>19</v>
      </c>
      <c r="C21" s="77"/>
      <c r="D21" s="74"/>
      <c r="E21" s="74"/>
      <c r="F21" s="74"/>
      <c r="G21" s="78">
        <f>SUM(G9:G20)</f>
        <v>46.540743723922667</v>
      </c>
      <c r="H21" s="78" t="s">
        <v>20</v>
      </c>
      <c r="I21" s="79">
        <f>14913.64/1.15</f>
        <v>12968.382608695652</v>
      </c>
      <c r="J21" s="80">
        <f>G21*I21</f>
        <v>603558.17150508007</v>
      </c>
      <c r="K21" s="81"/>
    </row>
    <row r="22" spans="1:11" x14ac:dyDescent="0.3">
      <c r="A22" s="75"/>
      <c r="B22" s="76" t="s">
        <v>60</v>
      </c>
      <c r="C22" s="77"/>
      <c r="D22" s="74"/>
      <c r="E22" s="74"/>
      <c r="F22" s="74"/>
      <c r="G22" s="78"/>
      <c r="H22" s="78"/>
      <c r="I22" s="79"/>
      <c r="J22" s="80">
        <f>0.13*G21*(119145)/10</f>
        <v>72086.25984282796</v>
      </c>
      <c r="K22" s="81"/>
    </row>
    <row r="23" spans="1:11" x14ac:dyDescent="0.3">
      <c r="A23" s="75"/>
      <c r="B23" s="76"/>
      <c r="C23" s="77"/>
      <c r="D23" s="74"/>
      <c r="E23" s="74"/>
      <c r="F23" s="74"/>
      <c r="G23" s="78"/>
      <c r="H23" s="78"/>
      <c r="I23" s="79"/>
      <c r="J23" s="80"/>
      <c r="K23" s="81"/>
    </row>
    <row r="24" spans="1:11" ht="43.2" x14ac:dyDescent="0.3">
      <c r="A24" s="75">
        <v>2</v>
      </c>
      <c r="B24" s="82" t="s">
        <v>73</v>
      </c>
      <c r="C24" s="77"/>
      <c r="D24" s="74"/>
      <c r="E24" s="74"/>
      <c r="F24" s="74"/>
      <c r="G24" s="74"/>
      <c r="H24" s="74"/>
      <c r="I24" s="74"/>
      <c r="J24" s="83"/>
      <c r="K24" s="81"/>
    </row>
    <row r="25" spans="1:11" ht="15" customHeight="1" x14ac:dyDescent="0.3">
      <c r="A25" s="10"/>
      <c r="B25" s="73" t="s">
        <v>42</v>
      </c>
      <c r="C25" s="11">
        <f>C19</f>
        <v>1</v>
      </c>
      <c r="D25" s="13">
        <f>D19</f>
        <v>3.3526363913441024</v>
      </c>
      <c r="E25" s="13"/>
      <c r="F25" s="13"/>
      <c r="G25" s="74">
        <f>PRODUCT(C25:F25)</f>
        <v>3.3526363913441024</v>
      </c>
      <c r="H25" s="14"/>
      <c r="I25" s="15"/>
      <c r="J25" s="72"/>
      <c r="K25" s="13"/>
    </row>
    <row r="26" spans="1:11" ht="15" customHeight="1" x14ac:dyDescent="0.3">
      <c r="A26" s="10"/>
      <c r="B26" s="73"/>
      <c r="C26" s="11">
        <f>C20</f>
        <v>1</v>
      </c>
      <c r="D26" s="13">
        <f>D20</f>
        <v>3.31</v>
      </c>
      <c r="E26" s="13"/>
      <c r="F26" s="13"/>
      <c r="G26" s="74">
        <f>PRODUCT(C26:F26)</f>
        <v>3.31</v>
      </c>
      <c r="H26" s="14"/>
      <c r="I26" s="15"/>
      <c r="J26" s="72"/>
      <c r="K26" s="13"/>
    </row>
    <row r="27" spans="1:11" ht="15" customHeight="1" x14ac:dyDescent="0.3">
      <c r="A27" s="75"/>
      <c r="B27" s="76" t="s">
        <v>19</v>
      </c>
      <c r="C27" s="77"/>
      <c r="D27" s="74"/>
      <c r="E27" s="74"/>
      <c r="F27" s="74"/>
      <c r="G27" s="78">
        <f>SUM(G25:G26)</f>
        <v>6.6626363913441029</v>
      </c>
      <c r="H27" s="78" t="s">
        <v>29</v>
      </c>
      <c r="I27" s="79">
        <f>2563.07/1.15</f>
        <v>2228.7565217391307</v>
      </c>
      <c r="J27" s="80">
        <f>G27*I27</f>
        <v>14849.394309184636</v>
      </c>
      <c r="K27" s="81"/>
    </row>
    <row r="28" spans="1:11" ht="15" customHeight="1" x14ac:dyDescent="0.3">
      <c r="A28" s="75"/>
      <c r="B28" s="76"/>
      <c r="C28" s="77"/>
      <c r="D28" s="74"/>
      <c r="E28" s="74"/>
      <c r="F28" s="74"/>
      <c r="G28" s="74"/>
      <c r="H28" s="74"/>
      <c r="I28" s="74"/>
      <c r="J28" s="83"/>
      <c r="K28" s="81"/>
    </row>
    <row r="29" spans="1:11" ht="43.2" x14ac:dyDescent="0.3">
      <c r="A29" s="75">
        <v>3</v>
      </c>
      <c r="B29" s="82" t="s">
        <v>89</v>
      </c>
      <c r="C29" s="77">
        <v>1</v>
      </c>
      <c r="D29" s="74">
        <v>3.5</v>
      </c>
      <c r="E29" s="74"/>
      <c r="F29" s="74"/>
      <c r="G29" s="74">
        <f>PRODUCT(C29:F29)</f>
        <v>3.5</v>
      </c>
      <c r="H29" s="74"/>
      <c r="I29" s="74"/>
      <c r="J29" s="83"/>
      <c r="K29" s="81"/>
    </row>
    <row r="30" spans="1:11" ht="15" customHeight="1" x14ac:dyDescent="0.3">
      <c r="A30" s="75"/>
      <c r="B30" s="76" t="s">
        <v>19</v>
      </c>
      <c r="C30" s="77"/>
      <c r="D30" s="74"/>
      <c r="E30" s="74"/>
      <c r="F30" s="74"/>
      <c r="G30" s="78">
        <f>SUM(G29:G29)</f>
        <v>3.5</v>
      </c>
      <c r="H30" s="78" t="s">
        <v>43</v>
      </c>
      <c r="I30" s="78">
        <f>4289.73/1.15</f>
        <v>3730.2</v>
      </c>
      <c r="J30" s="80">
        <f>G29*I30</f>
        <v>13055.699999999999</v>
      </c>
      <c r="K30" s="81"/>
    </row>
    <row r="31" spans="1:11" ht="15" customHeight="1" x14ac:dyDescent="0.3">
      <c r="A31" s="75"/>
      <c r="B31" s="76" t="s">
        <v>60</v>
      </c>
      <c r="C31" s="77"/>
      <c r="D31" s="74"/>
      <c r="E31" s="74"/>
      <c r="F31" s="74"/>
      <c r="G31" s="78"/>
      <c r="H31" s="78"/>
      <c r="I31" s="79"/>
      <c r="J31" s="80">
        <f>0.13*G30*(7326/5)</f>
        <v>666.66600000000005</v>
      </c>
      <c r="K31" s="81"/>
    </row>
    <row r="32" spans="1:11" ht="15" customHeight="1" x14ac:dyDescent="0.3">
      <c r="A32" s="75"/>
      <c r="B32" s="76"/>
      <c r="C32" s="77"/>
      <c r="D32" s="74"/>
      <c r="E32" s="74"/>
      <c r="F32" s="74"/>
      <c r="G32" s="74"/>
      <c r="H32" s="74"/>
      <c r="I32" s="74"/>
      <c r="J32" s="83"/>
      <c r="K32" s="81"/>
    </row>
    <row r="33" spans="1:11" ht="43.2" x14ac:dyDescent="0.3">
      <c r="A33" s="75">
        <v>4</v>
      </c>
      <c r="B33" s="82" t="s">
        <v>61</v>
      </c>
      <c r="C33" s="77">
        <v>2</v>
      </c>
      <c r="D33" s="74">
        <v>2</v>
      </c>
      <c r="E33" s="74"/>
      <c r="F33" s="74"/>
      <c r="G33" s="74">
        <f>PRODUCT(C33:F33)</f>
        <v>4</v>
      </c>
      <c r="H33" s="74"/>
      <c r="I33" s="74"/>
      <c r="J33" s="83"/>
      <c r="K33" s="81"/>
    </row>
    <row r="34" spans="1:11" ht="15" customHeight="1" x14ac:dyDescent="0.3">
      <c r="A34" s="75"/>
      <c r="B34" s="76" t="s">
        <v>19</v>
      </c>
      <c r="C34" s="77"/>
      <c r="D34" s="74"/>
      <c r="E34" s="74"/>
      <c r="F34" s="74"/>
      <c r="G34" s="78">
        <f>SUM(G33:G33)</f>
        <v>4</v>
      </c>
      <c r="H34" s="78" t="s">
        <v>43</v>
      </c>
      <c r="I34" s="78">
        <f>4289.73/1.15</f>
        <v>3730.2</v>
      </c>
      <c r="J34" s="80">
        <f>G33*I34</f>
        <v>14920.8</v>
      </c>
      <c r="K34" s="81"/>
    </row>
    <row r="35" spans="1:11" ht="15" customHeight="1" x14ac:dyDescent="0.3">
      <c r="A35" s="75"/>
      <c r="B35" s="76" t="s">
        <v>60</v>
      </c>
      <c r="C35" s="77"/>
      <c r="D35" s="74"/>
      <c r="E35" s="74"/>
      <c r="F35" s="74"/>
      <c r="G35" s="78"/>
      <c r="H35" s="78"/>
      <c r="I35" s="79"/>
      <c r="J35" s="80">
        <f>0.13*G34*(7326/5)</f>
        <v>761.904</v>
      </c>
      <c r="K35" s="81"/>
    </row>
    <row r="36" spans="1:11" ht="15" customHeight="1" x14ac:dyDescent="0.3">
      <c r="A36" s="75"/>
      <c r="B36" s="76"/>
      <c r="C36" s="77"/>
      <c r="D36" s="74"/>
      <c r="E36" s="74"/>
      <c r="F36" s="74"/>
      <c r="G36" s="74"/>
      <c r="H36" s="74"/>
      <c r="I36" s="74"/>
      <c r="J36" s="83"/>
      <c r="K36" s="81"/>
    </row>
    <row r="37" spans="1:11" ht="28.8" x14ac:dyDescent="0.3">
      <c r="A37" s="75">
        <v>5</v>
      </c>
      <c r="B37" s="84" t="s">
        <v>34</v>
      </c>
      <c r="C37" s="77"/>
      <c r="D37" s="74"/>
      <c r="E37" s="74"/>
      <c r="F37" s="74"/>
      <c r="G37" s="74"/>
      <c r="H37" s="74"/>
      <c r="I37" s="74"/>
      <c r="J37" s="83"/>
      <c r="K37" s="81"/>
    </row>
    <row r="38" spans="1:11" ht="15" customHeight="1" x14ac:dyDescent="0.3">
      <c r="A38" s="10"/>
      <c r="B38" s="73" t="s">
        <v>42</v>
      </c>
      <c r="C38" s="11">
        <v>2</v>
      </c>
      <c r="D38" s="12">
        <f>(((15.667+16.25)/2)/3.281)+0.2</f>
        <v>5.063913441024078</v>
      </c>
      <c r="E38" s="13">
        <f>((10.75)/3.281)</f>
        <v>3.2764401097226452</v>
      </c>
      <c r="F38" s="13"/>
      <c r="G38" s="74">
        <f>PRODUCT(C38:F38)</f>
        <v>33.183218220669815</v>
      </c>
      <c r="H38" s="14"/>
      <c r="I38" s="15"/>
      <c r="J38" s="72"/>
      <c r="K38" s="13"/>
    </row>
    <row r="39" spans="1:11" ht="15" customHeight="1" x14ac:dyDescent="0.3">
      <c r="A39" s="75"/>
      <c r="B39" s="76" t="s">
        <v>19</v>
      </c>
      <c r="C39" s="77"/>
      <c r="D39" s="74"/>
      <c r="E39" s="74"/>
      <c r="F39" s="74"/>
      <c r="G39" s="78">
        <f>SUM(G38:G38)</f>
        <v>33.183218220669815</v>
      </c>
      <c r="H39" s="78" t="s">
        <v>20</v>
      </c>
      <c r="I39" s="79">
        <f>685.98/1.15</f>
        <v>596.50434782608704</v>
      </c>
      <c r="J39" s="80">
        <f>G39*I39</f>
        <v>19793.933943491378</v>
      </c>
      <c r="K39" s="81"/>
    </row>
    <row r="40" spans="1:11" ht="15" customHeight="1" x14ac:dyDescent="0.3">
      <c r="A40" s="75"/>
      <c r="B40" s="76" t="s">
        <v>60</v>
      </c>
      <c r="C40" s="77"/>
      <c r="D40" s="74"/>
      <c r="E40" s="74"/>
      <c r="F40" s="74"/>
      <c r="G40" s="78"/>
      <c r="H40" s="78"/>
      <c r="I40" s="79"/>
      <c r="J40" s="80">
        <f>0.13*G39*(1397.55/10)</f>
        <v>602.87768611586228</v>
      </c>
      <c r="K40" s="81"/>
    </row>
    <row r="41" spans="1:11" ht="15" customHeight="1" x14ac:dyDescent="0.3">
      <c r="A41" s="75"/>
      <c r="B41" s="76"/>
      <c r="C41" s="77"/>
      <c r="D41" s="74"/>
      <c r="E41" s="74"/>
      <c r="F41" s="74"/>
      <c r="G41" s="78"/>
      <c r="H41" s="78"/>
      <c r="I41" s="79"/>
      <c r="J41" s="80"/>
      <c r="K41" s="81"/>
    </row>
    <row r="42" spans="1:11" ht="28.8" x14ac:dyDescent="0.3">
      <c r="A42" s="75">
        <v>6</v>
      </c>
      <c r="B42" s="84" t="s">
        <v>62</v>
      </c>
      <c r="C42" s="77"/>
      <c r="D42" s="74"/>
      <c r="E42" s="74"/>
      <c r="F42" s="74"/>
      <c r="G42" s="74"/>
      <c r="H42" s="74"/>
      <c r="I42" s="74"/>
      <c r="J42" s="83"/>
      <c r="K42" s="81"/>
    </row>
    <row r="43" spans="1:11" ht="15" customHeight="1" x14ac:dyDescent="0.3">
      <c r="A43" s="10"/>
      <c r="B43" s="73" t="str">
        <f>B11</f>
        <v>-Strip wood</v>
      </c>
      <c r="C43" s="11">
        <v>4</v>
      </c>
      <c r="D43" s="12">
        <f>D11</f>
        <v>5.1813471502590671</v>
      </c>
      <c r="E43" s="13">
        <v>0.05</v>
      </c>
      <c r="F43" s="13">
        <v>0.05</v>
      </c>
      <c r="G43" s="74">
        <f>PRODUCT(C43:F43)</f>
        <v>5.181347150259067E-2</v>
      </c>
      <c r="H43" s="14"/>
      <c r="I43" s="15"/>
      <c r="J43" s="72"/>
      <c r="K43" s="13"/>
    </row>
    <row r="44" spans="1:11" ht="15" customHeight="1" x14ac:dyDescent="0.3">
      <c r="A44" s="10"/>
      <c r="B44" s="73"/>
      <c r="C44" s="11">
        <v>2</v>
      </c>
      <c r="D44" s="12">
        <f>D12</f>
        <v>4.9781570659351821</v>
      </c>
      <c r="E44" s="13">
        <v>0.05</v>
      </c>
      <c r="F44" s="13">
        <v>0.05</v>
      </c>
      <c r="G44" s="74">
        <f t="shared" ref="G44:G46" si="1">PRODUCT(C44:F44)</f>
        <v>2.4890785329675914E-2</v>
      </c>
      <c r="H44" s="14"/>
      <c r="I44" s="15"/>
      <c r="J44" s="72"/>
      <c r="K44" s="13"/>
    </row>
    <row r="45" spans="1:11" ht="15" customHeight="1" x14ac:dyDescent="0.3">
      <c r="A45" s="10"/>
      <c r="B45" s="73"/>
      <c r="C45" s="11">
        <v>4</v>
      </c>
      <c r="D45" s="12">
        <f>D13</f>
        <v>4.9781570659351821</v>
      </c>
      <c r="E45" s="13">
        <f>2/12/3.281</f>
        <v>5.0797521080971242E-2</v>
      </c>
      <c r="F45" s="13">
        <f>2/12/3.281</f>
        <v>5.0797521080971242E-2</v>
      </c>
      <c r="G45" s="74">
        <f t="shared" si="1"/>
        <v>5.1382309966723223E-2</v>
      </c>
      <c r="H45" s="14"/>
      <c r="I45" s="15"/>
      <c r="J45" s="72"/>
      <c r="K45" s="13"/>
    </row>
    <row r="46" spans="1:11" ht="15" customHeight="1" x14ac:dyDescent="0.3">
      <c r="A46" s="10"/>
      <c r="B46" s="73"/>
      <c r="C46" s="11">
        <v>2</v>
      </c>
      <c r="D46" s="12">
        <f>D14</f>
        <v>4.8257645026922686</v>
      </c>
      <c r="E46" s="13">
        <f>2/12/3.281</f>
        <v>5.0797521080971242E-2</v>
      </c>
      <c r="F46" s="13">
        <f>2/12/3.281</f>
        <v>5.0797521080971242E-2</v>
      </c>
      <c r="G46" s="74">
        <f t="shared" si="1"/>
        <v>2.4904691055299522E-2</v>
      </c>
      <c r="H46" s="14"/>
      <c r="I46" s="15"/>
      <c r="J46" s="72"/>
      <c r="K46" s="13"/>
    </row>
    <row r="47" spans="1:11" ht="15" customHeight="1" x14ac:dyDescent="0.3">
      <c r="A47" s="10"/>
      <c r="B47" s="73" t="str">
        <f>B18</f>
        <v>-ridge</v>
      </c>
      <c r="C47" s="11">
        <v>2</v>
      </c>
      <c r="D47" s="12">
        <f>D18</f>
        <v>1.2</v>
      </c>
      <c r="E47" s="13">
        <f>3/12/3.281</f>
        <v>7.6196281621456863E-2</v>
      </c>
      <c r="F47" s="13">
        <f>4/12/3.281</f>
        <v>0.10159504216194248</v>
      </c>
      <c r="G47" s="74">
        <f>PRODUCT(C47:F47)</f>
        <v>1.8578794665396366E-2</v>
      </c>
      <c r="H47" s="14"/>
      <c r="I47" s="15"/>
      <c r="J47" s="72"/>
      <c r="K47" s="13"/>
    </row>
    <row r="48" spans="1:11" ht="15" customHeight="1" x14ac:dyDescent="0.3">
      <c r="A48" s="10"/>
      <c r="B48" s="73" t="s">
        <v>75</v>
      </c>
      <c r="C48" s="11">
        <v>2</v>
      </c>
      <c r="D48" s="12">
        <f>45/12/3.281</f>
        <v>1.1429442243218531</v>
      </c>
      <c r="E48" s="13">
        <f>3/12/3.281</f>
        <v>7.6196281621456863E-2</v>
      </c>
      <c r="F48" s="13">
        <f>5/12/3.281</f>
        <v>0.12699380270242813</v>
      </c>
      <c r="G48" s="74">
        <f>PRODUCT(C48:F48)</f>
        <v>2.2119297976746291E-2</v>
      </c>
      <c r="H48" s="14"/>
      <c r="I48" s="15"/>
      <c r="J48" s="72"/>
      <c r="K48" s="13"/>
    </row>
    <row r="49" spans="1:11" ht="15" customHeight="1" x14ac:dyDescent="0.3">
      <c r="A49" s="10"/>
      <c r="B49" s="73"/>
      <c r="C49" s="11">
        <v>2</v>
      </c>
      <c r="D49" s="12">
        <f>39/12/3.281</f>
        <v>0.99055166107893933</v>
      </c>
      <c r="E49" s="13">
        <f>3/12/3.281</f>
        <v>7.6196281621456863E-2</v>
      </c>
      <c r="F49" s="13">
        <f>5/12/3.281</f>
        <v>0.12699380270242813</v>
      </c>
      <c r="G49" s="74">
        <f>PRODUCT(C49:F49)</f>
        <v>1.9170058246513449E-2</v>
      </c>
      <c r="H49" s="14"/>
      <c r="I49" s="15"/>
      <c r="J49" s="72"/>
      <c r="K49" s="13"/>
    </row>
    <row r="50" spans="1:11" ht="15" customHeight="1" x14ac:dyDescent="0.3">
      <c r="A50" s="75"/>
      <c r="B50" s="76" t="s">
        <v>19</v>
      </c>
      <c r="C50" s="77"/>
      <c r="D50" s="74"/>
      <c r="E50" s="74"/>
      <c r="F50" s="74"/>
      <c r="G50" s="78">
        <f>SUM(G43:G49)</f>
        <v>0.21285940874294543</v>
      </c>
      <c r="H50" s="78" t="s">
        <v>21</v>
      </c>
      <c r="I50" s="79">
        <f>286497.45/1.15</f>
        <v>249128.21739130438</v>
      </c>
      <c r="J50" s="80">
        <f>G50*I50</f>
        <v>53029.285055097025</v>
      </c>
      <c r="K50" s="81"/>
    </row>
    <row r="51" spans="1:11" ht="15" customHeight="1" x14ac:dyDescent="0.3">
      <c r="A51" s="75"/>
      <c r="B51" s="76" t="s">
        <v>64</v>
      </c>
      <c r="C51" s="77"/>
      <c r="D51" s="74"/>
      <c r="E51" s="74"/>
      <c r="F51" s="74"/>
      <c r="G51" s="78"/>
      <c r="H51" s="78"/>
      <c r="I51" s="79"/>
      <c r="J51" s="80">
        <f>0.13*G50*225887.77</f>
        <v>6250.7038313801177</v>
      </c>
      <c r="K51" s="81"/>
    </row>
    <row r="52" spans="1:11" ht="15" customHeight="1" x14ac:dyDescent="0.3">
      <c r="A52" s="75"/>
      <c r="B52" s="76"/>
      <c r="C52" s="77"/>
      <c r="D52" s="74"/>
      <c r="E52" s="74"/>
      <c r="F52" s="74"/>
      <c r="G52" s="78"/>
      <c r="H52" s="78"/>
      <c r="I52" s="79"/>
      <c r="J52" s="80"/>
      <c r="K52" s="81"/>
    </row>
    <row r="53" spans="1:11" ht="28.8" x14ac:dyDescent="0.3">
      <c r="A53" s="75">
        <v>7</v>
      </c>
      <c r="B53" s="82" t="s">
        <v>87</v>
      </c>
      <c r="C53" s="77"/>
      <c r="D53" s="74"/>
      <c r="E53" s="74"/>
      <c r="F53" s="74"/>
      <c r="G53" s="78"/>
      <c r="H53" s="78"/>
      <c r="I53" s="79"/>
      <c r="J53" s="80"/>
      <c r="K53" s="81"/>
    </row>
    <row r="54" spans="1:11" ht="15" customHeight="1" x14ac:dyDescent="0.3">
      <c r="A54" s="75"/>
      <c r="B54" s="76"/>
      <c r="C54" s="77">
        <v>2</v>
      </c>
      <c r="D54" s="74">
        <f>17/12/3.281</f>
        <v>0.43177892918825561</v>
      </c>
      <c r="E54" s="74"/>
      <c r="F54" s="74">
        <f>12/12/3.281</f>
        <v>0.30478512648582745</v>
      </c>
      <c r="G54" s="74">
        <f>PRODUCT(C54:F54)</f>
        <v>0.26319959109311525</v>
      </c>
      <c r="H54" s="78"/>
      <c r="I54" s="79"/>
      <c r="J54" s="80"/>
      <c r="K54" s="81"/>
    </row>
    <row r="55" spans="1:11" ht="15" customHeight="1" x14ac:dyDescent="0.3">
      <c r="A55" s="75"/>
      <c r="B55" s="76"/>
      <c r="C55" s="77">
        <v>2</v>
      </c>
      <c r="D55" s="74">
        <f>40/12/3.281</f>
        <v>1.0159504216194251</v>
      </c>
      <c r="E55" s="74"/>
      <c r="F55" s="74">
        <f>12/12/3.281</f>
        <v>0.30478512648582745</v>
      </c>
      <c r="G55" s="74">
        <f>PRODUCT(C55:F55)</f>
        <v>0.6192931555132124</v>
      </c>
      <c r="H55" s="78"/>
      <c r="I55" s="79"/>
      <c r="J55" s="80"/>
      <c r="K55" s="81"/>
    </row>
    <row r="56" spans="1:11" ht="15" customHeight="1" x14ac:dyDescent="0.3">
      <c r="A56" s="75"/>
      <c r="B56" s="76" t="s">
        <v>19</v>
      </c>
      <c r="C56" s="77"/>
      <c r="D56" s="74"/>
      <c r="E56" s="74"/>
      <c r="F56" s="74"/>
      <c r="G56" s="78">
        <f>SUM(G54:G55)</f>
        <v>0.8824927466063277</v>
      </c>
      <c r="H56" s="78" t="s">
        <v>21</v>
      </c>
      <c r="I56" s="79">
        <f>6679.1/1.15</f>
        <v>5807.9130434782619</v>
      </c>
      <c r="J56" s="80">
        <f>G56*I56</f>
        <v>5125.4411337898473</v>
      </c>
      <c r="K56" s="81"/>
    </row>
    <row r="57" spans="1:11" ht="15" customHeight="1" x14ac:dyDescent="0.3">
      <c r="A57" s="75"/>
      <c r="B57" s="76" t="s">
        <v>64</v>
      </c>
      <c r="C57" s="77"/>
      <c r="D57" s="74"/>
      <c r="E57" s="74"/>
      <c r="F57" s="74"/>
      <c r="G57" s="78"/>
      <c r="H57" s="78"/>
      <c r="I57" s="79"/>
      <c r="J57" s="80">
        <f>0.13*G56*(571320.75/100)</f>
        <v>655.44234321889326</v>
      </c>
      <c r="K57" s="81"/>
    </row>
    <row r="58" spans="1:11" ht="15" customHeight="1" x14ac:dyDescent="0.3">
      <c r="A58" s="75"/>
      <c r="B58" s="76"/>
      <c r="C58" s="77"/>
      <c r="D58" s="74"/>
      <c r="E58" s="74"/>
      <c r="F58" s="74"/>
      <c r="G58" s="78"/>
      <c r="H58" s="78"/>
      <c r="I58" s="79"/>
      <c r="J58" s="80"/>
      <c r="K58" s="81"/>
    </row>
    <row r="59" spans="1:11" x14ac:dyDescent="0.3">
      <c r="A59" s="75">
        <v>8</v>
      </c>
      <c r="B59" s="84" t="s">
        <v>76</v>
      </c>
      <c r="C59" s="77"/>
      <c r="D59" s="74"/>
      <c r="E59" s="74"/>
      <c r="F59" s="74"/>
      <c r="G59" s="74"/>
      <c r="H59" s="74"/>
      <c r="I59" s="74"/>
      <c r="J59" s="83"/>
      <c r="K59" s="81"/>
    </row>
    <row r="60" spans="1:11" ht="15" customHeight="1" x14ac:dyDescent="0.3">
      <c r="A60" s="75"/>
      <c r="B60" s="85" t="str">
        <f>B48</f>
        <v>-Tundal</v>
      </c>
      <c r="C60" s="77">
        <f>C48</f>
        <v>2</v>
      </c>
      <c r="D60" s="74">
        <f>D48</f>
        <v>1.1429442243218531</v>
      </c>
      <c r="E60" s="74">
        <f>(3*2+5)/12/3.281</f>
        <v>0.27938636594534183</v>
      </c>
      <c r="F60" s="74"/>
      <c r="G60" s="74">
        <f>PRODUCT(C60:F60)</f>
        <v>0.63864606662300016</v>
      </c>
      <c r="H60" s="74"/>
      <c r="I60" s="74"/>
      <c r="J60" s="83"/>
      <c r="K60" s="81"/>
    </row>
    <row r="61" spans="1:11" ht="15" customHeight="1" x14ac:dyDescent="0.3">
      <c r="A61" s="75"/>
      <c r="B61" s="76"/>
      <c r="C61" s="77">
        <f>C49</f>
        <v>2</v>
      </c>
      <c r="D61" s="74">
        <f>D49</f>
        <v>0.99055166107893933</v>
      </c>
      <c r="E61" s="74">
        <f>(3*2+5)/12/3.281</f>
        <v>0.27938636594534183</v>
      </c>
      <c r="F61" s="74"/>
      <c r="G61" s="74">
        <f>PRODUCT(C61:F61)</f>
        <v>0.55349325773993352</v>
      </c>
      <c r="H61" s="74"/>
      <c r="I61" s="74"/>
      <c r="J61" s="83"/>
      <c r="K61" s="81"/>
    </row>
    <row r="62" spans="1:11" ht="15" customHeight="1" x14ac:dyDescent="0.3">
      <c r="A62" s="75"/>
      <c r="B62" s="76" t="s">
        <v>19</v>
      </c>
      <c r="C62" s="77"/>
      <c r="D62" s="74"/>
      <c r="E62" s="74"/>
      <c r="F62" s="74"/>
      <c r="G62" s="78">
        <f>SUM(G60:G61)</f>
        <v>1.1921393243629337</v>
      </c>
      <c r="H62" s="78" t="s">
        <v>20</v>
      </c>
      <c r="I62" s="79">
        <f>15743.5/1.15</f>
        <v>13690.000000000002</v>
      </c>
      <c r="J62" s="80">
        <f>G62*I62</f>
        <v>16320.387350528565</v>
      </c>
      <c r="K62" s="81"/>
    </row>
    <row r="63" spans="1:11" x14ac:dyDescent="0.3">
      <c r="A63" s="75"/>
      <c r="B63" s="82"/>
      <c r="C63" s="77"/>
      <c r="D63" s="74"/>
      <c r="E63" s="74"/>
      <c r="F63" s="74"/>
      <c r="G63" s="74"/>
      <c r="H63" s="74"/>
      <c r="I63" s="74"/>
      <c r="J63" s="83"/>
      <c r="K63" s="81"/>
    </row>
    <row r="64" spans="1:11" ht="28.8" x14ac:dyDescent="0.3">
      <c r="A64" s="75">
        <v>9</v>
      </c>
      <c r="B64" s="82" t="s">
        <v>65</v>
      </c>
      <c r="C64" s="77"/>
      <c r="D64" s="74"/>
      <c r="E64" s="74"/>
      <c r="F64" s="74"/>
      <c r="G64" s="74"/>
      <c r="H64" s="74"/>
      <c r="I64" s="74"/>
      <c r="J64" s="83"/>
      <c r="K64" s="81"/>
    </row>
    <row r="65" spans="1:15" ht="15" customHeight="1" x14ac:dyDescent="0.3">
      <c r="A65" s="75"/>
      <c r="B65" s="76" t="s">
        <v>59</v>
      </c>
      <c r="C65" s="77">
        <v>1</v>
      </c>
      <c r="D65" s="74">
        <v>0.9</v>
      </c>
      <c r="E65" s="74"/>
      <c r="F65" s="74">
        <v>1.5</v>
      </c>
      <c r="G65" s="74">
        <f>PRODUCT(C65:F65)</f>
        <v>1.35</v>
      </c>
      <c r="H65" s="74"/>
      <c r="I65" s="74"/>
      <c r="J65" s="83"/>
      <c r="K65" s="81"/>
    </row>
    <row r="66" spans="1:15" ht="15" customHeight="1" x14ac:dyDescent="0.3">
      <c r="A66" s="75"/>
      <c r="B66" s="76" t="s">
        <v>74</v>
      </c>
      <c r="C66" s="77">
        <v>-2</v>
      </c>
      <c r="D66" s="74">
        <v>0.88</v>
      </c>
      <c r="E66" s="74"/>
      <c r="F66" s="74">
        <v>0.3</v>
      </c>
      <c r="G66" s="74">
        <f>PRODUCT(C66:F66)</f>
        <v>-0.52800000000000002</v>
      </c>
      <c r="H66" s="74"/>
      <c r="I66" s="74"/>
      <c r="J66" s="83"/>
      <c r="K66" s="81"/>
    </row>
    <row r="67" spans="1:15" ht="15" customHeight="1" x14ac:dyDescent="0.3">
      <c r="A67" s="75"/>
      <c r="B67" s="76" t="s">
        <v>84</v>
      </c>
      <c r="C67" s="77">
        <v>1</v>
      </c>
      <c r="D67" s="74">
        <v>0.73</v>
      </c>
      <c r="E67" s="74"/>
      <c r="F67" s="74">
        <v>0.23</v>
      </c>
      <c r="G67" s="74">
        <f>PRODUCT(C67:F67)</f>
        <v>0.16789999999999999</v>
      </c>
      <c r="H67" s="74"/>
      <c r="I67" s="74"/>
      <c r="J67" s="83"/>
      <c r="K67" s="81"/>
    </row>
    <row r="68" spans="1:15" ht="15" customHeight="1" x14ac:dyDescent="0.3">
      <c r="A68" s="75"/>
      <c r="B68" s="76"/>
      <c r="C68" s="77">
        <v>4</v>
      </c>
      <c r="D68" s="74">
        <v>0.15</v>
      </c>
      <c r="E68" s="74"/>
      <c r="F68" s="74">
        <v>0.1</v>
      </c>
      <c r="G68" s="74">
        <f>PRODUCT(C68:F68)</f>
        <v>0.06</v>
      </c>
      <c r="H68" s="74"/>
      <c r="I68" s="74"/>
      <c r="J68" s="83"/>
      <c r="K68" s="81"/>
    </row>
    <row r="69" spans="1:15" ht="15" customHeight="1" x14ac:dyDescent="0.3">
      <c r="A69" s="75"/>
      <c r="B69" s="76" t="s">
        <v>19</v>
      </c>
      <c r="C69" s="77"/>
      <c r="D69" s="74"/>
      <c r="E69" s="74"/>
      <c r="F69" s="74"/>
      <c r="G69" s="78">
        <f>SUM(G65:G68)</f>
        <v>1.0499000000000001</v>
      </c>
      <c r="H69" s="78" t="s">
        <v>20</v>
      </c>
      <c r="I69" s="78">
        <f>50828.44/1.15</f>
        <v>44198.643478260878</v>
      </c>
      <c r="J69" s="80">
        <f>G69*I69</f>
        <v>46404.155787826101</v>
      </c>
      <c r="K69" s="81"/>
      <c r="M69">
        <v>73689.555541760725</v>
      </c>
    </row>
    <row r="70" spans="1:15" x14ac:dyDescent="0.3">
      <c r="A70" s="75"/>
      <c r="B70" s="82"/>
      <c r="C70" s="77"/>
      <c r="D70" s="74"/>
      <c r="E70" s="74"/>
      <c r="F70" s="74"/>
      <c r="G70" s="74"/>
      <c r="H70" s="74"/>
      <c r="I70" s="74"/>
      <c r="J70" s="83"/>
      <c r="K70" s="81"/>
    </row>
    <row r="71" spans="1:15" ht="43.2" x14ac:dyDescent="0.3">
      <c r="A71" s="75">
        <v>10</v>
      </c>
      <c r="B71" s="82" t="s">
        <v>53</v>
      </c>
      <c r="C71" s="77"/>
      <c r="D71" s="74"/>
      <c r="E71" s="74"/>
      <c r="F71" s="74"/>
      <c r="G71" s="74"/>
      <c r="H71" s="74"/>
      <c r="I71" s="74"/>
      <c r="J71" s="83"/>
      <c r="K71" s="81"/>
    </row>
    <row r="72" spans="1:15" ht="15" customHeight="1" x14ac:dyDescent="0.3">
      <c r="A72" s="75"/>
      <c r="B72" s="76" t="s">
        <v>39</v>
      </c>
      <c r="C72" s="77">
        <v>2</v>
      </c>
      <c r="D72" s="74">
        <f>D66</f>
        <v>0.88</v>
      </c>
      <c r="E72" s="74"/>
      <c r="F72" s="74">
        <f>F66</f>
        <v>0.3</v>
      </c>
      <c r="G72" s="74">
        <f>PRODUCT(C72:F72)</f>
        <v>0.52800000000000002</v>
      </c>
      <c r="H72" s="74"/>
      <c r="I72" s="74"/>
      <c r="J72" s="83"/>
      <c r="K72" s="81"/>
      <c r="O72">
        <f>0.93-0.05*2</f>
        <v>0.83000000000000007</v>
      </c>
    </row>
    <row r="73" spans="1:15" ht="15" customHeight="1" x14ac:dyDescent="0.3">
      <c r="A73" s="75"/>
      <c r="B73" s="76" t="s">
        <v>19</v>
      </c>
      <c r="C73" s="77"/>
      <c r="D73" s="74"/>
      <c r="E73" s="74"/>
      <c r="F73" s="74"/>
      <c r="G73" s="78">
        <f>SUM(G72:G72)</f>
        <v>0.52800000000000002</v>
      </c>
      <c r="H73" s="78" t="s">
        <v>20</v>
      </c>
      <c r="I73" s="79">
        <f>69579.92/1.15</f>
        <v>60504.278260869571</v>
      </c>
      <c r="J73" s="80">
        <f>G73*I73</f>
        <v>31946.258921739136</v>
      </c>
      <c r="K73" s="81"/>
      <c r="M73">
        <v>15973.129460869568</v>
      </c>
    </row>
    <row r="74" spans="1:15" ht="15" customHeight="1" x14ac:dyDescent="0.3">
      <c r="A74" s="75"/>
      <c r="B74" s="76" t="s">
        <v>64</v>
      </c>
      <c r="C74" s="77"/>
      <c r="D74" s="74"/>
      <c r="E74" s="74"/>
      <c r="F74" s="74"/>
      <c r="G74" s="78"/>
      <c r="H74" s="78"/>
      <c r="I74" s="79"/>
      <c r="J74" s="80">
        <f>0.13*G73*(9888.94/0.92)</f>
        <v>737.80091478260874</v>
      </c>
      <c r="K74" s="81"/>
      <c r="M74">
        <v>368.90045739130437</v>
      </c>
    </row>
    <row r="75" spans="1:15" ht="15" customHeight="1" x14ac:dyDescent="0.3">
      <c r="A75" s="75"/>
      <c r="B75" s="76"/>
      <c r="C75" s="77"/>
      <c r="D75" s="74"/>
      <c r="E75" s="74"/>
      <c r="F75" s="74"/>
      <c r="G75" s="74"/>
      <c r="H75" s="74"/>
      <c r="I75" s="74"/>
      <c r="J75" s="83"/>
      <c r="K75" s="81"/>
    </row>
    <row r="76" spans="1:15" ht="28.8" x14ac:dyDescent="0.3">
      <c r="A76" s="75">
        <v>11</v>
      </c>
      <c r="B76" s="84" t="s">
        <v>58</v>
      </c>
      <c r="C76" s="77"/>
      <c r="D76" s="74"/>
      <c r="E76" s="74"/>
      <c r="F76" s="74"/>
      <c r="G76" s="74"/>
      <c r="H76" s="74"/>
      <c r="I76" s="74"/>
      <c r="J76" s="83"/>
      <c r="K76" s="81"/>
    </row>
    <row r="77" spans="1:15" x14ac:dyDescent="0.3">
      <c r="A77" s="75"/>
      <c r="B77" s="76" t="s">
        <v>37</v>
      </c>
      <c r="C77" s="77">
        <v>2</v>
      </c>
      <c r="D77" s="74">
        <f>7/3.281</f>
        <v>2.1334958854007922</v>
      </c>
      <c r="E77" s="74">
        <f>0.1</f>
        <v>0.1</v>
      </c>
      <c r="F77" s="74">
        <v>0.125</v>
      </c>
      <c r="G77" s="74">
        <f>PRODUCT(C77:F77)</f>
        <v>5.333739713501981E-2</v>
      </c>
      <c r="H77" s="74"/>
      <c r="I77" s="74"/>
      <c r="J77" s="83"/>
      <c r="K77" s="81"/>
    </row>
    <row r="78" spans="1:15" x14ac:dyDescent="0.3">
      <c r="A78" s="75"/>
      <c r="B78" s="76"/>
      <c r="C78" s="77">
        <v>1</v>
      </c>
      <c r="D78" s="74">
        <f>4/3.281</f>
        <v>1.2191405059433098</v>
      </c>
      <c r="E78" s="74">
        <v>0.1</v>
      </c>
      <c r="F78" s="74">
        <v>0.125</v>
      </c>
      <c r="G78" s="74">
        <f>PRODUCT(C78:F78)</f>
        <v>1.5239256324291373E-2</v>
      </c>
      <c r="H78" s="74"/>
      <c r="I78" s="74"/>
      <c r="J78" s="83"/>
      <c r="K78" s="81"/>
    </row>
    <row r="79" spans="1:15" x14ac:dyDescent="0.3">
      <c r="A79" s="75"/>
      <c r="B79" s="76"/>
      <c r="C79" s="77">
        <v>1</v>
      </c>
      <c r="D79" s="74">
        <f>4/3.281</f>
        <v>1.2191405059433098</v>
      </c>
      <c r="E79" s="74">
        <f>3/12/3.281</f>
        <v>7.6196281621456863E-2</v>
      </c>
      <c r="F79" s="74">
        <f>7/12/3.281</f>
        <v>0.17779132378339937</v>
      </c>
      <c r="G79" s="74">
        <f>PRODUCT(C79:F79)</f>
        <v>1.6515742489303892E-2</v>
      </c>
      <c r="H79" s="74"/>
      <c r="I79" s="74"/>
      <c r="J79" s="83"/>
      <c r="K79" s="81"/>
    </row>
    <row r="80" spans="1:15" x14ac:dyDescent="0.3">
      <c r="A80" s="75"/>
      <c r="B80" s="76" t="s">
        <v>38</v>
      </c>
      <c r="C80" s="77">
        <v>2</v>
      </c>
      <c r="D80" s="74">
        <f>5/3.281</f>
        <v>1.5239256324291375</v>
      </c>
      <c r="E80" s="74">
        <f>0.1</f>
        <v>0.1</v>
      </c>
      <c r="F80" s="74">
        <f>3/12/3.281</f>
        <v>7.6196281621456863E-2</v>
      </c>
      <c r="G80" s="74">
        <f>PRODUCT(C80:F80)</f>
        <v>2.3223493331745462E-2</v>
      </c>
      <c r="H80" s="74"/>
      <c r="I80" s="74"/>
      <c r="J80" s="83"/>
      <c r="K80" s="81"/>
    </row>
    <row r="81" spans="1:13" x14ac:dyDescent="0.3">
      <c r="A81" s="75"/>
      <c r="B81" s="76"/>
      <c r="C81" s="77">
        <v>2</v>
      </c>
      <c r="D81" s="74">
        <f>4.5/3.281</f>
        <v>1.3715330691862238</v>
      </c>
      <c r="E81" s="74">
        <v>0.15</v>
      </c>
      <c r="F81" s="74">
        <f>3/12/3.281</f>
        <v>7.6196281621456863E-2</v>
      </c>
      <c r="G81" s="74">
        <f>PRODUCT(C81:F81)</f>
        <v>3.1351715997856376E-2</v>
      </c>
      <c r="H81" s="74"/>
      <c r="I81" s="74"/>
      <c r="J81" s="83"/>
      <c r="K81" s="81"/>
    </row>
    <row r="82" spans="1:13" ht="15" customHeight="1" x14ac:dyDescent="0.3">
      <c r="A82" s="75"/>
      <c r="B82" s="76" t="s">
        <v>19</v>
      </c>
      <c r="C82" s="77"/>
      <c r="D82" s="74"/>
      <c r="E82" s="74"/>
      <c r="F82" s="74"/>
      <c r="G82" s="78">
        <f>SUM(G77:G81)</f>
        <v>0.13966760527821692</v>
      </c>
      <c r="H82" s="78" t="s">
        <v>21</v>
      </c>
      <c r="I82" s="79">
        <f>353723.98/1.15</f>
        <v>307586.06956521742</v>
      </c>
      <c r="J82" s="80">
        <f>G82*I82</f>
        <v>42959.809753112961</v>
      </c>
      <c r="K82" s="81"/>
      <c r="M82">
        <f>1.03*3.281</f>
        <v>3.3794300000000002</v>
      </c>
    </row>
    <row r="83" spans="1:13" ht="15" customHeight="1" x14ac:dyDescent="0.3">
      <c r="A83" s="75"/>
      <c r="B83" s="76" t="s">
        <v>64</v>
      </c>
      <c r="C83" s="77"/>
      <c r="D83" s="74"/>
      <c r="E83" s="74"/>
      <c r="F83" s="74"/>
      <c r="G83" s="78"/>
      <c r="H83" s="78"/>
      <c r="I83" s="79"/>
      <c r="J83" s="80">
        <f>0.13*G82*262808.07</f>
        <v>4771.7505920097001</v>
      </c>
      <c r="K83" s="81"/>
    </row>
    <row r="84" spans="1:13" x14ac:dyDescent="0.3">
      <c r="A84" s="75"/>
      <c r="B84" s="76"/>
      <c r="C84" s="77"/>
      <c r="D84" s="74"/>
      <c r="E84" s="74"/>
      <c r="F84" s="74"/>
      <c r="G84" s="74"/>
      <c r="H84" s="74"/>
      <c r="I84" s="74"/>
      <c r="J84" s="83"/>
      <c r="K84" s="81"/>
    </row>
    <row r="85" spans="1:13" ht="15.6" x14ac:dyDescent="0.3">
      <c r="A85" s="75">
        <v>12</v>
      </c>
      <c r="B85" s="9" t="s">
        <v>36</v>
      </c>
      <c r="C85" s="77"/>
      <c r="D85" s="74"/>
      <c r="E85" s="74"/>
      <c r="F85" s="74"/>
      <c r="G85" s="74"/>
      <c r="H85" s="74"/>
      <c r="I85" s="74"/>
      <c r="J85" s="83"/>
      <c r="K85" s="81"/>
    </row>
    <row r="86" spans="1:13" x14ac:dyDescent="0.3">
      <c r="A86" s="75"/>
      <c r="B86" s="92" t="s">
        <v>79</v>
      </c>
      <c r="C86" s="77">
        <v>2</v>
      </c>
      <c r="D86" s="74">
        <f>6/3.281</f>
        <v>1.8287107589149649</v>
      </c>
      <c r="E86" s="74">
        <v>0.1</v>
      </c>
      <c r="F86" s="74">
        <v>0.05</v>
      </c>
      <c r="G86" s="74">
        <f t="shared" ref="G86:G95" si="2">PRODUCT(C86:F86)</f>
        <v>1.8287107589149653E-2</v>
      </c>
      <c r="H86" s="74"/>
      <c r="I86" s="74"/>
      <c r="J86" s="83"/>
      <c r="K86" s="81"/>
    </row>
    <row r="87" spans="1:13" x14ac:dyDescent="0.3">
      <c r="A87" s="75"/>
      <c r="B87" s="76"/>
      <c r="C87" s="77">
        <v>2</v>
      </c>
      <c r="D87" s="74">
        <f>4.5/3.281</f>
        <v>1.3715330691862238</v>
      </c>
      <c r="E87" s="74">
        <v>0.1</v>
      </c>
      <c r="F87" s="74">
        <v>0.05</v>
      </c>
      <c r="G87" s="74">
        <f t="shared" si="2"/>
        <v>1.3715330691862239E-2</v>
      </c>
      <c r="H87" s="74"/>
      <c r="I87" s="74"/>
      <c r="J87" s="83"/>
      <c r="K87" s="81"/>
    </row>
    <row r="88" spans="1:13" x14ac:dyDescent="0.3">
      <c r="A88" s="75"/>
      <c r="B88" s="76" t="s">
        <v>80</v>
      </c>
      <c r="C88" s="77">
        <v>1</v>
      </c>
      <c r="D88" s="74">
        <f>1.5</f>
        <v>1.5</v>
      </c>
      <c r="E88" s="74">
        <v>0.1</v>
      </c>
      <c r="F88" s="74">
        <v>0.05</v>
      </c>
      <c r="G88" s="74">
        <f t="shared" si="2"/>
        <v>7.5000000000000015E-3</v>
      </c>
      <c r="H88" s="74"/>
      <c r="I88" s="74"/>
      <c r="J88" s="83"/>
      <c r="K88" s="81"/>
    </row>
    <row r="89" spans="1:13" x14ac:dyDescent="0.3">
      <c r="A89" s="75"/>
      <c r="B89" s="76" t="s">
        <v>81</v>
      </c>
      <c r="C89" s="77">
        <v>1</v>
      </c>
      <c r="D89" s="74">
        <v>0.9</v>
      </c>
      <c r="E89" s="74">
        <v>7.4999999999999997E-2</v>
      </c>
      <c r="F89" s="74">
        <v>0.125</v>
      </c>
      <c r="G89" s="74">
        <f t="shared" si="2"/>
        <v>8.4375000000000006E-3</v>
      </c>
      <c r="H89" s="74"/>
      <c r="I89" s="74"/>
      <c r="J89" s="83"/>
      <c r="K89" s="81"/>
    </row>
    <row r="90" spans="1:13" x14ac:dyDescent="0.3">
      <c r="A90" s="75"/>
      <c r="B90" s="76" t="s">
        <v>82</v>
      </c>
      <c r="C90" s="77">
        <v>1</v>
      </c>
      <c r="D90" s="74">
        <f>2.33/3.281</f>
        <v>0.71014934471197799</v>
      </c>
      <c r="E90" s="74">
        <v>2.5000000000000001E-2</v>
      </c>
      <c r="F90" s="74">
        <v>0.05</v>
      </c>
      <c r="G90" s="74">
        <f t="shared" si="2"/>
        <v>8.876866808899726E-4</v>
      </c>
      <c r="H90" s="74"/>
      <c r="I90" s="74"/>
      <c r="J90" s="83"/>
      <c r="K90" s="81"/>
    </row>
    <row r="91" spans="1:13" x14ac:dyDescent="0.3">
      <c r="A91" s="75"/>
      <c r="B91" s="76" t="s">
        <v>83</v>
      </c>
      <c r="C91" s="77">
        <v>2</v>
      </c>
      <c r="D91" s="74">
        <f>7/12/3.281</f>
        <v>0.17779132378339937</v>
      </c>
      <c r="E91" s="74">
        <f>1.5/12/3.281</f>
        <v>3.8098140810728431E-2</v>
      </c>
      <c r="F91" s="74">
        <f>1.5/12/3.281</f>
        <v>3.8098140810728431E-2</v>
      </c>
      <c r="G91" s="74">
        <f t="shared" si="2"/>
        <v>5.1611695279074664E-4</v>
      </c>
      <c r="H91" s="74"/>
      <c r="I91" s="74"/>
      <c r="J91" s="83"/>
      <c r="K91" s="81"/>
      <c r="M91" s="34">
        <f>G82+G99</f>
        <v>0.26563338377585882</v>
      </c>
    </row>
    <row r="92" spans="1:13" x14ac:dyDescent="0.3">
      <c r="A92" s="75"/>
      <c r="B92" s="76" t="s">
        <v>84</v>
      </c>
      <c r="C92" s="77">
        <v>1</v>
      </c>
      <c r="D92" s="74">
        <v>0.73</v>
      </c>
      <c r="E92" s="74">
        <v>0.05</v>
      </c>
      <c r="F92" s="74">
        <v>0.23</v>
      </c>
      <c r="G92" s="74">
        <f t="shared" si="2"/>
        <v>8.3949999999999997E-3</v>
      </c>
      <c r="H92" s="74"/>
      <c r="I92" s="74"/>
      <c r="J92" s="83"/>
      <c r="K92" s="81"/>
    </row>
    <row r="93" spans="1:13" x14ac:dyDescent="0.3">
      <c r="A93" s="75"/>
      <c r="B93" s="76" t="s">
        <v>85</v>
      </c>
      <c r="C93" s="77">
        <v>1</v>
      </c>
      <c r="D93" s="74">
        <v>0.32</v>
      </c>
      <c r="E93" s="74">
        <v>0.72</v>
      </c>
      <c r="F93" s="74">
        <v>0.05</v>
      </c>
      <c r="G93" s="74">
        <f t="shared" si="2"/>
        <v>1.1520000000000001E-2</v>
      </c>
      <c r="H93" s="74"/>
      <c r="I93" s="74"/>
      <c r="J93" s="83"/>
      <c r="K93" s="81"/>
    </row>
    <row r="94" spans="1:13" x14ac:dyDescent="0.3">
      <c r="A94" s="75"/>
      <c r="B94" s="76" t="s">
        <v>86</v>
      </c>
      <c r="C94" s="77">
        <v>4</v>
      </c>
      <c r="D94" s="74">
        <v>0.93</v>
      </c>
      <c r="E94" s="74">
        <v>0.05</v>
      </c>
      <c r="F94" s="74">
        <v>7.4999999999999997E-2</v>
      </c>
      <c r="G94" s="74">
        <f t="shared" si="2"/>
        <v>1.3950000000000002E-2</v>
      </c>
      <c r="H94" s="74"/>
      <c r="I94" s="74"/>
      <c r="J94" s="83"/>
      <c r="K94" s="81"/>
    </row>
    <row r="95" spans="1:13" x14ac:dyDescent="0.3">
      <c r="A95" s="75"/>
      <c r="B95" s="76"/>
      <c r="C95" s="77">
        <v>4</v>
      </c>
      <c r="D95" s="74">
        <v>0.36</v>
      </c>
      <c r="E95" s="74">
        <v>0.05</v>
      </c>
      <c r="F95" s="74">
        <v>7.4999999999999997E-2</v>
      </c>
      <c r="G95" s="74">
        <f t="shared" si="2"/>
        <v>5.3999999999999994E-3</v>
      </c>
      <c r="H95" s="74"/>
      <c r="I95" s="74"/>
      <c r="J95" s="83"/>
      <c r="K95" s="81"/>
    </row>
    <row r="96" spans="1:13" x14ac:dyDescent="0.3">
      <c r="A96" s="75"/>
      <c r="B96" s="76" t="s">
        <v>90</v>
      </c>
      <c r="C96" s="77">
        <v>2</v>
      </c>
      <c r="D96" s="74">
        <f>6.75/3.281</f>
        <v>2.0572996037793354</v>
      </c>
      <c r="E96" s="74">
        <f>4/12/3.281</f>
        <v>0.10159504216194248</v>
      </c>
      <c r="F96" s="74">
        <f>2/12/3.281</f>
        <v>5.0797521080971242E-2</v>
      </c>
      <c r="G96" s="74">
        <f>PRODUCT(C96:F96)</f>
        <v>2.1234526057676433E-2</v>
      </c>
      <c r="H96" s="74"/>
      <c r="I96" s="74"/>
      <c r="J96" s="83"/>
      <c r="K96" s="81"/>
    </row>
    <row r="97" spans="1:14" x14ac:dyDescent="0.3">
      <c r="A97" s="75"/>
      <c r="B97" s="76"/>
      <c r="C97" s="77">
        <v>1</v>
      </c>
      <c r="D97" s="74">
        <f>4/3.281</f>
        <v>1.2191405059433098</v>
      </c>
      <c r="E97" s="74">
        <f>4/12/3.281</f>
        <v>0.10159504216194248</v>
      </c>
      <c r="F97" s="74">
        <f>2/12/3.281</f>
        <v>5.0797521080971242E-2</v>
      </c>
      <c r="G97" s="74">
        <f>PRODUCT(C97:F97)</f>
        <v>6.2917114244967201E-3</v>
      </c>
      <c r="H97" s="74"/>
      <c r="I97" s="74"/>
      <c r="J97" s="83"/>
      <c r="K97" s="81"/>
    </row>
    <row r="98" spans="1:14" x14ac:dyDescent="0.3">
      <c r="A98" s="75"/>
      <c r="B98" s="76"/>
      <c r="C98" s="77">
        <v>1</v>
      </c>
      <c r="D98" s="74">
        <f>5/3.281</f>
        <v>1.5239256324291375</v>
      </c>
      <c r="E98" s="74">
        <f>5/12/3.281</f>
        <v>0.12699380270242813</v>
      </c>
      <c r="F98" s="74">
        <f>2/12/3.281</f>
        <v>5.0797521080971242E-2</v>
      </c>
      <c r="G98" s="74">
        <f>PRODUCT(C98:F98)</f>
        <v>9.8307991007761299E-3</v>
      </c>
      <c r="H98" s="74"/>
      <c r="I98" s="74"/>
      <c r="J98" s="83"/>
      <c r="K98" s="81"/>
    </row>
    <row r="99" spans="1:14" ht="15" customHeight="1" x14ac:dyDescent="0.3">
      <c r="A99" s="75"/>
      <c r="B99" s="76" t="s">
        <v>19</v>
      </c>
      <c r="C99" s="77"/>
      <c r="D99" s="74"/>
      <c r="E99" s="74"/>
      <c r="F99" s="74"/>
      <c r="G99" s="78">
        <f>SUM(G86:G98)</f>
        <v>0.1259657784976419</v>
      </c>
      <c r="H99" s="78" t="s">
        <v>21</v>
      </c>
      <c r="I99" s="79">
        <v>284000.83</v>
      </c>
      <c r="J99" s="80">
        <f>G99*I99</f>
        <v>35774.385644926457</v>
      </c>
      <c r="K99" s="81"/>
      <c r="M99">
        <f>1.03*3.281</f>
        <v>3.3794300000000002</v>
      </c>
    </row>
    <row r="100" spans="1:14" ht="15" customHeight="1" x14ac:dyDescent="0.3">
      <c r="A100" s="75"/>
      <c r="B100" s="76" t="s">
        <v>64</v>
      </c>
      <c r="C100" s="77"/>
      <c r="D100" s="74"/>
      <c r="E100" s="74"/>
      <c r="F100" s="74"/>
      <c r="G100" s="78"/>
      <c r="H100" s="78"/>
      <c r="I100" s="79"/>
      <c r="J100" s="80">
        <f>0.13*G99*239222.83</f>
        <v>3917.4057019966758</v>
      </c>
      <c r="K100" s="81"/>
    </row>
    <row r="101" spans="1:14" ht="15" customHeight="1" x14ac:dyDescent="0.3">
      <c r="A101" s="75"/>
      <c r="B101" s="76"/>
      <c r="C101" s="77"/>
      <c r="D101" s="74"/>
      <c r="E101" s="74"/>
      <c r="F101" s="74"/>
      <c r="G101" s="78"/>
      <c r="H101" s="78"/>
      <c r="I101" s="79"/>
      <c r="J101" s="80"/>
      <c r="K101" s="81"/>
    </row>
    <row r="102" spans="1:14" ht="30.6" x14ac:dyDescent="0.3">
      <c r="A102" s="75">
        <v>13</v>
      </c>
      <c r="B102" s="9" t="s">
        <v>40</v>
      </c>
      <c r="C102" s="77"/>
      <c r="D102" s="74"/>
      <c r="E102" s="74"/>
      <c r="F102" s="74"/>
      <c r="G102" s="74"/>
      <c r="H102" s="74"/>
      <c r="I102" s="74"/>
      <c r="J102" s="83"/>
      <c r="K102" s="81"/>
    </row>
    <row r="103" spans="1:14" ht="15" customHeight="1" x14ac:dyDescent="0.3">
      <c r="A103" s="75"/>
      <c r="B103" s="76" t="s">
        <v>41</v>
      </c>
      <c r="C103" s="77">
        <v>1</v>
      </c>
      <c r="D103" s="74">
        <v>0.95</v>
      </c>
      <c r="E103" s="74"/>
      <c r="F103" s="74">
        <v>1.85</v>
      </c>
      <c r="G103" s="74">
        <f>PRODUCT(C103:F103)</f>
        <v>1.7575000000000001</v>
      </c>
      <c r="H103" s="74"/>
      <c r="I103" s="74"/>
      <c r="J103" s="83"/>
      <c r="K103" s="81"/>
    </row>
    <row r="104" spans="1:14" ht="15" customHeight="1" x14ac:dyDescent="0.3">
      <c r="A104" s="75"/>
      <c r="B104" s="76" t="s">
        <v>19</v>
      </c>
      <c r="C104" s="77"/>
      <c r="D104" s="74"/>
      <c r="E104" s="74"/>
      <c r="F104" s="74"/>
      <c r="G104" s="78">
        <f>SUM(G103:G103)</f>
        <v>1.7575000000000001</v>
      </c>
      <c r="H104" s="78" t="s">
        <v>20</v>
      </c>
      <c r="I104" s="79">
        <f>15859.11</f>
        <v>15859.11</v>
      </c>
      <c r="J104" s="80">
        <f>G104*I104</f>
        <v>27872.385825000001</v>
      </c>
      <c r="K104" s="81"/>
    </row>
    <row r="105" spans="1:14" ht="15" customHeight="1" x14ac:dyDescent="0.3">
      <c r="A105" s="75"/>
      <c r="B105" s="76" t="s">
        <v>64</v>
      </c>
      <c r="C105" s="77"/>
      <c r="D105" s="74"/>
      <c r="E105" s="74"/>
      <c r="F105" s="74"/>
      <c r="G105" s="78"/>
      <c r="H105" s="78"/>
      <c r="I105" s="79"/>
      <c r="J105" s="80">
        <f>0.13*G104*(20356.18/2.114)</f>
        <v>2200.0370035477767</v>
      </c>
      <c r="K105" s="81"/>
    </row>
    <row r="106" spans="1:14" ht="15.6" x14ac:dyDescent="0.3">
      <c r="A106" s="75"/>
      <c r="B106" s="9"/>
      <c r="C106" s="77"/>
      <c r="D106" s="74"/>
      <c r="E106" s="74"/>
      <c r="F106" s="74"/>
      <c r="G106" s="74"/>
      <c r="H106" s="74"/>
      <c r="I106" s="74"/>
      <c r="J106" s="83"/>
      <c r="K106" s="81"/>
    </row>
    <row r="107" spans="1:14" x14ac:dyDescent="0.3">
      <c r="A107" s="75">
        <v>14</v>
      </c>
      <c r="B107" s="82" t="s">
        <v>66</v>
      </c>
      <c r="C107" s="77"/>
      <c r="D107" s="74"/>
      <c r="E107" s="74"/>
      <c r="F107" s="74"/>
      <c r="G107" s="74"/>
      <c r="H107" s="74"/>
      <c r="I107" s="74"/>
      <c r="J107" s="83"/>
      <c r="K107" s="81"/>
    </row>
    <row r="108" spans="1:14" ht="15" customHeight="1" x14ac:dyDescent="0.3">
      <c r="A108" s="75"/>
      <c r="B108" s="76" t="s">
        <v>41</v>
      </c>
      <c r="C108" s="77">
        <v>1</v>
      </c>
      <c r="D108" s="74">
        <f>1.2+(2.5/12/3.281)*2</f>
        <v>1.3269938027024282</v>
      </c>
      <c r="E108" s="74"/>
      <c r="F108" s="74">
        <f>2.07+(2.5/12/3.281)</f>
        <v>2.1334969013512137</v>
      </c>
      <c r="G108" s="74">
        <f>PRODUCT(C108:F108)</f>
        <v>2.8311371661778946</v>
      </c>
      <c r="H108" s="74"/>
      <c r="I108" s="74"/>
      <c r="J108" s="83"/>
      <c r="K108" s="81"/>
    </row>
    <row r="109" spans="1:14" ht="15" customHeight="1" x14ac:dyDescent="0.3">
      <c r="A109" s="75"/>
      <c r="B109" s="76" t="s">
        <v>19</v>
      </c>
      <c r="C109" s="77"/>
      <c r="D109" s="74"/>
      <c r="E109" s="74"/>
      <c r="F109" s="74"/>
      <c r="G109" s="78">
        <f>SUM(G108:G108)</f>
        <v>2.8311371661778946</v>
      </c>
      <c r="H109" s="78" t="s">
        <v>20</v>
      </c>
      <c r="I109" s="79">
        <f>46573/1.15</f>
        <v>40498.260869565223</v>
      </c>
      <c r="J109" s="80">
        <f>G109*I109</f>
        <v>114656.13151339401</v>
      </c>
      <c r="K109" s="81"/>
    </row>
    <row r="110" spans="1:14" x14ac:dyDescent="0.3">
      <c r="A110" s="75"/>
      <c r="B110" s="82"/>
      <c r="C110" s="77"/>
      <c r="D110" s="74"/>
      <c r="E110" s="74"/>
      <c r="F110" s="74"/>
      <c r="G110" s="74"/>
      <c r="H110" s="74"/>
      <c r="I110" s="74"/>
      <c r="J110" s="83"/>
      <c r="K110" s="81"/>
      <c r="N110" s="33" t="e">
        <f>G99+#REF!</f>
        <v>#REF!</v>
      </c>
    </row>
    <row r="111" spans="1:14" ht="46.8" x14ac:dyDescent="0.3">
      <c r="A111" s="10">
        <v>15</v>
      </c>
      <c r="B111" s="86" t="s">
        <v>24</v>
      </c>
      <c r="C111" s="81"/>
      <c r="D111" s="81"/>
      <c r="E111" s="81"/>
      <c r="F111" s="81"/>
      <c r="G111" s="87"/>
      <c r="H111" s="14"/>
      <c r="I111" s="15"/>
      <c r="J111" s="15"/>
      <c r="K111" s="13"/>
    </row>
    <row r="112" spans="1:14" ht="15" customHeight="1" x14ac:dyDescent="0.3">
      <c r="A112" s="10"/>
      <c r="B112" s="73" t="s">
        <v>25</v>
      </c>
      <c r="C112" s="11">
        <v>1</v>
      </c>
      <c r="D112" s="12"/>
      <c r="E112" s="13">
        <f>11.667/3.281</f>
        <v>3.555928070710149</v>
      </c>
      <c r="F112" s="13">
        <f>18.33/3.281</f>
        <v>5.5867113684852168</v>
      </c>
      <c r="G112" s="74">
        <f t="shared" ref="G112:G122" si="3">PRODUCT(C112:F112)</f>
        <v>19.865943778152094</v>
      </c>
      <c r="H112" s="14"/>
      <c r="I112" s="15"/>
      <c r="J112" s="72"/>
      <c r="K112" s="13"/>
      <c r="N112" s="17"/>
    </row>
    <row r="113" spans="1:14" ht="15" customHeight="1" x14ac:dyDescent="0.3">
      <c r="A113" s="10"/>
      <c r="B113" s="73" t="s">
        <v>77</v>
      </c>
      <c r="C113" s="11">
        <v>-1</v>
      </c>
      <c r="D113" s="12">
        <f>3/3.281</f>
        <v>0.91435537945748246</v>
      </c>
      <c r="E113" s="13"/>
      <c r="F113" s="13">
        <f>5/3.281</f>
        <v>1.5239256324291375</v>
      </c>
      <c r="G113" s="74">
        <f t="shared" si="3"/>
        <v>-1.393409599904728</v>
      </c>
      <c r="H113" s="14"/>
      <c r="I113" s="15"/>
      <c r="J113" s="72"/>
      <c r="K113" s="13"/>
      <c r="N113" s="17"/>
    </row>
    <row r="114" spans="1:14" ht="15" customHeight="1" x14ac:dyDescent="0.3">
      <c r="A114" s="10"/>
      <c r="B114" s="73" t="s">
        <v>18</v>
      </c>
      <c r="C114" s="11">
        <v>-1</v>
      </c>
      <c r="D114" s="12">
        <f>1.18</f>
        <v>1.18</v>
      </c>
      <c r="E114" s="13"/>
      <c r="F114" s="13">
        <f>2.07+0.127</f>
        <v>2.1970000000000001</v>
      </c>
      <c r="G114" s="74">
        <f t="shared" si="3"/>
        <v>-2.59246</v>
      </c>
      <c r="H114" s="14"/>
      <c r="I114" s="15"/>
      <c r="J114" s="72"/>
      <c r="K114" s="13"/>
      <c r="N114" s="17"/>
    </row>
    <row r="115" spans="1:14" ht="15" customHeight="1" x14ac:dyDescent="0.3">
      <c r="A115" s="10"/>
      <c r="B115" s="73" t="s">
        <v>27</v>
      </c>
      <c r="C115" s="11">
        <v>-1</v>
      </c>
      <c r="D115" s="12"/>
      <c r="E115" s="13">
        <f>E112</f>
        <v>3.555928070710149</v>
      </c>
      <c r="F115" s="13">
        <f>(2.5/12/3.281)*12</f>
        <v>0.76196281621456885</v>
      </c>
      <c r="G115" s="74">
        <f t="shared" si="3"/>
        <v>-2.7094849670147436</v>
      </c>
      <c r="H115" s="14"/>
      <c r="I115" s="15"/>
      <c r="J115" s="72"/>
      <c r="K115" s="13"/>
      <c r="N115" s="17"/>
    </row>
    <row r="116" spans="1:14" ht="15" customHeight="1" x14ac:dyDescent="0.3">
      <c r="A116" s="10"/>
      <c r="B116" s="73" t="s">
        <v>26</v>
      </c>
      <c r="C116" s="11">
        <v>1</v>
      </c>
      <c r="D116" s="12"/>
      <c r="E116" s="13">
        <f>78/12/3.281</f>
        <v>1.9811033221578787</v>
      </c>
      <c r="F116" s="13">
        <f>18.083/3.281</f>
        <v>5.5114294422432177</v>
      </c>
      <c r="G116" s="74">
        <f t="shared" si="3"/>
        <v>10.918711177866783</v>
      </c>
      <c r="H116" s="14"/>
      <c r="I116" s="15"/>
      <c r="J116" s="72"/>
      <c r="K116" s="13"/>
      <c r="N116" s="17"/>
    </row>
    <row r="117" spans="1:14" ht="15" customHeight="1" x14ac:dyDescent="0.3">
      <c r="A117" s="10"/>
      <c r="B117" s="73"/>
      <c r="C117" s="11">
        <v>0.5</v>
      </c>
      <c r="D117" s="12"/>
      <c r="E117" s="12">
        <f>92/12/3.281</f>
        <v>2.3366859697246776</v>
      </c>
      <c r="F117" s="13">
        <f>32/12/3.281</f>
        <v>0.81276033729553987</v>
      </c>
      <c r="G117" s="74">
        <f t="shared" si="3"/>
        <v>0.94958283845359226</v>
      </c>
      <c r="H117" s="14"/>
      <c r="I117" s="15"/>
      <c r="J117" s="72"/>
      <c r="K117" s="13"/>
      <c r="N117" s="17"/>
    </row>
    <row r="118" spans="1:14" ht="15" customHeight="1" x14ac:dyDescent="0.3">
      <c r="A118" s="10"/>
      <c r="B118" s="73"/>
      <c r="C118" s="11">
        <v>0.5</v>
      </c>
      <c r="D118" s="12"/>
      <c r="E118" s="13">
        <f>7.5/12/3.281</f>
        <v>0.19049070405364218</v>
      </c>
      <c r="F118" s="13">
        <v>0.9</v>
      </c>
      <c r="G118" s="74">
        <f t="shared" si="3"/>
        <v>8.5720816824138985E-2</v>
      </c>
      <c r="H118" s="14"/>
      <c r="I118" s="15"/>
      <c r="J118" s="72"/>
      <c r="K118" s="13"/>
      <c r="N118" s="17"/>
    </row>
    <row r="119" spans="1:14" ht="15" customHeight="1" x14ac:dyDescent="0.3">
      <c r="A119" s="10"/>
      <c r="B119" s="73"/>
      <c r="C119" s="11">
        <v>0.5</v>
      </c>
      <c r="D119" s="12">
        <v>0.6</v>
      </c>
      <c r="E119" s="13"/>
      <c r="F119" s="13">
        <v>0.5</v>
      </c>
      <c r="G119" s="74">
        <f t="shared" si="3"/>
        <v>0.15</v>
      </c>
      <c r="H119" s="14"/>
      <c r="I119" s="15"/>
      <c r="J119" s="72"/>
      <c r="K119" s="13"/>
      <c r="N119" s="17"/>
    </row>
    <row r="120" spans="1:14" ht="15" customHeight="1" x14ac:dyDescent="0.3">
      <c r="A120" s="10"/>
      <c r="B120" s="73" t="s">
        <v>78</v>
      </c>
      <c r="C120" s="11">
        <v>-1</v>
      </c>
      <c r="D120" s="12">
        <f>2/3.281</f>
        <v>0.6095702529716549</v>
      </c>
      <c r="E120" s="13"/>
      <c r="F120" s="13">
        <f>14/12/3.281</f>
        <v>0.35558264756679875</v>
      </c>
      <c r="G120" s="74">
        <f t="shared" si="3"/>
        <v>-0.21675260442962432</v>
      </c>
      <c r="H120" s="14"/>
      <c r="I120" s="15"/>
      <c r="J120" s="72"/>
      <c r="K120" s="13"/>
      <c r="N120" s="17"/>
    </row>
    <row r="121" spans="1:14" ht="15" customHeight="1" x14ac:dyDescent="0.3">
      <c r="A121" s="10"/>
      <c r="B121" s="73"/>
      <c r="C121" s="11">
        <v>-1</v>
      </c>
      <c r="D121" s="12">
        <f>11/12/3.281</f>
        <v>0.27938636594534183</v>
      </c>
      <c r="E121" s="13"/>
      <c r="F121" s="13">
        <f>5.42/3.281</f>
        <v>1.6519353855531849</v>
      </c>
      <c r="G121" s="74">
        <f t="shared" si="3"/>
        <v>-0.46152822414622147</v>
      </c>
      <c r="H121" s="14"/>
      <c r="I121" s="15"/>
      <c r="J121" s="72"/>
      <c r="K121" s="13"/>
      <c r="N121" s="17"/>
    </row>
    <row r="122" spans="1:14" ht="15" customHeight="1" x14ac:dyDescent="0.3">
      <c r="A122" s="10"/>
      <c r="B122" s="73" t="s">
        <v>27</v>
      </c>
      <c r="C122" s="11">
        <v>-1</v>
      </c>
      <c r="D122" s="12"/>
      <c r="E122" s="13">
        <f>E116</f>
        <v>1.9811033221578787</v>
      </c>
      <c r="F122" s="14">
        <f>(2.5/12/3.281)*9</f>
        <v>0.57147211216092664</v>
      </c>
      <c r="G122" s="74">
        <f t="shared" si="3"/>
        <v>-1.1321452999225916</v>
      </c>
      <c r="H122" s="14"/>
      <c r="I122" s="15"/>
      <c r="J122" s="72"/>
      <c r="K122" s="13"/>
      <c r="N122" s="17"/>
    </row>
    <row r="123" spans="1:14" ht="15" customHeight="1" x14ac:dyDescent="0.3">
      <c r="A123" s="10"/>
      <c r="B123" s="76" t="s">
        <v>19</v>
      </c>
      <c r="C123" s="11"/>
      <c r="D123" s="12"/>
      <c r="E123" s="13"/>
      <c r="F123" s="13"/>
      <c r="G123" s="15">
        <f>SUM(G112:G122)</f>
        <v>23.4641779158787</v>
      </c>
      <c r="H123" s="14" t="s">
        <v>20</v>
      </c>
      <c r="I123" s="15">
        <f>5810.57/1.15</f>
        <v>5052.6695652173912</v>
      </c>
      <c r="J123" s="72">
        <f>G123*I123</f>
        <v>118556.73762840635</v>
      </c>
      <c r="K123" s="13"/>
      <c r="N123" s="17"/>
    </row>
    <row r="124" spans="1:14" ht="15" customHeight="1" x14ac:dyDescent="0.3">
      <c r="A124" s="10"/>
      <c r="B124" s="76" t="s">
        <v>22</v>
      </c>
      <c r="C124" s="11"/>
      <c r="D124" s="12"/>
      <c r="E124" s="13"/>
      <c r="F124" s="13"/>
      <c r="G124" s="15"/>
      <c r="H124" s="14"/>
      <c r="I124" s="15"/>
      <c r="J124" s="72">
        <f>G123*0.13*(309557.25/100)</f>
        <v>9442.5583058951852</v>
      </c>
      <c r="K124" s="13"/>
      <c r="N124" s="17"/>
    </row>
    <row r="125" spans="1:14" ht="15" customHeight="1" x14ac:dyDescent="0.3">
      <c r="A125" s="10"/>
      <c r="B125" s="76"/>
      <c r="C125" s="11"/>
      <c r="D125" s="12"/>
      <c r="E125" s="13"/>
      <c r="F125" s="13"/>
      <c r="G125" s="15"/>
      <c r="H125" s="14"/>
      <c r="I125" s="15"/>
      <c r="J125" s="72"/>
      <c r="K125" s="13"/>
      <c r="N125" s="17"/>
    </row>
    <row r="126" spans="1:14" ht="28.8" x14ac:dyDescent="0.3">
      <c r="A126" s="75">
        <v>16</v>
      </c>
      <c r="B126" s="82" t="s">
        <v>28</v>
      </c>
      <c r="C126" s="77"/>
      <c r="D126" s="74"/>
      <c r="E126" s="74"/>
      <c r="F126" s="74"/>
      <c r="G126" s="74"/>
      <c r="H126" s="74"/>
      <c r="I126" s="74"/>
      <c r="J126" s="83"/>
      <c r="K126" s="81"/>
    </row>
    <row r="127" spans="1:14" ht="15" customHeight="1" x14ac:dyDescent="0.3">
      <c r="A127" s="10"/>
      <c r="B127" s="76" t="s">
        <v>23</v>
      </c>
      <c r="C127" s="11">
        <v>2</v>
      </c>
      <c r="D127" s="12">
        <f>E112+E116</f>
        <v>5.5370313928680277</v>
      </c>
      <c r="E127" s="13"/>
      <c r="F127" s="13"/>
      <c r="G127" s="74">
        <f>PRODUCT(C127:F127)</f>
        <v>11.074062785736055</v>
      </c>
      <c r="H127" s="14"/>
      <c r="I127" s="15"/>
      <c r="J127" s="72"/>
      <c r="K127" s="13"/>
      <c r="N127" s="17"/>
    </row>
    <row r="128" spans="1:14" ht="15" customHeight="1" x14ac:dyDescent="0.3">
      <c r="A128" s="10"/>
      <c r="B128" s="76" t="s">
        <v>19</v>
      </c>
      <c r="C128" s="11"/>
      <c r="D128" s="12"/>
      <c r="E128" s="13"/>
      <c r="F128" s="13"/>
      <c r="G128" s="15">
        <f>SUM(G127:G127)</f>
        <v>11.074062785736055</v>
      </c>
      <c r="H128" s="14" t="s">
        <v>29</v>
      </c>
      <c r="I128" s="15">
        <f>396.86/1.15</f>
        <v>345.09565217391309</v>
      </c>
      <c r="J128" s="72">
        <f>G128*I128</f>
        <v>3821.6109192584449</v>
      </c>
      <c r="K128" s="13"/>
      <c r="N128" s="17"/>
    </row>
    <row r="129" spans="1:14" ht="15" customHeight="1" x14ac:dyDescent="0.3">
      <c r="A129" s="10"/>
      <c r="B129" s="76" t="s">
        <v>22</v>
      </c>
      <c r="C129" s="11"/>
      <c r="D129" s="12"/>
      <c r="E129" s="13"/>
      <c r="F129" s="13"/>
      <c r="G129" s="15"/>
      <c r="H129" s="14"/>
      <c r="I129" s="15"/>
      <c r="J129" s="72">
        <f>G128*0.13*(2182.61/10)</f>
        <v>314.21468229807988</v>
      </c>
      <c r="K129" s="13"/>
      <c r="N129" s="17"/>
    </row>
    <row r="130" spans="1:14" ht="15" customHeight="1" x14ac:dyDescent="0.3">
      <c r="A130" s="10"/>
      <c r="B130" s="76"/>
      <c r="C130" s="11"/>
      <c r="D130" s="12"/>
      <c r="E130" s="13"/>
      <c r="F130" s="13"/>
      <c r="G130" s="15"/>
      <c r="H130" s="14"/>
      <c r="I130" s="15"/>
      <c r="J130" s="72"/>
      <c r="K130" s="13"/>
      <c r="N130" s="17"/>
    </row>
    <row r="131" spans="1:14" ht="28.8" x14ac:dyDescent="0.3">
      <c r="A131" s="75">
        <v>17</v>
      </c>
      <c r="B131" s="82" t="s">
        <v>30</v>
      </c>
      <c r="C131" s="77"/>
      <c r="D131" s="74"/>
      <c r="E131" s="74"/>
      <c r="F131" s="74"/>
      <c r="G131" s="74"/>
      <c r="H131" s="74"/>
      <c r="I131" s="74"/>
      <c r="J131" s="83"/>
      <c r="K131" s="81"/>
    </row>
    <row r="132" spans="1:14" ht="15" customHeight="1" x14ac:dyDescent="0.3">
      <c r="A132" s="10"/>
      <c r="B132" s="76" t="s">
        <v>23</v>
      </c>
      <c r="C132" s="11">
        <f>1</f>
        <v>1</v>
      </c>
      <c r="D132" s="12">
        <f>D127</f>
        <v>5.5370313928680277</v>
      </c>
      <c r="E132" s="13"/>
      <c r="F132" s="13"/>
      <c r="G132" s="74">
        <f>PRODUCT(C132:F132)</f>
        <v>5.5370313928680277</v>
      </c>
      <c r="H132" s="14"/>
      <c r="I132" s="15"/>
      <c r="J132" s="72"/>
      <c r="K132" s="13"/>
      <c r="N132" s="17"/>
    </row>
    <row r="133" spans="1:14" ht="15" customHeight="1" x14ac:dyDescent="0.3">
      <c r="A133" s="10"/>
      <c r="B133" s="76" t="s">
        <v>19</v>
      </c>
      <c r="C133" s="11"/>
      <c r="D133" s="12"/>
      <c r="E133" s="13"/>
      <c r="F133" s="13"/>
      <c r="G133" s="15">
        <f>SUM(G132:G132)</f>
        <v>5.5370313928680277</v>
      </c>
      <c r="H133" s="14" t="s">
        <v>29</v>
      </c>
      <c r="I133" s="15">
        <f>465.63/1.15</f>
        <v>404.89565217391305</v>
      </c>
      <c r="J133" s="72">
        <f>G133*I133</f>
        <v>2241.9199369227304</v>
      </c>
      <c r="K133" s="13"/>
      <c r="N133" s="17"/>
    </row>
    <row r="134" spans="1:14" ht="15" customHeight="1" x14ac:dyDescent="0.3">
      <c r="A134" s="10"/>
      <c r="B134" s="76" t="s">
        <v>22</v>
      </c>
      <c r="C134" s="11"/>
      <c r="D134" s="12"/>
      <c r="E134" s="13"/>
      <c r="F134" s="13"/>
      <c r="G134" s="15"/>
      <c r="H134" s="14"/>
      <c r="I134" s="15"/>
      <c r="J134" s="72">
        <f>G133*0.13*(2780.61/10)</f>
        <v>200.15222319719598</v>
      </c>
      <c r="K134" s="13"/>
      <c r="N134" s="17"/>
    </row>
    <row r="135" spans="1:14" ht="15" customHeight="1" x14ac:dyDescent="0.3">
      <c r="A135" s="10"/>
      <c r="B135" s="76"/>
      <c r="C135" s="11"/>
      <c r="D135" s="12"/>
      <c r="E135" s="13"/>
      <c r="F135" s="13"/>
      <c r="G135" s="15"/>
      <c r="H135" s="14"/>
      <c r="I135" s="15"/>
      <c r="J135" s="72"/>
      <c r="K135" s="13"/>
      <c r="N135" s="17"/>
    </row>
    <row r="136" spans="1:14" ht="28.8" x14ac:dyDescent="0.3">
      <c r="A136" s="75">
        <v>18</v>
      </c>
      <c r="B136" s="82" t="s">
        <v>31</v>
      </c>
      <c r="C136" s="77"/>
      <c r="D136" s="74"/>
      <c r="E136" s="74"/>
      <c r="F136" s="74"/>
      <c r="G136" s="74"/>
      <c r="H136" s="74"/>
      <c r="I136" s="74"/>
      <c r="J136" s="83"/>
      <c r="K136" s="81"/>
    </row>
    <row r="137" spans="1:14" ht="15" customHeight="1" x14ac:dyDescent="0.3">
      <c r="A137" s="10"/>
      <c r="B137" s="76" t="s">
        <v>23</v>
      </c>
      <c r="C137" s="11">
        <f>1*2</f>
        <v>2</v>
      </c>
      <c r="D137" s="12">
        <f>E112</f>
        <v>3.555928070710149</v>
      </c>
      <c r="E137" s="13"/>
      <c r="F137" s="13"/>
      <c r="G137" s="74">
        <f>PRODUCT(C137:F137)</f>
        <v>7.1118561414202981</v>
      </c>
      <c r="H137" s="14"/>
      <c r="I137" s="15"/>
      <c r="J137" s="72"/>
      <c r="K137" s="13"/>
      <c r="N137" s="17"/>
    </row>
    <row r="138" spans="1:14" ht="15" customHeight="1" x14ac:dyDescent="0.3">
      <c r="A138" s="10"/>
      <c r="B138" s="76"/>
      <c r="C138" s="11">
        <v>2</v>
      </c>
      <c r="D138" s="12">
        <f>E116</f>
        <v>1.9811033221578787</v>
      </c>
      <c r="E138" s="13"/>
      <c r="F138" s="13"/>
      <c r="G138" s="74">
        <f>PRODUCT(C138:F138)</f>
        <v>3.9622066443157573</v>
      </c>
      <c r="H138" s="14"/>
      <c r="I138" s="15"/>
      <c r="J138" s="72"/>
      <c r="K138" s="13"/>
      <c r="N138" s="17"/>
    </row>
    <row r="139" spans="1:14" ht="15" customHeight="1" x14ac:dyDescent="0.3">
      <c r="A139" s="10"/>
      <c r="B139" s="76" t="s">
        <v>19</v>
      </c>
      <c r="C139" s="11"/>
      <c r="D139" s="12"/>
      <c r="E139" s="13"/>
      <c r="F139" s="13"/>
      <c r="G139" s="15">
        <f>SUM(G137:G138)</f>
        <v>11.074062785736055</v>
      </c>
      <c r="H139" s="14" t="s">
        <v>29</v>
      </c>
      <c r="I139" s="15">
        <f>469.79/1.15</f>
        <v>408.5130434782609</v>
      </c>
      <c r="J139" s="72">
        <f>G139*I139</f>
        <v>4523.8990922703842</v>
      </c>
      <c r="K139" s="13"/>
      <c r="N139" s="17"/>
    </row>
    <row r="140" spans="1:14" ht="15" customHeight="1" x14ac:dyDescent="0.3">
      <c r="A140" s="10"/>
      <c r="B140" s="76" t="s">
        <v>22</v>
      </c>
      <c r="C140" s="11"/>
      <c r="D140" s="12"/>
      <c r="E140" s="13"/>
      <c r="F140" s="13"/>
      <c r="G140" s="15"/>
      <c r="H140" s="14"/>
      <c r="I140" s="15"/>
      <c r="J140" s="72">
        <f>G139*0.13*(2140.61/10)</f>
        <v>308.16824401706799</v>
      </c>
      <c r="K140" s="13"/>
      <c r="N140" s="17"/>
    </row>
    <row r="141" spans="1:14" ht="15" customHeight="1" x14ac:dyDescent="0.3">
      <c r="A141" s="10"/>
      <c r="B141" s="81"/>
      <c r="C141" s="11"/>
      <c r="D141" s="12"/>
      <c r="E141" s="13"/>
      <c r="F141" s="13"/>
      <c r="G141" s="15"/>
      <c r="H141" s="14"/>
      <c r="I141" s="15"/>
      <c r="J141" s="72"/>
      <c r="K141" s="13"/>
      <c r="N141" s="17"/>
    </row>
    <row r="142" spans="1:14" ht="46.8" x14ac:dyDescent="0.3">
      <c r="A142" s="10">
        <v>19</v>
      </c>
      <c r="B142" s="86" t="s">
        <v>32</v>
      </c>
      <c r="C142" s="11"/>
      <c r="D142" s="12"/>
      <c r="E142" s="13"/>
      <c r="F142" s="13"/>
      <c r="G142" s="15"/>
      <c r="H142" s="14"/>
      <c r="I142" s="15"/>
      <c r="J142" s="72"/>
      <c r="K142" s="13"/>
      <c r="N142" s="17"/>
    </row>
    <row r="143" spans="1:14" ht="15" customHeight="1" x14ac:dyDescent="0.3">
      <c r="A143" s="10"/>
      <c r="B143" s="76" t="s">
        <v>23</v>
      </c>
      <c r="C143" s="11">
        <f>1*2</f>
        <v>2</v>
      </c>
      <c r="D143" s="12">
        <f>D137</f>
        <v>3.555928070710149</v>
      </c>
      <c r="E143" s="13"/>
      <c r="F143" s="13"/>
      <c r="G143" s="74">
        <f>PRODUCT(C143:F143)</f>
        <v>7.1118561414202981</v>
      </c>
      <c r="H143" s="14"/>
      <c r="I143" s="15"/>
      <c r="J143" s="72"/>
      <c r="K143" s="13"/>
      <c r="N143" s="17"/>
    </row>
    <row r="144" spans="1:14" ht="15" customHeight="1" x14ac:dyDescent="0.3">
      <c r="A144" s="10"/>
      <c r="B144" s="76"/>
      <c r="C144" s="11">
        <v>1</v>
      </c>
      <c r="D144" s="12">
        <f>E116</f>
        <v>1.9811033221578787</v>
      </c>
      <c r="E144" s="13"/>
      <c r="F144" s="13"/>
      <c r="G144" s="74">
        <f>PRODUCT(C144:F144)</f>
        <v>1.9811033221578787</v>
      </c>
      <c r="H144" s="14"/>
      <c r="I144" s="15"/>
      <c r="J144" s="72"/>
      <c r="K144" s="13"/>
      <c r="N144" s="17"/>
    </row>
    <row r="145" spans="1:14" ht="15" customHeight="1" x14ac:dyDescent="0.3">
      <c r="A145" s="10"/>
      <c r="B145" s="76" t="s">
        <v>19</v>
      </c>
      <c r="C145" s="11"/>
      <c r="D145" s="12"/>
      <c r="E145" s="13"/>
      <c r="F145" s="13"/>
      <c r="G145" s="15">
        <f>SUM(G143:G144)</f>
        <v>9.0929594635781772</v>
      </c>
      <c r="H145" s="14" t="s">
        <v>29</v>
      </c>
      <c r="I145" s="15">
        <f>487.71/1.15</f>
        <v>424.09565217391304</v>
      </c>
      <c r="J145" s="72">
        <f>G145*I145</f>
        <v>3856.2845738971414</v>
      </c>
      <c r="K145" s="13"/>
      <c r="N145" s="17"/>
    </row>
    <row r="146" spans="1:14" ht="15" customHeight="1" x14ac:dyDescent="0.3">
      <c r="A146" s="10"/>
      <c r="B146" s="76" t="s">
        <v>22</v>
      </c>
      <c r="C146" s="11"/>
      <c r="D146" s="12"/>
      <c r="E146" s="13"/>
      <c r="F146" s="13"/>
      <c r="G146" s="15"/>
      <c r="H146" s="14"/>
      <c r="I146" s="15"/>
      <c r="J146" s="72">
        <f>G145*0.13*(2972.61/10)</f>
        <v>351.3876890033527</v>
      </c>
      <c r="K146" s="13"/>
      <c r="N146" s="17"/>
    </row>
    <row r="147" spans="1:14" ht="15" customHeight="1" x14ac:dyDescent="0.3">
      <c r="A147" s="10"/>
      <c r="B147" s="76"/>
      <c r="C147" s="11"/>
      <c r="D147" s="12"/>
      <c r="E147" s="13"/>
      <c r="F147" s="13"/>
      <c r="G147" s="15"/>
      <c r="H147" s="14"/>
      <c r="I147" s="15"/>
      <c r="J147" s="72"/>
      <c r="K147" s="13"/>
      <c r="N147" s="17"/>
    </row>
    <row r="148" spans="1:14" ht="28.8" x14ac:dyDescent="0.3">
      <c r="A148" s="75">
        <v>20</v>
      </c>
      <c r="B148" s="82" t="s">
        <v>104</v>
      </c>
      <c r="C148" s="77"/>
      <c r="D148" s="74"/>
      <c r="E148" s="74"/>
      <c r="F148" s="74"/>
      <c r="G148" s="74"/>
      <c r="H148" s="74"/>
      <c r="I148" s="74"/>
      <c r="J148" s="83"/>
      <c r="K148" s="81"/>
    </row>
    <row r="149" spans="1:14" ht="15" customHeight="1" x14ac:dyDescent="0.3">
      <c r="A149" s="10"/>
      <c r="B149" s="76" t="s">
        <v>23</v>
      </c>
      <c r="C149" s="11">
        <f>2</f>
        <v>2</v>
      </c>
      <c r="D149" s="12">
        <f>E112</f>
        <v>3.555928070710149</v>
      </c>
      <c r="E149" s="13"/>
      <c r="F149" s="13"/>
      <c r="G149" s="74">
        <f>PRODUCT(C149:F149)</f>
        <v>7.1118561414202981</v>
      </c>
      <c r="H149" s="14"/>
      <c r="I149" s="15"/>
      <c r="J149" s="72"/>
      <c r="K149" s="13"/>
      <c r="N149" s="17"/>
    </row>
    <row r="150" spans="1:14" ht="15" customHeight="1" x14ac:dyDescent="0.3">
      <c r="A150" s="10"/>
      <c r="B150" s="76"/>
      <c r="C150" s="11">
        <v>1</v>
      </c>
      <c r="D150" s="12">
        <f>D144</f>
        <v>1.9811033221578787</v>
      </c>
      <c r="E150" s="13"/>
      <c r="F150" s="13"/>
      <c r="G150" s="74">
        <f>PRODUCT(C150:F150)</f>
        <v>1.9811033221578787</v>
      </c>
      <c r="H150" s="14"/>
      <c r="I150" s="15"/>
      <c r="J150" s="72"/>
      <c r="K150" s="13"/>
      <c r="N150" s="17"/>
    </row>
    <row r="151" spans="1:14" ht="15" customHeight="1" x14ac:dyDescent="0.3">
      <c r="A151" s="10"/>
      <c r="B151" s="76" t="s">
        <v>19</v>
      </c>
      <c r="C151" s="11"/>
      <c r="D151" s="12"/>
      <c r="E151" s="13"/>
      <c r="F151" s="13"/>
      <c r="G151" s="15">
        <f>SUM(G149:G150)</f>
        <v>9.0929594635781772</v>
      </c>
      <c r="H151" s="14" t="s">
        <v>29</v>
      </c>
      <c r="I151" s="15">
        <f>465.63/1.15</f>
        <v>404.89565217391305</v>
      </c>
      <c r="J151" s="72">
        <f>G151*I151</f>
        <v>3681.6997521964408</v>
      </c>
      <c r="K151" s="13"/>
      <c r="N151" s="17"/>
    </row>
    <row r="152" spans="1:14" ht="15" customHeight="1" x14ac:dyDescent="0.3">
      <c r="A152" s="10"/>
      <c r="B152" s="76" t="s">
        <v>22</v>
      </c>
      <c r="C152" s="11"/>
      <c r="D152" s="12"/>
      <c r="E152" s="13"/>
      <c r="F152" s="13"/>
      <c r="G152" s="15"/>
      <c r="H152" s="14"/>
      <c r="I152" s="15"/>
      <c r="J152" s="72">
        <f>G151*0.13*(2780.61/10)</f>
        <v>328.69166218226155</v>
      </c>
      <c r="K152" s="13"/>
      <c r="N152" s="17"/>
    </row>
    <row r="153" spans="1:14" ht="15" customHeight="1" x14ac:dyDescent="0.3">
      <c r="A153" s="10"/>
      <c r="B153" s="76"/>
      <c r="C153" s="11"/>
      <c r="D153" s="12"/>
      <c r="E153" s="13"/>
      <c r="F153" s="13"/>
      <c r="G153" s="15"/>
      <c r="H153" s="14"/>
      <c r="I153" s="15"/>
      <c r="J153" s="72"/>
      <c r="K153" s="13"/>
      <c r="N153" s="17"/>
    </row>
    <row r="154" spans="1:14" ht="15" customHeight="1" x14ac:dyDescent="0.3">
      <c r="A154" s="10">
        <v>21</v>
      </c>
      <c r="B154" s="9" t="s">
        <v>106</v>
      </c>
      <c r="C154" s="11"/>
      <c r="D154" s="12"/>
      <c r="E154" s="13"/>
      <c r="F154" s="13"/>
      <c r="G154" s="15"/>
      <c r="H154" s="14"/>
      <c r="I154" s="15"/>
      <c r="J154" s="72"/>
      <c r="K154" s="13"/>
      <c r="N154" s="17"/>
    </row>
    <row r="155" spans="1:14" ht="15" customHeight="1" x14ac:dyDescent="0.3">
      <c r="A155" s="10"/>
      <c r="B155" s="76" t="s">
        <v>23</v>
      </c>
      <c r="C155" s="11">
        <f>2</f>
        <v>2</v>
      </c>
      <c r="D155" s="12">
        <f>(1.13+3.2)/2</f>
        <v>2.165</v>
      </c>
      <c r="E155" s="13"/>
      <c r="F155" s="13">
        <v>3.46</v>
      </c>
      <c r="G155" s="74">
        <f>PRODUCT(C155:F155)</f>
        <v>14.9818</v>
      </c>
      <c r="H155" s="14"/>
      <c r="I155" s="15"/>
      <c r="J155" s="72"/>
      <c r="K155" s="13"/>
      <c r="N155" s="17"/>
    </row>
    <row r="156" spans="1:14" ht="15" customHeight="1" x14ac:dyDescent="0.3">
      <c r="A156" s="10"/>
      <c r="B156" s="76" t="s">
        <v>19</v>
      </c>
      <c r="C156" s="11"/>
      <c r="D156" s="12"/>
      <c r="E156" s="13"/>
      <c r="F156" s="13"/>
      <c r="G156" s="15">
        <f>SUM(G155:G155)</f>
        <v>14.9818</v>
      </c>
      <c r="H156" s="14" t="s">
        <v>29</v>
      </c>
      <c r="I156" s="15">
        <f>405.86</f>
        <v>405.86</v>
      </c>
      <c r="J156" s="72">
        <f>G156*I156</f>
        <v>6080.5133480000004</v>
      </c>
      <c r="K156" s="13"/>
      <c r="N156" s="17"/>
    </row>
    <row r="157" spans="1:14" ht="15" customHeight="1" x14ac:dyDescent="0.3">
      <c r="A157" s="10"/>
      <c r="B157" s="76" t="s">
        <v>22</v>
      </c>
      <c r="C157" s="11"/>
      <c r="D157" s="12"/>
      <c r="E157" s="13"/>
      <c r="F157" s="13"/>
      <c r="G157" s="15"/>
      <c r="H157" s="14"/>
      <c r="I157" s="15"/>
      <c r="J157" s="72">
        <f>G156*0.13*(11166.2/100)</f>
        <v>217.47670770800002</v>
      </c>
      <c r="K157" s="13"/>
      <c r="N157" s="17"/>
    </row>
    <row r="158" spans="1:14" ht="15" customHeight="1" x14ac:dyDescent="0.3">
      <c r="A158" s="10"/>
      <c r="B158" s="76"/>
      <c r="C158" s="11"/>
      <c r="D158" s="12"/>
      <c r="E158" s="13"/>
      <c r="F158" s="13"/>
      <c r="G158" s="15"/>
      <c r="H158" s="14"/>
      <c r="I158" s="15"/>
      <c r="J158" s="72"/>
      <c r="K158" s="13"/>
      <c r="N158" s="17"/>
    </row>
    <row r="159" spans="1:14" ht="15" customHeight="1" x14ac:dyDescent="0.3">
      <c r="A159" s="10">
        <v>22</v>
      </c>
      <c r="B159" s="23" t="s">
        <v>110</v>
      </c>
      <c r="C159" s="11"/>
      <c r="D159" s="12"/>
      <c r="E159" s="13"/>
      <c r="F159" s="13"/>
      <c r="G159" s="88"/>
      <c r="H159" s="14"/>
      <c r="I159" s="15"/>
      <c r="J159" s="88"/>
      <c r="K159" s="13"/>
    </row>
    <row r="160" spans="1:14" ht="15" customHeight="1" x14ac:dyDescent="0.3">
      <c r="A160" s="10"/>
      <c r="B160" s="76" t="s">
        <v>109</v>
      </c>
      <c r="C160" s="11">
        <v>1</v>
      </c>
      <c r="D160" s="12">
        <f>11/3.281</f>
        <v>3.3526363913441024</v>
      </c>
      <c r="E160" s="13"/>
      <c r="F160" s="13">
        <f>18/3.281</f>
        <v>5.486132276744895</v>
      </c>
      <c r="G160" s="74">
        <f>PRODUCT(C160:F160)</f>
        <v>18.393006718742409</v>
      </c>
      <c r="H160" s="14"/>
      <c r="I160" s="15"/>
      <c r="J160" s="72"/>
      <c r="K160" s="13"/>
      <c r="N160" s="17"/>
    </row>
    <row r="161" spans="1:14" ht="15" customHeight="1" x14ac:dyDescent="0.3">
      <c r="A161" s="10"/>
      <c r="B161" s="76" t="s">
        <v>19</v>
      </c>
      <c r="C161" s="11"/>
      <c r="D161" s="12"/>
      <c r="E161" s="13"/>
      <c r="F161" s="13"/>
      <c r="G161" s="15">
        <f>SUM(G160:G160)</f>
        <v>18.393006718742409</v>
      </c>
      <c r="H161" s="14" t="s">
        <v>29</v>
      </c>
      <c r="I161" s="15">
        <f>12150.96/100</f>
        <v>121.50959999999999</v>
      </c>
      <c r="J161" s="72">
        <f>G161*I161</f>
        <v>2234.9268891917027</v>
      </c>
      <c r="K161" s="13"/>
      <c r="N161" s="17"/>
    </row>
    <row r="162" spans="1:14" ht="15" customHeight="1" x14ac:dyDescent="0.3">
      <c r="A162" s="10"/>
      <c r="B162" s="76" t="s">
        <v>22</v>
      </c>
      <c r="C162" s="11"/>
      <c r="D162" s="12"/>
      <c r="E162" s="13"/>
      <c r="F162" s="13"/>
      <c r="G162" s="15"/>
      <c r="H162" s="14"/>
      <c r="I162" s="15"/>
      <c r="J162" s="72">
        <f>6900/100</f>
        <v>69</v>
      </c>
      <c r="K162" s="13"/>
      <c r="N162" s="17"/>
    </row>
    <row r="163" spans="1:14" ht="15" customHeight="1" x14ac:dyDescent="0.3">
      <c r="A163" s="10"/>
      <c r="B163" s="76"/>
      <c r="C163" s="11"/>
      <c r="D163" s="12"/>
      <c r="E163" s="13"/>
      <c r="F163" s="13"/>
      <c r="G163" s="15"/>
      <c r="H163" s="14"/>
      <c r="I163" s="15"/>
      <c r="J163" s="72"/>
      <c r="K163" s="13"/>
      <c r="N163" s="17"/>
    </row>
    <row r="164" spans="1:14" ht="15" customHeight="1" x14ac:dyDescent="0.3">
      <c r="A164" s="10">
        <v>23</v>
      </c>
      <c r="B164" s="23" t="s">
        <v>44</v>
      </c>
      <c r="C164" s="11">
        <v>1</v>
      </c>
      <c r="D164" s="12"/>
      <c r="E164" s="13"/>
      <c r="F164" s="13"/>
      <c r="G164" s="88">
        <f>PRODUCT(C164:F164)</f>
        <v>1</v>
      </c>
      <c r="H164" s="14" t="s">
        <v>45</v>
      </c>
      <c r="I164" s="15">
        <v>15000</v>
      </c>
      <c r="J164" s="88">
        <f>G164*I164</f>
        <v>15000</v>
      </c>
      <c r="K164" s="13"/>
    </row>
    <row r="165" spans="1:14" ht="15" customHeight="1" x14ac:dyDescent="0.3">
      <c r="A165" s="10"/>
      <c r="B165" s="21"/>
      <c r="C165" s="11"/>
      <c r="D165" s="12"/>
      <c r="E165" s="13"/>
      <c r="F165" s="13"/>
      <c r="G165" s="15"/>
      <c r="H165" s="14"/>
      <c r="I165" s="15"/>
      <c r="J165" s="72"/>
      <c r="K165" s="13"/>
    </row>
    <row r="166" spans="1:14" ht="15" customHeight="1" x14ac:dyDescent="0.3">
      <c r="A166" s="10">
        <v>24</v>
      </c>
      <c r="B166" s="23" t="s">
        <v>46</v>
      </c>
      <c r="C166" s="11">
        <v>1</v>
      </c>
      <c r="D166" s="12"/>
      <c r="E166" s="13"/>
      <c r="F166" s="13"/>
      <c r="G166" s="88">
        <f>PRODUCT(C166:F166)</f>
        <v>1</v>
      </c>
      <c r="H166" s="14" t="s">
        <v>35</v>
      </c>
      <c r="I166" s="15">
        <v>500</v>
      </c>
      <c r="J166" s="88">
        <f>G166*I166</f>
        <v>500</v>
      </c>
      <c r="K166" s="13"/>
    </row>
    <row r="167" spans="1:14" ht="15" customHeight="1" x14ac:dyDescent="0.3">
      <c r="A167" s="10"/>
      <c r="B167" s="21"/>
      <c r="C167" s="11"/>
      <c r="D167" s="12"/>
      <c r="E167" s="13"/>
      <c r="F167" s="13"/>
      <c r="G167" s="15"/>
      <c r="H167" s="14"/>
      <c r="I167" s="15"/>
      <c r="J167" s="72"/>
      <c r="K167" s="13"/>
    </row>
    <row r="168" spans="1:14" x14ac:dyDescent="0.3">
      <c r="A168" s="75"/>
      <c r="B168" s="89" t="s">
        <v>56</v>
      </c>
      <c r="C168" s="90"/>
      <c r="D168" s="91"/>
      <c r="E168" s="91"/>
      <c r="F168" s="91"/>
      <c r="G168" s="72"/>
      <c r="H168" s="72"/>
      <c r="I168" s="72"/>
      <c r="J168" s="72">
        <f>SUM(J21:J166)</f>
        <v>1304646.3303134944</v>
      </c>
      <c r="K168" s="81"/>
    </row>
    <row r="169" spans="1:14" x14ac:dyDescent="0.3">
      <c r="A169" s="29"/>
      <c r="G169" s="30"/>
      <c r="H169" s="30"/>
      <c r="I169" s="30"/>
      <c r="J169" s="30"/>
    </row>
    <row r="170" spans="1:14" s="1" customFormat="1" x14ac:dyDescent="0.3">
      <c r="B170" s="20" t="s">
        <v>107</v>
      </c>
      <c r="C170" s="50">
        <f>J168</f>
        <v>1304646.3303134944</v>
      </c>
      <c r="D170" s="51"/>
      <c r="E170" s="19">
        <v>100</v>
      </c>
      <c r="F170" s="24"/>
      <c r="G170" s="25"/>
    </row>
    <row r="171" spans="1:14" x14ac:dyDescent="0.3">
      <c r="A171" s="29"/>
      <c r="B171" s="20" t="s">
        <v>48</v>
      </c>
      <c r="C171" s="47">
        <v>1200000</v>
      </c>
      <c r="D171" s="48"/>
      <c r="E171" s="19"/>
      <c r="G171" s="30"/>
    </row>
    <row r="172" spans="1:14" x14ac:dyDescent="0.3">
      <c r="A172" s="29"/>
      <c r="B172" s="20" t="s">
        <v>49</v>
      </c>
      <c r="C172" s="47">
        <f>84.95%*C170</f>
        <v>1108297.0576013136</v>
      </c>
      <c r="D172" s="48"/>
      <c r="E172" s="19">
        <f>C172/C170*100</f>
        <v>84.95</v>
      </c>
      <c r="G172" s="30"/>
    </row>
    <row r="173" spans="1:14" x14ac:dyDescent="0.3">
      <c r="A173" s="29"/>
      <c r="B173" s="20" t="s">
        <v>50</v>
      </c>
      <c r="C173" s="49">
        <f>C170-C172</f>
        <v>196349.27271218086</v>
      </c>
      <c r="D173" s="49"/>
      <c r="E173" s="19">
        <f>100-E172</f>
        <v>15.049999999999997</v>
      </c>
      <c r="G173" s="30"/>
    </row>
    <row r="174" spans="1:14" x14ac:dyDescent="0.3">
      <c r="A174" s="29"/>
      <c r="B174" s="20" t="s">
        <v>51</v>
      </c>
      <c r="C174" s="50">
        <f>C171*0.03</f>
        <v>36000</v>
      </c>
      <c r="D174" s="51"/>
      <c r="E174" s="19">
        <v>3</v>
      </c>
      <c r="G174" s="30"/>
    </row>
    <row r="175" spans="1:14" x14ac:dyDescent="0.3">
      <c r="A175" s="29"/>
      <c r="B175" s="20" t="s">
        <v>52</v>
      </c>
      <c r="C175" s="50">
        <f>C171*0.02</f>
        <v>24000</v>
      </c>
      <c r="D175" s="51"/>
      <c r="E175" s="19">
        <v>2</v>
      </c>
      <c r="G175" s="30"/>
    </row>
  </sheetData>
  <mergeCells count="14">
    <mergeCell ref="C171:D171"/>
    <mergeCell ref="C172:D172"/>
    <mergeCell ref="C173:D173"/>
    <mergeCell ref="C174:D174"/>
    <mergeCell ref="C175:D175"/>
    <mergeCell ref="C170:D170"/>
    <mergeCell ref="A1:K1"/>
    <mergeCell ref="A2:K2"/>
    <mergeCell ref="A3:K3"/>
    <mergeCell ref="A4:K4"/>
    <mergeCell ref="A5:F5"/>
    <mergeCell ref="H5:K5"/>
    <mergeCell ref="A6:F6"/>
    <mergeCell ref="H6:K6"/>
  </mergeCells>
  <hyperlinks>
    <hyperlink ref="B154" r:id="rId1"/>
  </hyperlinks>
  <pageMargins left="0.7" right="0.7" top="0.75" bottom="0.75" header="0.3" footer="0.3"/>
  <pageSetup paperSize="9" scale="80" orientation="portrait" verticalDpi="120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final valuation merged</vt:lpstr>
      <vt:lpstr>WCR</vt:lpstr>
      <vt:lpstr>V</vt:lpstr>
      <vt:lpstr>V!Print_Area</vt:lpstr>
      <vt:lpstr>WCR!Print_Area</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2025-06-26T18:35:55Z</dcterms:modified>
</cp:coreProperties>
</file>