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081_082\ofc\ofc\estimates\lakilla mandir\"/>
    </mc:Choice>
  </mc:AlternateContent>
  <bookViews>
    <workbookView xWindow="-120" yWindow="-120" windowWidth="20736" windowHeight="11160" activeTab="3"/>
  </bookViews>
  <sheets>
    <sheet name="estimate" sheetId="20" r:id="rId1"/>
    <sheet name="WCR" sheetId="6" r:id="rId2"/>
    <sheet name="V" sheetId="22" r:id="rId3"/>
    <sheet name="M" sheetId="23" r:id="rId4"/>
  </sheets>
  <externalReferences>
    <externalReference r:id="rId5"/>
    <externalReference r:id="rId6"/>
    <externalReference r:id="rId7"/>
  </externalReferences>
  <definedNames>
    <definedName name="description_124" localSheetId="0">#REF!</definedName>
    <definedName name="description_124" localSheetId="3">#REF!</definedName>
    <definedName name="description_124" localSheetId="2">#REF!</definedName>
    <definedName name="description_124">#REF!</definedName>
    <definedName name="description_261">[1]Abstract!$B$33</definedName>
    <definedName name="description_262">[2]Abstract!$B$34</definedName>
    <definedName name="description_3">[3]Abstract!$B$169</definedName>
    <definedName name="description_6">[2]Abstract!$B$172</definedName>
    <definedName name="description_759">[2]Abstract!$B$278</definedName>
    <definedName name="description_783">[2]Abstract!$B$301</definedName>
    <definedName name="_xlnm.Print_Area" localSheetId="0">estimate!$A$1:$K$133</definedName>
    <definedName name="_xlnm.Print_Area" localSheetId="3">M!$A$1:$K$134</definedName>
    <definedName name="_xlnm.Print_Area" localSheetId="2">V!$A$1:$K$134</definedName>
    <definedName name="_xlnm.Print_Titles" localSheetId="0">estimate!$1:$8</definedName>
    <definedName name="_xlnm.Print_Titles" localSheetId="3">M!$1:$8</definedName>
    <definedName name="_xlnm.Print_Titles" localSheetId="2">V!$1:$8</definedName>
    <definedName name="_xlnm.Print_Titles" localSheetId="1">WCR!$1:$12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134" i="23" l="1"/>
  <c r="C131" i="23" s="1"/>
  <c r="C133" i="23"/>
  <c r="J125" i="23"/>
  <c r="G125" i="23"/>
  <c r="J123" i="23"/>
  <c r="G123" i="23"/>
  <c r="I120" i="23"/>
  <c r="G119" i="23"/>
  <c r="F119" i="23"/>
  <c r="D119" i="23"/>
  <c r="F118" i="23"/>
  <c r="D118" i="23"/>
  <c r="G118" i="23" s="1"/>
  <c r="G120" i="23" s="1"/>
  <c r="I115" i="23"/>
  <c r="F114" i="23"/>
  <c r="D114" i="23"/>
  <c r="G114" i="23" s="1"/>
  <c r="C114" i="23"/>
  <c r="F113" i="23"/>
  <c r="D113" i="23"/>
  <c r="C113" i="23"/>
  <c r="G113" i="23" s="1"/>
  <c r="F112" i="23"/>
  <c r="G112" i="23" s="1"/>
  <c r="D112" i="23"/>
  <c r="C112" i="23"/>
  <c r="F111" i="23"/>
  <c r="D111" i="23"/>
  <c r="C111" i="23"/>
  <c r="G111" i="23" s="1"/>
  <c r="F110" i="23"/>
  <c r="G110" i="23" s="1"/>
  <c r="D110" i="23"/>
  <c r="C110" i="23"/>
  <c r="F109" i="23"/>
  <c r="D109" i="23"/>
  <c r="C109" i="23"/>
  <c r="G109" i="23" s="1"/>
  <c r="F108" i="23"/>
  <c r="G108" i="23" s="1"/>
  <c r="D108" i="23"/>
  <c r="C108" i="23"/>
  <c r="F107" i="23"/>
  <c r="D107" i="23"/>
  <c r="C107" i="23"/>
  <c r="G107" i="23" s="1"/>
  <c r="F106" i="23"/>
  <c r="G106" i="23" s="1"/>
  <c r="D106" i="23"/>
  <c r="C106" i="23"/>
  <c r="F105" i="23"/>
  <c r="D105" i="23"/>
  <c r="C105" i="23"/>
  <c r="G105" i="23" s="1"/>
  <c r="E104" i="23"/>
  <c r="G104" i="23" s="1"/>
  <c r="C104" i="23"/>
  <c r="I101" i="23"/>
  <c r="F100" i="23"/>
  <c r="G100" i="23" s="1"/>
  <c r="G101" i="23" s="1"/>
  <c r="J101" i="23" s="1"/>
  <c r="D100" i="23"/>
  <c r="I96" i="23"/>
  <c r="F95" i="23"/>
  <c r="D95" i="23"/>
  <c r="G95" i="23" s="1"/>
  <c r="G96" i="23" s="1"/>
  <c r="I91" i="23"/>
  <c r="G90" i="23"/>
  <c r="F90" i="23"/>
  <c r="D90" i="23"/>
  <c r="G89" i="23"/>
  <c r="F89" i="23"/>
  <c r="E89" i="23"/>
  <c r="D89" i="23"/>
  <c r="F88" i="23"/>
  <c r="E88" i="23"/>
  <c r="D88" i="23"/>
  <c r="G88" i="23" s="1"/>
  <c r="G87" i="23"/>
  <c r="F87" i="23"/>
  <c r="E87" i="23"/>
  <c r="D87" i="23"/>
  <c r="C87" i="23"/>
  <c r="F86" i="23"/>
  <c r="E86" i="23"/>
  <c r="D86" i="23"/>
  <c r="G86" i="23" s="1"/>
  <c r="C86" i="23"/>
  <c r="F85" i="23"/>
  <c r="E85" i="23"/>
  <c r="D85" i="23"/>
  <c r="G85" i="23" s="1"/>
  <c r="C85" i="23"/>
  <c r="F84" i="23"/>
  <c r="E84" i="23"/>
  <c r="D84" i="23"/>
  <c r="G84" i="23" s="1"/>
  <c r="C84" i="23"/>
  <c r="F83" i="23"/>
  <c r="E83" i="23"/>
  <c r="D83" i="23"/>
  <c r="C83" i="23"/>
  <c r="G83" i="23" s="1"/>
  <c r="F82" i="23"/>
  <c r="G82" i="23" s="1"/>
  <c r="E82" i="23"/>
  <c r="D82" i="23"/>
  <c r="F81" i="23"/>
  <c r="E81" i="23"/>
  <c r="D81" i="23"/>
  <c r="G81" i="23" s="1"/>
  <c r="F80" i="23"/>
  <c r="E80" i="23"/>
  <c r="D80" i="23"/>
  <c r="G80" i="23" s="1"/>
  <c r="F79" i="23"/>
  <c r="E79" i="23"/>
  <c r="D79" i="23"/>
  <c r="G79" i="23" s="1"/>
  <c r="I75" i="23"/>
  <c r="F74" i="23"/>
  <c r="E74" i="23"/>
  <c r="D74" i="23"/>
  <c r="G74" i="23" s="1"/>
  <c r="G73" i="23"/>
  <c r="F73" i="23"/>
  <c r="E73" i="23"/>
  <c r="D73" i="23"/>
  <c r="C73" i="23"/>
  <c r="F72" i="23"/>
  <c r="E72" i="23"/>
  <c r="D72" i="23"/>
  <c r="G72" i="23" s="1"/>
  <c r="C72" i="23"/>
  <c r="F71" i="23"/>
  <c r="E71" i="23"/>
  <c r="D71" i="23"/>
  <c r="C71" i="23"/>
  <c r="G71" i="23" s="1"/>
  <c r="M70" i="23"/>
  <c r="N70" i="23" s="1"/>
  <c r="F70" i="23"/>
  <c r="E70" i="23"/>
  <c r="D70" i="23"/>
  <c r="C70" i="23"/>
  <c r="G70" i="23" s="1"/>
  <c r="M69" i="23"/>
  <c r="F69" i="23"/>
  <c r="G69" i="23" s="1"/>
  <c r="E69" i="23"/>
  <c r="C69" i="23"/>
  <c r="G68" i="23"/>
  <c r="E68" i="23"/>
  <c r="D68" i="23"/>
  <c r="I64" i="23"/>
  <c r="D63" i="23"/>
  <c r="G63" i="23" s="1"/>
  <c r="G64" i="23" s="1"/>
  <c r="I59" i="23"/>
  <c r="G58" i="23"/>
  <c r="D58" i="23"/>
  <c r="I53" i="23"/>
  <c r="I48" i="23"/>
  <c r="I43" i="23"/>
  <c r="I38" i="23"/>
  <c r="D37" i="23"/>
  <c r="G37" i="23" s="1"/>
  <c r="G38" i="23" s="1"/>
  <c r="F32" i="23"/>
  <c r="G32" i="23" s="1"/>
  <c r="D32" i="23"/>
  <c r="B32" i="23"/>
  <c r="G31" i="23"/>
  <c r="D31" i="23"/>
  <c r="C31" i="23"/>
  <c r="C13" i="23" s="1"/>
  <c r="G13" i="23" s="1"/>
  <c r="G30" i="23"/>
  <c r="F30" i="23"/>
  <c r="D30" i="23"/>
  <c r="C30" i="23"/>
  <c r="F29" i="23"/>
  <c r="F15" i="23" s="1"/>
  <c r="G15" i="23" s="1"/>
  <c r="G28" i="23"/>
  <c r="F27" i="23"/>
  <c r="G27" i="23" s="1"/>
  <c r="F26" i="23"/>
  <c r="G26" i="23" s="1"/>
  <c r="I22" i="23"/>
  <c r="F21" i="23"/>
  <c r="D21" i="23"/>
  <c r="D52" i="23" s="1"/>
  <c r="G52" i="23" s="1"/>
  <c r="G53" i="23" s="1"/>
  <c r="C21" i="23"/>
  <c r="G21" i="23" s="1"/>
  <c r="F20" i="23"/>
  <c r="D20" i="23"/>
  <c r="C20" i="23"/>
  <c r="G20" i="23" s="1"/>
  <c r="F19" i="23"/>
  <c r="G19" i="23" s="1"/>
  <c r="D19" i="23"/>
  <c r="G18" i="23"/>
  <c r="F18" i="23"/>
  <c r="D18" i="23"/>
  <c r="F16" i="23"/>
  <c r="C16" i="23"/>
  <c r="G16" i="23" s="1"/>
  <c r="D15" i="23"/>
  <c r="D47" i="23" s="1"/>
  <c r="G47" i="23" s="1"/>
  <c r="G48" i="23" s="1"/>
  <c r="C15" i="23"/>
  <c r="F14" i="23"/>
  <c r="D14" i="23"/>
  <c r="C14" i="23"/>
  <c r="G14" i="23" s="1"/>
  <c r="F13" i="23"/>
  <c r="D13" i="23"/>
  <c r="F12" i="23"/>
  <c r="G12" i="23" s="1"/>
  <c r="F11" i="23"/>
  <c r="G11" i="23" s="1"/>
  <c r="A9" i="6"/>
  <c r="A8" i="6"/>
  <c r="D63" i="20"/>
  <c r="D58" i="20"/>
  <c r="J54" i="23" l="1"/>
  <c r="J53" i="23"/>
  <c r="G91" i="23"/>
  <c r="M81" i="23"/>
  <c r="J65" i="23"/>
  <c r="J64" i="23"/>
  <c r="G115" i="23"/>
  <c r="J115" i="23" s="1"/>
  <c r="J120" i="23"/>
  <c r="J121" i="23"/>
  <c r="J38" i="23"/>
  <c r="J39" i="23"/>
  <c r="J48" i="23"/>
  <c r="J49" i="23"/>
  <c r="G22" i="23"/>
  <c r="G75" i="23"/>
  <c r="J97" i="23"/>
  <c r="J96" i="23"/>
  <c r="D42" i="23"/>
  <c r="G42" i="23" s="1"/>
  <c r="G43" i="23" s="1"/>
  <c r="D57" i="23"/>
  <c r="G57" i="23" s="1"/>
  <c r="G59" i="23" s="1"/>
  <c r="G29" i="23"/>
  <c r="G33" i="23" s="1"/>
  <c r="J34" i="23" l="1"/>
  <c r="J33" i="23"/>
  <c r="J23" i="23"/>
  <c r="J22" i="23"/>
  <c r="J44" i="23"/>
  <c r="J43" i="23"/>
  <c r="J92" i="23"/>
  <c r="J91" i="23"/>
  <c r="J76" i="23"/>
  <c r="J75" i="23"/>
  <c r="J60" i="23"/>
  <c r="J59" i="23"/>
  <c r="J127" i="23" l="1"/>
  <c r="C129" i="23" s="1"/>
  <c r="C132" i="23" l="1"/>
  <c r="E131" i="23"/>
  <c r="E132" i="23" s="1"/>
  <c r="J92" i="22" l="1"/>
  <c r="J92" i="20"/>
  <c r="J23" i="20"/>
  <c r="J22" i="20"/>
  <c r="I22" i="20"/>
  <c r="J23" i="22"/>
  <c r="I22" i="22"/>
  <c r="I53" i="6"/>
  <c r="J53" i="6" s="1"/>
  <c r="H53" i="6"/>
  <c r="G53" i="6"/>
  <c r="E53" i="6"/>
  <c r="D53" i="6"/>
  <c r="F53" i="6" s="1"/>
  <c r="C53" i="6"/>
  <c r="B53" i="6"/>
  <c r="A53" i="6"/>
  <c r="G123" i="22"/>
  <c r="J123" i="22" s="1"/>
  <c r="G122" i="20"/>
  <c r="J122" i="20" s="1"/>
  <c r="D63" i="22"/>
  <c r="D58" i="22"/>
  <c r="D118" i="20"/>
  <c r="F118" i="20"/>
  <c r="G118" i="20"/>
  <c r="F119" i="22"/>
  <c r="G119" i="22"/>
  <c r="G120" i="22" s="1"/>
  <c r="D119" i="22"/>
  <c r="F95" i="20"/>
  <c r="F95" i="22"/>
  <c r="F90" i="20" l="1"/>
  <c r="D90" i="20"/>
  <c r="G90" i="20" s="1"/>
  <c r="F89" i="20"/>
  <c r="E89" i="20"/>
  <c r="G89" i="20" s="1"/>
  <c r="D89" i="20"/>
  <c r="F88" i="20"/>
  <c r="E88" i="20"/>
  <c r="D88" i="20"/>
  <c r="G88" i="20" s="1"/>
  <c r="F87" i="20"/>
  <c r="E87" i="20"/>
  <c r="G87" i="20" s="1"/>
  <c r="D87" i="20"/>
  <c r="C87" i="20"/>
  <c r="F86" i="20"/>
  <c r="E86" i="20"/>
  <c r="D86" i="20"/>
  <c r="C86" i="20"/>
  <c r="G86" i="20" s="1"/>
  <c r="F85" i="20"/>
  <c r="E85" i="20"/>
  <c r="D85" i="20"/>
  <c r="G85" i="20" s="1"/>
  <c r="C85" i="20"/>
  <c r="F84" i="20"/>
  <c r="E84" i="20"/>
  <c r="D84" i="20"/>
  <c r="G84" i="20" s="1"/>
  <c r="C84" i="20"/>
  <c r="F83" i="20"/>
  <c r="E83" i="20"/>
  <c r="D83" i="20"/>
  <c r="C83" i="20"/>
  <c r="F82" i="20"/>
  <c r="E82" i="20"/>
  <c r="D82" i="20"/>
  <c r="F81" i="20"/>
  <c r="E81" i="20"/>
  <c r="D81" i="20"/>
  <c r="F80" i="20"/>
  <c r="G80" i="20" s="1"/>
  <c r="E80" i="20"/>
  <c r="D80" i="20"/>
  <c r="F79" i="20"/>
  <c r="E79" i="20"/>
  <c r="D79" i="20"/>
  <c r="G74" i="20"/>
  <c r="F74" i="20"/>
  <c r="E74" i="20"/>
  <c r="D74" i="20"/>
  <c r="F73" i="20"/>
  <c r="E73" i="20"/>
  <c r="D73" i="20"/>
  <c r="C73" i="20"/>
  <c r="F72" i="20"/>
  <c r="E72" i="20"/>
  <c r="D72" i="20"/>
  <c r="C72" i="20"/>
  <c r="F71" i="20"/>
  <c r="E71" i="20"/>
  <c r="D71" i="20"/>
  <c r="G71" i="20" s="1"/>
  <c r="C71" i="20"/>
  <c r="F70" i="20"/>
  <c r="E70" i="20"/>
  <c r="D70" i="20"/>
  <c r="C70" i="20"/>
  <c r="F69" i="20"/>
  <c r="E69" i="20"/>
  <c r="G69" i="20" s="1"/>
  <c r="C69" i="20"/>
  <c r="E68" i="20"/>
  <c r="D68" i="20"/>
  <c r="C43" i="6"/>
  <c r="B44" i="6"/>
  <c r="B43" i="6"/>
  <c r="A43" i="6"/>
  <c r="F90" i="22"/>
  <c r="D90" i="22"/>
  <c r="G90" i="22" s="1"/>
  <c r="F100" i="20"/>
  <c r="D100" i="20"/>
  <c r="I96" i="20"/>
  <c r="E43" i="6" s="1"/>
  <c r="D95" i="20"/>
  <c r="D95" i="22"/>
  <c r="G95" i="22" s="1"/>
  <c r="G96" i="22" s="1"/>
  <c r="G43" i="6" s="1"/>
  <c r="F100" i="22"/>
  <c r="D100" i="22"/>
  <c r="I96" i="22"/>
  <c r="H43" i="6" s="1"/>
  <c r="G82" i="20" l="1"/>
  <c r="G70" i="20"/>
  <c r="G72" i="20"/>
  <c r="G83" i="20"/>
  <c r="G68" i="20"/>
  <c r="G81" i="20"/>
  <c r="G73" i="20"/>
  <c r="G79" i="20"/>
  <c r="I43" i="6"/>
  <c r="G100" i="22"/>
  <c r="G95" i="20"/>
  <c r="G96" i="20" s="1"/>
  <c r="D43" i="6" s="1"/>
  <c r="F43" i="6" s="1"/>
  <c r="J96" i="20"/>
  <c r="J97" i="22"/>
  <c r="I44" i="6" s="1"/>
  <c r="J96" i="22"/>
  <c r="G91" i="20" l="1"/>
  <c r="J97" i="20"/>
  <c r="F44" i="6" s="1"/>
  <c r="J44" i="6" s="1"/>
  <c r="J43" i="6"/>
  <c r="F84" i="22"/>
  <c r="F81" i="22"/>
  <c r="E70" i="22"/>
  <c r="H55" i="6" l="1"/>
  <c r="E55" i="6"/>
  <c r="C55" i="6"/>
  <c r="B55" i="6"/>
  <c r="A55" i="6"/>
  <c r="C50" i="6"/>
  <c r="B51" i="6"/>
  <c r="B50" i="6"/>
  <c r="A50" i="6"/>
  <c r="C48" i="6"/>
  <c r="B48" i="6"/>
  <c r="A48" i="6"/>
  <c r="C46" i="6"/>
  <c r="B46" i="6"/>
  <c r="A46" i="6"/>
  <c r="C40" i="6"/>
  <c r="B41" i="6"/>
  <c r="B40" i="6"/>
  <c r="A40" i="6"/>
  <c r="C37" i="6"/>
  <c r="B38" i="6"/>
  <c r="B37" i="6"/>
  <c r="A37" i="6"/>
  <c r="C34" i="6"/>
  <c r="B35" i="6"/>
  <c r="B34" i="6"/>
  <c r="A34" i="6"/>
  <c r="C31" i="6"/>
  <c r="B32" i="6"/>
  <c r="B31" i="6"/>
  <c r="A31" i="6"/>
  <c r="C28" i="6"/>
  <c r="B29" i="6"/>
  <c r="B28" i="6"/>
  <c r="A28" i="6"/>
  <c r="C25" i="6"/>
  <c r="B26" i="6"/>
  <c r="B25" i="6"/>
  <c r="A25" i="6"/>
  <c r="C22" i="6"/>
  <c r="B23" i="6"/>
  <c r="B22" i="6"/>
  <c r="A22" i="6"/>
  <c r="C19" i="6"/>
  <c r="B20" i="6"/>
  <c r="B19" i="6"/>
  <c r="A19" i="6"/>
  <c r="H16" i="6"/>
  <c r="E16" i="6"/>
  <c r="C16" i="6"/>
  <c r="B17" i="6"/>
  <c r="B16" i="6"/>
  <c r="A16" i="6"/>
  <c r="C13" i="6"/>
  <c r="B14" i="6"/>
  <c r="B13" i="6"/>
  <c r="A13" i="6"/>
  <c r="C134" i="22"/>
  <c r="C133" i="22"/>
  <c r="G125" i="22"/>
  <c r="J125" i="22" s="1"/>
  <c r="I120" i="22"/>
  <c r="H50" i="6" s="1"/>
  <c r="F118" i="22"/>
  <c r="D118" i="22"/>
  <c r="I115" i="22"/>
  <c r="H48" i="6" s="1"/>
  <c r="F114" i="22"/>
  <c r="D114" i="22"/>
  <c r="C114" i="22"/>
  <c r="G114" i="22" s="1"/>
  <c r="F113" i="22"/>
  <c r="D113" i="22"/>
  <c r="C113" i="22"/>
  <c r="F112" i="22"/>
  <c r="D112" i="22"/>
  <c r="C112" i="22"/>
  <c r="F111" i="22"/>
  <c r="D111" i="22"/>
  <c r="C111" i="22"/>
  <c r="F110" i="22"/>
  <c r="D110" i="22"/>
  <c r="C110" i="22"/>
  <c r="F109" i="22"/>
  <c r="D109" i="22"/>
  <c r="C109" i="22"/>
  <c r="F108" i="22"/>
  <c r="D108" i="22"/>
  <c r="C108" i="22"/>
  <c r="F107" i="22"/>
  <c r="D107" i="22"/>
  <c r="C107" i="22"/>
  <c r="F106" i="22"/>
  <c r="D106" i="22"/>
  <c r="C106" i="22"/>
  <c r="G106" i="22" s="1"/>
  <c r="F105" i="22"/>
  <c r="D105" i="22"/>
  <c r="C105" i="22"/>
  <c r="E104" i="22"/>
  <c r="C104" i="22"/>
  <c r="G104" i="22" s="1"/>
  <c r="I101" i="22"/>
  <c r="H46" i="6" s="1"/>
  <c r="I91" i="22"/>
  <c r="H40" i="6" s="1"/>
  <c r="F89" i="22"/>
  <c r="E89" i="22"/>
  <c r="D89" i="22"/>
  <c r="F88" i="22"/>
  <c r="E88" i="22"/>
  <c r="D88" i="22"/>
  <c r="F87" i="22"/>
  <c r="E87" i="22"/>
  <c r="D87" i="22"/>
  <c r="C87" i="22"/>
  <c r="F86" i="22"/>
  <c r="E86" i="22"/>
  <c r="D86" i="22"/>
  <c r="C86" i="22"/>
  <c r="F85" i="22"/>
  <c r="E85" i="22"/>
  <c r="D85" i="22"/>
  <c r="C85" i="22"/>
  <c r="E84" i="22"/>
  <c r="D84" i="22"/>
  <c r="C84" i="22"/>
  <c r="F83" i="22"/>
  <c r="E83" i="22"/>
  <c r="D83" i="22"/>
  <c r="C83" i="22"/>
  <c r="F82" i="22"/>
  <c r="E82" i="22"/>
  <c r="D82" i="22"/>
  <c r="E81" i="22"/>
  <c r="D81" i="22"/>
  <c r="G81" i="22" s="1"/>
  <c r="F80" i="22"/>
  <c r="E80" i="22"/>
  <c r="D80" i="22"/>
  <c r="F79" i="22"/>
  <c r="E79" i="22"/>
  <c r="D79" i="22"/>
  <c r="I75" i="22"/>
  <c r="H37" i="6" s="1"/>
  <c r="F74" i="22"/>
  <c r="E74" i="22"/>
  <c r="D74" i="22"/>
  <c r="F73" i="22"/>
  <c r="E73" i="22"/>
  <c r="D73" i="22"/>
  <c r="C73" i="22"/>
  <c r="F72" i="22"/>
  <c r="E72" i="22"/>
  <c r="D72" i="22"/>
  <c r="C72" i="22"/>
  <c r="F71" i="22"/>
  <c r="E71" i="22"/>
  <c r="D71" i="22"/>
  <c r="C71" i="22"/>
  <c r="M70" i="22"/>
  <c r="N70" i="22" s="1"/>
  <c r="F70" i="22"/>
  <c r="D70" i="22"/>
  <c r="C70" i="22"/>
  <c r="M69" i="22"/>
  <c r="F69" i="22"/>
  <c r="E69" i="22"/>
  <c r="G69" i="22" s="1"/>
  <c r="C69" i="22"/>
  <c r="E68" i="22"/>
  <c r="D68" i="22"/>
  <c r="I64" i="22"/>
  <c r="H34" i="6" s="1"/>
  <c r="G63" i="22"/>
  <c r="G64" i="22" s="1"/>
  <c r="G34" i="6" s="1"/>
  <c r="I59" i="22"/>
  <c r="H31" i="6" s="1"/>
  <c r="G58" i="22"/>
  <c r="I53" i="22"/>
  <c r="H28" i="6" s="1"/>
  <c r="I48" i="22"/>
  <c r="H25" i="6" s="1"/>
  <c r="I43" i="22"/>
  <c r="H22" i="6" s="1"/>
  <c r="I38" i="22"/>
  <c r="H19" i="6" s="1"/>
  <c r="D37" i="22"/>
  <c r="G37" i="22" s="1"/>
  <c r="G38" i="22" s="1"/>
  <c r="G19" i="6" s="1"/>
  <c r="F32" i="22"/>
  <c r="G32" i="22" s="1"/>
  <c r="D32" i="22"/>
  <c r="B32" i="22"/>
  <c r="D31" i="22"/>
  <c r="D13" i="22" s="1"/>
  <c r="C31" i="22"/>
  <c r="D30" i="22"/>
  <c r="C30" i="22"/>
  <c r="C16" i="22" s="1"/>
  <c r="F29" i="22"/>
  <c r="G29" i="22" s="1"/>
  <c r="G28" i="22"/>
  <c r="F27" i="22"/>
  <c r="G27" i="22" s="1"/>
  <c r="F26" i="22"/>
  <c r="G26" i="22" s="1"/>
  <c r="H13" i="6"/>
  <c r="F21" i="22"/>
  <c r="D21" i="22"/>
  <c r="D52" i="22" s="1"/>
  <c r="G52" i="22" s="1"/>
  <c r="G53" i="22" s="1"/>
  <c r="G28" i="6" s="1"/>
  <c r="C21" i="22"/>
  <c r="F20" i="22"/>
  <c r="D20" i="22"/>
  <c r="C20" i="22"/>
  <c r="F19" i="22"/>
  <c r="D19" i="22"/>
  <c r="F18" i="22"/>
  <c r="D18" i="22"/>
  <c r="F16" i="22"/>
  <c r="F30" i="22" s="1"/>
  <c r="F15" i="22"/>
  <c r="D15" i="22"/>
  <c r="C15" i="22"/>
  <c r="F14" i="22"/>
  <c r="D14" i="22"/>
  <c r="C14" i="22"/>
  <c r="F13" i="22"/>
  <c r="F12" i="22"/>
  <c r="G12" i="22" s="1"/>
  <c r="F11" i="22"/>
  <c r="G11" i="22" s="1"/>
  <c r="G109" i="22" l="1"/>
  <c r="G31" i="22"/>
  <c r="G33" i="22" s="1"/>
  <c r="G16" i="6" s="1"/>
  <c r="I16" i="6" s="1"/>
  <c r="G82" i="22"/>
  <c r="G16" i="22"/>
  <c r="G68" i="22"/>
  <c r="G112" i="22"/>
  <c r="G105" i="22"/>
  <c r="G118" i="22"/>
  <c r="G50" i="6" s="1"/>
  <c r="I50" i="6" s="1"/>
  <c r="G15" i="22"/>
  <c r="G79" i="22"/>
  <c r="M81" i="22" s="1"/>
  <c r="C131" i="22"/>
  <c r="C13" i="22"/>
  <c r="G30" i="22"/>
  <c r="G14" i="22"/>
  <c r="G19" i="22"/>
  <c r="G74" i="22"/>
  <c r="G80" i="22"/>
  <c r="D57" i="22"/>
  <c r="G57" i="22" s="1"/>
  <c r="G59" i="22" s="1"/>
  <c r="G20" i="22"/>
  <c r="G107" i="22"/>
  <c r="G13" i="22"/>
  <c r="D42" i="22"/>
  <c r="G42" i="22" s="1"/>
  <c r="G43" i="22" s="1"/>
  <c r="G22" i="6" s="1"/>
  <c r="I22" i="6" s="1"/>
  <c r="G110" i="22"/>
  <c r="G71" i="22"/>
  <c r="G73" i="22"/>
  <c r="G87" i="22"/>
  <c r="G113" i="22"/>
  <c r="G86" i="22"/>
  <c r="G88" i="22"/>
  <c r="G108" i="22"/>
  <c r="G18" i="22"/>
  <c r="D47" i="22"/>
  <c r="G47" i="22" s="1"/>
  <c r="G48" i="22" s="1"/>
  <c r="G25" i="6" s="1"/>
  <c r="I25" i="6" s="1"/>
  <c r="G70" i="22"/>
  <c r="G84" i="22"/>
  <c r="G101" i="22"/>
  <c r="G46" i="6" s="1"/>
  <c r="I46" i="6" s="1"/>
  <c r="G111" i="22"/>
  <c r="G55" i="6"/>
  <c r="G72" i="22"/>
  <c r="G83" i="22"/>
  <c r="G85" i="22"/>
  <c r="G89" i="22"/>
  <c r="I28" i="6"/>
  <c r="I34" i="6"/>
  <c r="I19" i="6"/>
  <c r="J64" i="22"/>
  <c r="J65" i="22"/>
  <c r="I35" i="6" s="1"/>
  <c r="J121" i="22"/>
  <c r="I51" i="6" s="1"/>
  <c r="J39" i="22"/>
  <c r="I20" i="6" s="1"/>
  <c r="J38" i="22"/>
  <c r="J54" i="22"/>
  <c r="I29" i="6" s="1"/>
  <c r="J53" i="22"/>
  <c r="G21" i="22"/>
  <c r="E104" i="20"/>
  <c r="I101" i="20"/>
  <c r="E46" i="6" s="1"/>
  <c r="I91" i="20"/>
  <c r="E40" i="6" s="1"/>
  <c r="G91" i="22" l="1"/>
  <c r="J48" i="22"/>
  <c r="J49" i="22"/>
  <c r="I26" i="6" s="1"/>
  <c r="J120" i="22"/>
  <c r="G22" i="22"/>
  <c r="G13" i="6" s="1"/>
  <c r="G115" i="22"/>
  <c r="G48" i="6" s="1"/>
  <c r="I48" i="6" s="1"/>
  <c r="G75" i="22"/>
  <c r="G37" i="6" s="1"/>
  <c r="I37" i="6" s="1"/>
  <c r="G40" i="6"/>
  <c r="I40" i="6" s="1"/>
  <c r="J43" i="22"/>
  <c r="J44" i="22"/>
  <c r="I23" i="6" s="1"/>
  <c r="G100" i="20"/>
  <c r="G101" i="20" s="1"/>
  <c r="G31" i="6"/>
  <c r="I31" i="6" s="1"/>
  <c r="J60" i="22"/>
  <c r="I32" i="6" s="1"/>
  <c r="J59" i="22"/>
  <c r="J101" i="22"/>
  <c r="I14" i="6"/>
  <c r="J34" i="22"/>
  <c r="I17" i="6" s="1"/>
  <c r="J33" i="22"/>
  <c r="J22" i="22" l="1"/>
  <c r="J115" i="22"/>
  <c r="I41" i="6"/>
  <c r="J91" i="22"/>
  <c r="J75" i="22"/>
  <c r="J76" i="22"/>
  <c r="I38" i="6" s="1"/>
  <c r="J101" i="20"/>
  <c r="D46" i="6"/>
  <c r="F46" i="6" s="1"/>
  <c r="J46" i="6" s="1"/>
  <c r="G58" i="20"/>
  <c r="G63" i="20"/>
  <c r="G64" i="20" s="1"/>
  <c r="D34" i="6" s="1"/>
  <c r="I64" i="20"/>
  <c r="E34" i="6" s="1"/>
  <c r="F114" i="20"/>
  <c r="F113" i="20"/>
  <c r="F112" i="20"/>
  <c r="F111" i="20"/>
  <c r="F110" i="20"/>
  <c r="D114" i="20"/>
  <c r="C114" i="20"/>
  <c r="D113" i="20"/>
  <c r="C113" i="20"/>
  <c r="D112" i="20"/>
  <c r="C112" i="20"/>
  <c r="D111" i="20"/>
  <c r="C111" i="20"/>
  <c r="D110" i="20"/>
  <c r="C110" i="20"/>
  <c r="F108" i="20"/>
  <c r="F109" i="20"/>
  <c r="F107" i="20"/>
  <c r="F106" i="20"/>
  <c r="C106" i="20"/>
  <c r="C107" i="20"/>
  <c r="C108" i="20"/>
  <c r="C109" i="20"/>
  <c r="D109" i="20"/>
  <c r="D108" i="20"/>
  <c r="D107" i="20"/>
  <c r="D106" i="20"/>
  <c r="F105" i="20"/>
  <c r="D105" i="20"/>
  <c r="C105" i="20"/>
  <c r="C104" i="20"/>
  <c r="M70" i="20"/>
  <c r="N70" i="20" s="1"/>
  <c r="M69" i="20"/>
  <c r="D37" i="20"/>
  <c r="D42" i="20" s="1"/>
  <c r="F29" i="20"/>
  <c r="F15" i="20" s="1"/>
  <c r="D15" i="20"/>
  <c r="D47" i="20" s="1"/>
  <c r="F32" i="20"/>
  <c r="D32" i="20"/>
  <c r="B32" i="20"/>
  <c r="F14" i="20"/>
  <c r="D14" i="20"/>
  <c r="F21" i="20"/>
  <c r="D21" i="20"/>
  <c r="D52" i="20" s="1"/>
  <c r="C21" i="20"/>
  <c r="F20" i="20"/>
  <c r="D20" i="20"/>
  <c r="C20" i="20"/>
  <c r="F19" i="20"/>
  <c r="D19" i="20"/>
  <c r="F18" i="20"/>
  <c r="D18" i="20"/>
  <c r="C14" i="20"/>
  <c r="C15" i="20"/>
  <c r="F12" i="20"/>
  <c r="F11" i="20"/>
  <c r="C31" i="20"/>
  <c r="C30" i="20"/>
  <c r="C16" i="20" s="1"/>
  <c r="F27" i="20"/>
  <c r="F26" i="20"/>
  <c r="J127" i="22" l="1"/>
  <c r="C129" i="22" s="1"/>
  <c r="C132" i="22" s="1"/>
  <c r="F34" i="6"/>
  <c r="J34" i="6" s="1"/>
  <c r="G107" i="20"/>
  <c r="G105" i="20"/>
  <c r="G111" i="20"/>
  <c r="G112" i="20"/>
  <c r="G32" i="20"/>
  <c r="G106" i="20"/>
  <c r="G114" i="20"/>
  <c r="G113" i="20"/>
  <c r="G110" i="20"/>
  <c r="G108" i="20"/>
  <c r="G109" i="20"/>
  <c r="J64" i="20"/>
  <c r="J65" i="20"/>
  <c r="F35" i="6" s="1"/>
  <c r="J35" i="6" s="1"/>
  <c r="G21" i="20"/>
  <c r="G20" i="20"/>
  <c r="D57" i="20"/>
  <c r="G57" i="20" s="1"/>
  <c r="G59" i="20" s="1"/>
  <c r="D31" i="6" s="1"/>
  <c r="C133" i="20"/>
  <c r="C132" i="20"/>
  <c r="G124" i="20"/>
  <c r="I119" i="20"/>
  <c r="E50" i="6" s="1"/>
  <c r="I115" i="20"/>
  <c r="E48" i="6" s="1"/>
  <c r="I75" i="20"/>
  <c r="E37" i="6" s="1"/>
  <c r="I59" i="20"/>
  <c r="E31" i="6" s="1"/>
  <c r="I53" i="20"/>
  <c r="E28" i="6" s="1"/>
  <c r="G52" i="20"/>
  <c r="G53" i="20" s="1"/>
  <c r="I48" i="20"/>
  <c r="E25" i="6" s="1"/>
  <c r="G47" i="20"/>
  <c r="G48" i="20" s="1"/>
  <c r="D25" i="6" s="1"/>
  <c r="I43" i="20"/>
  <c r="E22" i="6" s="1"/>
  <c r="G42" i="20"/>
  <c r="G43" i="20" s="1"/>
  <c r="D22" i="6" s="1"/>
  <c r="I38" i="20"/>
  <c r="E19" i="6" s="1"/>
  <c r="G37" i="20"/>
  <c r="G38" i="20" s="1"/>
  <c r="D19" i="6" s="1"/>
  <c r="D31" i="20"/>
  <c r="D13" i="20" s="1"/>
  <c r="D30" i="20"/>
  <c r="G28" i="20"/>
  <c r="E13" i="6"/>
  <c r="G19" i="20"/>
  <c r="G18" i="20"/>
  <c r="F16" i="20"/>
  <c r="G16" i="20" s="1"/>
  <c r="G15" i="20"/>
  <c r="F13" i="20"/>
  <c r="C13" i="20"/>
  <c r="G12" i="20"/>
  <c r="G11" i="20"/>
  <c r="F19" i="6" l="1"/>
  <c r="J19" i="6" s="1"/>
  <c r="E131" i="22"/>
  <c r="E132" i="22" s="1"/>
  <c r="F22" i="6"/>
  <c r="J22" i="6" s="1"/>
  <c r="F25" i="6"/>
  <c r="J25" i="6" s="1"/>
  <c r="F31" i="6"/>
  <c r="J31" i="6" s="1"/>
  <c r="J124" i="20"/>
  <c r="D55" i="6"/>
  <c r="J54" i="20"/>
  <c r="F29" i="6" s="1"/>
  <c r="J29" i="6" s="1"/>
  <c r="D28" i="6"/>
  <c r="F28" i="6" s="1"/>
  <c r="J28" i="6" s="1"/>
  <c r="D40" i="6"/>
  <c r="F40" i="6" s="1"/>
  <c r="J40" i="6" s="1"/>
  <c r="F41" i="6"/>
  <c r="J41" i="6" s="1"/>
  <c r="M81" i="20"/>
  <c r="G104" i="20"/>
  <c r="G115" i="20" s="1"/>
  <c r="D48" i="6" s="1"/>
  <c r="F48" i="6" s="1"/>
  <c r="J48" i="6" s="1"/>
  <c r="G13" i="20"/>
  <c r="G27" i="20"/>
  <c r="C130" i="20"/>
  <c r="G119" i="20"/>
  <c r="F30" i="20"/>
  <c r="G30" i="20" s="1"/>
  <c r="G26" i="20"/>
  <c r="G14" i="20"/>
  <c r="G31" i="20"/>
  <c r="G29" i="20"/>
  <c r="J60" i="20"/>
  <c r="F32" i="6" s="1"/>
  <c r="J32" i="6" s="1"/>
  <c r="J59" i="20"/>
  <c r="J49" i="20"/>
  <c r="F26" i="6" s="1"/>
  <c r="J26" i="6" s="1"/>
  <c r="J48" i="20"/>
  <c r="J44" i="20"/>
  <c r="F23" i="6" s="1"/>
  <c r="J23" i="6" s="1"/>
  <c r="J43" i="20"/>
  <c r="J39" i="20"/>
  <c r="F20" i="6" s="1"/>
  <c r="J20" i="6" s="1"/>
  <c r="J38" i="20"/>
  <c r="J53" i="20"/>
  <c r="G75" i="20" l="1"/>
  <c r="D37" i="6" s="1"/>
  <c r="F37" i="6" s="1"/>
  <c r="J37" i="6" s="1"/>
  <c r="G33" i="20"/>
  <c r="G22" i="20"/>
  <c r="D13" i="6" s="1"/>
  <c r="J120" i="20"/>
  <c r="F51" i="6" s="1"/>
  <c r="J51" i="6" s="1"/>
  <c r="D50" i="6"/>
  <c r="F50" i="6" s="1"/>
  <c r="J50" i="6" s="1"/>
  <c r="J91" i="20"/>
  <c r="J115" i="20"/>
  <c r="J119" i="20"/>
  <c r="F14" i="6" l="1"/>
  <c r="J34" i="20"/>
  <c r="F17" i="6" s="1"/>
  <c r="J17" i="6" s="1"/>
  <c r="D16" i="6"/>
  <c r="F16" i="6" s="1"/>
  <c r="J16" i="6" s="1"/>
  <c r="J33" i="20"/>
  <c r="I55" i="6" l="1"/>
  <c r="I13" i="6" l="1"/>
  <c r="F55" i="6" l="1"/>
  <c r="J55" i="6" s="1"/>
  <c r="F13" i="6" l="1"/>
  <c r="J13" i="6" s="1"/>
  <c r="I57" i="6" l="1"/>
  <c r="J6" i="6" l="1"/>
  <c r="J14" i="6" l="1"/>
  <c r="J76" i="20"/>
  <c r="F38" i="6" s="1"/>
  <c r="J75" i="20"/>
  <c r="J126" i="20" s="1"/>
  <c r="C128" i="20" s="1"/>
  <c r="J38" i="6" l="1"/>
  <c r="F57" i="6"/>
  <c r="E130" i="20"/>
  <c r="E131" i="20" s="1"/>
  <c r="C131" i="20"/>
  <c r="J57" i="6" l="1"/>
  <c r="C6" i="6"/>
</calcChain>
</file>

<file path=xl/sharedStrings.xml><?xml version="1.0" encoding="utf-8"?>
<sst xmlns="http://schemas.openxmlformats.org/spreadsheetml/2006/main" count="382" uniqueCount="91">
  <si>
    <t>Government of Nepal</t>
  </si>
  <si>
    <t>Shankharapur Municipality Office</t>
  </si>
  <si>
    <t>Bagmati Province</t>
  </si>
  <si>
    <t>Sankhu, Kathmandu</t>
  </si>
  <si>
    <t>S.N.</t>
  </si>
  <si>
    <t>Description of work</t>
  </si>
  <si>
    <t>No.</t>
  </si>
  <si>
    <t>Length</t>
  </si>
  <si>
    <t>Breadth</t>
  </si>
  <si>
    <t>Height</t>
  </si>
  <si>
    <t>Quantity</t>
  </si>
  <si>
    <t>Unit</t>
  </si>
  <si>
    <t>Rate</t>
  </si>
  <si>
    <t>Amount</t>
  </si>
  <si>
    <t>Remarks</t>
  </si>
  <si>
    <t>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</si>
  <si>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</si>
  <si>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</si>
  <si>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</si>
  <si>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</si>
  <si>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</si>
  <si>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</si>
  <si>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</si>
  <si>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</si>
  <si>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</si>
  <si>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</si>
  <si>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</si>
  <si>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</si>
  <si>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</si>
  <si>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</si>
  <si>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</si>
  <si>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</si>
  <si>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</si>
  <si>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</si>
  <si>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</si>
  <si>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</si>
  <si>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Sub-total</t>
  </si>
  <si>
    <t>sqm</t>
  </si>
  <si>
    <t>-Deduction for door</t>
  </si>
  <si>
    <t>-Deduction for window</t>
  </si>
  <si>
    <t>F.Y.: 2081/82</t>
  </si>
  <si>
    <t>Detail Estimated Sheet</t>
  </si>
  <si>
    <t>cum</t>
  </si>
  <si>
    <t>-VAT 13% for materials only</t>
  </si>
  <si>
    <t>-base for placement of things</t>
  </si>
  <si>
    <t>Sal timber work for chaukhat frame (upto 8'-0")</t>
  </si>
  <si>
    <t>-For Door</t>
  </si>
  <si>
    <t>-For window</t>
  </si>
  <si>
    <t>Carved Door works excluding wood</t>
  </si>
  <si>
    <t>-door</t>
  </si>
  <si>
    <t>Window carving (except lattice jali) excluding wood</t>
  </si>
  <si>
    <t>-window</t>
  </si>
  <si>
    <t>Carved salwood Lattice (jali) of Carved Window highly carving including wood</t>
  </si>
  <si>
    <t>Traditional Nago Brick work in (1:1:2) lime, surkhi, sand mortar</t>
  </si>
  <si>
    <t>-wall</t>
  </si>
  <si>
    <t>m</t>
  </si>
  <si>
    <t>Traditional Kassimo Brick work in (1:1:2) lime, surkhi, sand mortar</t>
  </si>
  <si>
    <t>Traditional Nagbeli Brick work in (1:1:2) lime, surkhi, sand mortar</t>
  </si>
  <si>
    <t>Traditional Tinkune pali Brick work in (1:1:2) lime, surkhi, sand mortar</t>
  </si>
  <si>
    <t>Traditional Sinkhwo 2" with astamangal or full butta Brick work in (1:1:2) lime, surkhi, sand mortar</t>
  </si>
  <si>
    <t>Traditional Fya Brick work in (1:1:2) lime, surkhi, sand mortar</t>
  </si>
  <si>
    <t>-tika jhyal</t>
  </si>
  <si>
    <t>PS</t>
  </si>
  <si>
    <t>-outer face wall</t>
  </si>
  <si>
    <t>e'O{+tNnfdf lrDgL e§fsf] O{+6fsf] uf/f] l;d]G6 d;nf -!M^_ df</t>
  </si>
  <si>
    <t>-deduction for base for placement of things</t>
  </si>
  <si>
    <t>-2nd floor</t>
  </si>
  <si>
    <t>-deduction for tika jhyal</t>
  </si>
  <si>
    <t>Project:- लकिल्ला गणेश मन्दिर</t>
  </si>
  <si>
    <t>-inner wall</t>
  </si>
  <si>
    <t>-deduction for window</t>
  </si>
  <si>
    <t>-deduction for door</t>
  </si>
  <si>
    <t>-mikha fushi</t>
  </si>
  <si>
    <t>-Pali butta</t>
  </si>
  <si>
    <t>-thaam</t>
  </si>
  <si>
    <t>-2nd floor window</t>
  </si>
  <si>
    <t>-1st floor</t>
  </si>
  <si>
    <t>Sal timber work for joist beam, column, etc. (upto 8'-0")</t>
  </si>
  <si>
    <t>-for window</t>
  </si>
  <si>
    <t>-twaka</t>
  </si>
  <si>
    <t>-Wall</t>
  </si>
  <si>
    <t>#* dL=dL= afSnf] lr/fg cu|fv sf7sf] k|m]d xfnL l8nfvfkf agfO</t>
  </si>
  <si>
    <t>Provisional sum for unforseen works</t>
  </si>
  <si>
    <t>Traditional Brick (Small Dachhi Appa) size 210*55*97 mm work in (1:4) cement sand mortar</t>
  </si>
  <si>
    <t xml:space="preserve">F.Y:2081/2082                     </t>
  </si>
  <si>
    <t xml:space="preserve">Date:              </t>
  </si>
  <si>
    <t>Date: 2082/03/13</t>
  </si>
  <si>
    <t xml:space="preserve">Date: 2082/03/13               </t>
  </si>
  <si>
    <t>Detail Valuated Sheet</t>
  </si>
  <si>
    <t>Total Valuated</t>
  </si>
  <si>
    <t>Detail Quantity Measurement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</si>
</sst>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0.0"/>
    <numFmt numFmtId="166" formatCode="0.0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4"/>
      <name val="Preeti"/>
    </font>
    <font>
      <b/>
      <sz val="12"/>
      <name val="Preeti"/>
    </font>
    <font>
      <b/>
      <sz val="11"/>
      <name val="Calibri"/>
      <family val="2"/>
      <scheme val="minor"/>
    </font>
    <font>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92">
    <xf numFmtId="0" fontId="0" fillId="0" borderId="0" xfId="0"/>
    <xf numFmtId="0" fontId="0" fillId="0" borderId="0" xfId="0" applyAlignment="1">
      <alignment vertical="center"/>
    </xf>
    <xf numFmtId="0" fontId="7" fillId="0" borderId="0" xfId="0" applyFont="1" applyAlignment="1">
      <alignment horizontal="center"/>
    </xf>
    <xf numFmtId="164" fontId="7" fillId="0" borderId="0" xfId="1" applyFont="1"/>
    <xf numFmtId="0" fontId="7" fillId="0" borderId="1" xfId="0" applyFont="1" applyBorder="1" applyAlignment="1">
      <alignment horizontal="center"/>
    </xf>
    <xf numFmtId="0" fontId="2" fillId="0" borderId="0" xfId="0" applyFont="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164"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164"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5"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0" fontId="0" fillId="0" borderId="0" xfId="0" applyAlignment="1"/>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vertical="center" wrapText="1"/>
    </xf>
    <xf numFmtId="0" fontId="6" fillId="0" borderId="0" xfId="0" applyFont="1" applyAlignment="1"/>
    <xf numFmtId="0" fontId="16" fillId="3" borderId="1" xfId="0" applyFont="1" applyFill="1" applyBorder="1" applyAlignment="1">
      <alignment vertical="center" wrapText="1"/>
    </xf>
    <xf numFmtId="0" fontId="15" fillId="3" borderId="1" xfId="0" applyFont="1" applyFill="1" applyBorder="1" applyAlignment="1">
      <alignment vertical="center" wrapText="1"/>
    </xf>
    <xf numFmtId="1" fontId="13" fillId="0" borderId="1" xfId="0" quotePrefix="1" applyNumberFormat="1" applyFont="1" applyFill="1" applyBorder="1" applyAlignment="1">
      <alignment vertical="center" wrapText="1"/>
    </xf>
    <xf numFmtId="164" fontId="0" fillId="0" borderId="0" xfId="0" applyNumberFormat="1"/>
    <xf numFmtId="2" fontId="0" fillId="0" borderId="0" xfId="0" applyNumberFormat="1" applyAlignment="1">
      <alignment vertical="center"/>
    </xf>
    <xf numFmtId="2" fontId="0" fillId="0" borderId="0" xfId="0" applyNumberFormat="1"/>
    <xf numFmtId="0" fontId="6" fillId="0" borderId="0" xfId="0" applyFont="1" applyAlignment="1">
      <alignment horizontal="right"/>
    </xf>
    <xf numFmtId="0" fontId="16" fillId="3" borderId="1" xfId="0" applyFont="1" applyFill="1" applyBorder="1" applyAlignment="1">
      <alignment wrapText="1"/>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164"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xf numFmtId="0" fontId="17" fillId="0" borderId="1" xfId="0" applyFont="1" applyBorder="1" applyAlignment="1">
      <alignment vertical="center"/>
    </xf>
    <xf numFmtId="2" fontId="18" fillId="0" borderId="1" xfId="0" applyNumberFormat="1" applyFont="1" applyBorder="1" applyAlignment="1">
      <alignment vertical="center"/>
    </xf>
    <xf numFmtId="2" fontId="17" fillId="0" borderId="1" xfId="1" applyNumberFormat="1" applyFont="1" applyBorder="1" applyAlignment="1">
      <alignment vertical="center"/>
    </xf>
    <xf numFmtId="0" fontId="18" fillId="0" borderId="1" xfId="0" applyFont="1" applyBorder="1" applyAlignment="1">
      <alignment vertical="center"/>
    </xf>
    <xf numFmtId="0" fontId="17" fillId="0" borderId="1" xfId="0" quotePrefix="1" applyFont="1" applyBorder="1" applyAlignment="1">
      <alignment horizontal="center" vertical="center" wrapText="1"/>
    </xf>
    <xf numFmtId="0" fontId="18" fillId="0" borderId="1" xfId="0" quotePrefix="1" applyFont="1" applyBorder="1" applyAlignment="1">
      <alignment horizontal="right" vertical="center" wrapText="1"/>
    </xf>
    <xf numFmtId="165" fontId="18" fillId="0" borderId="1" xfId="0" applyNumberFormat="1" applyFont="1" applyBorder="1" applyAlignment="1">
      <alignment vertical="center"/>
    </xf>
    <xf numFmtId="2" fontId="17" fillId="0" borderId="1" xfId="0" applyNumberFormat="1" applyFont="1" applyBorder="1" applyAlignment="1">
      <alignment vertical="center"/>
    </xf>
    <xf numFmtId="0" fontId="18" fillId="0" borderId="1" xfId="0" applyFont="1" applyBorder="1"/>
    <xf numFmtId="0" fontId="17" fillId="0" borderId="1" xfId="0" applyFont="1" applyBorder="1"/>
    <xf numFmtId="0" fontId="18" fillId="0" borderId="1" xfId="0" quotePrefix="1" applyFont="1" applyBorder="1" applyAlignment="1">
      <alignment vertical="center" wrapText="1"/>
    </xf>
    <xf numFmtId="165" fontId="18" fillId="0" borderId="1" xfId="0" applyNumberFormat="1" applyFont="1" applyBorder="1" applyAlignment="1"/>
    <xf numFmtId="2" fontId="18" fillId="0" borderId="1" xfId="0" applyNumberFormat="1" applyFont="1" applyBorder="1" applyAlignment="1"/>
    <xf numFmtId="0" fontId="18" fillId="0" borderId="1" xfId="0" quotePrefix="1" applyFont="1" applyBorder="1" applyAlignment="1">
      <alignment horizontal="right" wrapText="1"/>
    </xf>
    <xf numFmtId="2" fontId="17" fillId="0" borderId="1" xfId="0" applyNumberFormat="1" applyFont="1" applyBorder="1" applyAlignment="1"/>
    <xf numFmtId="2" fontId="12" fillId="0" borderId="1" xfId="0" applyNumberFormat="1" applyFont="1" applyBorder="1" applyAlignment="1"/>
    <xf numFmtId="2" fontId="17" fillId="0" borderId="1" xfId="1" applyNumberFormat="1" applyFont="1" applyBorder="1" applyAlignment="1"/>
    <xf numFmtId="0" fontId="18" fillId="0" borderId="1" xfId="0" quotePrefix="1" applyFont="1" applyBorder="1" applyAlignment="1">
      <alignment wrapText="1"/>
    </xf>
    <xf numFmtId="166" fontId="18" fillId="0" borderId="1" xfId="0" applyNumberFormat="1" applyFont="1" applyBorder="1" applyAlignment="1"/>
    <xf numFmtId="0" fontId="17" fillId="0" borderId="1" xfId="0" applyFont="1" applyBorder="1" applyAlignment="1">
      <alignment horizontal="right" vertical="center" wrapText="1"/>
    </xf>
    <xf numFmtId="1" fontId="13" fillId="0" borderId="1" xfId="0" applyNumberFormat="1" applyFont="1" applyBorder="1" applyAlignment="1">
      <alignment vertical="center"/>
    </xf>
    <xf numFmtId="1" fontId="13" fillId="0" borderId="1" xfId="0" applyNumberFormat="1" applyFont="1" applyBorder="1" applyAlignment="1">
      <alignment vertical="center" wrapText="1"/>
    </xf>
    <xf numFmtId="164" fontId="17" fillId="0" borderId="1" xfId="1" applyFont="1" applyBorder="1" applyAlignment="1">
      <alignment vertical="center"/>
    </xf>
    <xf numFmtId="0" fontId="18" fillId="0" borderId="1" xfId="0" applyFont="1" applyBorder="1" applyAlignment="1">
      <alignment vertical="center" wrapText="1"/>
    </xf>
    <xf numFmtId="1" fontId="13" fillId="0" borderId="1" xfId="0" applyNumberFormat="1" applyFont="1" applyBorder="1" applyAlignment="1">
      <alignment horizontal="right" vertical="center" wrapText="1"/>
    </xf>
    <xf numFmtId="0" fontId="13" fillId="0" borderId="1" xfId="0" applyFont="1" applyBorder="1" applyAlignment="1">
      <alignment vertical="center"/>
    </xf>
    <xf numFmtId="0" fontId="17" fillId="0" borderId="1" xfId="0" applyFont="1" applyBorder="1" applyAlignment="1">
      <alignment horizontal="right"/>
    </xf>
    <xf numFmtId="2" fontId="17" fillId="0" borderId="1" xfId="0" applyNumberFormat="1" applyFont="1" applyBorder="1"/>
    <xf numFmtId="164" fontId="17" fillId="0" borderId="1" xfId="1"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79-080/Rate%20Analysis/Road-rate-analysis-079-80-shankharapur-as-per-dor-norms-nnn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72">
          <cell r="B172" t="str">
            <v>Providing and laying of Plain/Reinforced Cement Concrete in Foundation complete as per Drawing and Technical Specifications., RCC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9">
          <cell r="B169" t="str">
            <v>Providing and laying of Plain/Reinforced Cement Concrete in Foundation complete as per Drawing and Technical Specifications, PCC Grade M 15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3"/>
  <sheetViews>
    <sheetView zoomScaleNormal="100" zoomScaleSheetLayoutView="80" workbookViewId="0">
      <selection activeCell="F14" sqref="F14"/>
    </sheetView>
  </sheetViews>
  <sheetFormatPr defaultRowHeight="14.4" x14ac:dyDescent="0.3"/>
  <cols>
    <col min="1" max="1" width="4.44140625" style="5" customWidth="1"/>
    <col min="2" max="2" width="31.33203125" customWidth="1"/>
    <col min="3" max="3" width="4.33203125" bestFit="1" customWidth="1"/>
    <col min="4" max="4" width="9.33203125" customWidth="1"/>
    <col min="5" max="5" width="7.88671875" customWidth="1"/>
    <col min="6" max="6" width="7.5546875" customWidth="1"/>
    <col min="7" max="7" width="8.5546875" style="5" customWidth="1"/>
    <col min="8" max="8" width="5.33203125" style="5" bestFit="1" customWidth="1"/>
    <col min="9" max="9" width="10.6640625" style="5" customWidth="1"/>
    <col min="10" max="10" width="10.5546875" style="5"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4" s="1" customFormat="1" x14ac:dyDescent="0.3">
      <c r="A1" s="41" t="s">
        <v>0</v>
      </c>
      <c r="B1" s="41"/>
      <c r="C1" s="41"/>
      <c r="D1" s="41"/>
      <c r="E1" s="41"/>
      <c r="F1" s="41"/>
      <c r="G1" s="41"/>
      <c r="H1" s="41"/>
      <c r="I1" s="41"/>
      <c r="J1" s="41"/>
      <c r="K1" s="41"/>
    </row>
    <row r="2" spans="1:14" s="1" customFormat="1" ht="22.8" x14ac:dyDescent="0.3">
      <c r="A2" s="42" t="s">
        <v>1</v>
      </c>
      <c r="B2" s="42"/>
      <c r="C2" s="42"/>
      <c r="D2" s="42"/>
      <c r="E2" s="42"/>
      <c r="F2" s="42"/>
      <c r="G2" s="42"/>
      <c r="H2" s="42"/>
      <c r="I2" s="42"/>
      <c r="J2" s="42"/>
      <c r="K2" s="42"/>
    </row>
    <row r="3" spans="1:14" s="1" customFormat="1" x14ac:dyDescent="0.3">
      <c r="A3" s="43" t="s">
        <v>2</v>
      </c>
      <c r="B3" s="43"/>
      <c r="C3" s="43"/>
      <c r="D3" s="43"/>
      <c r="E3" s="43"/>
      <c r="F3" s="43"/>
      <c r="G3" s="43"/>
      <c r="H3" s="43"/>
      <c r="I3" s="43"/>
      <c r="J3" s="43"/>
      <c r="K3" s="43"/>
      <c r="N3" s="36"/>
    </row>
    <row r="4" spans="1:14" s="1" customFormat="1" x14ac:dyDescent="0.3">
      <c r="A4" s="43" t="s">
        <v>3</v>
      </c>
      <c r="B4" s="43"/>
      <c r="C4" s="43"/>
      <c r="D4" s="43"/>
      <c r="E4" s="43"/>
      <c r="F4" s="43"/>
      <c r="G4" s="43"/>
      <c r="H4" s="43"/>
      <c r="I4" s="43"/>
      <c r="J4" s="43"/>
      <c r="K4" s="43"/>
      <c r="N4" s="36"/>
    </row>
    <row r="5" spans="1:14" ht="17.399999999999999" x14ac:dyDescent="0.3">
      <c r="A5" s="44" t="s">
        <v>41</v>
      </c>
      <c r="B5" s="44"/>
      <c r="C5" s="44"/>
      <c r="D5" s="44"/>
      <c r="E5" s="44"/>
      <c r="F5" s="44"/>
      <c r="G5" s="44"/>
      <c r="H5" s="44"/>
      <c r="I5" s="44"/>
      <c r="J5" s="44"/>
      <c r="K5" s="44"/>
      <c r="M5" s="1"/>
      <c r="N5" s="36"/>
    </row>
    <row r="6" spans="1:14" ht="15.6" x14ac:dyDescent="0.3">
      <c r="A6" s="31" t="s">
        <v>68</v>
      </c>
      <c r="B6" s="31"/>
      <c r="C6" s="31"/>
      <c r="D6" s="31"/>
      <c r="E6" s="31"/>
      <c r="F6" s="31"/>
      <c r="G6" s="2"/>
      <c r="H6" s="40" t="s">
        <v>40</v>
      </c>
      <c r="I6" s="40"/>
      <c r="J6" s="40"/>
      <c r="K6" s="40"/>
      <c r="M6" s="1"/>
      <c r="N6" s="36"/>
    </row>
    <row r="7" spans="1:14" ht="15.6" x14ac:dyDescent="0.3">
      <c r="A7" s="47" t="s">
        <v>26</v>
      </c>
      <c r="B7" s="47"/>
      <c r="C7" s="47"/>
      <c r="D7" s="47"/>
      <c r="E7" s="47"/>
      <c r="F7" s="47"/>
      <c r="G7" s="3"/>
      <c r="H7" s="40" t="s">
        <v>85</v>
      </c>
      <c r="I7" s="40"/>
      <c r="J7" s="40"/>
      <c r="K7" s="40"/>
      <c r="N7" s="36"/>
    </row>
    <row r="8" spans="1:14" ht="15" customHeight="1" x14ac:dyDescent="0.3">
      <c r="A8" s="4" t="s">
        <v>4</v>
      </c>
      <c r="B8" s="17" t="s">
        <v>5</v>
      </c>
      <c r="C8" s="4" t="s">
        <v>6</v>
      </c>
      <c r="D8" s="18" t="s">
        <v>7</v>
      </c>
      <c r="E8" s="18" t="s">
        <v>8</v>
      </c>
      <c r="F8" s="18" t="s">
        <v>9</v>
      </c>
      <c r="G8" s="18" t="s">
        <v>10</v>
      </c>
      <c r="H8" s="4" t="s">
        <v>11</v>
      </c>
      <c r="I8" s="18" t="s">
        <v>12</v>
      </c>
      <c r="J8" s="18" t="s">
        <v>13</v>
      </c>
      <c r="K8" s="19" t="s">
        <v>14</v>
      </c>
      <c r="N8" s="37"/>
    </row>
    <row r="9" spans="1:14" ht="41.4" x14ac:dyDescent="0.3">
      <c r="A9" s="63">
        <v>1</v>
      </c>
      <c r="B9" s="34" t="s">
        <v>83</v>
      </c>
      <c r="C9" s="33"/>
      <c r="D9" s="64"/>
      <c r="E9" s="64"/>
      <c r="F9" s="64"/>
      <c r="G9" s="64"/>
      <c r="H9" s="64"/>
      <c r="I9" s="64"/>
      <c r="J9" s="65"/>
      <c r="K9" s="66"/>
    </row>
    <row r="10" spans="1:14" ht="17.399999999999999" x14ac:dyDescent="0.3">
      <c r="A10" s="63"/>
      <c r="B10" s="67" t="s">
        <v>76</v>
      </c>
      <c r="C10" s="33"/>
      <c r="D10" s="64"/>
      <c r="E10" s="64"/>
      <c r="F10" s="64"/>
      <c r="G10" s="64"/>
      <c r="H10" s="64"/>
      <c r="I10" s="64"/>
      <c r="J10" s="65"/>
      <c r="K10" s="66"/>
    </row>
    <row r="11" spans="1:14" ht="15" customHeight="1" x14ac:dyDescent="0.3">
      <c r="A11" s="63"/>
      <c r="B11" s="68" t="s">
        <v>63</v>
      </c>
      <c r="C11" s="69">
        <v>2</v>
      </c>
      <c r="D11" s="64">
        <v>2.97</v>
      </c>
      <c r="E11" s="64"/>
      <c r="F11" s="64">
        <f>1.11+0.7</f>
        <v>1.81</v>
      </c>
      <c r="G11" s="64">
        <f t="shared" ref="G11:G21" si="0">PRODUCT(C11:F11)</f>
        <v>10.7514</v>
      </c>
      <c r="H11" s="64"/>
      <c r="I11" s="70"/>
      <c r="J11" s="70"/>
      <c r="K11" s="66"/>
    </row>
    <row r="12" spans="1:14" ht="15" customHeight="1" x14ac:dyDescent="0.3">
      <c r="A12" s="63"/>
      <c r="B12" s="68"/>
      <c r="C12" s="69">
        <v>2</v>
      </c>
      <c r="D12" s="64">
        <v>2.97</v>
      </c>
      <c r="E12" s="64"/>
      <c r="F12" s="64">
        <f>1.11+0.7</f>
        <v>1.81</v>
      </c>
      <c r="G12" s="64">
        <f t="shared" si="0"/>
        <v>10.7514</v>
      </c>
      <c r="H12" s="64"/>
      <c r="I12" s="70"/>
      <c r="J12" s="70"/>
      <c r="K12" s="66"/>
    </row>
    <row r="13" spans="1:14" ht="28.8" x14ac:dyDescent="0.3">
      <c r="A13" s="63"/>
      <c r="B13" s="68" t="s">
        <v>65</v>
      </c>
      <c r="C13" s="69">
        <f>-C31</f>
        <v>0</v>
      </c>
      <c r="D13" s="64">
        <f>D31</f>
        <v>0.53337397135019804</v>
      </c>
      <c r="E13" s="64"/>
      <c r="F13" s="64">
        <f>F31</f>
        <v>0.75</v>
      </c>
      <c r="G13" s="64">
        <f t="shared" si="0"/>
        <v>0</v>
      </c>
      <c r="H13" s="64"/>
      <c r="I13" s="70"/>
      <c r="J13" s="70"/>
      <c r="K13" s="66"/>
    </row>
    <row r="14" spans="1:14" ht="15" customHeight="1" x14ac:dyDescent="0.3">
      <c r="A14" s="63"/>
      <c r="B14" s="68" t="s">
        <v>39</v>
      </c>
      <c r="C14" s="69">
        <f>C28</f>
        <v>-2</v>
      </c>
      <c r="D14" s="64">
        <f>D28</f>
        <v>0.7</v>
      </c>
      <c r="E14" s="64"/>
      <c r="F14" s="64">
        <f>F28</f>
        <v>0.7</v>
      </c>
      <c r="G14" s="64">
        <f t="shared" si="0"/>
        <v>-0.97999999999999987</v>
      </c>
      <c r="H14" s="64"/>
      <c r="I14" s="70"/>
      <c r="J14" s="70"/>
      <c r="K14" s="66"/>
    </row>
    <row r="15" spans="1:14" ht="15" customHeight="1" x14ac:dyDescent="0.3">
      <c r="A15" s="63"/>
      <c r="B15" s="68" t="s">
        <v>38</v>
      </c>
      <c r="C15" s="69">
        <f>C29</f>
        <v>-1</v>
      </c>
      <c r="D15" s="64">
        <f>D29+0.15+0.15+0.05</f>
        <v>1.5499999999999998</v>
      </c>
      <c r="E15" s="64"/>
      <c r="F15" s="64">
        <f>F29</f>
        <v>2.4382810118866196</v>
      </c>
      <c r="G15" s="64">
        <f t="shared" si="0"/>
        <v>-3.7793355684242598</v>
      </c>
      <c r="H15" s="64"/>
      <c r="I15" s="70"/>
      <c r="J15" s="70"/>
      <c r="K15" s="66"/>
    </row>
    <row r="16" spans="1:14" ht="15" customHeight="1" x14ac:dyDescent="0.3">
      <c r="A16" s="63"/>
      <c r="B16" s="68" t="s">
        <v>44</v>
      </c>
      <c r="C16" s="69">
        <f>C30</f>
        <v>0</v>
      </c>
      <c r="D16" s="64">
        <v>2.08</v>
      </c>
      <c r="E16" s="64"/>
      <c r="F16" s="64">
        <f>0.75-0.15*4</f>
        <v>0.15000000000000002</v>
      </c>
      <c r="G16" s="64">
        <f t="shared" si="0"/>
        <v>0</v>
      </c>
      <c r="H16" s="64"/>
      <c r="I16" s="70"/>
      <c r="J16" s="70"/>
      <c r="K16" s="66"/>
    </row>
    <row r="17" spans="1:11" ht="15" customHeight="1" x14ac:dyDescent="0.3">
      <c r="A17" s="63"/>
      <c r="B17" s="67" t="s">
        <v>66</v>
      </c>
      <c r="C17" s="71"/>
      <c r="D17" s="71"/>
      <c r="E17" s="71"/>
      <c r="F17" s="71"/>
      <c r="G17" s="72"/>
      <c r="H17" s="64"/>
      <c r="I17" s="70"/>
      <c r="J17" s="70"/>
      <c r="K17" s="66"/>
    </row>
    <row r="18" spans="1:11" ht="15" customHeight="1" x14ac:dyDescent="0.3">
      <c r="A18" s="63"/>
      <c r="B18" s="68" t="s">
        <v>80</v>
      </c>
      <c r="C18" s="69">
        <v>4</v>
      </c>
      <c r="D18" s="64">
        <f>76/12/3.281</f>
        <v>1.9303058010769072</v>
      </c>
      <c r="E18" s="64"/>
      <c r="F18" s="64">
        <f>20/12/3.281</f>
        <v>0.50797521080971253</v>
      </c>
      <c r="G18" s="64">
        <f>PRODUCT(C18:F18)</f>
        <v>3.9221899849170119</v>
      </c>
      <c r="H18" s="64"/>
      <c r="I18" s="70"/>
      <c r="J18" s="70"/>
      <c r="K18" s="66"/>
    </row>
    <row r="19" spans="1:11" ht="15" customHeight="1" x14ac:dyDescent="0.3">
      <c r="A19" s="63"/>
      <c r="B19" s="68" t="s">
        <v>67</v>
      </c>
      <c r="C19" s="69">
        <v>-4</v>
      </c>
      <c r="D19" s="64">
        <f>10.5/12/3.281</f>
        <v>0.26668698567509902</v>
      </c>
      <c r="E19" s="64"/>
      <c r="F19" s="64">
        <f>1/3.281</f>
        <v>0.30478512648582745</v>
      </c>
      <c r="G19" s="64">
        <f t="shared" si="0"/>
        <v>-0.32512890664443644</v>
      </c>
      <c r="H19" s="64"/>
      <c r="I19" s="70"/>
      <c r="J19" s="70"/>
      <c r="K19" s="66"/>
    </row>
    <row r="20" spans="1:11" ht="15" customHeight="1" x14ac:dyDescent="0.3">
      <c r="A20" s="63"/>
      <c r="B20" s="68"/>
      <c r="C20" s="69">
        <f>C19</f>
        <v>-4</v>
      </c>
      <c r="D20" s="64">
        <f>26/12/3.281</f>
        <v>0.66036777405262614</v>
      </c>
      <c r="E20" s="64"/>
      <c r="F20" s="64">
        <f>5/12/3.281</f>
        <v>0.12699380270242813</v>
      </c>
      <c r="G20" s="64">
        <f t="shared" si="0"/>
        <v>-0.33545045923632338</v>
      </c>
      <c r="H20" s="64"/>
      <c r="I20" s="70"/>
      <c r="J20" s="70"/>
      <c r="K20" s="66"/>
    </row>
    <row r="21" spans="1:11" ht="15" customHeight="1" x14ac:dyDescent="0.3">
      <c r="A21" s="63"/>
      <c r="B21" s="68"/>
      <c r="C21" s="69">
        <f>C19</f>
        <v>-4</v>
      </c>
      <c r="D21" s="64">
        <f>24/12/3.281</f>
        <v>0.6095702529716549</v>
      </c>
      <c r="E21" s="64"/>
      <c r="F21" s="64">
        <f>3/12/3.281</f>
        <v>7.6196281621456863E-2</v>
      </c>
      <c r="G21" s="64">
        <f t="shared" si="0"/>
        <v>-0.18578794665396367</v>
      </c>
      <c r="H21" s="64"/>
      <c r="I21" s="70"/>
      <c r="J21" s="70"/>
      <c r="K21" s="66"/>
    </row>
    <row r="22" spans="1:11" ht="15" customHeight="1" x14ac:dyDescent="0.3">
      <c r="A22" s="63"/>
      <c r="B22" s="68" t="s">
        <v>36</v>
      </c>
      <c r="C22" s="69"/>
      <c r="D22" s="64"/>
      <c r="E22" s="64"/>
      <c r="F22" s="64"/>
      <c r="G22" s="70">
        <f>SUM(G11:G21)</f>
        <v>19.819287103958029</v>
      </c>
      <c r="H22" s="70" t="s">
        <v>37</v>
      </c>
      <c r="I22" s="70">
        <f>5810.57/1.15</f>
        <v>5052.6695652173912</v>
      </c>
      <c r="J22" s="70">
        <f>G22*I22</f>
        <v>100140.30875447426</v>
      </c>
      <c r="K22" s="66"/>
    </row>
    <row r="23" spans="1:11" ht="15" customHeight="1" x14ac:dyDescent="0.3">
      <c r="A23" s="63"/>
      <c r="B23" s="68" t="s">
        <v>43</v>
      </c>
      <c r="C23" s="69"/>
      <c r="D23" s="64"/>
      <c r="E23" s="64"/>
      <c r="F23" s="64"/>
      <c r="G23" s="70"/>
      <c r="H23" s="70"/>
      <c r="I23" s="70"/>
      <c r="J23" s="70">
        <f>0.13*G22*(309557.25/100)</f>
        <v>7975.7652167202259</v>
      </c>
      <c r="K23" s="66"/>
    </row>
    <row r="24" spans="1:11" ht="15" customHeight="1" x14ac:dyDescent="0.3">
      <c r="A24" s="63"/>
      <c r="B24" s="68"/>
      <c r="C24" s="69"/>
      <c r="D24" s="64"/>
      <c r="E24" s="64"/>
      <c r="F24" s="64"/>
      <c r="G24" s="70"/>
      <c r="H24" s="70"/>
      <c r="I24" s="70"/>
      <c r="J24" s="70"/>
      <c r="K24" s="66"/>
    </row>
    <row r="25" spans="1:11" ht="30" x14ac:dyDescent="0.3">
      <c r="A25" s="63">
        <v>2</v>
      </c>
      <c r="B25" s="32" t="s">
        <v>64</v>
      </c>
      <c r="C25" s="69"/>
      <c r="D25" s="64"/>
      <c r="E25" s="64"/>
      <c r="F25" s="64"/>
      <c r="G25" s="70"/>
      <c r="H25" s="70"/>
      <c r="I25" s="70"/>
      <c r="J25" s="70"/>
      <c r="K25" s="66"/>
    </row>
    <row r="26" spans="1:11" x14ac:dyDescent="0.3">
      <c r="A26" s="63"/>
      <c r="B26" s="68" t="s">
        <v>69</v>
      </c>
      <c r="C26" s="69">
        <v>2</v>
      </c>
      <c r="D26" s="64">
        <v>2.0699999999999998</v>
      </c>
      <c r="E26" s="64">
        <v>0.1</v>
      </c>
      <c r="F26" s="64">
        <f>8/3.281</f>
        <v>2.4382810118866196</v>
      </c>
      <c r="G26" s="64">
        <f t="shared" ref="G26:G29" si="1">PRODUCT(C26:F26)</f>
        <v>1.0094483389210605</v>
      </c>
      <c r="H26" s="70"/>
      <c r="I26" s="70"/>
      <c r="J26" s="70"/>
      <c r="K26" s="66"/>
    </row>
    <row r="27" spans="1:11" ht="15" x14ac:dyDescent="0.3">
      <c r="A27" s="63"/>
      <c r="B27" s="32"/>
      <c r="C27" s="69">
        <v>2</v>
      </c>
      <c r="D27" s="64">
        <v>2.0699999999999998</v>
      </c>
      <c r="E27" s="64">
        <v>0.1</v>
      </c>
      <c r="F27" s="64">
        <f>8/3.281</f>
        <v>2.4382810118866196</v>
      </c>
      <c r="G27" s="64">
        <f t="shared" si="1"/>
        <v>1.0094483389210605</v>
      </c>
      <c r="H27" s="70"/>
      <c r="I27" s="70"/>
      <c r="J27" s="70"/>
      <c r="K27" s="66"/>
    </row>
    <row r="28" spans="1:11" x14ac:dyDescent="0.3">
      <c r="A28" s="63"/>
      <c r="B28" s="68" t="s">
        <v>70</v>
      </c>
      <c r="C28" s="69">
        <v>-2</v>
      </c>
      <c r="D28" s="64">
        <v>0.7</v>
      </c>
      <c r="E28" s="64">
        <v>0.1</v>
      </c>
      <c r="F28" s="64">
        <v>0.7</v>
      </c>
      <c r="G28" s="64">
        <f t="shared" si="1"/>
        <v>-9.799999999999999E-2</v>
      </c>
      <c r="H28" s="70"/>
      <c r="I28" s="70"/>
      <c r="J28" s="70"/>
      <c r="K28" s="66"/>
    </row>
    <row r="29" spans="1:11" x14ac:dyDescent="0.3">
      <c r="A29" s="63"/>
      <c r="B29" s="68" t="s">
        <v>71</v>
      </c>
      <c r="C29" s="69">
        <v>-1</v>
      </c>
      <c r="D29" s="64">
        <v>1.2</v>
      </c>
      <c r="E29" s="64">
        <v>0.1</v>
      </c>
      <c r="F29" s="64">
        <f>8/3.281</f>
        <v>2.4382810118866196</v>
      </c>
      <c r="G29" s="64">
        <f t="shared" si="1"/>
        <v>-0.29259372142639434</v>
      </c>
      <c r="H29" s="70"/>
      <c r="I29" s="70"/>
      <c r="J29" s="70"/>
      <c r="K29" s="66"/>
    </row>
    <row r="30" spans="1:11" ht="15" customHeight="1" x14ac:dyDescent="0.3">
      <c r="A30" s="63"/>
      <c r="B30" s="68" t="s">
        <v>44</v>
      </c>
      <c r="C30" s="69">
        <f>0*1</f>
        <v>0</v>
      </c>
      <c r="D30" s="64">
        <f>D16</f>
        <v>2.08</v>
      </c>
      <c r="E30" s="64">
        <v>0.1</v>
      </c>
      <c r="F30" s="64">
        <f>F16</f>
        <v>0.15000000000000002</v>
      </c>
      <c r="G30" s="64">
        <f>PRODUCT(C30:F30)</f>
        <v>0</v>
      </c>
      <c r="H30" s="64"/>
      <c r="I30" s="70"/>
      <c r="J30" s="70"/>
      <c r="K30" s="66"/>
    </row>
    <row r="31" spans="1:11" ht="15" customHeight="1" x14ac:dyDescent="0.3">
      <c r="A31" s="63"/>
      <c r="B31" s="68"/>
      <c r="C31" s="69">
        <f>0*2</f>
        <v>0</v>
      </c>
      <c r="D31" s="64">
        <f>(1.75/3.281)</f>
        <v>0.53337397135019804</v>
      </c>
      <c r="E31" s="64">
        <v>0.1</v>
      </c>
      <c r="F31" s="64">
        <v>0.75</v>
      </c>
      <c r="G31" s="64">
        <f>PRODUCT(C31:F31)</f>
        <v>0</v>
      </c>
      <c r="H31" s="64"/>
      <c r="I31" s="70"/>
      <c r="J31" s="70"/>
      <c r="K31" s="66"/>
    </row>
    <row r="32" spans="1:11" ht="15" customHeight="1" x14ac:dyDescent="0.3">
      <c r="A32" s="63"/>
      <c r="B32" s="68" t="str">
        <f>B17</f>
        <v>-2nd floor</v>
      </c>
      <c r="C32" s="69">
        <v>1</v>
      </c>
      <c r="D32" s="64">
        <f>73/12/3.281</f>
        <v>1.8541095194554504</v>
      </c>
      <c r="E32" s="64">
        <v>0.1</v>
      </c>
      <c r="F32" s="64">
        <f>0.1</f>
        <v>0.1</v>
      </c>
      <c r="G32" s="64">
        <f>PRODUCT(C32:F32)</f>
        <v>1.8541095194554505E-2</v>
      </c>
      <c r="H32" s="64"/>
      <c r="I32" s="70"/>
      <c r="J32" s="70"/>
      <c r="K32" s="66"/>
    </row>
    <row r="33" spans="1:19" ht="15" customHeight="1" x14ac:dyDescent="0.3">
      <c r="A33" s="63"/>
      <c r="B33" s="68" t="s">
        <v>36</v>
      </c>
      <c r="C33" s="69"/>
      <c r="D33" s="64"/>
      <c r="E33" s="64"/>
      <c r="F33" s="64"/>
      <c r="G33" s="70">
        <f>SUM(G26:G32)</f>
        <v>1.6468440516102811</v>
      </c>
      <c r="H33" s="70" t="s">
        <v>42</v>
      </c>
      <c r="I33" s="70">
        <v>14362.76</v>
      </c>
      <c r="J33" s="70">
        <f>G33*I33</f>
        <v>23653.225870706083</v>
      </c>
      <c r="K33" s="66"/>
    </row>
    <row r="34" spans="1:19" ht="15" customHeight="1" x14ac:dyDescent="0.3">
      <c r="A34" s="63"/>
      <c r="B34" s="68" t="s">
        <v>43</v>
      </c>
      <c r="C34" s="69"/>
      <c r="D34" s="64"/>
      <c r="E34" s="64"/>
      <c r="F34" s="64"/>
      <c r="G34" s="70"/>
      <c r="H34" s="70"/>
      <c r="I34" s="70"/>
      <c r="J34" s="70">
        <f>0.13*G33*10311.74</f>
        <v>2207.637598497734</v>
      </c>
      <c r="K34" s="66"/>
    </row>
    <row r="35" spans="1:19" ht="15" customHeight="1" x14ac:dyDescent="0.3">
      <c r="A35" s="20"/>
      <c r="B35" s="24"/>
      <c r="C35" s="21"/>
      <c r="D35" s="22"/>
      <c r="E35" s="23"/>
      <c r="F35" s="23"/>
      <c r="G35" s="29"/>
      <c r="H35" s="28"/>
      <c r="I35" s="29"/>
      <c r="J35" s="70"/>
      <c r="K35" s="23"/>
      <c r="M35" s="25"/>
      <c r="N35" s="1"/>
      <c r="O35" s="1"/>
      <c r="P35" s="1"/>
      <c r="Q35" s="1"/>
      <c r="R35" s="25"/>
      <c r="S35" s="25"/>
    </row>
    <row r="36" spans="1:19" ht="27.6" x14ac:dyDescent="0.3">
      <c r="A36" s="20">
        <v>3</v>
      </c>
      <c r="B36" s="30" t="s">
        <v>53</v>
      </c>
      <c r="C36" s="21"/>
      <c r="D36" s="22"/>
      <c r="E36" s="23"/>
      <c r="F36" s="23"/>
      <c r="G36" s="29"/>
      <c r="H36" s="28"/>
      <c r="I36" s="29"/>
      <c r="J36" s="70"/>
      <c r="K36" s="23"/>
      <c r="M36" s="25"/>
      <c r="N36" s="1"/>
      <c r="O36" s="1"/>
      <c r="P36" s="1"/>
      <c r="Q36" s="1"/>
      <c r="R36" s="25"/>
      <c r="S36" s="25"/>
    </row>
    <row r="37" spans="1:19" ht="15" customHeight="1" x14ac:dyDescent="0.3">
      <c r="A37" s="63"/>
      <c r="B37" s="68" t="s">
        <v>54</v>
      </c>
      <c r="C37" s="69">
        <v>1</v>
      </c>
      <c r="D37" s="64">
        <f>3.06*4</f>
        <v>12.24</v>
      </c>
      <c r="E37" s="64"/>
      <c r="F37" s="64"/>
      <c r="G37" s="64">
        <f>PRODUCT(C37:F37)</f>
        <v>12.24</v>
      </c>
      <c r="H37" s="64"/>
      <c r="I37" s="70"/>
      <c r="J37" s="70"/>
      <c r="K37" s="66"/>
    </row>
    <row r="38" spans="1:19" ht="15" customHeight="1" x14ac:dyDescent="0.3">
      <c r="A38" s="63"/>
      <c r="B38" s="68" t="s">
        <v>36</v>
      </c>
      <c r="C38" s="69"/>
      <c r="D38" s="64"/>
      <c r="E38" s="64"/>
      <c r="F38" s="64"/>
      <c r="G38" s="70">
        <f>SUM(G37)</f>
        <v>12.24</v>
      </c>
      <c r="H38" s="70" t="s">
        <v>55</v>
      </c>
      <c r="I38" s="70">
        <f>465.63/1.15</f>
        <v>404.89565217391305</v>
      </c>
      <c r="J38" s="70">
        <f>G38*I38</f>
        <v>4955.9227826086963</v>
      </c>
      <c r="K38" s="66"/>
    </row>
    <row r="39" spans="1:19" ht="15" customHeight="1" x14ac:dyDescent="0.3">
      <c r="A39" s="63"/>
      <c r="B39" s="68" t="s">
        <v>43</v>
      </c>
      <c r="C39" s="69"/>
      <c r="D39" s="64"/>
      <c r="E39" s="64"/>
      <c r="F39" s="64"/>
      <c r="G39" s="70"/>
      <c r="H39" s="70"/>
      <c r="I39" s="70"/>
      <c r="J39" s="70">
        <f>0.13*G38*(2780.61/10)</f>
        <v>442.45066320000012</v>
      </c>
      <c r="K39" s="66"/>
    </row>
    <row r="40" spans="1:19" ht="15" customHeight="1" x14ac:dyDescent="0.3">
      <c r="A40" s="63"/>
      <c r="B40" s="68"/>
      <c r="C40" s="69"/>
      <c r="D40" s="64"/>
      <c r="E40" s="64"/>
      <c r="F40" s="64"/>
      <c r="G40" s="64"/>
      <c r="H40" s="64"/>
      <c r="I40" s="64"/>
      <c r="J40" s="65"/>
      <c r="K40" s="66"/>
    </row>
    <row r="41" spans="1:19" ht="27.6" x14ac:dyDescent="0.3">
      <c r="A41" s="20">
        <v>4</v>
      </c>
      <c r="B41" s="30" t="s">
        <v>56</v>
      </c>
      <c r="C41" s="21"/>
      <c r="D41" s="22"/>
      <c r="E41" s="23"/>
      <c r="F41" s="23"/>
      <c r="G41" s="29"/>
      <c r="H41" s="28"/>
      <c r="I41" s="29"/>
      <c r="J41" s="70"/>
      <c r="K41" s="23"/>
      <c r="M41" s="25"/>
      <c r="N41" s="1"/>
      <c r="O41" s="1"/>
      <c r="P41" s="1"/>
      <c r="Q41" s="1"/>
      <c r="R41" s="25"/>
      <c r="S41" s="25"/>
    </row>
    <row r="42" spans="1:19" ht="15" customHeight="1" x14ac:dyDescent="0.3">
      <c r="A42" s="63"/>
      <c r="B42" s="68" t="s">
        <v>54</v>
      </c>
      <c r="C42" s="69">
        <v>1</v>
      </c>
      <c r="D42" s="64">
        <f>D37</f>
        <v>12.24</v>
      </c>
      <c r="E42" s="64"/>
      <c r="F42" s="64"/>
      <c r="G42" s="64">
        <f>PRODUCT(C42:F42)</f>
        <v>12.24</v>
      </c>
      <c r="H42" s="64"/>
      <c r="I42" s="70"/>
      <c r="J42" s="70"/>
      <c r="K42" s="66"/>
    </row>
    <row r="43" spans="1:19" ht="15" customHeight="1" x14ac:dyDescent="0.3">
      <c r="A43" s="63"/>
      <c r="B43" s="68" t="s">
        <v>36</v>
      </c>
      <c r="C43" s="69"/>
      <c r="D43" s="64"/>
      <c r="E43" s="64"/>
      <c r="F43" s="64"/>
      <c r="G43" s="70">
        <f>SUM(G42)</f>
        <v>12.24</v>
      </c>
      <c r="H43" s="70" t="s">
        <v>55</v>
      </c>
      <c r="I43" s="70">
        <f>396.86/1.15</f>
        <v>345.09565217391309</v>
      </c>
      <c r="J43" s="70">
        <f>G43*I43</f>
        <v>4223.970782608696</v>
      </c>
      <c r="K43" s="66"/>
    </row>
    <row r="44" spans="1:19" ht="15" customHeight="1" x14ac:dyDescent="0.3">
      <c r="A44" s="63"/>
      <c r="B44" s="68" t="s">
        <v>43</v>
      </c>
      <c r="C44" s="69"/>
      <c r="D44" s="64"/>
      <c r="E44" s="64"/>
      <c r="F44" s="64"/>
      <c r="G44" s="70"/>
      <c r="H44" s="70"/>
      <c r="I44" s="70"/>
      <c r="J44" s="70">
        <f>0.13*G43*(2182.61/10)</f>
        <v>347.29690320000009</v>
      </c>
      <c r="K44" s="66"/>
    </row>
    <row r="45" spans="1:19" ht="15" customHeight="1" x14ac:dyDescent="0.3">
      <c r="A45" s="20"/>
      <c r="B45" s="24"/>
      <c r="C45" s="21"/>
      <c r="D45" s="22"/>
      <c r="E45" s="23"/>
      <c r="F45" s="23"/>
      <c r="G45" s="29"/>
      <c r="H45" s="28"/>
      <c r="I45" s="29"/>
      <c r="J45" s="70"/>
      <c r="K45" s="23"/>
      <c r="M45" s="25"/>
      <c r="N45" s="1"/>
      <c r="O45" s="1"/>
      <c r="P45" s="1"/>
      <c r="Q45" s="1"/>
      <c r="R45" s="25"/>
      <c r="S45" s="25"/>
    </row>
    <row r="46" spans="1:19" ht="27.6" x14ac:dyDescent="0.3">
      <c r="A46" s="20">
        <v>5</v>
      </c>
      <c r="B46" s="30" t="s">
        <v>57</v>
      </c>
      <c r="C46" s="21"/>
      <c r="D46" s="22"/>
      <c r="E46" s="23"/>
      <c r="F46" s="23"/>
      <c r="G46" s="29"/>
      <c r="H46" s="28"/>
      <c r="I46" s="29"/>
      <c r="J46" s="70"/>
      <c r="K46" s="23"/>
      <c r="M46" s="25"/>
      <c r="N46" s="1"/>
      <c r="O46" s="1"/>
      <c r="P46" s="1"/>
      <c r="Q46" s="1"/>
      <c r="R46" s="25"/>
      <c r="S46" s="25"/>
    </row>
    <row r="47" spans="1:19" ht="15" customHeight="1" x14ac:dyDescent="0.3">
      <c r="A47" s="63"/>
      <c r="B47" s="68" t="s">
        <v>54</v>
      </c>
      <c r="C47" s="69">
        <v>1</v>
      </c>
      <c r="D47" s="64">
        <f>3.04*4-D15</f>
        <v>10.61</v>
      </c>
      <c r="E47" s="64"/>
      <c r="F47" s="64"/>
      <c r="G47" s="64">
        <f>PRODUCT(C47:F47)</f>
        <v>10.61</v>
      </c>
      <c r="H47" s="64"/>
      <c r="I47" s="70"/>
      <c r="J47" s="70"/>
      <c r="K47" s="66"/>
    </row>
    <row r="48" spans="1:19" ht="15" customHeight="1" x14ac:dyDescent="0.3">
      <c r="A48" s="63"/>
      <c r="B48" s="68" t="s">
        <v>36</v>
      </c>
      <c r="C48" s="69"/>
      <c r="D48" s="64"/>
      <c r="E48" s="64"/>
      <c r="F48" s="64"/>
      <c r="G48" s="70">
        <f>SUM(G47)</f>
        <v>10.61</v>
      </c>
      <c r="H48" s="70" t="s">
        <v>55</v>
      </c>
      <c r="I48" s="70">
        <f>447.23/1.15</f>
        <v>388.89565217391311</v>
      </c>
      <c r="J48" s="70">
        <f>G48*I48</f>
        <v>4126.1828695652175</v>
      </c>
      <c r="K48" s="66"/>
    </row>
    <row r="49" spans="1:19" ht="15" customHeight="1" x14ac:dyDescent="0.3">
      <c r="A49" s="63"/>
      <c r="B49" s="68" t="s">
        <v>43</v>
      </c>
      <c r="C49" s="69"/>
      <c r="D49" s="64"/>
      <c r="E49" s="64"/>
      <c r="F49" s="64"/>
      <c r="G49" s="70"/>
      <c r="H49" s="70"/>
      <c r="I49" s="70"/>
      <c r="J49" s="70">
        <f>0.13*G48*(2620.61/10)</f>
        <v>361.46073730000006</v>
      </c>
      <c r="K49" s="66"/>
    </row>
    <row r="50" spans="1:19" ht="15" customHeight="1" x14ac:dyDescent="0.3">
      <c r="A50" s="20"/>
      <c r="B50" s="24"/>
      <c r="C50" s="21"/>
      <c r="D50" s="22"/>
      <c r="E50" s="23"/>
      <c r="F50" s="23"/>
      <c r="G50" s="29"/>
      <c r="H50" s="28"/>
      <c r="I50" s="29"/>
      <c r="J50" s="70"/>
      <c r="K50" s="23"/>
      <c r="M50" s="25"/>
      <c r="N50" s="1"/>
      <c r="O50" s="1"/>
      <c r="P50" s="1"/>
      <c r="Q50" s="1"/>
      <c r="R50" s="25"/>
      <c r="S50" s="25"/>
    </row>
    <row r="51" spans="1:19" ht="27.6" x14ac:dyDescent="0.3">
      <c r="A51" s="20">
        <v>6</v>
      </c>
      <c r="B51" s="30" t="s">
        <v>58</v>
      </c>
      <c r="C51" s="21"/>
      <c r="D51" s="22"/>
      <c r="E51" s="23"/>
      <c r="F51" s="23"/>
      <c r="G51" s="29"/>
      <c r="H51" s="28"/>
      <c r="I51" s="29"/>
      <c r="J51" s="70"/>
      <c r="K51" s="23"/>
      <c r="M51" s="25"/>
      <c r="N51" s="1"/>
      <c r="O51" s="1"/>
      <c r="P51" s="1"/>
      <c r="Q51" s="1"/>
      <c r="R51" s="25"/>
      <c r="S51" s="25"/>
    </row>
    <row r="52" spans="1:19" ht="15" customHeight="1" x14ac:dyDescent="0.3">
      <c r="A52" s="63"/>
      <c r="B52" s="68" t="s">
        <v>54</v>
      </c>
      <c r="C52" s="69">
        <v>2</v>
      </c>
      <c r="D52" s="64">
        <f>3*4-D21</f>
        <v>11.390429747028346</v>
      </c>
      <c r="E52" s="64"/>
      <c r="F52" s="64"/>
      <c r="G52" s="64">
        <f>PRODUCT(C52:F52)</f>
        <v>22.780859494056692</v>
      </c>
      <c r="H52" s="64"/>
      <c r="I52" s="70"/>
      <c r="J52" s="70"/>
      <c r="K52" s="66"/>
    </row>
    <row r="53" spans="1:19" ht="15" customHeight="1" x14ac:dyDescent="0.3">
      <c r="A53" s="63"/>
      <c r="B53" s="68" t="s">
        <v>36</v>
      </c>
      <c r="C53" s="69"/>
      <c r="D53" s="64"/>
      <c r="E53" s="64"/>
      <c r="F53" s="64"/>
      <c r="G53" s="70">
        <f>SUM(G52)</f>
        <v>22.780859494056692</v>
      </c>
      <c r="H53" s="70" t="s">
        <v>55</v>
      </c>
      <c r="I53" s="70">
        <f>406.75/1.15</f>
        <v>353.69565217391306</v>
      </c>
      <c r="J53" s="70">
        <f>G53*I53</f>
        <v>8057.4909558326608</v>
      </c>
      <c r="K53" s="66"/>
    </row>
    <row r="54" spans="1:19" ht="15" customHeight="1" x14ac:dyDescent="0.3">
      <c r="A54" s="63"/>
      <c r="B54" s="68" t="s">
        <v>43</v>
      </c>
      <c r="C54" s="69"/>
      <c r="D54" s="64"/>
      <c r="E54" s="64"/>
      <c r="F54" s="64"/>
      <c r="G54" s="70"/>
      <c r="H54" s="70"/>
      <c r="I54" s="70"/>
      <c r="J54" s="70">
        <f>0.13*G53*(2268.61/10)</f>
        <v>671.85151353855554</v>
      </c>
      <c r="K54" s="66"/>
    </row>
    <row r="55" spans="1:19" ht="15" customHeight="1" x14ac:dyDescent="0.3">
      <c r="A55" s="20"/>
      <c r="B55" s="24"/>
      <c r="C55" s="21"/>
      <c r="D55" s="22"/>
      <c r="E55" s="23"/>
      <c r="F55" s="23"/>
      <c r="G55" s="29"/>
      <c r="H55" s="28"/>
      <c r="I55" s="29"/>
      <c r="J55" s="70"/>
      <c r="K55" s="23"/>
      <c r="M55" s="25"/>
      <c r="N55" s="1"/>
      <c r="O55" s="1"/>
      <c r="P55" s="1"/>
      <c r="Q55" s="1"/>
      <c r="R55" s="25"/>
      <c r="S55" s="25"/>
    </row>
    <row r="56" spans="1:19" ht="41.4" x14ac:dyDescent="0.3">
      <c r="A56" s="20">
        <v>7</v>
      </c>
      <c r="B56" s="30" t="s">
        <v>59</v>
      </c>
      <c r="C56" s="21"/>
      <c r="D56" s="22"/>
      <c r="E56" s="23"/>
      <c r="F56" s="23"/>
      <c r="G56" s="29"/>
      <c r="H56" s="28"/>
      <c r="I56" s="29"/>
      <c r="J56" s="70"/>
      <c r="K56" s="23"/>
      <c r="M56" s="25"/>
      <c r="N56" s="1"/>
      <c r="O56" s="1"/>
      <c r="P56" s="1"/>
      <c r="Q56" s="1"/>
      <c r="R56" s="25"/>
      <c r="S56" s="25"/>
    </row>
    <row r="57" spans="1:19" ht="15" customHeight="1" x14ac:dyDescent="0.3">
      <c r="A57" s="63"/>
      <c r="B57" s="68" t="s">
        <v>54</v>
      </c>
      <c r="C57" s="69">
        <v>1</v>
      </c>
      <c r="D57" s="64">
        <f>3.09*4-D15</f>
        <v>10.809999999999999</v>
      </c>
      <c r="E57" s="64"/>
      <c r="F57" s="64"/>
      <c r="G57" s="64">
        <f>PRODUCT(C57:F57)</f>
        <v>10.809999999999999</v>
      </c>
      <c r="H57" s="64"/>
      <c r="I57" s="70"/>
      <c r="J57" s="70"/>
      <c r="K57" s="66"/>
    </row>
    <row r="58" spans="1:19" ht="15" customHeight="1" x14ac:dyDescent="0.3">
      <c r="A58" s="63"/>
      <c r="B58" s="68" t="s">
        <v>66</v>
      </c>
      <c r="C58" s="69">
        <v>4</v>
      </c>
      <c r="D58" s="64">
        <f>72/12/3.281</f>
        <v>1.8287107589149649</v>
      </c>
      <c r="E58" s="64"/>
      <c r="F58" s="64"/>
      <c r="G58" s="64">
        <f>PRODUCT(C58:F58)</f>
        <v>7.3148430356598597</v>
      </c>
      <c r="H58" s="64"/>
      <c r="I58" s="70"/>
      <c r="J58" s="70"/>
      <c r="K58" s="66"/>
    </row>
    <row r="59" spans="1:19" ht="15" customHeight="1" x14ac:dyDescent="0.3">
      <c r="A59" s="63"/>
      <c r="B59" s="68" t="s">
        <v>36</v>
      </c>
      <c r="C59" s="69"/>
      <c r="D59" s="64"/>
      <c r="E59" s="64"/>
      <c r="F59" s="64"/>
      <c r="G59" s="70">
        <f>SUM(G57:G58)</f>
        <v>18.124843035659858</v>
      </c>
      <c r="H59" s="70" t="s">
        <v>55</v>
      </c>
      <c r="I59" s="70">
        <f>593.85/1.15</f>
        <v>516.39130434782612</v>
      </c>
      <c r="J59" s="70">
        <f>G59*I59</f>
        <v>9359.5113362840057</v>
      </c>
      <c r="K59" s="66"/>
    </row>
    <row r="60" spans="1:19" ht="15" customHeight="1" x14ac:dyDescent="0.3">
      <c r="A60" s="63"/>
      <c r="B60" s="68" t="s">
        <v>43</v>
      </c>
      <c r="C60" s="69"/>
      <c r="D60" s="64"/>
      <c r="E60" s="64"/>
      <c r="F60" s="64"/>
      <c r="G60" s="70"/>
      <c r="H60" s="70"/>
      <c r="I60" s="70"/>
      <c r="J60" s="70">
        <f>0.13*G59*(3895.61/10)</f>
        <v>917.89515711590968</v>
      </c>
      <c r="K60" s="66"/>
    </row>
    <row r="61" spans="1:19" ht="15" customHeight="1" x14ac:dyDescent="0.3">
      <c r="A61" s="20"/>
      <c r="B61" s="24"/>
      <c r="C61" s="21"/>
      <c r="D61" s="22"/>
      <c r="E61" s="23"/>
      <c r="F61" s="23"/>
      <c r="G61" s="29"/>
      <c r="H61" s="28"/>
      <c r="I61" s="29"/>
      <c r="J61" s="70"/>
      <c r="K61" s="23"/>
      <c r="M61" s="25"/>
      <c r="N61" s="1"/>
      <c r="O61" s="1"/>
      <c r="P61" s="1"/>
      <c r="Q61" s="1"/>
      <c r="R61" s="25"/>
      <c r="S61" s="25"/>
    </row>
    <row r="62" spans="1:19" ht="27.6" x14ac:dyDescent="0.3">
      <c r="A62" s="20">
        <v>8</v>
      </c>
      <c r="B62" s="30" t="s">
        <v>60</v>
      </c>
      <c r="C62" s="21"/>
      <c r="D62" s="22"/>
      <c r="E62" s="23"/>
      <c r="F62" s="23"/>
      <c r="G62" s="29"/>
      <c r="H62" s="28"/>
      <c r="I62" s="29"/>
      <c r="J62" s="70"/>
      <c r="K62" s="23"/>
      <c r="M62" s="25"/>
      <c r="N62" s="1"/>
      <c r="O62" s="1"/>
      <c r="P62" s="1"/>
      <c r="Q62" s="1"/>
      <c r="R62" s="25"/>
      <c r="S62" s="25"/>
    </row>
    <row r="63" spans="1:19" ht="15" customHeight="1" x14ac:dyDescent="0.3">
      <c r="A63" s="63"/>
      <c r="B63" s="68" t="s">
        <v>54</v>
      </c>
      <c r="C63" s="69">
        <v>4</v>
      </c>
      <c r="D63" s="64">
        <f>80/12/3.281</f>
        <v>2.0319008432388501</v>
      </c>
      <c r="E63" s="64"/>
      <c r="F63" s="64"/>
      <c r="G63" s="64">
        <f>PRODUCT(C63:F63)</f>
        <v>8.1276033729554005</v>
      </c>
      <c r="H63" s="64"/>
      <c r="I63" s="70"/>
      <c r="J63" s="70"/>
      <c r="K63" s="66"/>
    </row>
    <row r="64" spans="1:19" ht="15" customHeight="1" x14ac:dyDescent="0.3">
      <c r="A64" s="63"/>
      <c r="B64" s="68" t="s">
        <v>36</v>
      </c>
      <c r="C64" s="69"/>
      <c r="D64" s="64"/>
      <c r="E64" s="64"/>
      <c r="F64" s="64"/>
      <c r="G64" s="70">
        <f>SUM(G63)</f>
        <v>8.1276033729554005</v>
      </c>
      <c r="H64" s="70" t="s">
        <v>55</v>
      </c>
      <c r="I64" s="70">
        <f>465.63/1.15</f>
        <v>404.89565217391305</v>
      </c>
      <c r="J64" s="70">
        <f>G64*I64</f>
        <v>3290.8312683036725</v>
      </c>
      <c r="K64" s="66"/>
    </row>
    <row r="65" spans="1:19" ht="15" customHeight="1" x14ac:dyDescent="0.3">
      <c r="A65" s="63"/>
      <c r="B65" s="68" t="s">
        <v>43</v>
      </c>
      <c r="C65" s="69"/>
      <c r="D65" s="64"/>
      <c r="E65" s="64"/>
      <c r="F65" s="64"/>
      <c r="G65" s="70"/>
      <c r="H65" s="70"/>
      <c r="I65" s="70"/>
      <c r="J65" s="70">
        <f>0.13*G64*(2780.61/10)</f>
        <v>293.79603779335577</v>
      </c>
      <c r="K65" s="66"/>
    </row>
    <row r="66" spans="1:19" ht="15" customHeight="1" x14ac:dyDescent="0.3">
      <c r="A66" s="20"/>
      <c r="B66" s="24"/>
      <c r="C66" s="21"/>
      <c r="D66" s="22"/>
      <c r="E66" s="23"/>
      <c r="F66" s="23"/>
      <c r="G66" s="29"/>
      <c r="H66" s="28"/>
      <c r="I66" s="29"/>
      <c r="J66" s="70"/>
      <c r="K66" s="23"/>
      <c r="M66" s="25"/>
      <c r="N66" s="1"/>
      <c r="O66" s="1"/>
      <c r="P66" s="1"/>
      <c r="Q66" s="1"/>
      <c r="R66" s="25"/>
      <c r="S66" s="25"/>
    </row>
    <row r="67" spans="1:19" ht="28.8" x14ac:dyDescent="0.3">
      <c r="A67" s="63">
        <v>9</v>
      </c>
      <c r="B67" s="73" t="s">
        <v>45</v>
      </c>
      <c r="C67" s="74"/>
      <c r="D67" s="75"/>
      <c r="E67" s="75"/>
      <c r="F67" s="75"/>
      <c r="G67" s="75"/>
      <c r="H67" s="75"/>
      <c r="I67" s="75"/>
      <c r="J67" s="65"/>
      <c r="K67" s="71"/>
    </row>
    <row r="68" spans="1:19" x14ac:dyDescent="0.3">
      <c r="A68" s="63"/>
      <c r="B68" s="76" t="s">
        <v>46</v>
      </c>
      <c r="C68" s="74">
        <v>1</v>
      </c>
      <c r="D68" s="75">
        <f>1.2+(6.667/3.281+1/12/3.281)*2</f>
        <v>5.3148023976429952</v>
      </c>
      <c r="E68" s="75">
        <f>0.1</f>
        <v>0.1</v>
      </c>
      <c r="F68" s="75">
        <v>0.1</v>
      </c>
      <c r="G68" s="75">
        <f t="shared" ref="G68:G72" si="2">PRODUCT(C68:F68)</f>
        <v>5.314802397642996E-2</v>
      </c>
      <c r="H68" s="75"/>
      <c r="I68" s="75"/>
      <c r="J68" s="65"/>
      <c r="K68" s="71"/>
    </row>
    <row r="69" spans="1:19" x14ac:dyDescent="0.3">
      <c r="A69" s="63"/>
      <c r="B69" s="76" t="s">
        <v>47</v>
      </c>
      <c r="C69" s="74">
        <f>2*2</f>
        <v>4</v>
      </c>
      <c r="D69" s="75">
        <v>0.55000000000000004</v>
      </c>
      <c r="E69" s="75">
        <f>4/12/3.281</f>
        <v>0.10159504216194248</v>
      </c>
      <c r="F69" s="75">
        <f>4/12/3.281</f>
        <v>0.10159504216194248</v>
      </c>
      <c r="G69" s="75">
        <f t="shared" si="2"/>
        <v>2.2707415702151117E-2</v>
      </c>
      <c r="H69" s="75"/>
      <c r="I69" s="75"/>
      <c r="J69" s="65"/>
      <c r="K69" s="71"/>
      <c r="M69">
        <f>508.75/1.15</f>
        <v>442.39130434782612</v>
      </c>
    </row>
    <row r="70" spans="1:19" x14ac:dyDescent="0.3">
      <c r="A70" s="63"/>
      <c r="B70" s="76"/>
      <c r="C70" s="74">
        <f>1*2</f>
        <v>2</v>
      </c>
      <c r="D70" s="75">
        <f>3/3.281</f>
        <v>0.91435537945748246</v>
      </c>
      <c r="E70" s="75">
        <f>3/12/3.281</f>
        <v>7.6196281621456863E-2</v>
      </c>
      <c r="F70" s="75">
        <f>4/12/3.281</f>
        <v>0.10159504216194248</v>
      </c>
      <c r="G70" s="75">
        <f t="shared" si="2"/>
        <v>1.4156350705117622E-2</v>
      </c>
      <c r="H70" s="75"/>
      <c r="I70" s="75"/>
      <c r="J70" s="65"/>
      <c r="K70" s="71"/>
      <c r="M70">
        <f>155.11/1.15</f>
        <v>134.87826086956525</v>
      </c>
      <c r="N70">
        <f>M70*5.5</f>
        <v>741.8304347826089</v>
      </c>
    </row>
    <row r="71" spans="1:19" x14ac:dyDescent="0.3">
      <c r="A71" s="63"/>
      <c r="B71" s="76"/>
      <c r="C71" s="74">
        <f>1*2</f>
        <v>2</v>
      </c>
      <c r="D71" s="75">
        <f>3/3.281</f>
        <v>0.91435537945748246</v>
      </c>
      <c r="E71" s="75">
        <f>5/12/3.281</f>
        <v>0.12699380270242813</v>
      </c>
      <c r="F71" s="75">
        <f>3/12/3.281</f>
        <v>7.6196281621456863E-2</v>
      </c>
      <c r="G71" s="75">
        <f t="shared" si="2"/>
        <v>1.7695438381397033E-2</v>
      </c>
      <c r="H71" s="75"/>
      <c r="I71" s="75"/>
      <c r="J71" s="65"/>
      <c r="K71" s="71"/>
    </row>
    <row r="72" spans="1:19" x14ac:dyDescent="0.3">
      <c r="A72" s="63"/>
      <c r="B72" s="76" t="s">
        <v>75</v>
      </c>
      <c r="C72" s="74">
        <f>4*1</f>
        <v>4</v>
      </c>
      <c r="D72" s="75">
        <f>24/12/3.281</f>
        <v>0.6095702529716549</v>
      </c>
      <c r="E72" s="75">
        <f>4/12/3.281</f>
        <v>0.10159504216194248</v>
      </c>
      <c r="F72" s="75">
        <f>3/12/3.281</f>
        <v>7.6196281621456863E-2</v>
      </c>
      <c r="G72" s="75">
        <f t="shared" si="2"/>
        <v>1.8875134273490159E-2</v>
      </c>
      <c r="H72" s="75"/>
      <c r="I72" s="75"/>
      <c r="J72" s="65"/>
      <c r="K72" s="71"/>
    </row>
    <row r="73" spans="1:19" x14ac:dyDescent="0.3">
      <c r="A73" s="63"/>
      <c r="B73" s="76"/>
      <c r="C73" s="74">
        <f>4*1</f>
        <v>4</v>
      </c>
      <c r="D73" s="75">
        <f>23/12/3.281</f>
        <v>0.58417149243116939</v>
      </c>
      <c r="E73" s="75">
        <f>3/12/3.281</f>
        <v>7.6196281621456863E-2</v>
      </c>
      <c r="F73" s="75">
        <f>4/12/3.281</f>
        <v>0.10159504216194248</v>
      </c>
      <c r="G73" s="75">
        <f>PRODUCT(C73:F73)</f>
        <v>1.8088670345428073E-2</v>
      </c>
      <c r="H73" s="75"/>
      <c r="I73" s="75"/>
      <c r="J73" s="65"/>
      <c r="K73" s="71"/>
    </row>
    <row r="74" spans="1:19" x14ac:dyDescent="0.3">
      <c r="A74" s="63"/>
      <c r="B74" s="76"/>
      <c r="C74" s="74">
        <v>8</v>
      </c>
      <c r="D74" s="75">
        <f>1.5/3.281</f>
        <v>0.45717768972874123</v>
      </c>
      <c r="E74" s="75">
        <f>4/12/3.281</f>
        <v>0.10159504216194248</v>
      </c>
      <c r="F74" s="75">
        <f>3/12/3.281</f>
        <v>7.6196281621456863E-2</v>
      </c>
      <c r="G74" s="75">
        <f t="shared" ref="G74" si="3">PRODUCT(C74:F74)</f>
        <v>2.8312701410235244E-2</v>
      </c>
      <c r="H74" s="75"/>
      <c r="I74" s="75"/>
      <c r="J74" s="65"/>
      <c r="K74" s="71"/>
    </row>
    <row r="75" spans="1:19" ht="15" customHeight="1" x14ac:dyDescent="0.3">
      <c r="A75" s="63"/>
      <c r="B75" s="76" t="s">
        <v>36</v>
      </c>
      <c r="C75" s="74"/>
      <c r="D75" s="75"/>
      <c r="E75" s="75"/>
      <c r="F75" s="75"/>
      <c r="G75" s="77">
        <f>SUM(G68:G74)</f>
        <v>0.17298373479424922</v>
      </c>
      <c r="H75" s="77" t="s">
        <v>42</v>
      </c>
      <c r="I75" s="78">
        <f>353723.98/1.15</f>
        <v>307586.06956521742</v>
      </c>
      <c r="J75" s="79">
        <f>G75*I75</f>
        <v>53207.387084075061</v>
      </c>
      <c r="K75" s="71"/>
    </row>
    <row r="76" spans="1:19" ht="15" customHeight="1" x14ac:dyDescent="0.3">
      <c r="A76" s="63"/>
      <c r="B76" s="76" t="s">
        <v>43</v>
      </c>
      <c r="C76" s="74"/>
      <c r="D76" s="75"/>
      <c r="E76" s="75"/>
      <c r="F76" s="75"/>
      <c r="G76" s="77"/>
      <c r="H76" s="77"/>
      <c r="I76" s="78"/>
      <c r="J76" s="79">
        <f>0.13*G75*262808.07</f>
        <v>5909.9977927469035</v>
      </c>
      <c r="K76" s="71"/>
    </row>
    <row r="77" spans="1:19" ht="15" customHeight="1" x14ac:dyDescent="0.3">
      <c r="A77" s="63"/>
      <c r="B77" s="76"/>
      <c r="C77" s="74"/>
      <c r="D77" s="75"/>
      <c r="E77" s="75"/>
      <c r="F77" s="75"/>
      <c r="G77" s="77"/>
      <c r="H77" s="77"/>
      <c r="I77" s="78"/>
      <c r="J77" s="79"/>
      <c r="K77" s="71"/>
    </row>
    <row r="78" spans="1:19" ht="28.8" x14ac:dyDescent="0.3">
      <c r="A78" s="63">
        <v>10</v>
      </c>
      <c r="B78" s="80" t="s">
        <v>77</v>
      </c>
      <c r="C78" s="74"/>
      <c r="D78" s="75"/>
      <c r="E78" s="75"/>
      <c r="F78" s="75"/>
      <c r="G78" s="77"/>
      <c r="H78" s="77"/>
      <c r="I78" s="78"/>
      <c r="J78" s="79"/>
      <c r="K78" s="71"/>
    </row>
    <row r="79" spans="1:19" x14ac:dyDescent="0.3">
      <c r="A79" s="63"/>
      <c r="B79" s="76" t="s">
        <v>72</v>
      </c>
      <c r="C79" s="74">
        <v>1</v>
      </c>
      <c r="D79" s="75">
        <f>5.5/3.281</f>
        <v>1.6763181956720512</v>
      </c>
      <c r="E79" s="75">
        <f>0.15</f>
        <v>0.15</v>
      </c>
      <c r="F79" s="75">
        <f>3/12/3.281</f>
        <v>7.6196281621456863E-2</v>
      </c>
      <c r="G79" s="75">
        <f t="shared" ref="G79:G90" si="4">PRODUCT(C79:F79)</f>
        <v>1.9159381998690005E-2</v>
      </c>
      <c r="H79" s="75"/>
      <c r="I79" s="75"/>
      <c r="J79" s="65"/>
      <c r="K79" s="71"/>
    </row>
    <row r="80" spans="1:19" x14ac:dyDescent="0.3">
      <c r="A80" s="63"/>
      <c r="B80" s="76" t="s">
        <v>73</v>
      </c>
      <c r="C80" s="74">
        <v>1</v>
      </c>
      <c r="D80" s="75">
        <f>1.2+2*(6.833/3.281)</f>
        <v>5.3651935385553182</v>
      </c>
      <c r="E80" s="75">
        <f>1/12/3.281</f>
        <v>2.5398760540485621E-2</v>
      </c>
      <c r="F80" s="75">
        <f>1/12/3.281</f>
        <v>2.5398760540485621E-2</v>
      </c>
      <c r="G80" s="81">
        <f t="shared" si="4"/>
        <v>3.4610704546156465E-3</v>
      </c>
      <c r="H80" s="75"/>
      <c r="I80" s="75"/>
      <c r="J80" s="65"/>
      <c r="K80" s="71"/>
    </row>
    <row r="81" spans="1:13" x14ac:dyDescent="0.3">
      <c r="A81" s="63"/>
      <c r="B81" s="76" t="s">
        <v>74</v>
      </c>
      <c r="C81" s="74">
        <v>2</v>
      </c>
      <c r="D81" s="75">
        <f>7/3.281</f>
        <v>2.1334958854007922</v>
      </c>
      <c r="E81" s="75">
        <f>0.15</f>
        <v>0.15</v>
      </c>
      <c r="F81" s="75">
        <f>1.5/12/3.281</f>
        <v>3.8098140810728431E-2</v>
      </c>
      <c r="G81" s="75">
        <f t="shared" si="4"/>
        <v>2.4384667998332731E-2</v>
      </c>
      <c r="H81" s="75"/>
      <c r="I81" s="75"/>
      <c r="J81" s="65"/>
      <c r="K81" s="71"/>
      <c r="M81">
        <f>I75*G79</f>
        <v>5893.1590042756379</v>
      </c>
    </row>
    <row r="82" spans="1:13" x14ac:dyDescent="0.3">
      <c r="A82" s="63"/>
      <c r="B82" s="76"/>
      <c r="C82" s="74">
        <v>2</v>
      </c>
      <c r="D82" s="75">
        <f>7/3.281</f>
        <v>2.1334958854007922</v>
      </c>
      <c r="E82" s="75">
        <f>3/12/3.281</f>
        <v>7.6196281621456863E-2</v>
      </c>
      <c r="F82" s="75">
        <f>3/12/3.281</f>
        <v>7.6196281621456863E-2</v>
      </c>
      <c r="G82" s="75">
        <f t="shared" si="4"/>
        <v>2.4773613733955837E-2</v>
      </c>
      <c r="H82" s="75"/>
      <c r="I82" s="75"/>
      <c r="J82" s="65"/>
      <c r="K82" s="71"/>
    </row>
    <row r="83" spans="1:13" x14ac:dyDescent="0.3">
      <c r="A83" s="63"/>
      <c r="B83" s="76" t="s">
        <v>78</v>
      </c>
      <c r="C83" s="74">
        <f>1*2</f>
        <v>2</v>
      </c>
      <c r="D83" s="75">
        <f>0.96</f>
        <v>0.96</v>
      </c>
      <c r="E83" s="75">
        <f>1/12/3.281</f>
        <v>2.5398760540485621E-2</v>
      </c>
      <c r="F83" s="75">
        <f>5/12/3.281</f>
        <v>0.12699380270242813</v>
      </c>
      <c r="G83" s="75">
        <f t="shared" si="4"/>
        <v>6.1929315551321239E-3</v>
      </c>
      <c r="H83" s="75"/>
      <c r="I83" s="75"/>
      <c r="J83" s="65"/>
      <c r="K83" s="71"/>
    </row>
    <row r="84" spans="1:13" x14ac:dyDescent="0.3">
      <c r="A84" s="63"/>
      <c r="B84" s="76"/>
      <c r="C84" s="74">
        <f>1*2</f>
        <v>2</v>
      </c>
      <c r="D84" s="75">
        <f>3/3.281</f>
        <v>0.91435537945748246</v>
      </c>
      <c r="E84" s="75">
        <f>1/12/3.281</f>
        <v>2.5398760540485621E-2</v>
      </c>
      <c r="F84" s="75">
        <f>4/12/3.281</f>
        <v>0.10159504216194248</v>
      </c>
      <c r="G84" s="81">
        <f t="shared" si="4"/>
        <v>4.7187835683725407E-3</v>
      </c>
      <c r="H84" s="75"/>
      <c r="I84" s="75"/>
      <c r="J84" s="65"/>
      <c r="K84" s="71"/>
    </row>
    <row r="85" spans="1:13" x14ac:dyDescent="0.3">
      <c r="A85" s="63"/>
      <c r="B85" s="76"/>
      <c r="C85" s="74">
        <f>1*2</f>
        <v>2</v>
      </c>
      <c r="D85" s="75">
        <f>0.83</f>
        <v>0.83</v>
      </c>
      <c r="E85" s="75">
        <f>1/12/3.281</f>
        <v>2.5398760540485621E-2</v>
      </c>
      <c r="F85" s="75">
        <f>3/12/3.281</f>
        <v>7.6196281621456863E-2</v>
      </c>
      <c r="G85" s="81">
        <f t="shared" si="4"/>
        <v>3.2125832442247886E-3</v>
      </c>
      <c r="H85" s="75"/>
      <c r="I85" s="75"/>
      <c r="J85" s="65"/>
      <c r="K85" s="71"/>
    </row>
    <row r="86" spans="1:13" x14ac:dyDescent="0.3">
      <c r="A86" s="63"/>
      <c r="B86" s="76" t="s">
        <v>61</v>
      </c>
      <c r="C86" s="74">
        <f t="shared" ref="C86:C87" si="5">4*1</f>
        <v>4</v>
      </c>
      <c r="D86" s="75">
        <f>26/12/3.281</f>
        <v>0.66036777405262614</v>
      </c>
      <c r="E86" s="75">
        <f>1/12/3.281</f>
        <v>2.5398760540485621E-2</v>
      </c>
      <c r="F86" s="75">
        <f>4/12/3.281</f>
        <v>0.10159504216194248</v>
      </c>
      <c r="G86" s="81">
        <f t="shared" si="4"/>
        <v>6.8160207098714471E-3</v>
      </c>
      <c r="H86" s="75"/>
      <c r="I86" s="75"/>
      <c r="J86" s="65"/>
      <c r="K86" s="71"/>
    </row>
    <row r="87" spans="1:13" x14ac:dyDescent="0.3">
      <c r="A87" s="63"/>
      <c r="B87" s="76"/>
      <c r="C87" s="74">
        <f t="shared" si="5"/>
        <v>4</v>
      </c>
      <c r="D87" s="75">
        <f>28/12/3.281</f>
        <v>0.7111652951335975</v>
      </c>
      <c r="E87" s="75">
        <f>0.12</f>
        <v>0.12</v>
      </c>
      <c r="F87" s="75">
        <f>1/12/3.281</f>
        <v>2.5398760540485621E-2</v>
      </c>
      <c r="G87" s="81">
        <f t="shared" si="4"/>
        <v>8.6701041771849729E-3</v>
      </c>
      <c r="H87" s="75"/>
      <c r="I87" s="75"/>
      <c r="J87" s="65"/>
      <c r="K87" s="71"/>
    </row>
    <row r="88" spans="1:13" x14ac:dyDescent="0.3">
      <c r="A88" s="63"/>
      <c r="B88" s="76" t="s">
        <v>79</v>
      </c>
      <c r="C88" s="74">
        <v>4</v>
      </c>
      <c r="D88" s="75">
        <f>1/3.281</f>
        <v>0.30478512648582745</v>
      </c>
      <c r="E88" s="75">
        <f>4/12/3.281</f>
        <v>0.10159504216194248</v>
      </c>
      <c r="F88" s="75">
        <f>3/12/3.281</f>
        <v>7.6196281621456863E-2</v>
      </c>
      <c r="G88" s="81">
        <f t="shared" si="4"/>
        <v>9.4375671367450797E-3</v>
      </c>
      <c r="H88" s="75"/>
      <c r="I88" s="75"/>
      <c r="J88" s="65"/>
      <c r="K88" s="71"/>
    </row>
    <row r="89" spans="1:13" x14ac:dyDescent="0.3">
      <c r="A89" s="63"/>
      <c r="B89" s="76"/>
      <c r="C89" s="74">
        <v>8</v>
      </c>
      <c r="D89" s="75">
        <f>10/12/3.281</f>
        <v>0.25398760540485626</v>
      </c>
      <c r="E89" s="75">
        <f>4/12/3.281</f>
        <v>0.10159504216194248</v>
      </c>
      <c r="F89" s="75">
        <f>3/12/3.281</f>
        <v>7.6196281621456863E-2</v>
      </c>
      <c r="G89" s="81">
        <f t="shared" si="4"/>
        <v>1.5729278561241806E-2</v>
      </c>
      <c r="H89" s="75"/>
      <c r="I89" s="75"/>
      <c r="J89" s="65"/>
      <c r="K89" s="71"/>
    </row>
    <row r="90" spans="1:13" x14ac:dyDescent="0.3">
      <c r="A90" s="63"/>
      <c r="B90" s="76"/>
      <c r="C90" s="74">
        <v>2</v>
      </c>
      <c r="D90" s="75">
        <f>0.23</f>
        <v>0.23</v>
      </c>
      <c r="E90" s="75">
        <v>0.15</v>
      </c>
      <c r="F90" s="75">
        <f>1.5/12/3.281</f>
        <v>3.8098140810728431E-2</v>
      </c>
      <c r="G90" s="81">
        <f t="shared" si="4"/>
        <v>2.6287717159402622E-3</v>
      </c>
      <c r="H90" s="75"/>
      <c r="I90" s="75"/>
      <c r="J90" s="65"/>
      <c r="K90" s="71"/>
    </row>
    <row r="91" spans="1:13" ht="15" customHeight="1" x14ac:dyDescent="0.3">
      <c r="A91" s="63"/>
      <c r="B91" s="76" t="s">
        <v>36</v>
      </c>
      <c r="C91" s="74"/>
      <c r="D91" s="75"/>
      <c r="E91" s="75"/>
      <c r="F91" s="75"/>
      <c r="G91" s="77">
        <f>SUM(G79:G90)</f>
        <v>0.12918477485430724</v>
      </c>
      <c r="H91" s="77" t="s">
        <v>42</v>
      </c>
      <c r="I91" s="78">
        <f>286497.45/1.15</f>
        <v>249128.21739130438</v>
      </c>
      <c r="J91" s="79">
        <f>G91*I91</f>
        <v>32183.572673550567</v>
      </c>
      <c r="K91" s="71"/>
    </row>
    <row r="92" spans="1:13" ht="15" customHeight="1" x14ac:dyDescent="0.3">
      <c r="A92" s="63"/>
      <c r="B92" s="76" t="s">
        <v>43</v>
      </c>
      <c r="C92" s="74"/>
      <c r="D92" s="75"/>
      <c r="E92" s="75"/>
      <c r="F92" s="75"/>
      <c r="G92" s="77"/>
      <c r="H92" s="77"/>
      <c r="I92" s="78"/>
      <c r="J92" s="79">
        <f>0.13*G91*225887.77</f>
        <v>3793.5638922728999</v>
      </c>
      <c r="K92" s="71"/>
    </row>
    <row r="93" spans="1:13" ht="15" customHeight="1" x14ac:dyDescent="0.3">
      <c r="A93" s="63"/>
      <c r="B93" s="76"/>
      <c r="C93" s="74"/>
      <c r="D93" s="75"/>
      <c r="E93" s="75"/>
      <c r="F93" s="75"/>
      <c r="G93" s="77"/>
      <c r="H93" s="77"/>
      <c r="I93" s="78"/>
      <c r="J93" s="79"/>
      <c r="K93" s="71"/>
    </row>
    <row r="94" spans="1:13" ht="30.6" x14ac:dyDescent="0.3">
      <c r="A94" s="63">
        <v>11</v>
      </c>
      <c r="B94" s="39" t="s">
        <v>81</v>
      </c>
      <c r="C94" s="74"/>
      <c r="D94" s="75"/>
      <c r="E94" s="75"/>
      <c r="F94" s="75"/>
      <c r="G94" s="75"/>
      <c r="H94" s="75"/>
      <c r="I94" s="75"/>
      <c r="J94" s="65"/>
      <c r="K94" s="71"/>
    </row>
    <row r="95" spans="1:13" ht="15" customHeight="1" x14ac:dyDescent="0.3">
      <c r="A95" s="63"/>
      <c r="B95" s="76" t="s">
        <v>49</v>
      </c>
      <c r="C95" s="74">
        <v>2</v>
      </c>
      <c r="D95" s="75">
        <f>42/12/3.281</f>
        <v>1.0667479427003961</v>
      </c>
      <c r="E95" s="75"/>
      <c r="F95" s="75">
        <f>78/12/3.281</f>
        <v>1.9811033221578787</v>
      </c>
      <c r="G95" s="75">
        <f>PRODUCT(C95:F95)</f>
        <v>4.2266757863776743</v>
      </c>
      <c r="H95" s="75"/>
      <c r="I95" s="75"/>
      <c r="J95" s="65"/>
      <c r="K95" s="71"/>
    </row>
    <row r="96" spans="1:13" ht="15" customHeight="1" x14ac:dyDescent="0.3">
      <c r="A96" s="63"/>
      <c r="B96" s="76" t="s">
        <v>36</v>
      </c>
      <c r="C96" s="74"/>
      <c r="D96" s="75"/>
      <c r="E96" s="75"/>
      <c r="F96" s="75"/>
      <c r="G96" s="77">
        <f>SUM(G95:G95)</f>
        <v>4.2266757863776743</v>
      </c>
      <c r="H96" s="77" t="s">
        <v>37</v>
      </c>
      <c r="I96" s="78">
        <f>15859.11</f>
        <v>15859.11</v>
      </c>
      <c r="J96" s="79">
        <f>G96*I96</f>
        <v>67031.316230500044</v>
      </c>
      <c r="K96" s="71"/>
    </row>
    <row r="97" spans="1:11" ht="15" customHeight="1" x14ac:dyDescent="0.3">
      <c r="A97" s="63"/>
      <c r="B97" s="76" t="s">
        <v>43</v>
      </c>
      <c r="C97" s="74"/>
      <c r="D97" s="75"/>
      <c r="E97" s="75"/>
      <c r="F97" s="75"/>
      <c r="G97" s="77"/>
      <c r="H97" s="77"/>
      <c r="I97" s="78"/>
      <c r="J97" s="79">
        <f>0.13*G96*(20356.18/2.114)</f>
        <v>5290.9491505150963</v>
      </c>
      <c r="K97" s="71"/>
    </row>
    <row r="98" spans="1:11" ht="15.6" x14ac:dyDescent="0.3">
      <c r="A98" s="63"/>
      <c r="B98" s="39"/>
      <c r="C98" s="74"/>
      <c r="D98" s="75"/>
      <c r="E98" s="75"/>
      <c r="F98" s="75"/>
      <c r="G98" s="75"/>
      <c r="H98" s="75"/>
      <c r="I98" s="75"/>
      <c r="J98" s="65"/>
      <c r="K98" s="71"/>
    </row>
    <row r="99" spans="1:11" x14ac:dyDescent="0.3">
      <c r="A99" s="63">
        <v>12</v>
      </c>
      <c r="B99" s="80" t="s">
        <v>48</v>
      </c>
      <c r="C99" s="74"/>
      <c r="D99" s="75"/>
      <c r="E99" s="75"/>
      <c r="F99" s="75"/>
      <c r="G99" s="75"/>
      <c r="H99" s="75"/>
      <c r="I99" s="75"/>
      <c r="J99" s="65"/>
      <c r="K99" s="71"/>
    </row>
    <row r="100" spans="1:11" ht="15" customHeight="1" x14ac:dyDescent="0.3">
      <c r="A100" s="63"/>
      <c r="B100" s="76" t="s">
        <v>49</v>
      </c>
      <c r="C100" s="74">
        <v>1</v>
      </c>
      <c r="D100" s="75">
        <f>1.2</f>
        <v>1.2</v>
      </c>
      <c r="E100" s="75"/>
      <c r="F100" s="75">
        <f>7/3.281</f>
        <v>2.1334958854007922</v>
      </c>
      <c r="G100" s="75">
        <f>PRODUCT(C100:F100)</f>
        <v>2.5601950624809504</v>
      </c>
      <c r="H100" s="75"/>
      <c r="I100" s="75"/>
      <c r="J100" s="65"/>
      <c r="K100" s="71"/>
    </row>
    <row r="101" spans="1:11" ht="15" customHeight="1" x14ac:dyDescent="0.3">
      <c r="A101" s="63"/>
      <c r="B101" s="76" t="s">
        <v>36</v>
      </c>
      <c r="C101" s="74"/>
      <c r="D101" s="75"/>
      <c r="E101" s="75"/>
      <c r="F101" s="75"/>
      <c r="G101" s="77">
        <f>SUM(G100:G100)</f>
        <v>2.5601950624809504</v>
      </c>
      <c r="H101" s="77" t="s">
        <v>37</v>
      </c>
      <c r="I101" s="78">
        <f>46573/1.15</f>
        <v>40498.260869565223</v>
      </c>
      <c r="J101" s="79">
        <f>G101*I101</f>
        <v>103683.44751732636</v>
      </c>
      <c r="K101" s="71"/>
    </row>
    <row r="102" spans="1:11" x14ac:dyDescent="0.3">
      <c r="A102" s="63"/>
      <c r="B102" s="80"/>
      <c r="C102" s="74"/>
      <c r="D102" s="75"/>
      <c r="E102" s="75"/>
      <c r="F102" s="75"/>
      <c r="G102" s="75"/>
      <c r="H102" s="75"/>
      <c r="I102" s="75"/>
      <c r="J102" s="65"/>
      <c r="K102" s="71"/>
    </row>
    <row r="103" spans="1:11" ht="28.8" x14ac:dyDescent="0.3">
      <c r="A103" s="63">
        <v>13</v>
      </c>
      <c r="B103" s="80" t="s">
        <v>50</v>
      </c>
      <c r="C103" s="74"/>
      <c r="D103" s="75"/>
      <c r="E103" s="75"/>
      <c r="F103" s="75"/>
      <c r="G103" s="75"/>
      <c r="H103" s="75"/>
      <c r="I103" s="75"/>
      <c r="J103" s="65"/>
      <c r="K103" s="71"/>
    </row>
    <row r="104" spans="1:11" ht="15" customHeight="1" x14ac:dyDescent="0.3">
      <c r="A104" s="63"/>
      <c r="B104" s="76" t="s">
        <v>51</v>
      </c>
      <c r="C104" s="74">
        <f>2*2</f>
        <v>4</v>
      </c>
      <c r="D104" s="75"/>
      <c r="E104" s="75">
        <f>(2+3)/12/3.281</f>
        <v>0.12699380270242813</v>
      </c>
      <c r="F104" s="75">
        <v>0.55000000000000004</v>
      </c>
      <c r="G104" s="75">
        <f>PRODUCT(C104:F104)</f>
        <v>0.27938636594534194</v>
      </c>
      <c r="H104" s="75"/>
      <c r="I104" s="75"/>
      <c r="J104" s="65"/>
      <c r="K104" s="71"/>
    </row>
    <row r="105" spans="1:11" ht="15" customHeight="1" x14ac:dyDescent="0.3">
      <c r="A105" s="63"/>
      <c r="B105" s="76"/>
      <c r="C105" s="74">
        <f>1*2</f>
        <v>2</v>
      </c>
      <c r="D105" s="75">
        <f>3/3.281</f>
        <v>0.91435537945748246</v>
      </c>
      <c r="E105" s="75"/>
      <c r="F105" s="75">
        <f>3/12/3.281</f>
        <v>7.6196281621456863E-2</v>
      </c>
      <c r="G105" s="75">
        <f>PRODUCT(C105:F105)</f>
        <v>0.13934095999047277</v>
      </c>
      <c r="H105" s="75"/>
      <c r="I105" s="75"/>
      <c r="J105" s="65"/>
      <c r="K105" s="71"/>
    </row>
    <row r="106" spans="1:11" ht="15" customHeight="1" x14ac:dyDescent="0.3">
      <c r="A106" s="63"/>
      <c r="B106" s="76"/>
      <c r="C106" s="74">
        <f t="shared" ref="C106:C109" si="6">1*2</f>
        <v>2</v>
      </c>
      <c r="D106" s="75">
        <f>3/3.281</f>
        <v>0.91435537945748246</v>
      </c>
      <c r="E106" s="75"/>
      <c r="F106" s="75">
        <f>3/12/3.281</f>
        <v>7.6196281621456863E-2</v>
      </c>
      <c r="G106" s="75">
        <f t="shared" ref="G106:G114" si="7">PRODUCT(C106:F106)</f>
        <v>0.13934095999047277</v>
      </c>
      <c r="H106" s="75"/>
      <c r="I106" s="75"/>
      <c r="J106" s="65"/>
      <c r="K106" s="71"/>
    </row>
    <row r="107" spans="1:11" ht="15" customHeight="1" x14ac:dyDescent="0.3">
      <c r="A107" s="63"/>
      <c r="B107" s="76"/>
      <c r="C107" s="74">
        <f t="shared" si="6"/>
        <v>2</v>
      </c>
      <c r="D107" s="75">
        <f>0.96</f>
        <v>0.96</v>
      </c>
      <c r="E107" s="75"/>
      <c r="F107" s="75">
        <f>1/12/3.281</f>
        <v>2.5398760540485621E-2</v>
      </c>
      <c r="G107" s="75">
        <f t="shared" si="7"/>
        <v>4.8765620237732392E-2</v>
      </c>
      <c r="H107" s="75"/>
      <c r="I107" s="75"/>
      <c r="J107" s="65"/>
      <c r="K107" s="71"/>
    </row>
    <row r="108" spans="1:11" ht="15" customHeight="1" x14ac:dyDescent="0.3">
      <c r="A108" s="63"/>
      <c r="B108" s="76"/>
      <c r="C108" s="74">
        <f t="shared" si="6"/>
        <v>2</v>
      </c>
      <c r="D108" s="75">
        <f>3/3.281</f>
        <v>0.91435537945748246</v>
      </c>
      <c r="E108" s="75"/>
      <c r="F108" s="75">
        <f t="shared" ref="F108:F109" si="8">1/12/3.281</f>
        <v>2.5398760540485621E-2</v>
      </c>
      <c r="G108" s="75">
        <f t="shared" si="7"/>
        <v>4.6446986663490925E-2</v>
      </c>
      <c r="H108" s="75"/>
      <c r="I108" s="75"/>
      <c r="J108" s="65"/>
      <c r="K108" s="71"/>
    </row>
    <row r="109" spans="1:11" ht="15" customHeight="1" x14ac:dyDescent="0.3">
      <c r="A109" s="63"/>
      <c r="B109" s="76"/>
      <c r="C109" s="74">
        <f t="shared" si="6"/>
        <v>2</v>
      </c>
      <c r="D109" s="75">
        <f>0.83</f>
        <v>0.83</v>
      </c>
      <c r="E109" s="75"/>
      <c r="F109" s="75">
        <f t="shared" si="8"/>
        <v>2.5398760540485621E-2</v>
      </c>
      <c r="G109" s="75">
        <f t="shared" si="7"/>
        <v>4.2161942497206131E-2</v>
      </c>
      <c r="H109" s="75"/>
      <c r="I109" s="75"/>
      <c r="J109" s="65"/>
      <c r="K109" s="71"/>
    </row>
    <row r="110" spans="1:11" ht="15" customHeight="1" x14ac:dyDescent="0.3">
      <c r="A110" s="63"/>
      <c r="B110" s="76" t="s">
        <v>75</v>
      </c>
      <c r="C110" s="74">
        <f>4*1</f>
        <v>4</v>
      </c>
      <c r="D110" s="75">
        <f>24/12/3.281</f>
        <v>0.6095702529716549</v>
      </c>
      <c r="E110" s="75"/>
      <c r="F110" s="75">
        <f>3/12/3.281</f>
        <v>7.6196281621456863E-2</v>
      </c>
      <c r="G110" s="75">
        <f t="shared" si="7"/>
        <v>0.18578794665396367</v>
      </c>
      <c r="H110" s="75"/>
      <c r="I110" s="75"/>
      <c r="J110" s="65"/>
      <c r="K110" s="71"/>
    </row>
    <row r="111" spans="1:11" ht="15" customHeight="1" x14ac:dyDescent="0.3">
      <c r="A111" s="63"/>
      <c r="B111" s="76"/>
      <c r="C111" s="74">
        <f>4*2</f>
        <v>8</v>
      </c>
      <c r="D111" s="75">
        <f>1/3.281</f>
        <v>0.30478512648582745</v>
      </c>
      <c r="E111" s="75"/>
      <c r="F111" s="75">
        <f>3/12/3.281</f>
        <v>7.6196281621456863E-2</v>
      </c>
      <c r="G111" s="75">
        <f t="shared" si="7"/>
        <v>0.18578794665396367</v>
      </c>
      <c r="H111" s="75"/>
      <c r="I111" s="75"/>
      <c r="J111" s="65"/>
      <c r="K111" s="71"/>
    </row>
    <row r="112" spans="1:11" ht="15" customHeight="1" x14ac:dyDescent="0.3">
      <c r="A112" s="63"/>
      <c r="B112" s="76"/>
      <c r="C112" s="74">
        <f>4*1</f>
        <v>4</v>
      </c>
      <c r="D112" s="75">
        <f>23/12/3.281</f>
        <v>0.58417149243116939</v>
      </c>
      <c r="E112" s="75"/>
      <c r="F112" s="75">
        <f>3/12/3.281</f>
        <v>7.6196281621456863E-2</v>
      </c>
      <c r="G112" s="75">
        <f t="shared" si="7"/>
        <v>0.17804678221004855</v>
      </c>
      <c r="H112" s="75"/>
      <c r="I112" s="75"/>
      <c r="J112" s="65"/>
      <c r="K112" s="71"/>
    </row>
    <row r="113" spans="1:20" ht="15" customHeight="1" x14ac:dyDescent="0.3">
      <c r="A113" s="63"/>
      <c r="B113" s="76"/>
      <c r="C113" s="74">
        <f t="shared" ref="C113:C114" si="9">4*1</f>
        <v>4</v>
      </c>
      <c r="D113" s="75">
        <f>26/3.281</f>
        <v>7.9244132886315146</v>
      </c>
      <c r="E113" s="75"/>
      <c r="F113" s="75">
        <f>1/12/3.281</f>
        <v>2.5398760540485621E-2</v>
      </c>
      <c r="G113" s="75">
        <f t="shared" si="7"/>
        <v>0.80508110216717599</v>
      </c>
      <c r="H113" s="75"/>
      <c r="I113" s="75"/>
      <c r="J113" s="65"/>
      <c r="K113" s="71"/>
    </row>
    <row r="114" spans="1:20" ht="15" customHeight="1" x14ac:dyDescent="0.3">
      <c r="A114" s="63"/>
      <c r="B114" s="76"/>
      <c r="C114" s="74">
        <f t="shared" si="9"/>
        <v>4</v>
      </c>
      <c r="D114" s="75">
        <f>28/12/3.281</f>
        <v>0.7111652951335975</v>
      </c>
      <c r="E114" s="75"/>
      <c r="F114" s="75">
        <f>1/12/3.281</f>
        <v>2.5398760540485621E-2</v>
      </c>
      <c r="G114" s="75">
        <f t="shared" si="7"/>
        <v>7.2250868143208108E-2</v>
      </c>
      <c r="H114" s="75"/>
      <c r="I114" s="75"/>
      <c r="J114" s="65"/>
      <c r="K114" s="71"/>
    </row>
    <row r="115" spans="1:20" ht="15" customHeight="1" x14ac:dyDescent="0.3">
      <c r="A115" s="63"/>
      <c r="B115" s="76" t="s">
        <v>36</v>
      </c>
      <c r="C115" s="74"/>
      <c r="D115" s="71"/>
      <c r="E115" s="75"/>
      <c r="F115" s="75"/>
      <c r="G115" s="77">
        <f>SUM(G104:G114)</f>
        <v>2.1223974811530768</v>
      </c>
      <c r="H115" s="77" t="s">
        <v>37</v>
      </c>
      <c r="I115" s="78">
        <f>50828.44/1.15</f>
        <v>44198.643478260878</v>
      </c>
      <c r="J115" s="79">
        <f>G115*I115</f>
        <v>93807.08958864375</v>
      </c>
      <c r="K115" s="71"/>
    </row>
    <row r="116" spans="1:20" x14ac:dyDescent="0.3">
      <c r="A116" s="63"/>
      <c r="B116" s="80"/>
      <c r="C116" s="74"/>
      <c r="D116" s="71"/>
      <c r="E116" s="75"/>
      <c r="F116" s="75"/>
      <c r="G116" s="75"/>
      <c r="H116" s="75"/>
      <c r="I116" s="75"/>
      <c r="J116" s="65"/>
      <c r="K116" s="71"/>
    </row>
    <row r="117" spans="1:20" ht="43.2" x14ac:dyDescent="0.3">
      <c r="A117" s="63">
        <v>14</v>
      </c>
      <c r="B117" s="80" t="s">
        <v>52</v>
      </c>
      <c r="C117" s="74"/>
      <c r="D117" s="75"/>
      <c r="E117" s="75"/>
      <c r="F117" s="75"/>
      <c r="G117" s="75"/>
      <c r="H117" s="75"/>
      <c r="I117" s="75"/>
      <c r="J117" s="65"/>
      <c r="K117" s="71"/>
    </row>
    <row r="118" spans="1:20" ht="15" customHeight="1" x14ac:dyDescent="0.3">
      <c r="A118" s="63"/>
      <c r="B118" s="76" t="s">
        <v>61</v>
      </c>
      <c r="C118" s="74">
        <v>4</v>
      </c>
      <c r="D118" s="75">
        <f>10/12/3.281</f>
        <v>0.25398760540485626</v>
      </c>
      <c r="E118" s="75"/>
      <c r="F118" s="75">
        <f>1/3.281</f>
        <v>0.30478512648582745</v>
      </c>
      <c r="G118" s="75">
        <f>PRODUCT(C118:F118)</f>
        <v>0.3096465777566062</v>
      </c>
      <c r="H118" s="75"/>
      <c r="I118" s="75"/>
      <c r="J118" s="65"/>
      <c r="K118" s="71"/>
    </row>
    <row r="119" spans="1:20" ht="15" customHeight="1" x14ac:dyDescent="0.3">
      <c r="A119" s="63"/>
      <c r="B119" s="76" t="s">
        <v>36</v>
      </c>
      <c r="C119" s="74"/>
      <c r="D119" s="75"/>
      <c r="E119" s="75"/>
      <c r="F119" s="75"/>
      <c r="G119" s="77">
        <f>SUM(G118:G118)</f>
        <v>0.3096465777566062</v>
      </c>
      <c r="H119" s="77" t="s">
        <v>37</v>
      </c>
      <c r="I119" s="78">
        <f>69579.92/1.15</f>
        <v>60504.278260869571</v>
      </c>
      <c r="J119" s="79">
        <f>G119*I119</f>
        <v>18734.942703111687</v>
      </c>
      <c r="K119" s="71"/>
    </row>
    <row r="120" spans="1:20" ht="15" customHeight="1" x14ac:dyDescent="0.3">
      <c r="A120" s="63"/>
      <c r="B120" s="76" t="s">
        <v>43</v>
      </c>
      <c r="C120" s="74"/>
      <c r="D120" s="75"/>
      <c r="E120" s="75"/>
      <c r="F120" s="75"/>
      <c r="G120" s="77"/>
      <c r="H120" s="77"/>
      <c r="I120" s="78"/>
      <c r="J120" s="79">
        <f>0.13*G119*(9888.94/0.92)</f>
        <v>432.68471274266705</v>
      </c>
      <c r="K120" s="71"/>
    </row>
    <row r="121" spans="1:20" ht="15" customHeight="1" x14ac:dyDescent="0.3">
      <c r="A121" s="63"/>
      <c r="B121" s="76"/>
      <c r="C121" s="74"/>
      <c r="D121" s="75"/>
      <c r="E121" s="75"/>
      <c r="F121" s="75"/>
      <c r="G121" s="75"/>
      <c r="H121" s="75"/>
      <c r="I121" s="75"/>
      <c r="J121" s="65"/>
      <c r="K121" s="71"/>
      <c r="M121" s="35"/>
    </row>
    <row r="122" spans="1:20" ht="19.8" x14ac:dyDescent="0.3">
      <c r="A122" s="20">
        <v>15</v>
      </c>
      <c r="B122" s="30" t="s">
        <v>82</v>
      </c>
      <c r="C122" s="21">
        <v>1</v>
      </c>
      <c r="D122" s="22"/>
      <c r="E122" s="23"/>
      <c r="F122" s="23"/>
      <c r="G122" s="70">
        <f t="shared" ref="G122" si="10">PRODUCT(C122:F122)</f>
        <v>1</v>
      </c>
      <c r="H122" s="28" t="s">
        <v>62</v>
      </c>
      <c r="I122" s="29">
        <v>10000</v>
      </c>
      <c r="J122" s="70">
        <f>G122*I122</f>
        <v>10000</v>
      </c>
      <c r="K122" s="23"/>
      <c r="M122" s="25"/>
      <c r="N122" s="12"/>
      <c r="O122" s="12"/>
      <c r="P122" s="12"/>
      <c r="Q122" s="12"/>
      <c r="R122" s="12"/>
      <c r="S122" s="12"/>
      <c r="T122" s="12"/>
    </row>
    <row r="123" spans="1:20" ht="15" customHeight="1" x14ac:dyDescent="0.3">
      <c r="A123" s="63"/>
      <c r="B123" s="68"/>
      <c r="C123" s="69"/>
      <c r="D123" s="64"/>
      <c r="E123" s="64"/>
      <c r="F123" s="64"/>
      <c r="G123" s="64"/>
      <c r="H123" s="64"/>
      <c r="I123" s="64"/>
      <c r="J123" s="65"/>
      <c r="K123" s="66"/>
    </row>
    <row r="124" spans="1:20" ht="19.8" x14ac:dyDescent="0.3">
      <c r="A124" s="20">
        <v>16</v>
      </c>
      <c r="B124" s="30" t="s">
        <v>28</v>
      </c>
      <c r="C124" s="21">
        <v>1</v>
      </c>
      <c r="D124" s="22"/>
      <c r="E124" s="23"/>
      <c r="F124" s="23"/>
      <c r="G124" s="70">
        <f t="shared" ref="G124" si="11">PRODUCT(C124:F124)</f>
        <v>1</v>
      </c>
      <c r="H124" s="28" t="s">
        <v>29</v>
      </c>
      <c r="I124" s="29">
        <v>500</v>
      </c>
      <c r="J124" s="70">
        <f>G124*I124</f>
        <v>500</v>
      </c>
      <c r="K124" s="23"/>
      <c r="M124" s="25"/>
      <c r="N124" s="12"/>
      <c r="O124" s="12"/>
      <c r="P124" s="12"/>
      <c r="Q124" s="12"/>
      <c r="R124" s="12"/>
      <c r="S124" s="12"/>
      <c r="T124" s="12"/>
    </row>
    <row r="125" spans="1:20" ht="15" customHeight="1" x14ac:dyDescent="0.3">
      <c r="A125" s="63"/>
      <c r="B125" s="68"/>
      <c r="C125" s="69"/>
      <c r="D125" s="64"/>
      <c r="E125" s="64"/>
      <c r="F125" s="64"/>
      <c r="G125" s="64"/>
      <c r="H125" s="64"/>
      <c r="I125" s="64"/>
      <c r="J125" s="65"/>
      <c r="K125" s="66"/>
    </row>
    <row r="126" spans="1:20" x14ac:dyDescent="0.3">
      <c r="A126" s="63"/>
      <c r="B126" s="82" t="s">
        <v>15</v>
      </c>
      <c r="C126" s="69"/>
      <c r="D126" s="64"/>
      <c r="E126" s="64"/>
      <c r="F126" s="64"/>
      <c r="G126" s="70"/>
      <c r="H126" s="70"/>
      <c r="I126" s="70"/>
      <c r="J126" s="70">
        <f>SUM(J9:J124)</f>
        <v>565600.54979323409</v>
      </c>
      <c r="K126" s="66"/>
    </row>
    <row r="128" spans="1:20" s="1" customFormat="1" x14ac:dyDescent="0.3">
      <c r="B128" s="11" t="s">
        <v>25</v>
      </c>
      <c r="C128" s="45">
        <f>J126</f>
        <v>565600.54979323409</v>
      </c>
      <c r="D128" s="46"/>
      <c r="E128" s="10">
        <v>100</v>
      </c>
      <c r="F128" s="12"/>
      <c r="G128" s="13"/>
      <c r="H128" s="12"/>
      <c r="I128" s="14"/>
      <c r="J128" s="15"/>
      <c r="K128" s="16"/>
    </row>
    <row r="129" spans="2:5" x14ac:dyDescent="0.3">
      <c r="B129" s="11" t="s">
        <v>30</v>
      </c>
      <c r="C129" s="48">
        <v>500000</v>
      </c>
      <c r="D129" s="49"/>
      <c r="E129" s="10"/>
    </row>
    <row r="130" spans="2:5" x14ac:dyDescent="0.3">
      <c r="B130" s="11" t="s">
        <v>31</v>
      </c>
      <c r="C130" s="48">
        <f>C129-C132-C133</f>
        <v>475000</v>
      </c>
      <c r="D130" s="49"/>
      <c r="E130" s="10">
        <f>C130/C128*100</f>
        <v>83.981530812451496</v>
      </c>
    </row>
    <row r="131" spans="2:5" x14ac:dyDescent="0.3">
      <c r="B131" s="11" t="s">
        <v>32</v>
      </c>
      <c r="C131" s="50">
        <f>C128-C130</f>
        <v>90600.549793234095</v>
      </c>
      <c r="D131" s="50"/>
      <c r="E131" s="10">
        <f>100-E130</f>
        <v>16.018469187548504</v>
      </c>
    </row>
    <row r="132" spans="2:5" x14ac:dyDescent="0.3">
      <c r="B132" s="11" t="s">
        <v>33</v>
      </c>
      <c r="C132" s="45">
        <f>C129*0.03</f>
        <v>15000</v>
      </c>
      <c r="D132" s="46"/>
      <c r="E132" s="10">
        <v>3</v>
      </c>
    </row>
    <row r="133" spans="2:5" x14ac:dyDescent="0.3">
      <c r="B133" s="11" t="s">
        <v>34</v>
      </c>
      <c r="C133" s="45">
        <f>C129*0.02</f>
        <v>10000</v>
      </c>
      <c r="D133" s="46"/>
      <c r="E133" s="10">
        <v>2</v>
      </c>
    </row>
  </sheetData>
  <mergeCells count="14">
    <mergeCell ref="C132:D132"/>
    <mergeCell ref="C133:D133"/>
    <mergeCell ref="A7:F7"/>
    <mergeCell ref="H7:K7"/>
    <mergeCell ref="C128:D128"/>
    <mergeCell ref="C129:D129"/>
    <mergeCell ref="C130:D130"/>
    <mergeCell ref="C131:D131"/>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7"/>
  <sheetViews>
    <sheetView zoomScaleNormal="100" workbookViewId="0">
      <selection activeCell="A13" sqref="A13:K57"/>
    </sheetView>
  </sheetViews>
  <sheetFormatPr defaultRowHeight="14.4" x14ac:dyDescent="0.3"/>
  <cols>
    <col min="1" max="1" width="6.33203125" customWidth="1"/>
    <col min="2" max="2" width="36.6640625" customWidth="1"/>
    <col min="3" max="3" width="8.88671875" customWidth="1"/>
    <col min="4" max="4" width="9.33203125" bestFit="1" customWidth="1"/>
    <col min="5" max="5" width="11.5546875" bestFit="1" customWidth="1"/>
    <col min="6" max="6" width="12.33203125" bestFit="1" customWidth="1"/>
    <col min="7" max="7" width="9.5546875" bestFit="1" customWidth="1"/>
    <col min="8" max="8" width="11.109375" bestFit="1" customWidth="1"/>
    <col min="9" max="9" width="11.88671875" bestFit="1" customWidth="1"/>
    <col min="10" max="10" width="12.33203125" bestFit="1" customWidth="1"/>
    <col min="11" max="11" width="11" customWidth="1"/>
    <col min="13" max="13" width="11.5546875" bestFit="1" customWidth="1"/>
  </cols>
  <sheetData>
    <row r="1" spans="1:11" x14ac:dyDescent="0.3">
      <c r="A1" s="53" t="s">
        <v>0</v>
      </c>
      <c r="B1" s="53"/>
      <c r="C1" s="53"/>
      <c r="D1" s="53"/>
      <c r="E1" s="53"/>
      <c r="F1" s="53"/>
      <c r="G1" s="53"/>
      <c r="H1" s="53"/>
      <c r="I1" s="53"/>
      <c r="J1" s="53"/>
      <c r="K1" s="53"/>
    </row>
    <row r="2" spans="1:11" ht="24.6" x14ac:dyDescent="0.4">
      <c r="A2" s="54" t="s">
        <v>1</v>
      </c>
      <c r="B2" s="54"/>
      <c r="C2" s="54"/>
      <c r="D2" s="54"/>
      <c r="E2" s="54"/>
      <c r="F2" s="54"/>
      <c r="G2" s="54"/>
      <c r="H2" s="54"/>
      <c r="I2" s="54"/>
      <c r="J2" s="54"/>
      <c r="K2" s="54"/>
    </row>
    <row r="3" spans="1:11" s="1" customFormat="1" x14ac:dyDescent="0.3">
      <c r="A3" s="43" t="s">
        <v>2</v>
      </c>
      <c r="B3" s="43"/>
      <c r="C3" s="43"/>
      <c r="D3" s="43"/>
      <c r="E3" s="43"/>
      <c r="F3" s="43"/>
      <c r="G3" s="43"/>
      <c r="H3" s="43"/>
      <c r="I3" s="43"/>
      <c r="J3" s="43"/>
      <c r="K3" s="43"/>
    </row>
    <row r="4" spans="1:11" s="1" customFormat="1" x14ac:dyDescent="0.3">
      <c r="A4" s="43" t="s">
        <v>3</v>
      </c>
      <c r="B4" s="43"/>
      <c r="C4" s="43"/>
      <c r="D4" s="43"/>
      <c r="E4" s="43"/>
      <c r="F4" s="43"/>
      <c r="G4" s="43"/>
      <c r="H4" s="43"/>
      <c r="I4" s="43"/>
      <c r="J4" s="43"/>
      <c r="K4" s="43"/>
    </row>
    <row r="5" spans="1:11" ht="18" x14ac:dyDescent="0.35">
      <c r="A5" s="55" t="s">
        <v>16</v>
      </c>
      <c r="B5" s="55"/>
      <c r="C5" s="55"/>
      <c r="D5" s="55"/>
      <c r="E5" s="55"/>
      <c r="F5" s="55"/>
      <c r="G5" s="55"/>
      <c r="H5" s="55"/>
      <c r="I5" s="55"/>
      <c r="J5" s="55"/>
      <c r="K5" s="55"/>
    </row>
    <row r="6" spans="1:11" ht="18" x14ac:dyDescent="0.35">
      <c r="A6" s="6" t="s">
        <v>17</v>
      </c>
      <c r="B6" s="6"/>
      <c r="C6" s="51">
        <f>F57</f>
        <v>565600.54979323409</v>
      </c>
      <c r="D6" s="52"/>
      <c r="E6" s="7"/>
      <c r="F6" s="6"/>
      <c r="G6" s="6"/>
      <c r="H6" s="6" t="s">
        <v>18</v>
      </c>
      <c r="I6" s="6"/>
      <c r="J6" s="51">
        <f>I57</f>
        <v>600821.06516986643</v>
      </c>
      <c r="K6" s="52"/>
    </row>
    <row r="7" spans="1:11" x14ac:dyDescent="0.3">
      <c r="A7" s="26" t="s">
        <v>27</v>
      </c>
      <c r="B7" s="8"/>
      <c r="C7" s="8"/>
      <c r="D7" s="8"/>
      <c r="F7" s="27"/>
      <c r="G7" s="27"/>
      <c r="I7" s="59" t="s">
        <v>35</v>
      </c>
      <c r="J7" s="59"/>
      <c r="K7" s="59"/>
    </row>
    <row r="8" spans="1:11" ht="15.6" x14ac:dyDescent="0.3">
      <c r="A8" s="58" t="str">
        <f>estimate!A6</f>
        <v>Project:- लकिल्ला गणेश मन्दिर</v>
      </c>
      <c r="B8" s="58"/>
      <c r="C8" s="58"/>
      <c r="D8" s="58"/>
      <c r="E8" s="58"/>
      <c r="F8" s="58"/>
      <c r="I8" s="60" t="s">
        <v>84</v>
      </c>
      <c r="J8" s="60"/>
      <c r="K8" s="60"/>
    </row>
    <row r="9" spans="1:11" x14ac:dyDescent="0.3">
      <c r="A9" s="61" t="str">
        <f>estimate!A7</f>
        <v>Location:- Shankharapur Municipality 9</v>
      </c>
      <c r="B9" s="61"/>
      <c r="C9" s="61"/>
      <c r="D9" s="61"/>
      <c r="E9" s="61"/>
      <c r="F9" s="61"/>
      <c r="I9" s="60" t="s">
        <v>87</v>
      </c>
      <c r="J9" s="60"/>
      <c r="K9" s="60"/>
    </row>
    <row r="11" spans="1:11" x14ac:dyDescent="0.3">
      <c r="A11" s="56" t="s">
        <v>19</v>
      </c>
      <c r="B11" s="56" t="s">
        <v>20</v>
      </c>
      <c r="C11" s="56" t="s">
        <v>11</v>
      </c>
      <c r="D11" s="62" t="s">
        <v>21</v>
      </c>
      <c r="E11" s="62"/>
      <c r="F11" s="62"/>
      <c r="G11" s="62" t="s">
        <v>22</v>
      </c>
      <c r="H11" s="62"/>
      <c r="I11" s="62"/>
      <c r="J11" s="56" t="s">
        <v>23</v>
      </c>
      <c r="K11" s="57" t="s">
        <v>14</v>
      </c>
    </row>
    <row r="12" spans="1:11" x14ac:dyDescent="0.3">
      <c r="A12" s="56"/>
      <c r="B12" s="56"/>
      <c r="C12" s="56"/>
      <c r="D12" s="9" t="s">
        <v>24</v>
      </c>
      <c r="E12" s="9" t="s">
        <v>12</v>
      </c>
      <c r="F12" s="9" t="s">
        <v>13</v>
      </c>
      <c r="G12" s="9" t="s">
        <v>24</v>
      </c>
      <c r="H12" s="9" t="s">
        <v>12</v>
      </c>
      <c r="I12" s="9" t="s">
        <v>13</v>
      </c>
      <c r="J12" s="56"/>
      <c r="K12" s="57"/>
    </row>
    <row r="13" spans="1:11" s="1" customFormat="1" ht="41.4" x14ac:dyDescent="0.3">
      <c r="A13" s="83">
        <f>estimate!A9</f>
        <v>1</v>
      </c>
      <c r="B13" s="84" t="str">
        <f>estimate!B9</f>
        <v>Traditional Brick (Small Dachhi Appa) size 210*55*97 mm work in (1:4) cement sand mortar</v>
      </c>
      <c r="C13" s="64" t="str">
        <f>estimate!H22</f>
        <v>sqm</v>
      </c>
      <c r="D13" s="64">
        <f>estimate!G22</f>
        <v>19.819287103958029</v>
      </c>
      <c r="E13" s="64">
        <f>estimate!I22</f>
        <v>5052.6695652173912</v>
      </c>
      <c r="F13" s="64">
        <f>D13*E13</f>
        <v>100140.30875447426</v>
      </c>
      <c r="G13" s="64">
        <f>V!G22</f>
        <v>19.819287103958029</v>
      </c>
      <c r="H13" s="64">
        <f>V!I22</f>
        <v>5052.6695652173912</v>
      </c>
      <c r="I13" s="64">
        <f>G13*H13</f>
        <v>100140.30875447426</v>
      </c>
      <c r="J13" s="85">
        <f t="shared" ref="J13:J55" si="0">I13-F13</f>
        <v>0</v>
      </c>
      <c r="K13" s="86"/>
    </row>
    <row r="14" spans="1:11" s="1" customFormat="1" x14ac:dyDescent="0.3">
      <c r="A14" s="83"/>
      <c r="B14" s="87" t="str">
        <f>estimate!B23</f>
        <v>-VAT 13% for materials only</v>
      </c>
      <c r="C14" s="64"/>
      <c r="D14" s="64"/>
      <c r="E14" s="64"/>
      <c r="F14" s="64">
        <f>estimate!J23</f>
        <v>7975.7652167202259</v>
      </c>
      <c r="G14" s="64"/>
      <c r="H14" s="64"/>
      <c r="I14" s="64">
        <f>V!J23</f>
        <v>7975.7652167202259</v>
      </c>
      <c r="J14" s="85">
        <f t="shared" si="0"/>
        <v>0</v>
      </c>
      <c r="K14" s="86"/>
    </row>
    <row r="15" spans="1:11" s="1" customFormat="1" x14ac:dyDescent="0.3">
      <c r="A15" s="83"/>
      <c r="B15" s="84"/>
      <c r="C15" s="64"/>
      <c r="D15" s="64"/>
      <c r="E15" s="64"/>
      <c r="F15" s="64"/>
      <c r="G15" s="64"/>
      <c r="H15" s="64"/>
      <c r="I15" s="64"/>
      <c r="J15" s="85"/>
      <c r="K15" s="86"/>
    </row>
    <row r="16" spans="1:11" s="1" customFormat="1" ht="30" x14ac:dyDescent="0.3">
      <c r="A16" s="83">
        <f>estimate!A25</f>
        <v>2</v>
      </c>
      <c r="B16" s="32" t="str">
        <f>estimate!B25</f>
        <v>e'O{+tNnfdf lrDgL e§fsf] O{+6fsf] uf/f] l;d]G6 d;nf -!M^_ df</v>
      </c>
      <c r="C16" s="64" t="str">
        <f>estimate!H33</f>
        <v>cum</v>
      </c>
      <c r="D16" s="64">
        <f>estimate!G33</f>
        <v>1.6468440516102811</v>
      </c>
      <c r="E16" s="64">
        <f>estimate!I33</f>
        <v>14362.76</v>
      </c>
      <c r="F16" s="64">
        <f>D16*E16</f>
        <v>23653.225870706083</v>
      </c>
      <c r="G16" s="64">
        <f>V!G33</f>
        <v>1.6468440516102811</v>
      </c>
      <c r="H16" s="64">
        <f>V!I33</f>
        <v>14362.76</v>
      </c>
      <c r="I16" s="64">
        <f>G16*H16</f>
        <v>23653.225870706083</v>
      </c>
      <c r="J16" s="85">
        <f t="shared" ref="J16:J17" si="1">I16-F16</f>
        <v>0</v>
      </c>
      <c r="K16" s="86"/>
    </row>
    <row r="17" spans="1:11" s="1" customFormat="1" x14ac:dyDescent="0.3">
      <c r="A17" s="83"/>
      <c r="B17" s="87" t="str">
        <f>estimate!B34</f>
        <v>-VAT 13% for materials only</v>
      </c>
      <c r="C17" s="64"/>
      <c r="D17" s="64"/>
      <c r="E17" s="64"/>
      <c r="F17" s="64">
        <f>estimate!J34</f>
        <v>2207.637598497734</v>
      </c>
      <c r="G17" s="64"/>
      <c r="H17" s="64"/>
      <c r="I17" s="64">
        <f>V!J34</f>
        <v>2207.637598497734</v>
      </c>
      <c r="J17" s="85">
        <f t="shared" si="1"/>
        <v>0</v>
      </c>
      <c r="K17" s="86"/>
    </row>
    <row r="18" spans="1:11" s="1" customFormat="1" x14ac:dyDescent="0.3">
      <c r="A18" s="83"/>
      <c r="B18" s="84"/>
      <c r="C18" s="64"/>
      <c r="D18" s="64"/>
      <c r="E18" s="64"/>
      <c r="F18" s="64"/>
      <c r="G18" s="64"/>
      <c r="H18" s="64"/>
      <c r="I18" s="64"/>
      <c r="J18" s="85"/>
      <c r="K18" s="86"/>
    </row>
    <row r="19" spans="1:11" s="1" customFormat="1" ht="27.6" x14ac:dyDescent="0.3">
      <c r="A19" s="83">
        <f>estimate!A36</f>
        <v>3</v>
      </c>
      <c r="B19" s="84" t="str">
        <f>estimate!B36</f>
        <v>Traditional Nago Brick work in (1:1:2) lime, surkhi, sand mortar</v>
      </c>
      <c r="C19" s="64" t="str">
        <f>estimate!H38</f>
        <v>m</v>
      </c>
      <c r="D19" s="64">
        <f>estimate!G38</f>
        <v>12.24</v>
      </c>
      <c r="E19" s="64">
        <f>estimate!I38</f>
        <v>404.89565217391305</v>
      </c>
      <c r="F19" s="64">
        <f>D19*E19</f>
        <v>4955.9227826086963</v>
      </c>
      <c r="G19" s="64">
        <f>V!G38</f>
        <v>12.24</v>
      </c>
      <c r="H19" s="64">
        <f>V!I38</f>
        <v>404.89565217391305</v>
      </c>
      <c r="I19" s="64">
        <f>G19*H19</f>
        <v>4955.9227826086963</v>
      </c>
      <c r="J19" s="85">
        <f t="shared" ref="J19:J20" si="2">I19-F19</f>
        <v>0</v>
      </c>
      <c r="K19" s="86"/>
    </row>
    <row r="20" spans="1:11" s="1" customFormat="1" x14ac:dyDescent="0.3">
      <c r="A20" s="83"/>
      <c r="B20" s="87" t="str">
        <f>estimate!B39</f>
        <v>-VAT 13% for materials only</v>
      </c>
      <c r="C20" s="64"/>
      <c r="D20" s="64"/>
      <c r="E20" s="64"/>
      <c r="F20" s="64">
        <f>estimate!J39</f>
        <v>442.45066320000012</v>
      </c>
      <c r="G20" s="64"/>
      <c r="H20" s="64"/>
      <c r="I20" s="64">
        <f>V!J39</f>
        <v>442.45066320000012</v>
      </c>
      <c r="J20" s="85">
        <f t="shared" si="2"/>
        <v>0</v>
      </c>
      <c r="K20" s="86"/>
    </row>
    <row r="21" spans="1:11" s="1" customFormat="1" x14ac:dyDescent="0.3">
      <c r="A21" s="83"/>
      <c r="B21" s="84"/>
      <c r="C21" s="64"/>
      <c r="D21" s="64"/>
      <c r="E21" s="64"/>
      <c r="F21" s="64"/>
      <c r="G21" s="64"/>
      <c r="H21" s="64"/>
      <c r="I21" s="64"/>
      <c r="J21" s="85"/>
      <c r="K21" s="86"/>
    </row>
    <row r="22" spans="1:11" s="1" customFormat="1" ht="27.6" x14ac:dyDescent="0.3">
      <c r="A22" s="83">
        <f>estimate!A41</f>
        <v>4</v>
      </c>
      <c r="B22" s="84" t="str">
        <f>estimate!B41</f>
        <v>Traditional Kassimo Brick work in (1:1:2) lime, surkhi, sand mortar</v>
      </c>
      <c r="C22" s="64" t="str">
        <f>estimate!H43</f>
        <v>m</v>
      </c>
      <c r="D22" s="64">
        <f>estimate!G43</f>
        <v>12.24</v>
      </c>
      <c r="E22" s="64">
        <f>estimate!I43</f>
        <v>345.09565217391309</v>
      </c>
      <c r="F22" s="64">
        <f>D22*E22</f>
        <v>4223.970782608696</v>
      </c>
      <c r="G22" s="64">
        <f>V!G43</f>
        <v>12.24</v>
      </c>
      <c r="H22" s="64">
        <f>V!I43</f>
        <v>345.09565217391309</v>
      </c>
      <c r="I22" s="64">
        <f>G22*H22</f>
        <v>4223.970782608696</v>
      </c>
      <c r="J22" s="85">
        <f t="shared" ref="J22:J23" si="3">I22-F22</f>
        <v>0</v>
      </c>
      <c r="K22" s="86"/>
    </row>
    <row r="23" spans="1:11" s="1" customFormat="1" x14ac:dyDescent="0.3">
      <c r="A23" s="83"/>
      <c r="B23" s="87" t="str">
        <f>estimate!B44</f>
        <v>-VAT 13% for materials only</v>
      </c>
      <c r="C23" s="64"/>
      <c r="D23" s="64"/>
      <c r="E23" s="64"/>
      <c r="F23" s="64">
        <f>estimate!J44</f>
        <v>347.29690320000009</v>
      </c>
      <c r="G23" s="64"/>
      <c r="H23" s="64"/>
      <c r="I23" s="64">
        <f>V!J44</f>
        <v>347.29690320000009</v>
      </c>
      <c r="J23" s="85">
        <f t="shared" si="3"/>
        <v>0</v>
      </c>
      <c r="K23" s="86"/>
    </row>
    <row r="24" spans="1:11" s="1" customFormat="1" x14ac:dyDescent="0.3">
      <c r="A24" s="83"/>
      <c r="B24" s="84"/>
      <c r="C24" s="64"/>
      <c r="D24" s="64"/>
      <c r="E24" s="64"/>
      <c r="F24" s="64"/>
      <c r="G24" s="64"/>
      <c r="H24" s="64"/>
      <c r="I24" s="64"/>
      <c r="J24" s="85"/>
      <c r="K24" s="86"/>
    </row>
    <row r="25" spans="1:11" s="1" customFormat="1" ht="27.6" x14ac:dyDescent="0.3">
      <c r="A25" s="83">
        <f>estimate!A46</f>
        <v>5</v>
      </c>
      <c r="B25" s="84" t="str">
        <f>estimate!B46</f>
        <v>Traditional Nagbeli Brick work in (1:1:2) lime, surkhi, sand mortar</v>
      </c>
      <c r="C25" s="64" t="str">
        <f>estimate!H48</f>
        <v>m</v>
      </c>
      <c r="D25" s="64">
        <f>estimate!G48</f>
        <v>10.61</v>
      </c>
      <c r="E25" s="64">
        <f>estimate!I48</f>
        <v>388.89565217391311</v>
      </c>
      <c r="F25" s="64">
        <f>D25*E25</f>
        <v>4126.1828695652175</v>
      </c>
      <c r="G25" s="64">
        <f>V!G48</f>
        <v>10.61</v>
      </c>
      <c r="H25" s="64">
        <f>V!I48</f>
        <v>388.89565217391311</v>
      </c>
      <c r="I25" s="64">
        <f>G25*H25</f>
        <v>4126.1828695652175</v>
      </c>
      <c r="J25" s="85">
        <f t="shared" ref="J25:J26" si="4">I25-F25</f>
        <v>0</v>
      </c>
      <c r="K25" s="86"/>
    </row>
    <row r="26" spans="1:11" s="1" customFormat="1" x14ac:dyDescent="0.3">
      <c r="A26" s="83"/>
      <c r="B26" s="87" t="str">
        <f>estimate!B49</f>
        <v>-VAT 13% for materials only</v>
      </c>
      <c r="C26" s="64"/>
      <c r="D26" s="64"/>
      <c r="E26" s="64"/>
      <c r="F26" s="64">
        <f>estimate!J49</f>
        <v>361.46073730000006</v>
      </c>
      <c r="G26" s="64"/>
      <c r="H26" s="64"/>
      <c r="I26" s="64">
        <f>V!J49</f>
        <v>361.46073730000006</v>
      </c>
      <c r="J26" s="85">
        <f t="shared" si="4"/>
        <v>0</v>
      </c>
      <c r="K26" s="86"/>
    </row>
    <row r="27" spans="1:11" s="1" customFormat="1" x14ac:dyDescent="0.3">
      <c r="A27" s="83"/>
      <c r="B27" s="84"/>
      <c r="C27" s="64"/>
      <c r="D27" s="64"/>
      <c r="E27" s="64"/>
      <c r="F27" s="64"/>
      <c r="G27" s="64"/>
      <c r="H27" s="64"/>
      <c r="I27" s="64"/>
      <c r="J27" s="85"/>
      <c r="K27" s="86"/>
    </row>
    <row r="28" spans="1:11" s="1" customFormat="1" ht="27.6" x14ac:dyDescent="0.3">
      <c r="A28" s="83">
        <f>estimate!A51</f>
        <v>6</v>
      </c>
      <c r="B28" s="84" t="str">
        <f>estimate!B51</f>
        <v>Traditional Tinkune pali Brick work in (1:1:2) lime, surkhi, sand mortar</v>
      </c>
      <c r="C28" s="64" t="str">
        <f>estimate!H53</f>
        <v>m</v>
      </c>
      <c r="D28" s="64">
        <f>estimate!G53</f>
        <v>22.780859494056692</v>
      </c>
      <c r="E28" s="64">
        <f>estimate!I53</f>
        <v>353.69565217391306</v>
      </c>
      <c r="F28" s="64">
        <f>D28*E28</f>
        <v>8057.4909558326608</v>
      </c>
      <c r="G28" s="64">
        <f>V!G53</f>
        <v>22.780859494056692</v>
      </c>
      <c r="H28" s="64">
        <f>V!I53</f>
        <v>353.69565217391306</v>
      </c>
      <c r="I28" s="64">
        <f>G28*H28</f>
        <v>8057.4909558326608</v>
      </c>
      <c r="J28" s="85">
        <f t="shared" ref="J28:J29" si="5">I28-F28</f>
        <v>0</v>
      </c>
      <c r="K28" s="86"/>
    </row>
    <row r="29" spans="1:11" s="1" customFormat="1" x14ac:dyDescent="0.3">
      <c r="A29" s="83"/>
      <c r="B29" s="87" t="str">
        <f>estimate!B54</f>
        <v>-VAT 13% for materials only</v>
      </c>
      <c r="C29" s="64"/>
      <c r="D29" s="64"/>
      <c r="E29" s="64"/>
      <c r="F29" s="64">
        <f>estimate!J54</f>
        <v>671.85151353855554</v>
      </c>
      <c r="G29" s="64"/>
      <c r="H29" s="64"/>
      <c r="I29" s="64">
        <f>V!J54</f>
        <v>671.85151353855554</v>
      </c>
      <c r="J29" s="85">
        <f t="shared" si="5"/>
        <v>0</v>
      </c>
      <c r="K29" s="86"/>
    </row>
    <row r="30" spans="1:11" s="1" customFormat="1" x14ac:dyDescent="0.3">
      <c r="A30" s="83"/>
      <c r="B30" s="84"/>
      <c r="C30" s="64"/>
      <c r="D30" s="64"/>
      <c r="E30" s="64"/>
      <c r="F30" s="64"/>
      <c r="G30" s="64"/>
      <c r="H30" s="64"/>
      <c r="I30" s="64"/>
      <c r="J30" s="85"/>
      <c r="K30" s="86"/>
    </row>
    <row r="31" spans="1:11" s="1" customFormat="1" ht="41.4" x14ac:dyDescent="0.3">
      <c r="A31" s="83">
        <f>estimate!A56</f>
        <v>7</v>
      </c>
      <c r="B31" s="84" t="str">
        <f>estimate!B56</f>
        <v>Traditional Sinkhwo 2" with astamangal or full butta Brick work in (1:1:2) lime, surkhi, sand mortar</v>
      </c>
      <c r="C31" s="64" t="str">
        <f>estimate!H59</f>
        <v>m</v>
      </c>
      <c r="D31" s="64">
        <f>estimate!G59</f>
        <v>18.124843035659858</v>
      </c>
      <c r="E31" s="64">
        <f>estimate!I59</f>
        <v>516.39130434782612</v>
      </c>
      <c r="F31" s="64">
        <f>D31*E31</f>
        <v>9359.5113362840057</v>
      </c>
      <c r="G31" s="64">
        <f>V!G59</f>
        <v>18.124843035659858</v>
      </c>
      <c r="H31" s="64">
        <f>V!I59</f>
        <v>516.39130434782612</v>
      </c>
      <c r="I31" s="64">
        <f>G31*H31</f>
        <v>9359.5113362840057</v>
      </c>
      <c r="J31" s="85">
        <f t="shared" ref="J31:J32" si="6">I31-F31</f>
        <v>0</v>
      </c>
      <c r="K31" s="86"/>
    </row>
    <row r="32" spans="1:11" s="1" customFormat="1" x14ac:dyDescent="0.3">
      <c r="A32" s="83"/>
      <c r="B32" s="87" t="str">
        <f>estimate!B60</f>
        <v>-VAT 13% for materials only</v>
      </c>
      <c r="C32" s="64"/>
      <c r="D32" s="64"/>
      <c r="E32" s="64"/>
      <c r="F32" s="64">
        <f>estimate!J60</f>
        <v>917.89515711590968</v>
      </c>
      <c r="G32" s="64"/>
      <c r="H32" s="64"/>
      <c r="I32" s="64">
        <f>V!J60</f>
        <v>917.89515711590968</v>
      </c>
      <c r="J32" s="85">
        <f t="shared" si="6"/>
        <v>0</v>
      </c>
      <c r="K32" s="86"/>
    </row>
    <row r="33" spans="1:11" s="1" customFormat="1" x14ac:dyDescent="0.3">
      <c r="A33" s="83"/>
      <c r="B33" s="84"/>
      <c r="C33" s="64"/>
      <c r="D33" s="64"/>
      <c r="E33" s="64"/>
      <c r="F33" s="64"/>
      <c r="G33" s="64"/>
      <c r="H33" s="64"/>
      <c r="I33" s="64"/>
      <c r="J33" s="85"/>
      <c r="K33" s="86"/>
    </row>
    <row r="34" spans="1:11" s="1" customFormat="1" ht="27.6" x14ac:dyDescent="0.3">
      <c r="A34" s="83">
        <f>estimate!A62</f>
        <v>8</v>
      </c>
      <c r="B34" s="84" t="str">
        <f>estimate!B62</f>
        <v>Traditional Fya Brick work in (1:1:2) lime, surkhi, sand mortar</v>
      </c>
      <c r="C34" s="64" t="str">
        <f>estimate!H64</f>
        <v>m</v>
      </c>
      <c r="D34" s="64">
        <f>estimate!G64</f>
        <v>8.1276033729554005</v>
      </c>
      <c r="E34" s="64">
        <f>estimate!I64</f>
        <v>404.89565217391305</v>
      </c>
      <c r="F34" s="64">
        <f>D34*E34</f>
        <v>3290.8312683036725</v>
      </c>
      <c r="G34" s="64">
        <f>V!G64</f>
        <v>8.1276033729554005</v>
      </c>
      <c r="H34" s="64">
        <f>V!I64</f>
        <v>404.89565217391305</v>
      </c>
      <c r="I34" s="64">
        <f>G34*H34</f>
        <v>3290.8312683036725</v>
      </c>
      <c r="J34" s="85">
        <f t="shared" ref="J34:J35" si="7">I34-F34</f>
        <v>0</v>
      </c>
      <c r="K34" s="86"/>
    </row>
    <row r="35" spans="1:11" s="1" customFormat="1" x14ac:dyDescent="0.3">
      <c r="A35" s="83"/>
      <c r="B35" s="87" t="str">
        <f>estimate!B65</f>
        <v>-VAT 13% for materials only</v>
      </c>
      <c r="C35" s="64"/>
      <c r="D35" s="64"/>
      <c r="E35" s="64"/>
      <c r="F35" s="64">
        <f>estimate!J65</f>
        <v>293.79603779335577</v>
      </c>
      <c r="G35" s="64"/>
      <c r="H35" s="64"/>
      <c r="I35" s="64">
        <f>V!J65</f>
        <v>293.79603779335577</v>
      </c>
      <c r="J35" s="85">
        <f t="shared" si="7"/>
        <v>0</v>
      </c>
      <c r="K35" s="86"/>
    </row>
    <row r="36" spans="1:11" s="1" customFormat="1" x14ac:dyDescent="0.3">
      <c r="A36" s="83"/>
      <c r="B36" s="84"/>
      <c r="C36" s="64"/>
      <c r="D36" s="64"/>
      <c r="E36" s="64"/>
      <c r="F36" s="64"/>
      <c r="G36" s="64"/>
      <c r="H36" s="64"/>
      <c r="I36" s="64"/>
      <c r="J36" s="85"/>
      <c r="K36" s="86"/>
    </row>
    <row r="37" spans="1:11" s="1" customFormat="1" ht="27.6" x14ac:dyDescent="0.3">
      <c r="A37" s="83">
        <f>estimate!A67</f>
        <v>9</v>
      </c>
      <c r="B37" s="84" t="str">
        <f>estimate!B67</f>
        <v>Sal timber work for chaukhat frame (upto 8'-0")</v>
      </c>
      <c r="C37" s="64" t="str">
        <f>estimate!H75</f>
        <v>cum</v>
      </c>
      <c r="D37" s="64">
        <f>estimate!G75</f>
        <v>0.17298373479424922</v>
      </c>
      <c r="E37" s="64">
        <f>estimate!I75</f>
        <v>307586.06956521742</v>
      </c>
      <c r="F37" s="64">
        <f>D37*E37</f>
        <v>53207.387084075061</v>
      </c>
      <c r="G37" s="64">
        <f>V!G75</f>
        <v>0.17298373479424922</v>
      </c>
      <c r="H37" s="64">
        <f>V!I75</f>
        <v>307586.06956521742</v>
      </c>
      <c r="I37" s="64">
        <f>G37*H37</f>
        <v>53207.387084075061</v>
      </c>
      <c r="J37" s="85">
        <f t="shared" ref="J37:J38" si="8">I37-F37</f>
        <v>0</v>
      </c>
      <c r="K37" s="86"/>
    </row>
    <row r="38" spans="1:11" s="1" customFormat="1" x14ac:dyDescent="0.3">
      <c r="A38" s="83"/>
      <c r="B38" s="87" t="str">
        <f>estimate!B76</f>
        <v>-VAT 13% for materials only</v>
      </c>
      <c r="C38" s="64"/>
      <c r="D38" s="64"/>
      <c r="E38" s="64"/>
      <c r="F38" s="64">
        <f>estimate!J76</f>
        <v>5909.9977927469035</v>
      </c>
      <c r="G38" s="64"/>
      <c r="H38" s="64"/>
      <c r="I38" s="64">
        <f>V!J76</f>
        <v>5909.9977927469035</v>
      </c>
      <c r="J38" s="85">
        <f t="shared" si="8"/>
        <v>0</v>
      </c>
      <c r="K38" s="86"/>
    </row>
    <row r="39" spans="1:11" s="1" customFormat="1" x14ac:dyDescent="0.3">
      <c r="A39" s="83"/>
      <c r="B39" s="84"/>
      <c r="C39" s="64"/>
      <c r="D39" s="64"/>
      <c r="E39" s="64"/>
      <c r="F39" s="64"/>
      <c r="G39" s="64"/>
      <c r="H39" s="64"/>
      <c r="I39" s="64"/>
      <c r="J39" s="85"/>
      <c r="K39" s="86"/>
    </row>
    <row r="40" spans="1:11" s="1" customFormat="1" ht="27.6" x14ac:dyDescent="0.3">
      <c r="A40" s="83">
        <f>estimate!A78</f>
        <v>10</v>
      </c>
      <c r="B40" s="84" t="str">
        <f>estimate!B78</f>
        <v>Sal timber work for joist beam, column, etc. (upto 8'-0")</v>
      </c>
      <c r="C40" s="64" t="str">
        <f>estimate!H91</f>
        <v>cum</v>
      </c>
      <c r="D40" s="64">
        <f>estimate!G91</f>
        <v>0.12918477485430724</v>
      </c>
      <c r="E40" s="64">
        <f>estimate!I91</f>
        <v>249128.21739130438</v>
      </c>
      <c r="F40" s="64">
        <f>D40*E40</f>
        <v>32183.572673550567</v>
      </c>
      <c r="G40" s="64">
        <f>V!G91</f>
        <v>0.12918477485430724</v>
      </c>
      <c r="H40" s="64">
        <f>V!I91</f>
        <v>249128.21739130438</v>
      </c>
      <c r="I40" s="64">
        <f>G40*H40</f>
        <v>32183.572673550567</v>
      </c>
      <c r="J40" s="85">
        <f t="shared" ref="J40:J44" si="9">I40-F40</f>
        <v>0</v>
      </c>
      <c r="K40" s="86"/>
    </row>
    <row r="41" spans="1:11" s="1" customFormat="1" x14ac:dyDescent="0.3">
      <c r="A41" s="83"/>
      <c r="B41" s="87" t="str">
        <f>estimate!B92</f>
        <v>-VAT 13% for materials only</v>
      </c>
      <c r="C41" s="64"/>
      <c r="D41" s="64"/>
      <c r="E41" s="64"/>
      <c r="F41" s="64">
        <f>estimate!J92</f>
        <v>3793.5638922728999</v>
      </c>
      <c r="G41" s="64"/>
      <c r="H41" s="64"/>
      <c r="I41" s="64">
        <f>V!J92</f>
        <v>3793.5638922728999</v>
      </c>
      <c r="J41" s="85">
        <f t="shared" si="9"/>
        <v>0</v>
      </c>
      <c r="K41" s="86"/>
    </row>
    <row r="42" spans="1:11" s="1" customFormat="1" x14ac:dyDescent="0.3">
      <c r="A42" s="83"/>
      <c r="B42" s="84"/>
      <c r="C42" s="64"/>
      <c r="D42" s="64"/>
      <c r="E42" s="64"/>
      <c r="F42" s="64"/>
      <c r="G42" s="64"/>
      <c r="H42" s="64"/>
      <c r="I42" s="64"/>
      <c r="J42" s="85"/>
      <c r="K42" s="86"/>
    </row>
    <row r="43" spans="1:11" s="1" customFormat="1" ht="30" x14ac:dyDescent="0.3">
      <c r="A43" s="83">
        <f>estimate!A94</f>
        <v>11</v>
      </c>
      <c r="B43" s="32" t="str">
        <f>estimate!B94</f>
        <v>#* dL=dL= afSnf] lr/fg cu|fv sf7sf] k|m]d xfnL l8nfvfkf agfO</v>
      </c>
      <c r="C43" s="64" t="str">
        <f>estimate!H96</f>
        <v>sqm</v>
      </c>
      <c r="D43" s="64">
        <f>estimate!G96</f>
        <v>4.2266757863776743</v>
      </c>
      <c r="E43" s="64">
        <f>estimate!I96</f>
        <v>15859.11</v>
      </c>
      <c r="F43" s="64">
        <f>D43*E43</f>
        <v>67031.316230500044</v>
      </c>
      <c r="G43" s="64">
        <f>V!G96</f>
        <v>4.2266757863776743</v>
      </c>
      <c r="H43" s="64">
        <f>V!I96</f>
        <v>15859.11</v>
      </c>
      <c r="I43" s="64">
        <f>G43*H43</f>
        <v>67031.316230500044</v>
      </c>
      <c r="J43" s="85">
        <f t="shared" si="9"/>
        <v>0</v>
      </c>
      <c r="K43" s="86"/>
    </row>
    <row r="44" spans="1:11" s="1" customFormat="1" x14ac:dyDescent="0.3">
      <c r="A44" s="83"/>
      <c r="B44" s="87" t="str">
        <f>estimate!B97</f>
        <v>-VAT 13% for materials only</v>
      </c>
      <c r="C44" s="64"/>
      <c r="D44" s="64"/>
      <c r="E44" s="64"/>
      <c r="F44" s="64">
        <f>estimate!J97</f>
        <v>5290.9491505150963</v>
      </c>
      <c r="G44" s="64"/>
      <c r="H44" s="64"/>
      <c r="I44" s="64">
        <f>V!J97</f>
        <v>5290.9491505150963</v>
      </c>
      <c r="J44" s="85">
        <f t="shared" si="9"/>
        <v>0</v>
      </c>
      <c r="K44" s="86"/>
    </row>
    <row r="45" spans="1:11" s="1" customFormat="1" x14ac:dyDescent="0.3">
      <c r="A45" s="83"/>
      <c r="B45" s="84"/>
      <c r="C45" s="64"/>
      <c r="D45" s="64"/>
      <c r="E45" s="64"/>
      <c r="F45" s="64"/>
      <c r="G45" s="64"/>
      <c r="H45" s="64"/>
      <c r="I45" s="64"/>
      <c r="J45" s="85"/>
      <c r="K45" s="86"/>
    </row>
    <row r="46" spans="1:11" s="1" customFormat="1" x14ac:dyDescent="0.3">
      <c r="A46" s="83">
        <f>estimate!A99</f>
        <v>12</v>
      </c>
      <c r="B46" s="84" t="str">
        <f>estimate!B99</f>
        <v>Carved Door works excluding wood</v>
      </c>
      <c r="C46" s="64" t="str">
        <f>estimate!H101</f>
        <v>sqm</v>
      </c>
      <c r="D46" s="64">
        <f>estimate!G101</f>
        <v>2.5601950624809504</v>
      </c>
      <c r="E46" s="64">
        <f>estimate!I101</f>
        <v>40498.260869565223</v>
      </c>
      <c r="F46" s="64">
        <f>D46*E46</f>
        <v>103683.44751732636</v>
      </c>
      <c r="G46" s="64">
        <f>V!G101</f>
        <v>2.5601950624809504</v>
      </c>
      <c r="H46" s="64">
        <f>V!I101</f>
        <v>40498.260869565223</v>
      </c>
      <c r="I46" s="64">
        <f>G46*H46</f>
        <v>103683.44751732636</v>
      </c>
      <c r="J46" s="85">
        <f t="shared" ref="J46" si="10">I46-F46</f>
        <v>0</v>
      </c>
      <c r="K46" s="86"/>
    </row>
    <row r="47" spans="1:11" s="1" customFormat="1" x14ac:dyDescent="0.3">
      <c r="A47" s="83"/>
      <c r="B47" s="84"/>
      <c r="C47" s="64"/>
      <c r="D47" s="64"/>
      <c r="E47" s="64"/>
      <c r="F47" s="64"/>
      <c r="G47" s="64"/>
      <c r="H47" s="64"/>
      <c r="I47" s="64"/>
      <c r="J47" s="85"/>
      <c r="K47" s="86"/>
    </row>
    <row r="48" spans="1:11" s="1" customFormat="1" ht="27.6" x14ac:dyDescent="0.3">
      <c r="A48" s="83">
        <f>estimate!A103</f>
        <v>13</v>
      </c>
      <c r="B48" s="84" t="str">
        <f>estimate!B103</f>
        <v>Window carving (except lattice jali) excluding wood</v>
      </c>
      <c r="C48" s="64" t="str">
        <f>estimate!H115</f>
        <v>sqm</v>
      </c>
      <c r="D48" s="64">
        <f>estimate!G115</f>
        <v>2.1223974811530768</v>
      </c>
      <c r="E48" s="64">
        <f>estimate!I115</f>
        <v>44198.643478260878</v>
      </c>
      <c r="F48" s="64">
        <f>D48*E48</f>
        <v>93807.08958864375</v>
      </c>
      <c r="G48" s="64">
        <f>V!G115</f>
        <v>2.1223974811530768</v>
      </c>
      <c r="H48" s="64">
        <f>V!I115</f>
        <v>44198.643478260878</v>
      </c>
      <c r="I48" s="64">
        <f>G48*H48</f>
        <v>93807.08958864375</v>
      </c>
      <c r="J48" s="85">
        <f t="shared" ref="J48" si="11">I48-F48</f>
        <v>0</v>
      </c>
      <c r="K48" s="86"/>
    </row>
    <row r="49" spans="1:11" s="1" customFormat="1" x14ac:dyDescent="0.3">
      <c r="A49" s="83"/>
      <c r="B49" s="84"/>
      <c r="C49" s="64"/>
      <c r="D49" s="64"/>
      <c r="E49" s="64"/>
      <c r="F49" s="64"/>
      <c r="G49" s="64"/>
      <c r="H49" s="64"/>
      <c r="I49" s="64"/>
      <c r="J49" s="85"/>
      <c r="K49" s="86"/>
    </row>
    <row r="50" spans="1:11" s="1" customFormat="1" ht="27.6" x14ac:dyDescent="0.3">
      <c r="A50" s="83">
        <f>estimate!A117</f>
        <v>14</v>
      </c>
      <c r="B50" s="84" t="str">
        <f>estimate!B117</f>
        <v>Carved salwood Lattice (jali) of Carved Window highly carving including wood</v>
      </c>
      <c r="C50" s="64" t="str">
        <f>estimate!H119</f>
        <v>sqm</v>
      </c>
      <c r="D50" s="64">
        <f>estimate!G119</f>
        <v>0.3096465777566062</v>
      </c>
      <c r="E50" s="64">
        <f>estimate!I119</f>
        <v>60504.278260869571</v>
      </c>
      <c r="F50" s="64">
        <f>D50*E50</f>
        <v>18734.942703111687</v>
      </c>
      <c r="G50" s="64">
        <f>V!G120</f>
        <v>0.87862216438436991</v>
      </c>
      <c r="H50" s="64">
        <f>V!I120</f>
        <v>60504.278260869571</v>
      </c>
      <c r="I50" s="64">
        <f>G50*H50</f>
        <v>53160.399920079406</v>
      </c>
      <c r="J50" s="85">
        <f t="shared" ref="J50:J51" si="12">I50-F50</f>
        <v>34425.457216967719</v>
      </c>
      <c r="K50" s="86"/>
    </row>
    <row r="51" spans="1:11" s="1" customFormat="1" x14ac:dyDescent="0.3">
      <c r="A51" s="83"/>
      <c r="B51" s="87" t="str">
        <f>estimate!B120</f>
        <v>-VAT 13% for materials only</v>
      </c>
      <c r="C51" s="64"/>
      <c r="D51" s="64"/>
      <c r="E51" s="64"/>
      <c r="F51" s="64">
        <f>estimate!J120</f>
        <v>432.68471274266705</v>
      </c>
      <c r="G51" s="64"/>
      <c r="H51" s="64"/>
      <c r="I51" s="64">
        <f>V!J121</f>
        <v>1227.7428724073177</v>
      </c>
      <c r="J51" s="85">
        <f t="shared" si="12"/>
        <v>795.0581596646507</v>
      </c>
      <c r="K51" s="86"/>
    </row>
    <row r="52" spans="1:11" s="1" customFormat="1" x14ac:dyDescent="0.3">
      <c r="A52" s="83"/>
      <c r="B52" s="84"/>
      <c r="C52" s="64"/>
      <c r="D52" s="64"/>
      <c r="E52" s="64"/>
      <c r="F52" s="64"/>
      <c r="G52" s="64"/>
      <c r="H52" s="64"/>
      <c r="I52" s="64"/>
      <c r="J52" s="85"/>
      <c r="K52" s="86"/>
    </row>
    <row r="53" spans="1:11" s="1" customFormat="1" x14ac:dyDescent="0.3">
      <c r="A53" s="83">
        <f>estimate!A122</f>
        <v>15</v>
      </c>
      <c r="B53" s="83" t="str">
        <f>estimate!B122</f>
        <v>Provisional sum for unforseen works</v>
      </c>
      <c r="C53" s="64" t="str">
        <f>estimate!H122</f>
        <v>PS</v>
      </c>
      <c r="D53" s="64">
        <f>estimate!G122</f>
        <v>1</v>
      </c>
      <c r="E53" s="64">
        <f>estimate!I122</f>
        <v>10000</v>
      </c>
      <c r="F53" s="64">
        <f>D53*E53</f>
        <v>10000</v>
      </c>
      <c r="G53" s="64">
        <f>V!G123</f>
        <v>1</v>
      </c>
      <c r="H53" s="64">
        <f>V!I123</f>
        <v>10000</v>
      </c>
      <c r="I53" s="64">
        <f>G53*H53</f>
        <v>10000</v>
      </c>
      <c r="J53" s="85">
        <f t="shared" ref="J53:J54" si="13">I53-F53</f>
        <v>0</v>
      </c>
      <c r="K53" s="86"/>
    </row>
    <row r="54" spans="1:11" s="1" customFormat="1" x14ac:dyDescent="0.3">
      <c r="A54" s="88"/>
      <c r="B54" s="88"/>
      <c r="C54" s="64"/>
      <c r="D54" s="64"/>
      <c r="E54" s="64"/>
      <c r="F54" s="64"/>
      <c r="G54" s="64"/>
      <c r="H54" s="64"/>
      <c r="I54" s="64"/>
      <c r="J54" s="85"/>
      <c r="K54" s="86"/>
    </row>
    <row r="55" spans="1:11" s="1" customFormat="1" x14ac:dyDescent="0.3">
      <c r="A55" s="83">
        <f>estimate!A124</f>
        <v>16</v>
      </c>
      <c r="B55" s="83" t="str">
        <f>estimate!B124</f>
        <v>Information board (सुचना पाटि)</v>
      </c>
      <c r="C55" s="64" t="str">
        <f>estimate!H124</f>
        <v>no.</v>
      </c>
      <c r="D55" s="64">
        <f>estimate!G124</f>
        <v>1</v>
      </c>
      <c r="E55" s="64">
        <f>estimate!I124</f>
        <v>500</v>
      </c>
      <c r="F55" s="64">
        <f>D55*E55</f>
        <v>500</v>
      </c>
      <c r="G55" s="64">
        <f>V!G125</f>
        <v>1</v>
      </c>
      <c r="H55" s="64">
        <f>V!I125</f>
        <v>500</v>
      </c>
      <c r="I55" s="64">
        <f>G55*H55</f>
        <v>500</v>
      </c>
      <c r="J55" s="85">
        <f t="shared" si="0"/>
        <v>0</v>
      </c>
      <c r="K55" s="86"/>
    </row>
    <row r="56" spans="1:11" s="1" customFormat="1" x14ac:dyDescent="0.3">
      <c r="A56" s="88"/>
      <c r="B56" s="88"/>
      <c r="C56" s="64"/>
      <c r="D56" s="64"/>
      <c r="E56" s="64"/>
      <c r="F56" s="64"/>
      <c r="G56" s="64"/>
      <c r="H56" s="64"/>
      <c r="I56" s="64"/>
      <c r="J56" s="85"/>
      <c r="K56" s="86"/>
    </row>
    <row r="57" spans="1:11" x14ac:dyDescent="0.3">
      <c r="A57" s="71"/>
      <c r="B57" s="89" t="s">
        <v>15</v>
      </c>
      <c r="C57" s="89"/>
      <c r="D57" s="90"/>
      <c r="E57" s="90"/>
      <c r="F57" s="90">
        <f>SUM(F13:F55)</f>
        <v>565600.54979323409</v>
      </c>
      <c r="G57" s="90"/>
      <c r="H57" s="90"/>
      <c r="I57" s="90">
        <f>SUM(I13:I55)</f>
        <v>600821.06516986643</v>
      </c>
      <c r="J57" s="91">
        <f>I57-F57</f>
        <v>35220.515376632335</v>
      </c>
      <c r="K57" s="71"/>
    </row>
  </sheetData>
  <mergeCells count="19">
    <mergeCell ref="J11:J12"/>
    <mergeCell ref="K11:K12"/>
    <mergeCell ref="A8:F8"/>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Basudev Khanal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4"/>
  <sheetViews>
    <sheetView zoomScaleNormal="100" zoomScaleSheetLayoutView="80" workbookViewId="0">
      <selection activeCell="F10" sqref="F10"/>
    </sheetView>
  </sheetViews>
  <sheetFormatPr defaultRowHeight="14.4" x14ac:dyDescent="0.3"/>
  <cols>
    <col min="1" max="1" width="4.44140625" style="5" customWidth="1"/>
    <col min="2" max="2" width="31.33203125" customWidth="1"/>
    <col min="3" max="3" width="4.33203125" bestFit="1" customWidth="1"/>
    <col min="4" max="4" width="9.33203125" customWidth="1"/>
    <col min="5" max="5" width="7.88671875" customWidth="1"/>
    <col min="6" max="6" width="7.5546875" customWidth="1"/>
    <col min="7" max="7" width="8.5546875" style="5" customWidth="1"/>
    <col min="8" max="8" width="5.33203125" style="5" bestFit="1" customWidth="1"/>
    <col min="9" max="9" width="10.6640625" style="5" customWidth="1"/>
    <col min="10" max="10" width="10.5546875" style="5" bestFit="1" customWidth="1"/>
    <col min="11" max="11" width="8.33203125" customWidth="1"/>
    <col min="14" max="14" width="9.5546875" bestFit="1" customWidth="1"/>
    <col min="15" max="15" width="12" bestFit="1" customWidth="1"/>
    <col min="16" max="16" width="12.109375" customWidth="1"/>
    <col min="17" max="17" width="14.44140625" customWidth="1"/>
  </cols>
  <sheetData>
    <row r="1" spans="1:14" s="1" customFormat="1" x14ac:dyDescent="0.3">
      <c r="A1" s="41" t="s">
        <v>0</v>
      </c>
      <c r="B1" s="41"/>
      <c r="C1" s="41"/>
      <c r="D1" s="41"/>
      <c r="E1" s="41"/>
      <c r="F1" s="41"/>
      <c r="G1" s="41"/>
      <c r="H1" s="41"/>
      <c r="I1" s="41"/>
      <c r="J1" s="41"/>
      <c r="K1" s="41"/>
    </row>
    <row r="2" spans="1:14" s="1" customFormat="1" ht="22.8" x14ac:dyDescent="0.3">
      <c r="A2" s="42" t="s">
        <v>1</v>
      </c>
      <c r="B2" s="42"/>
      <c r="C2" s="42"/>
      <c r="D2" s="42"/>
      <c r="E2" s="42"/>
      <c r="F2" s="42"/>
      <c r="G2" s="42"/>
      <c r="H2" s="42"/>
      <c r="I2" s="42"/>
      <c r="J2" s="42"/>
      <c r="K2" s="42"/>
    </row>
    <row r="3" spans="1:14" s="1" customFormat="1" x14ac:dyDescent="0.3">
      <c r="A3" s="43" t="s">
        <v>2</v>
      </c>
      <c r="B3" s="43"/>
      <c r="C3" s="43"/>
      <c r="D3" s="43"/>
      <c r="E3" s="43"/>
      <c r="F3" s="43"/>
      <c r="G3" s="43"/>
      <c r="H3" s="43"/>
      <c r="I3" s="43"/>
      <c r="J3" s="43"/>
      <c r="K3" s="43"/>
      <c r="N3" s="36"/>
    </row>
    <row r="4" spans="1:14" s="1" customFormat="1" x14ac:dyDescent="0.3">
      <c r="A4" s="43" t="s">
        <v>3</v>
      </c>
      <c r="B4" s="43"/>
      <c r="C4" s="43"/>
      <c r="D4" s="43"/>
      <c r="E4" s="43"/>
      <c r="F4" s="43"/>
      <c r="G4" s="43"/>
      <c r="H4" s="43"/>
      <c r="I4" s="43"/>
      <c r="J4" s="43"/>
      <c r="K4" s="43"/>
      <c r="N4" s="36"/>
    </row>
    <row r="5" spans="1:14" ht="17.399999999999999" x14ac:dyDescent="0.3">
      <c r="A5" s="44" t="s">
        <v>88</v>
      </c>
      <c r="B5" s="44"/>
      <c r="C5" s="44"/>
      <c r="D5" s="44"/>
      <c r="E5" s="44"/>
      <c r="F5" s="44"/>
      <c r="G5" s="44"/>
      <c r="H5" s="44"/>
      <c r="I5" s="44"/>
      <c r="J5" s="44"/>
      <c r="K5" s="44"/>
      <c r="M5" s="1"/>
      <c r="N5" s="36"/>
    </row>
    <row r="6" spans="1:14" ht="15.6" x14ac:dyDescent="0.3">
      <c r="A6" s="31" t="s">
        <v>68</v>
      </c>
      <c r="B6" s="31"/>
      <c r="C6" s="31"/>
      <c r="D6" s="31"/>
      <c r="E6" s="31"/>
      <c r="F6" s="31"/>
      <c r="G6" s="2"/>
      <c r="H6" s="40" t="s">
        <v>40</v>
      </c>
      <c r="I6" s="40"/>
      <c r="J6" s="40"/>
      <c r="K6" s="40"/>
      <c r="M6" s="1"/>
      <c r="N6" s="36"/>
    </row>
    <row r="7" spans="1:14" ht="15.6" x14ac:dyDescent="0.3">
      <c r="A7" s="47" t="s">
        <v>26</v>
      </c>
      <c r="B7" s="47"/>
      <c r="C7" s="47"/>
      <c r="D7" s="47"/>
      <c r="E7" s="47"/>
      <c r="F7" s="47"/>
      <c r="G7" s="3"/>
      <c r="H7" s="40" t="s">
        <v>86</v>
      </c>
      <c r="I7" s="40"/>
      <c r="J7" s="40"/>
      <c r="K7" s="40"/>
      <c r="N7" s="36"/>
    </row>
    <row r="8" spans="1:14" ht="15" customHeight="1" x14ac:dyDescent="0.3">
      <c r="A8" s="4" t="s">
        <v>4</v>
      </c>
      <c r="B8" s="17" t="s">
        <v>5</v>
      </c>
      <c r="C8" s="4" t="s">
        <v>6</v>
      </c>
      <c r="D8" s="18" t="s">
        <v>7</v>
      </c>
      <c r="E8" s="18" t="s">
        <v>8</v>
      </c>
      <c r="F8" s="18" t="s">
        <v>9</v>
      </c>
      <c r="G8" s="18" t="s">
        <v>10</v>
      </c>
      <c r="H8" s="4" t="s">
        <v>11</v>
      </c>
      <c r="I8" s="18" t="s">
        <v>12</v>
      </c>
      <c r="J8" s="18" t="s">
        <v>13</v>
      </c>
      <c r="K8" s="19" t="s">
        <v>14</v>
      </c>
      <c r="N8" s="37"/>
    </row>
    <row r="9" spans="1:14" ht="41.4" x14ac:dyDescent="0.3">
      <c r="A9" s="63">
        <v>1</v>
      </c>
      <c r="B9" s="34" t="s">
        <v>83</v>
      </c>
      <c r="C9" s="33"/>
      <c r="D9" s="64"/>
      <c r="E9" s="64"/>
      <c r="F9" s="64"/>
      <c r="G9" s="64"/>
      <c r="H9" s="64"/>
      <c r="I9" s="64"/>
      <c r="J9" s="65"/>
      <c r="K9" s="66"/>
    </row>
    <row r="10" spans="1:14" ht="17.399999999999999" x14ac:dyDescent="0.3">
      <c r="A10" s="63"/>
      <c r="B10" s="67" t="s">
        <v>76</v>
      </c>
      <c r="C10" s="33"/>
      <c r="D10" s="64"/>
      <c r="E10" s="64"/>
      <c r="F10" s="64"/>
      <c r="G10" s="64"/>
      <c r="H10" s="64"/>
      <c r="I10" s="64"/>
      <c r="J10" s="65"/>
      <c r="K10" s="66"/>
    </row>
    <row r="11" spans="1:14" ht="15" customHeight="1" x14ac:dyDescent="0.3">
      <c r="A11" s="63"/>
      <c r="B11" s="68" t="s">
        <v>63</v>
      </c>
      <c r="C11" s="69">
        <v>2</v>
      </c>
      <c r="D11" s="64">
        <v>2.97</v>
      </c>
      <c r="E11" s="64"/>
      <c r="F11" s="64">
        <f>1.11+0.7</f>
        <v>1.81</v>
      </c>
      <c r="G11" s="64">
        <f t="shared" ref="G11:G21" si="0">PRODUCT(C11:F11)</f>
        <v>10.7514</v>
      </c>
      <c r="H11" s="64"/>
      <c r="I11" s="70"/>
      <c r="J11" s="70"/>
      <c r="K11" s="66"/>
    </row>
    <row r="12" spans="1:14" ht="15" customHeight="1" x14ac:dyDescent="0.3">
      <c r="A12" s="63"/>
      <c r="B12" s="68"/>
      <c r="C12" s="69">
        <v>2</v>
      </c>
      <c r="D12" s="64">
        <v>2.97</v>
      </c>
      <c r="E12" s="64"/>
      <c r="F12" s="64">
        <f>1.11+0.7</f>
        <v>1.81</v>
      </c>
      <c r="G12" s="64">
        <f t="shared" si="0"/>
        <v>10.7514</v>
      </c>
      <c r="H12" s="64"/>
      <c r="I12" s="70"/>
      <c r="J12" s="70"/>
      <c r="K12" s="66"/>
    </row>
    <row r="13" spans="1:14" ht="28.8" x14ac:dyDescent="0.3">
      <c r="A13" s="63"/>
      <c r="B13" s="68" t="s">
        <v>65</v>
      </c>
      <c r="C13" s="69">
        <f>-C31</f>
        <v>0</v>
      </c>
      <c r="D13" s="64">
        <f>D31</f>
        <v>0.53337397135019804</v>
      </c>
      <c r="E13" s="64"/>
      <c r="F13" s="64">
        <f>F31</f>
        <v>0.75</v>
      </c>
      <c r="G13" s="64">
        <f t="shared" si="0"/>
        <v>0</v>
      </c>
      <c r="H13" s="64"/>
      <c r="I13" s="70"/>
      <c r="J13" s="70"/>
      <c r="K13" s="66"/>
    </row>
    <row r="14" spans="1:14" ht="15" customHeight="1" x14ac:dyDescent="0.3">
      <c r="A14" s="63"/>
      <c r="B14" s="68" t="s">
        <v>39</v>
      </c>
      <c r="C14" s="69">
        <f>C28</f>
        <v>-2</v>
      </c>
      <c r="D14" s="64">
        <f>D28</f>
        <v>0.7</v>
      </c>
      <c r="E14" s="64"/>
      <c r="F14" s="64">
        <f>F28</f>
        <v>0.7</v>
      </c>
      <c r="G14" s="64">
        <f t="shared" si="0"/>
        <v>-0.97999999999999987</v>
      </c>
      <c r="H14" s="64"/>
      <c r="I14" s="70"/>
      <c r="J14" s="70"/>
      <c r="K14" s="66"/>
    </row>
    <row r="15" spans="1:14" ht="15" customHeight="1" x14ac:dyDescent="0.3">
      <c r="A15" s="63"/>
      <c r="B15" s="68" t="s">
        <v>38</v>
      </c>
      <c r="C15" s="69">
        <f>C29</f>
        <v>-1</v>
      </c>
      <c r="D15" s="64">
        <f>D29+0.15+0.15+0.05</f>
        <v>1.5499999999999998</v>
      </c>
      <c r="E15" s="64"/>
      <c r="F15" s="64">
        <f>F29</f>
        <v>2.4382810118866196</v>
      </c>
      <c r="G15" s="64">
        <f t="shared" si="0"/>
        <v>-3.7793355684242598</v>
      </c>
      <c r="H15" s="64"/>
      <c r="I15" s="70"/>
      <c r="J15" s="70"/>
      <c r="K15" s="66"/>
    </row>
    <row r="16" spans="1:14" ht="15" customHeight="1" x14ac:dyDescent="0.3">
      <c r="A16" s="63"/>
      <c r="B16" s="68" t="s">
        <v>44</v>
      </c>
      <c r="C16" s="69">
        <f>C30</f>
        <v>0</v>
      </c>
      <c r="D16" s="64">
        <v>2.08</v>
      </c>
      <c r="E16" s="64"/>
      <c r="F16" s="64">
        <f>0.75-0.15*4</f>
        <v>0.15000000000000002</v>
      </c>
      <c r="G16" s="64">
        <f t="shared" si="0"/>
        <v>0</v>
      </c>
      <c r="H16" s="64"/>
      <c r="I16" s="70"/>
      <c r="J16" s="70"/>
      <c r="K16" s="66"/>
    </row>
    <row r="17" spans="1:11" ht="15" customHeight="1" x14ac:dyDescent="0.3">
      <c r="A17" s="63"/>
      <c r="B17" s="67" t="s">
        <v>66</v>
      </c>
      <c r="C17" s="71"/>
      <c r="D17" s="71"/>
      <c r="E17" s="71"/>
      <c r="F17" s="71"/>
      <c r="G17" s="72"/>
      <c r="H17" s="64"/>
      <c r="I17" s="70"/>
      <c r="J17" s="70"/>
      <c r="K17" s="66"/>
    </row>
    <row r="18" spans="1:11" ht="15" customHeight="1" x14ac:dyDescent="0.3">
      <c r="A18" s="63"/>
      <c r="B18" s="68" t="s">
        <v>80</v>
      </c>
      <c r="C18" s="69">
        <v>4</v>
      </c>
      <c r="D18" s="64">
        <f>76/12/3.281</f>
        <v>1.9303058010769072</v>
      </c>
      <c r="E18" s="64"/>
      <c r="F18" s="64">
        <f>20/12/3.281</f>
        <v>0.50797521080971253</v>
      </c>
      <c r="G18" s="64">
        <f>PRODUCT(C18:F18)</f>
        <v>3.9221899849170119</v>
      </c>
      <c r="H18" s="64"/>
      <c r="I18" s="70"/>
      <c r="J18" s="70"/>
      <c r="K18" s="66"/>
    </row>
    <row r="19" spans="1:11" ht="15" customHeight="1" x14ac:dyDescent="0.3">
      <c r="A19" s="63"/>
      <c r="B19" s="68" t="s">
        <v>67</v>
      </c>
      <c r="C19" s="69">
        <v>-4</v>
      </c>
      <c r="D19" s="64">
        <f>10.5/12/3.281</f>
        <v>0.26668698567509902</v>
      </c>
      <c r="E19" s="64"/>
      <c r="F19" s="64">
        <f>1/3.281</f>
        <v>0.30478512648582745</v>
      </c>
      <c r="G19" s="64">
        <f t="shared" si="0"/>
        <v>-0.32512890664443644</v>
      </c>
      <c r="H19" s="64"/>
      <c r="I19" s="70"/>
      <c r="J19" s="70"/>
      <c r="K19" s="66"/>
    </row>
    <row r="20" spans="1:11" ht="15" customHeight="1" x14ac:dyDescent="0.3">
      <c r="A20" s="63"/>
      <c r="B20" s="68"/>
      <c r="C20" s="69">
        <f>C19</f>
        <v>-4</v>
      </c>
      <c r="D20" s="64">
        <f>26/12/3.281</f>
        <v>0.66036777405262614</v>
      </c>
      <c r="E20" s="64"/>
      <c r="F20" s="64">
        <f>5/12/3.281</f>
        <v>0.12699380270242813</v>
      </c>
      <c r="G20" s="64">
        <f t="shared" si="0"/>
        <v>-0.33545045923632338</v>
      </c>
      <c r="H20" s="64"/>
      <c r="I20" s="70"/>
      <c r="J20" s="70"/>
      <c r="K20" s="66"/>
    </row>
    <row r="21" spans="1:11" ht="15" customHeight="1" x14ac:dyDescent="0.3">
      <c r="A21" s="63"/>
      <c r="B21" s="68"/>
      <c r="C21" s="69">
        <f>C19</f>
        <v>-4</v>
      </c>
      <c r="D21" s="64">
        <f>24/12/3.281</f>
        <v>0.6095702529716549</v>
      </c>
      <c r="E21" s="64"/>
      <c r="F21" s="64">
        <f>3/12/3.281</f>
        <v>7.6196281621456863E-2</v>
      </c>
      <c r="G21" s="64">
        <f t="shared" si="0"/>
        <v>-0.18578794665396367</v>
      </c>
      <c r="H21" s="64"/>
      <c r="I21" s="70"/>
      <c r="J21" s="70"/>
      <c r="K21" s="66"/>
    </row>
    <row r="22" spans="1:11" ht="15" customHeight="1" x14ac:dyDescent="0.3">
      <c r="A22" s="63"/>
      <c r="B22" s="68" t="s">
        <v>36</v>
      </c>
      <c r="C22" s="69"/>
      <c r="D22" s="64"/>
      <c r="E22" s="64"/>
      <c r="F22" s="64"/>
      <c r="G22" s="70">
        <f>SUM(G11:G21)</f>
        <v>19.819287103958029</v>
      </c>
      <c r="H22" s="70" t="s">
        <v>37</v>
      </c>
      <c r="I22" s="70">
        <f>5810.57/1.15</f>
        <v>5052.6695652173912</v>
      </c>
      <c r="J22" s="70">
        <f>G22*I22</f>
        <v>100140.30875447426</v>
      </c>
      <c r="K22" s="66"/>
    </row>
    <row r="23" spans="1:11" ht="15" customHeight="1" x14ac:dyDescent="0.3">
      <c r="A23" s="63"/>
      <c r="B23" s="68" t="s">
        <v>43</v>
      </c>
      <c r="C23" s="69"/>
      <c r="D23" s="64"/>
      <c r="E23" s="64"/>
      <c r="F23" s="64"/>
      <c r="G23" s="70"/>
      <c r="H23" s="70"/>
      <c r="I23" s="70"/>
      <c r="J23" s="70">
        <f>0.13*G22*(309557.25/100)</f>
        <v>7975.7652167202259</v>
      </c>
      <c r="K23" s="66"/>
    </row>
    <row r="24" spans="1:11" ht="15" customHeight="1" x14ac:dyDescent="0.3">
      <c r="A24" s="63"/>
      <c r="B24" s="68"/>
      <c r="C24" s="69"/>
      <c r="D24" s="64"/>
      <c r="E24" s="64"/>
      <c r="F24" s="64"/>
      <c r="G24" s="70"/>
      <c r="H24" s="70"/>
      <c r="I24" s="70"/>
      <c r="J24" s="70"/>
      <c r="K24" s="66"/>
    </row>
    <row r="25" spans="1:11" ht="30" x14ac:dyDescent="0.3">
      <c r="A25" s="63">
        <v>2</v>
      </c>
      <c r="B25" s="32" t="s">
        <v>64</v>
      </c>
      <c r="C25" s="69"/>
      <c r="D25" s="64"/>
      <c r="E25" s="64"/>
      <c r="F25" s="64"/>
      <c r="G25" s="70"/>
      <c r="H25" s="70"/>
      <c r="I25" s="70"/>
      <c r="J25" s="70"/>
      <c r="K25" s="66"/>
    </row>
    <row r="26" spans="1:11" x14ac:dyDescent="0.3">
      <c r="A26" s="63"/>
      <c r="B26" s="68" t="s">
        <v>69</v>
      </c>
      <c r="C26" s="69">
        <v>2</v>
      </c>
      <c r="D26" s="64">
        <v>2.0699999999999998</v>
      </c>
      <c r="E26" s="64">
        <v>0.1</v>
      </c>
      <c r="F26" s="64">
        <f>8/3.281</f>
        <v>2.4382810118866196</v>
      </c>
      <c r="G26" s="64">
        <f t="shared" ref="G26:G29" si="1">PRODUCT(C26:F26)</f>
        <v>1.0094483389210605</v>
      </c>
      <c r="H26" s="70"/>
      <c r="I26" s="70"/>
      <c r="J26" s="70"/>
      <c r="K26" s="66"/>
    </row>
    <row r="27" spans="1:11" ht="15" x14ac:dyDescent="0.3">
      <c r="A27" s="63"/>
      <c r="B27" s="32"/>
      <c r="C27" s="69">
        <v>2</v>
      </c>
      <c r="D27" s="64">
        <v>2.0699999999999998</v>
      </c>
      <c r="E27" s="64">
        <v>0.1</v>
      </c>
      <c r="F27" s="64">
        <f>8/3.281</f>
        <v>2.4382810118866196</v>
      </c>
      <c r="G27" s="64">
        <f t="shared" si="1"/>
        <v>1.0094483389210605</v>
      </c>
      <c r="H27" s="70"/>
      <c r="I27" s="70"/>
      <c r="J27" s="70"/>
      <c r="K27" s="66"/>
    </row>
    <row r="28" spans="1:11" x14ac:dyDescent="0.3">
      <c r="A28" s="63"/>
      <c r="B28" s="68" t="s">
        <v>70</v>
      </c>
      <c r="C28" s="69">
        <v>-2</v>
      </c>
      <c r="D28" s="64">
        <v>0.7</v>
      </c>
      <c r="E28" s="64">
        <v>0.1</v>
      </c>
      <c r="F28" s="64">
        <v>0.7</v>
      </c>
      <c r="G28" s="64">
        <f t="shared" si="1"/>
        <v>-9.799999999999999E-2</v>
      </c>
      <c r="H28" s="70"/>
      <c r="I28" s="70"/>
      <c r="J28" s="70"/>
      <c r="K28" s="66"/>
    </row>
    <row r="29" spans="1:11" x14ac:dyDescent="0.3">
      <c r="A29" s="63"/>
      <c r="B29" s="68" t="s">
        <v>71</v>
      </c>
      <c r="C29" s="69">
        <v>-1</v>
      </c>
      <c r="D29" s="64">
        <v>1.2</v>
      </c>
      <c r="E29" s="64">
        <v>0.1</v>
      </c>
      <c r="F29" s="64">
        <f>8/3.281</f>
        <v>2.4382810118866196</v>
      </c>
      <c r="G29" s="64">
        <f t="shared" si="1"/>
        <v>-0.29259372142639434</v>
      </c>
      <c r="H29" s="70"/>
      <c r="I29" s="70"/>
      <c r="J29" s="70"/>
      <c r="K29" s="66"/>
    </row>
    <row r="30" spans="1:11" ht="15" customHeight="1" x14ac:dyDescent="0.3">
      <c r="A30" s="63"/>
      <c r="B30" s="68" t="s">
        <v>44</v>
      </c>
      <c r="C30" s="69">
        <f>0*1</f>
        <v>0</v>
      </c>
      <c r="D30" s="64">
        <f>D16</f>
        <v>2.08</v>
      </c>
      <c r="E30" s="64">
        <v>0.1</v>
      </c>
      <c r="F30" s="64">
        <f>F16</f>
        <v>0.15000000000000002</v>
      </c>
      <c r="G30" s="64">
        <f>PRODUCT(C30:F30)</f>
        <v>0</v>
      </c>
      <c r="H30" s="64"/>
      <c r="I30" s="70"/>
      <c r="J30" s="70"/>
      <c r="K30" s="66"/>
    </row>
    <row r="31" spans="1:11" ht="15" customHeight="1" x14ac:dyDescent="0.3">
      <c r="A31" s="63"/>
      <c r="B31" s="68"/>
      <c r="C31" s="69">
        <f>0*2</f>
        <v>0</v>
      </c>
      <c r="D31" s="64">
        <f>(1.75/3.281)</f>
        <v>0.53337397135019804</v>
      </c>
      <c r="E31" s="64">
        <v>0.1</v>
      </c>
      <c r="F31" s="64">
        <v>0.75</v>
      </c>
      <c r="G31" s="64">
        <f>PRODUCT(C31:F31)</f>
        <v>0</v>
      </c>
      <c r="H31" s="64"/>
      <c r="I31" s="70"/>
      <c r="J31" s="70"/>
      <c r="K31" s="66"/>
    </row>
    <row r="32" spans="1:11" ht="15" customHeight="1" x14ac:dyDescent="0.3">
      <c r="A32" s="63"/>
      <c r="B32" s="68" t="str">
        <f>B17</f>
        <v>-2nd floor</v>
      </c>
      <c r="C32" s="69">
        <v>1</v>
      </c>
      <c r="D32" s="64">
        <f>73/12/3.281</f>
        <v>1.8541095194554504</v>
      </c>
      <c r="E32" s="64">
        <v>0.1</v>
      </c>
      <c r="F32" s="64">
        <f>0.1</f>
        <v>0.1</v>
      </c>
      <c r="G32" s="64">
        <f>PRODUCT(C32:F32)</f>
        <v>1.8541095194554505E-2</v>
      </c>
      <c r="H32" s="64"/>
      <c r="I32" s="70"/>
      <c r="J32" s="70"/>
      <c r="K32" s="66"/>
    </row>
    <row r="33" spans="1:19" ht="15" customHeight="1" x14ac:dyDescent="0.3">
      <c r="A33" s="63"/>
      <c r="B33" s="68" t="s">
        <v>36</v>
      </c>
      <c r="C33" s="69"/>
      <c r="D33" s="64"/>
      <c r="E33" s="64"/>
      <c r="F33" s="64"/>
      <c r="G33" s="70">
        <f>SUM(G26:G32)</f>
        <v>1.6468440516102811</v>
      </c>
      <c r="H33" s="70" t="s">
        <v>42</v>
      </c>
      <c r="I33" s="70">
        <v>14362.76</v>
      </c>
      <c r="J33" s="70">
        <f>G33*I33</f>
        <v>23653.225870706083</v>
      </c>
      <c r="K33" s="66"/>
    </row>
    <row r="34" spans="1:19" ht="15" customHeight="1" x14ac:dyDescent="0.3">
      <c r="A34" s="63"/>
      <c r="B34" s="68" t="s">
        <v>43</v>
      </c>
      <c r="C34" s="69"/>
      <c r="D34" s="64"/>
      <c r="E34" s="64"/>
      <c r="F34" s="64"/>
      <c r="G34" s="70"/>
      <c r="H34" s="70"/>
      <c r="I34" s="70"/>
      <c r="J34" s="70">
        <f>0.13*G33*10311.74</f>
        <v>2207.637598497734</v>
      </c>
      <c r="K34" s="66"/>
    </row>
    <row r="35" spans="1:19" ht="15" customHeight="1" x14ac:dyDescent="0.3">
      <c r="A35" s="20"/>
      <c r="B35" s="24"/>
      <c r="C35" s="21"/>
      <c r="D35" s="22"/>
      <c r="E35" s="23"/>
      <c r="F35" s="23"/>
      <c r="G35" s="29"/>
      <c r="H35" s="28"/>
      <c r="I35" s="29"/>
      <c r="J35" s="70"/>
      <c r="K35" s="23"/>
      <c r="M35" s="25"/>
      <c r="N35" s="1"/>
      <c r="O35" s="1"/>
      <c r="P35" s="1"/>
      <c r="Q35" s="1"/>
      <c r="R35" s="25"/>
      <c r="S35" s="25"/>
    </row>
    <row r="36" spans="1:19" ht="27.6" x14ac:dyDescent="0.3">
      <c r="A36" s="20">
        <v>3</v>
      </c>
      <c r="B36" s="30" t="s">
        <v>53</v>
      </c>
      <c r="C36" s="21"/>
      <c r="D36" s="22"/>
      <c r="E36" s="23"/>
      <c r="F36" s="23"/>
      <c r="G36" s="29"/>
      <c r="H36" s="28"/>
      <c r="I36" s="29"/>
      <c r="J36" s="70"/>
      <c r="K36" s="23"/>
      <c r="M36" s="25"/>
      <c r="N36" s="1"/>
      <c r="O36" s="1"/>
      <c r="P36" s="1"/>
      <c r="Q36" s="1"/>
      <c r="R36" s="25"/>
      <c r="S36" s="25"/>
    </row>
    <row r="37" spans="1:19" ht="15" customHeight="1" x14ac:dyDescent="0.3">
      <c r="A37" s="63"/>
      <c r="B37" s="68" t="s">
        <v>54</v>
      </c>
      <c r="C37" s="69">
        <v>1</v>
      </c>
      <c r="D37" s="64">
        <f>3.06*4</f>
        <v>12.24</v>
      </c>
      <c r="E37" s="64"/>
      <c r="F37" s="64"/>
      <c r="G37" s="64">
        <f>PRODUCT(C37:F37)</f>
        <v>12.24</v>
      </c>
      <c r="H37" s="64"/>
      <c r="I37" s="70"/>
      <c r="J37" s="70"/>
      <c r="K37" s="66"/>
    </row>
    <row r="38" spans="1:19" ht="15" customHeight="1" x14ac:dyDescent="0.3">
      <c r="A38" s="63"/>
      <c r="B38" s="68" t="s">
        <v>36</v>
      </c>
      <c r="C38" s="69"/>
      <c r="D38" s="64"/>
      <c r="E38" s="64"/>
      <c r="F38" s="64"/>
      <c r="G38" s="70">
        <f>SUM(G37)</f>
        <v>12.24</v>
      </c>
      <c r="H38" s="70" t="s">
        <v>55</v>
      </c>
      <c r="I38" s="70">
        <f>465.63/1.15</f>
        <v>404.89565217391305</v>
      </c>
      <c r="J38" s="70">
        <f>G38*I38</f>
        <v>4955.9227826086963</v>
      </c>
      <c r="K38" s="66"/>
    </row>
    <row r="39" spans="1:19" ht="15" customHeight="1" x14ac:dyDescent="0.3">
      <c r="A39" s="63"/>
      <c r="B39" s="68" t="s">
        <v>43</v>
      </c>
      <c r="C39" s="69"/>
      <c r="D39" s="64"/>
      <c r="E39" s="64"/>
      <c r="F39" s="64"/>
      <c r="G39" s="70"/>
      <c r="H39" s="70"/>
      <c r="I39" s="70"/>
      <c r="J39" s="70">
        <f>0.13*G38*(2780.61/10)</f>
        <v>442.45066320000012</v>
      </c>
      <c r="K39" s="66"/>
    </row>
    <row r="40" spans="1:19" ht="15" customHeight="1" x14ac:dyDescent="0.3">
      <c r="A40" s="63"/>
      <c r="B40" s="68"/>
      <c r="C40" s="69"/>
      <c r="D40" s="64"/>
      <c r="E40" s="64"/>
      <c r="F40" s="64"/>
      <c r="G40" s="64"/>
      <c r="H40" s="64"/>
      <c r="I40" s="64"/>
      <c r="J40" s="65"/>
      <c r="K40" s="66"/>
    </row>
    <row r="41" spans="1:19" ht="27.6" x14ac:dyDescent="0.3">
      <c r="A41" s="20">
        <v>4</v>
      </c>
      <c r="B41" s="30" t="s">
        <v>56</v>
      </c>
      <c r="C41" s="21"/>
      <c r="D41" s="22"/>
      <c r="E41" s="23"/>
      <c r="F41" s="23"/>
      <c r="G41" s="29"/>
      <c r="H41" s="28"/>
      <c r="I41" s="29"/>
      <c r="J41" s="70"/>
      <c r="K41" s="23"/>
      <c r="M41" s="25"/>
      <c r="N41" s="1"/>
      <c r="O41" s="1"/>
      <c r="P41" s="1"/>
      <c r="Q41" s="1"/>
      <c r="R41" s="25"/>
      <c r="S41" s="25"/>
    </row>
    <row r="42" spans="1:19" ht="15" customHeight="1" x14ac:dyDescent="0.3">
      <c r="A42" s="63"/>
      <c r="B42" s="68" t="s">
        <v>54</v>
      </c>
      <c r="C42" s="69">
        <v>1</v>
      </c>
      <c r="D42" s="64">
        <f>D37</f>
        <v>12.24</v>
      </c>
      <c r="E42" s="64"/>
      <c r="F42" s="64"/>
      <c r="G42" s="64">
        <f>PRODUCT(C42:F42)</f>
        <v>12.24</v>
      </c>
      <c r="H42" s="64"/>
      <c r="I42" s="70"/>
      <c r="J42" s="70"/>
      <c r="K42" s="66"/>
    </row>
    <row r="43" spans="1:19" ht="15" customHeight="1" x14ac:dyDescent="0.3">
      <c r="A43" s="63"/>
      <c r="B43" s="68" t="s">
        <v>36</v>
      </c>
      <c r="C43" s="69"/>
      <c r="D43" s="64"/>
      <c r="E43" s="64"/>
      <c r="F43" s="64"/>
      <c r="G43" s="70">
        <f>SUM(G42)</f>
        <v>12.24</v>
      </c>
      <c r="H43" s="70" t="s">
        <v>55</v>
      </c>
      <c r="I43" s="70">
        <f>396.86/1.15</f>
        <v>345.09565217391309</v>
      </c>
      <c r="J43" s="70">
        <f>G43*I43</f>
        <v>4223.970782608696</v>
      </c>
      <c r="K43" s="66"/>
    </row>
    <row r="44" spans="1:19" ht="15" customHeight="1" x14ac:dyDescent="0.3">
      <c r="A44" s="63"/>
      <c r="B44" s="68" t="s">
        <v>43</v>
      </c>
      <c r="C44" s="69"/>
      <c r="D44" s="64"/>
      <c r="E44" s="64"/>
      <c r="F44" s="64"/>
      <c r="G44" s="70"/>
      <c r="H44" s="70"/>
      <c r="I44" s="70"/>
      <c r="J44" s="70">
        <f>0.13*G43*(2182.61/10)</f>
        <v>347.29690320000009</v>
      </c>
      <c r="K44" s="66"/>
    </row>
    <row r="45" spans="1:19" ht="15" customHeight="1" x14ac:dyDescent="0.3">
      <c r="A45" s="20"/>
      <c r="B45" s="24"/>
      <c r="C45" s="21"/>
      <c r="D45" s="22"/>
      <c r="E45" s="23"/>
      <c r="F45" s="23"/>
      <c r="G45" s="29"/>
      <c r="H45" s="28"/>
      <c r="I45" s="29"/>
      <c r="J45" s="70"/>
      <c r="K45" s="23"/>
      <c r="M45" s="25"/>
      <c r="N45" s="1"/>
      <c r="O45" s="1"/>
      <c r="P45" s="1"/>
      <c r="Q45" s="1"/>
      <c r="R45" s="25"/>
      <c r="S45" s="25"/>
    </row>
    <row r="46" spans="1:19" ht="27.6" x14ac:dyDescent="0.3">
      <c r="A46" s="20">
        <v>5</v>
      </c>
      <c r="B46" s="30" t="s">
        <v>57</v>
      </c>
      <c r="C46" s="21"/>
      <c r="D46" s="22"/>
      <c r="E46" s="23"/>
      <c r="F46" s="23"/>
      <c r="G46" s="29"/>
      <c r="H46" s="28"/>
      <c r="I46" s="29"/>
      <c r="J46" s="70"/>
      <c r="K46" s="23"/>
      <c r="M46" s="25"/>
      <c r="N46" s="1"/>
      <c r="O46" s="1"/>
      <c r="P46" s="1"/>
      <c r="Q46" s="1"/>
      <c r="R46" s="25"/>
      <c r="S46" s="25"/>
    </row>
    <row r="47" spans="1:19" ht="15" customHeight="1" x14ac:dyDescent="0.3">
      <c r="A47" s="63"/>
      <c r="B47" s="68" t="s">
        <v>54</v>
      </c>
      <c r="C47" s="69">
        <v>1</v>
      </c>
      <c r="D47" s="64">
        <f>3.04*4-D15</f>
        <v>10.61</v>
      </c>
      <c r="E47" s="64"/>
      <c r="F47" s="64"/>
      <c r="G47" s="64">
        <f>PRODUCT(C47:F47)</f>
        <v>10.61</v>
      </c>
      <c r="H47" s="64"/>
      <c r="I47" s="70"/>
      <c r="J47" s="70"/>
      <c r="K47" s="66"/>
    </row>
    <row r="48" spans="1:19" ht="15" customHeight="1" x14ac:dyDescent="0.3">
      <c r="A48" s="63"/>
      <c r="B48" s="68" t="s">
        <v>36</v>
      </c>
      <c r="C48" s="69"/>
      <c r="D48" s="64"/>
      <c r="E48" s="64"/>
      <c r="F48" s="64"/>
      <c r="G48" s="70">
        <f>SUM(G47)</f>
        <v>10.61</v>
      </c>
      <c r="H48" s="70" t="s">
        <v>55</v>
      </c>
      <c r="I48" s="70">
        <f>447.23/1.15</f>
        <v>388.89565217391311</v>
      </c>
      <c r="J48" s="70">
        <f>G48*I48</f>
        <v>4126.1828695652175</v>
      </c>
      <c r="K48" s="66"/>
    </row>
    <row r="49" spans="1:19" ht="15" customHeight="1" x14ac:dyDescent="0.3">
      <c r="A49" s="63"/>
      <c r="B49" s="68" t="s">
        <v>43</v>
      </c>
      <c r="C49" s="69"/>
      <c r="D49" s="64"/>
      <c r="E49" s="64"/>
      <c r="F49" s="64"/>
      <c r="G49" s="70"/>
      <c r="H49" s="70"/>
      <c r="I49" s="70"/>
      <c r="J49" s="70">
        <f>0.13*G48*(2620.61/10)</f>
        <v>361.46073730000006</v>
      </c>
      <c r="K49" s="66"/>
    </row>
    <row r="50" spans="1:19" ht="15" customHeight="1" x14ac:dyDescent="0.3">
      <c r="A50" s="20"/>
      <c r="B50" s="24"/>
      <c r="C50" s="21"/>
      <c r="D50" s="22"/>
      <c r="E50" s="23"/>
      <c r="F50" s="23"/>
      <c r="G50" s="29"/>
      <c r="H50" s="28"/>
      <c r="I50" s="29"/>
      <c r="J50" s="70"/>
      <c r="K50" s="23"/>
      <c r="M50" s="25"/>
      <c r="N50" s="1"/>
      <c r="O50" s="1"/>
      <c r="P50" s="1"/>
      <c r="Q50" s="1"/>
      <c r="R50" s="25"/>
      <c r="S50" s="25"/>
    </row>
    <row r="51" spans="1:19" ht="27.6" x14ac:dyDescent="0.3">
      <c r="A51" s="20">
        <v>6</v>
      </c>
      <c r="B51" s="30" t="s">
        <v>58</v>
      </c>
      <c r="C51" s="21"/>
      <c r="D51" s="22"/>
      <c r="E51" s="23"/>
      <c r="F51" s="23"/>
      <c r="G51" s="29"/>
      <c r="H51" s="28"/>
      <c r="I51" s="29"/>
      <c r="J51" s="70"/>
      <c r="K51" s="23"/>
      <c r="M51" s="25"/>
      <c r="N51" s="1"/>
      <c r="O51" s="1"/>
      <c r="P51" s="1"/>
      <c r="Q51" s="1"/>
      <c r="R51" s="25"/>
      <c r="S51" s="25"/>
    </row>
    <row r="52" spans="1:19" ht="15" customHeight="1" x14ac:dyDescent="0.3">
      <c r="A52" s="63"/>
      <c r="B52" s="68" t="s">
        <v>54</v>
      </c>
      <c r="C52" s="69">
        <v>2</v>
      </c>
      <c r="D52" s="64">
        <f>3*4-D21</f>
        <v>11.390429747028346</v>
      </c>
      <c r="E52" s="64"/>
      <c r="F52" s="64"/>
      <c r="G52" s="64">
        <f>PRODUCT(C52:F52)</f>
        <v>22.780859494056692</v>
      </c>
      <c r="H52" s="64"/>
      <c r="I52" s="70"/>
      <c r="J52" s="70"/>
      <c r="K52" s="66"/>
    </row>
    <row r="53" spans="1:19" ht="15" customHeight="1" x14ac:dyDescent="0.3">
      <c r="A53" s="63"/>
      <c r="B53" s="68" t="s">
        <v>36</v>
      </c>
      <c r="C53" s="69"/>
      <c r="D53" s="64"/>
      <c r="E53" s="64"/>
      <c r="F53" s="64"/>
      <c r="G53" s="70">
        <f>SUM(G52)</f>
        <v>22.780859494056692</v>
      </c>
      <c r="H53" s="70" t="s">
        <v>55</v>
      </c>
      <c r="I53" s="70">
        <f>406.75/1.15</f>
        <v>353.69565217391306</v>
      </c>
      <c r="J53" s="70">
        <f>G53*I53</f>
        <v>8057.4909558326608</v>
      </c>
      <c r="K53" s="66"/>
    </row>
    <row r="54" spans="1:19" ht="15" customHeight="1" x14ac:dyDescent="0.3">
      <c r="A54" s="63"/>
      <c r="B54" s="68" t="s">
        <v>43</v>
      </c>
      <c r="C54" s="69"/>
      <c r="D54" s="64"/>
      <c r="E54" s="64"/>
      <c r="F54" s="64"/>
      <c r="G54" s="70"/>
      <c r="H54" s="70"/>
      <c r="I54" s="70"/>
      <c r="J54" s="70">
        <f>0.13*G53*(2268.61/10)</f>
        <v>671.85151353855554</v>
      </c>
      <c r="K54" s="66"/>
    </row>
    <row r="55" spans="1:19" ht="15" customHeight="1" x14ac:dyDescent="0.3">
      <c r="A55" s="20"/>
      <c r="B55" s="24"/>
      <c r="C55" s="21"/>
      <c r="D55" s="22"/>
      <c r="E55" s="23"/>
      <c r="F55" s="23"/>
      <c r="G55" s="29"/>
      <c r="H55" s="28"/>
      <c r="I55" s="29"/>
      <c r="J55" s="70"/>
      <c r="K55" s="23"/>
      <c r="M55" s="25"/>
      <c r="N55" s="1"/>
      <c r="O55" s="1"/>
      <c r="P55" s="1"/>
      <c r="Q55" s="1"/>
      <c r="R55" s="25"/>
      <c r="S55" s="25"/>
    </row>
    <row r="56" spans="1:19" ht="41.4" x14ac:dyDescent="0.3">
      <c r="A56" s="20">
        <v>7</v>
      </c>
      <c r="B56" s="30" t="s">
        <v>59</v>
      </c>
      <c r="C56" s="21"/>
      <c r="D56" s="22"/>
      <c r="E56" s="23"/>
      <c r="F56" s="23"/>
      <c r="G56" s="29"/>
      <c r="H56" s="28"/>
      <c r="I56" s="29"/>
      <c r="J56" s="70"/>
      <c r="K56" s="23"/>
      <c r="M56" s="25"/>
      <c r="N56" s="1"/>
      <c r="O56" s="1"/>
      <c r="P56" s="1"/>
      <c r="Q56" s="1"/>
      <c r="R56" s="25"/>
      <c r="S56" s="25"/>
    </row>
    <row r="57" spans="1:19" ht="15" customHeight="1" x14ac:dyDescent="0.3">
      <c r="A57" s="63"/>
      <c r="B57" s="68" t="s">
        <v>54</v>
      </c>
      <c r="C57" s="69">
        <v>1</v>
      </c>
      <c r="D57" s="64">
        <f>3.09*4-D15</f>
        <v>10.809999999999999</v>
      </c>
      <c r="E57" s="64"/>
      <c r="F57" s="64"/>
      <c r="G57" s="64">
        <f>PRODUCT(C57:F57)</f>
        <v>10.809999999999999</v>
      </c>
      <c r="H57" s="64"/>
      <c r="I57" s="70"/>
      <c r="J57" s="70"/>
      <c r="K57" s="66"/>
    </row>
    <row r="58" spans="1:19" ht="15" customHeight="1" x14ac:dyDescent="0.3">
      <c r="A58" s="63"/>
      <c r="B58" s="68" t="s">
        <v>66</v>
      </c>
      <c r="C58" s="69">
        <v>4</v>
      </c>
      <c r="D58" s="64">
        <f>72/12/3.281</f>
        <v>1.8287107589149649</v>
      </c>
      <c r="E58" s="64"/>
      <c r="F58" s="64"/>
      <c r="G58" s="64">
        <f>PRODUCT(C58:F58)</f>
        <v>7.3148430356598597</v>
      </c>
      <c r="H58" s="64"/>
      <c r="I58" s="70"/>
      <c r="J58" s="70"/>
      <c r="K58" s="66"/>
    </row>
    <row r="59" spans="1:19" ht="15" customHeight="1" x14ac:dyDescent="0.3">
      <c r="A59" s="63"/>
      <c r="B59" s="68" t="s">
        <v>36</v>
      </c>
      <c r="C59" s="69"/>
      <c r="D59" s="64"/>
      <c r="E59" s="64"/>
      <c r="F59" s="64"/>
      <c r="G59" s="70">
        <f>SUM(G57:G58)</f>
        <v>18.124843035659858</v>
      </c>
      <c r="H59" s="70" t="s">
        <v>55</v>
      </c>
      <c r="I59" s="70">
        <f>593.85/1.15</f>
        <v>516.39130434782612</v>
      </c>
      <c r="J59" s="70">
        <f>G59*I59</f>
        <v>9359.5113362840057</v>
      </c>
      <c r="K59" s="66"/>
    </row>
    <row r="60" spans="1:19" ht="15" customHeight="1" x14ac:dyDescent="0.3">
      <c r="A60" s="63"/>
      <c r="B60" s="68" t="s">
        <v>43</v>
      </c>
      <c r="C60" s="69"/>
      <c r="D60" s="64"/>
      <c r="E60" s="64"/>
      <c r="F60" s="64"/>
      <c r="G60" s="70"/>
      <c r="H60" s="70"/>
      <c r="I60" s="70"/>
      <c r="J60" s="70">
        <f>0.13*G59*(3895.61/10)</f>
        <v>917.89515711590968</v>
      </c>
      <c r="K60" s="66"/>
    </row>
    <row r="61" spans="1:19" ht="15" customHeight="1" x14ac:dyDescent="0.3">
      <c r="A61" s="20"/>
      <c r="B61" s="24"/>
      <c r="C61" s="21"/>
      <c r="D61" s="22"/>
      <c r="E61" s="23"/>
      <c r="F61" s="23"/>
      <c r="G61" s="29"/>
      <c r="H61" s="28"/>
      <c r="I61" s="29"/>
      <c r="J61" s="70"/>
      <c r="K61" s="23"/>
      <c r="M61" s="25"/>
      <c r="N61" s="1"/>
      <c r="O61" s="1"/>
      <c r="P61" s="1"/>
      <c r="Q61" s="1"/>
      <c r="R61" s="25"/>
      <c r="S61" s="25"/>
    </row>
    <row r="62" spans="1:19" ht="27.6" x14ac:dyDescent="0.3">
      <c r="A62" s="20">
        <v>8</v>
      </c>
      <c r="B62" s="30" t="s">
        <v>60</v>
      </c>
      <c r="C62" s="21"/>
      <c r="D62" s="22"/>
      <c r="E62" s="23"/>
      <c r="F62" s="23"/>
      <c r="G62" s="29"/>
      <c r="H62" s="28"/>
      <c r="I62" s="29"/>
      <c r="J62" s="70"/>
      <c r="K62" s="23"/>
      <c r="M62" s="25"/>
      <c r="N62" s="1"/>
      <c r="O62" s="1"/>
      <c r="P62" s="1"/>
      <c r="Q62" s="1"/>
      <c r="R62" s="25"/>
      <c r="S62" s="25"/>
    </row>
    <row r="63" spans="1:19" ht="15" customHeight="1" x14ac:dyDescent="0.3">
      <c r="A63" s="63"/>
      <c r="B63" s="68" t="s">
        <v>54</v>
      </c>
      <c r="C63" s="69">
        <v>4</v>
      </c>
      <c r="D63" s="64">
        <f>80/12/3.281</f>
        <v>2.0319008432388501</v>
      </c>
      <c r="E63" s="64"/>
      <c r="F63" s="64"/>
      <c r="G63" s="64">
        <f>PRODUCT(C63:F63)</f>
        <v>8.1276033729554005</v>
      </c>
      <c r="H63" s="64"/>
      <c r="I63" s="70"/>
      <c r="J63" s="70"/>
      <c r="K63" s="66"/>
    </row>
    <row r="64" spans="1:19" ht="15" customHeight="1" x14ac:dyDescent="0.3">
      <c r="A64" s="63"/>
      <c r="B64" s="68" t="s">
        <v>36</v>
      </c>
      <c r="C64" s="69"/>
      <c r="D64" s="64"/>
      <c r="E64" s="64"/>
      <c r="F64" s="64"/>
      <c r="G64" s="70">
        <f>SUM(G63)</f>
        <v>8.1276033729554005</v>
      </c>
      <c r="H64" s="70" t="s">
        <v>55</v>
      </c>
      <c r="I64" s="70">
        <f>465.63/1.15</f>
        <v>404.89565217391305</v>
      </c>
      <c r="J64" s="70">
        <f>G64*I64</f>
        <v>3290.8312683036725</v>
      </c>
      <c r="K64" s="66"/>
    </row>
    <row r="65" spans="1:19" ht="15" customHeight="1" x14ac:dyDescent="0.3">
      <c r="A65" s="63"/>
      <c r="B65" s="68" t="s">
        <v>43</v>
      </c>
      <c r="C65" s="69"/>
      <c r="D65" s="64"/>
      <c r="E65" s="64"/>
      <c r="F65" s="64"/>
      <c r="G65" s="70"/>
      <c r="H65" s="70"/>
      <c r="I65" s="70"/>
      <c r="J65" s="70">
        <f>0.13*G64*(2780.61/10)</f>
        <v>293.79603779335577</v>
      </c>
      <c r="K65" s="66"/>
    </row>
    <row r="66" spans="1:19" ht="15" customHeight="1" x14ac:dyDescent="0.3">
      <c r="A66" s="20"/>
      <c r="B66" s="24"/>
      <c r="C66" s="21"/>
      <c r="D66" s="22"/>
      <c r="E66" s="23"/>
      <c r="F66" s="23"/>
      <c r="G66" s="29"/>
      <c r="H66" s="28"/>
      <c r="I66" s="29"/>
      <c r="J66" s="70"/>
      <c r="K66" s="23"/>
      <c r="M66" s="25"/>
      <c r="N66" s="1"/>
      <c r="O66" s="1"/>
      <c r="P66" s="1"/>
      <c r="Q66" s="1"/>
      <c r="R66" s="25"/>
      <c r="S66" s="25"/>
    </row>
    <row r="67" spans="1:19" ht="28.8" x14ac:dyDescent="0.3">
      <c r="A67" s="63">
        <v>9</v>
      </c>
      <c r="B67" s="73" t="s">
        <v>45</v>
      </c>
      <c r="C67" s="74"/>
      <c r="D67" s="75"/>
      <c r="E67" s="75"/>
      <c r="F67" s="75"/>
      <c r="G67" s="75"/>
      <c r="H67" s="75"/>
      <c r="I67" s="75"/>
      <c r="J67" s="65"/>
      <c r="K67" s="71"/>
    </row>
    <row r="68" spans="1:19" x14ac:dyDescent="0.3">
      <c r="A68" s="63"/>
      <c r="B68" s="76" t="s">
        <v>46</v>
      </c>
      <c r="C68" s="74">
        <v>1</v>
      </c>
      <c r="D68" s="75">
        <f>1.2+(6.667/3.281+1/12/3.281)*2</f>
        <v>5.3148023976429952</v>
      </c>
      <c r="E68" s="75">
        <f>0.1</f>
        <v>0.1</v>
      </c>
      <c r="F68" s="75">
        <v>0.1</v>
      </c>
      <c r="G68" s="75">
        <f t="shared" ref="G68:G72" si="2">PRODUCT(C68:F68)</f>
        <v>5.314802397642996E-2</v>
      </c>
      <c r="H68" s="75"/>
      <c r="I68" s="75"/>
      <c r="J68" s="65"/>
      <c r="K68" s="71"/>
    </row>
    <row r="69" spans="1:19" x14ac:dyDescent="0.3">
      <c r="A69" s="63"/>
      <c r="B69" s="76" t="s">
        <v>47</v>
      </c>
      <c r="C69" s="74">
        <f>2*2</f>
        <v>4</v>
      </c>
      <c r="D69" s="75">
        <v>0.55000000000000004</v>
      </c>
      <c r="E69" s="75">
        <f>4/12/3.281</f>
        <v>0.10159504216194248</v>
      </c>
      <c r="F69" s="75">
        <f>4/12/3.281</f>
        <v>0.10159504216194248</v>
      </c>
      <c r="G69" s="75">
        <f t="shared" si="2"/>
        <v>2.2707415702151117E-2</v>
      </c>
      <c r="H69" s="75"/>
      <c r="I69" s="75"/>
      <c r="J69" s="65"/>
      <c r="K69" s="71"/>
      <c r="M69">
        <f>508.75/1.15</f>
        <v>442.39130434782612</v>
      </c>
    </row>
    <row r="70" spans="1:19" x14ac:dyDescent="0.3">
      <c r="A70" s="63"/>
      <c r="B70" s="76"/>
      <c r="C70" s="74">
        <f>1*2</f>
        <v>2</v>
      </c>
      <c r="D70" s="75">
        <f>3/3.281</f>
        <v>0.91435537945748246</v>
      </c>
      <c r="E70" s="75">
        <f>3/12/3.281</f>
        <v>7.6196281621456863E-2</v>
      </c>
      <c r="F70" s="75">
        <f>4/12/3.281</f>
        <v>0.10159504216194248</v>
      </c>
      <c r="G70" s="75">
        <f t="shared" si="2"/>
        <v>1.4156350705117622E-2</v>
      </c>
      <c r="H70" s="75"/>
      <c r="I70" s="75"/>
      <c r="J70" s="65"/>
      <c r="K70" s="71"/>
      <c r="M70">
        <f>155.11/1.15</f>
        <v>134.87826086956525</v>
      </c>
      <c r="N70">
        <f>M70*5.5</f>
        <v>741.8304347826089</v>
      </c>
    </row>
    <row r="71" spans="1:19" x14ac:dyDescent="0.3">
      <c r="A71" s="63"/>
      <c r="B71" s="76"/>
      <c r="C71" s="74">
        <f>1*2</f>
        <v>2</v>
      </c>
      <c r="D71" s="75">
        <f>3/3.281</f>
        <v>0.91435537945748246</v>
      </c>
      <c r="E71" s="75">
        <f>5/12/3.281</f>
        <v>0.12699380270242813</v>
      </c>
      <c r="F71" s="75">
        <f>3/12/3.281</f>
        <v>7.6196281621456863E-2</v>
      </c>
      <c r="G71" s="75">
        <f t="shared" si="2"/>
        <v>1.7695438381397033E-2</v>
      </c>
      <c r="H71" s="75"/>
      <c r="I71" s="75"/>
      <c r="J71" s="65"/>
      <c r="K71" s="71"/>
    </row>
    <row r="72" spans="1:19" x14ac:dyDescent="0.3">
      <c r="A72" s="63"/>
      <c r="B72" s="76" t="s">
        <v>75</v>
      </c>
      <c r="C72" s="74">
        <f>4*1</f>
        <v>4</v>
      </c>
      <c r="D72" s="75">
        <f>24/12/3.281</f>
        <v>0.6095702529716549</v>
      </c>
      <c r="E72" s="75">
        <f>4/12/3.281</f>
        <v>0.10159504216194248</v>
      </c>
      <c r="F72" s="75">
        <f>3/12/3.281</f>
        <v>7.6196281621456863E-2</v>
      </c>
      <c r="G72" s="75">
        <f t="shared" si="2"/>
        <v>1.8875134273490159E-2</v>
      </c>
      <c r="H72" s="75"/>
      <c r="I72" s="75"/>
      <c r="J72" s="65"/>
      <c r="K72" s="71"/>
    </row>
    <row r="73" spans="1:19" x14ac:dyDescent="0.3">
      <c r="A73" s="63"/>
      <c r="B73" s="76"/>
      <c r="C73" s="74">
        <f>4*1</f>
        <v>4</v>
      </c>
      <c r="D73" s="75">
        <f>23/12/3.281</f>
        <v>0.58417149243116939</v>
      </c>
      <c r="E73" s="75">
        <f>3/12/3.281</f>
        <v>7.6196281621456863E-2</v>
      </c>
      <c r="F73" s="75">
        <f>4/12/3.281</f>
        <v>0.10159504216194248</v>
      </c>
      <c r="G73" s="75">
        <f>PRODUCT(C73:F73)</f>
        <v>1.8088670345428073E-2</v>
      </c>
      <c r="H73" s="75"/>
      <c r="I73" s="75"/>
      <c r="J73" s="65"/>
      <c r="K73" s="71"/>
    </row>
    <row r="74" spans="1:19" x14ac:dyDescent="0.3">
      <c r="A74" s="63"/>
      <c r="B74" s="76"/>
      <c r="C74" s="74">
        <v>8</v>
      </c>
      <c r="D74" s="75">
        <f>1.5/3.281</f>
        <v>0.45717768972874123</v>
      </c>
      <c r="E74" s="75">
        <f>4/12/3.281</f>
        <v>0.10159504216194248</v>
      </c>
      <c r="F74" s="75">
        <f>3/12/3.281</f>
        <v>7.6196281621456863E-2</v>
      </c>
      <c r="G74" s="75">
        <f t="shared" ref="G74" si="3">PRODUCT(C74:F74)</f>
        <v>2.8312701410235244E-2</v>
      </c>
      <c r="H74" s="75"/>
      <c r="I74" s="75"/>
      <c r="J74" s="65"/>
      <c r="K74" s="71"/>
    </row>
    <row r="75" spans="1:19" ht="15" customHeight="1" x14ac:dyDescent="0.3">
      <c r="A75" s="63"/>
      <c r="B75" s="76" t="s">
        <v>36</v>
      </c>
      <c r="C75" s="74"/>
      <c r="D75" s="75"/>
      <c r="E75" s="75"/>
      <c r="F75" s="75"/>
      <c r="G75" s="77">
        <f>SUM(G68:G74)</f>
        <v>0.17298373479424922</v>
      </c>
      <c r="H75" s="77" t="s">
        <v>42</v>
      </c>
      <c r="I75" s="78">
        <f>353723.98/1.15</f>
        <v>307586.06956521742</v>
      </c>
      <c r="J75" s="79">
        <f>G75*I75</f>
        <v>53207.387084075061</v>
      </c>
      <c r="K75" s="71"/>
    </row>
    <row r="76" spans="1:19" ht="15" customHeight="1" x14ac:dyDescent="0.3">
      <c r="A76" s="63"/>
      <c r="B76" s="76" t="s">
        <v>43</v>
      </c>
      <c r="C76" s="74"/>
      <c r="D76" s="75"/>
      <c r="E76" s="75"/>
      <c r="F76" s="75"/>
      <c r="G76" s="77"/>
      <c r="H76" s="77"/>
      <c r="I76" s="78"/>
      <c r="J76" s="79">
        <f>0.13*G75*262808.07</f>
        <v>5909.9977927469035</v>
      </c>
      <c r="K76" s="71"/>
    </row>
    <row r="77" spans="1:19" ht="15" customHeight="1" x14ac:dyDescent="0.3">
      <c r="A77" s="63"/>
      <c r="B77" s="76"/>
      <c r="C77" s="74"/>
      <c r="D77" s="75"/>
      <c r="E77" s="75"/>
      <c r="F77" s="75"/>
      <c r="G77" s="77"/>
      <c r="H77" s="77"/>
      <c r="I77" s="78"/>
      <c r="J77" s="79"/>
      <c r="K77" s="71"/>
    </row>
    <row r="78" spans="1:19" ht="28.8" x14ac:dyDescent="0.3">
      <c r="A78" s="63">
        <v>10</v>
      </c>
      <c r="B78" s="80" t="s">
        <v>77</v>
      </c>
      <c r="C78" s="74"/>
      <c r="D78" s="75"/>
      <c r="E78" s="75"/>
      <c r="F78" s="75"/>
      <c r="G78" s="77"/>
      <c r="H78" s="77"/>
      <c r="I78" s="78"/>
      <c r="J78" s="79"/>
      <c r="K78" s="71"/>
    </row>
    <row r="79" spans="1:19" x14ac:dyDescent="0.3">
      <c r="A79" s="63"/>
      <c r="B79" s="76" t="s">
        <v>72</v>
      </c>
      <c r="C79" s="74">
        <v>1</v>
      </c>
      <c r="D79" s="75">
        <f>5.5/3.281</f>
        <v>1.6763181956720512</v>
      </c>
      <c r="E79" s="75">
        <f>0.15</f>
        <v>0.15</v>
      </c>
      <c r="F79" s="75">
        <f>3/12/3.281</f>
        <v>7.6196281621456863E-2</v>
      </c>
      <c r="G79" s="75">
        <f t="shared" ref="G79:G90" si="4">PRODUCT(C79:F79)</f>
        <v>1.9159381998690005E-2</v>
      </c>
      <c r="H79" s="75"/>
      <c r="I79" s="75"/>
      <c r="J79" s="65"/>
      <c r="K79" s="71"/>
    </row>
    <row r="80" spans="1:19" x14ac:dyDescent="0.3">
      <c r="A80" s="63"/>
      <c r="B80" s="76" t="s">
        <v>73</v>
      </c>
      <c r="C80" s="74">
        <v>1</v>
      </c>
      <c r="D80" s="75">
        <f>1.2+2*(6.833/3.281)</f>
        <v>5.3651935385553182</v>
      </c>
      <c r="E80" s="75">
        <f>1/12/3.281</f>
        <v>2.5398760540485621E-2</v>
      </c>
      <c r="F80" s="75">
        <f>1/12/3.281</f>
        <v>2.5398760540485621E-2</v>
      </c>
      <c r="G80" s="81">
        <f t="shared" si="4"/>
        <v>3.4610704546156465E-3</v>
      </c>
      <c r="H80" s="75"/>
      <c r="I80" s="75"/>
      <c r="J80" s="65"/>
      <c r="K80" s="71"/>
    </row>
    <row r="81" spans="1:13" x14ac:dyDescent="0.3">
      <c r="A81" s="63"/>
      <c r="B81" s="76" t="s">
        <v>74</v>
      </c>
      <c r="C81" s="74">
        <v>2</v>
      </c>
      <c r="D81" s="75">
        <f>7/3.281</f>
        <v>2.1334958854007922</v>
      </c>
      <c r="E81" s="75">
        <f>0.15</f>
        <v>0.15</v>
      </c>
      <c r="F81" s="75">
        <f>1.5/12/3.281</f>
        <v>3.8098140810728431E-2</v>
      </c>
      <c r="G81" s="75">
        <f t="shared" si="4"/>
        <v>2.4384667998332731E-2</v>
      </c>
      <c r="H81" s="75"/>
      <c r="I81" s="75"/>
      <c r="J81" s="65"/>
      <c r="K81" s="71"/>
      <c r="M81">
        <f>I75*G79</f>
        <v>5893.1590042756379</v>
      </c>
    </row>
    <row r="82" spans="1:13" x14ac:dyDescent="0.3">
      <c r="A82" s="63"/>
      <c r="B82" s="76"/>
      <c r="C82" s="74">
        <v>2</v>
      </c>
      <c r="D82" s="75">
        <f>7/3.281</f>
        <v>2.1334958854007922</v>
      </c>
      <c r="E82" s="75">
        <f>3/12/3.281</f>
        <v>7.6196281621456863E-2</v>
      </c>
      <c r="F82" s="75">
        <f>3/12/3.281</f>
        <v>7.6196281621456863E-2</v>
      </c>
      <c r="G82" s="75">
        <f t="shared" si="4"/>
        <v>2.4773613733955837E-2</v>
      </c>
      <c r="H82" s="75"/>
      <c r="I82" s="75"/>
      <c r="J82" s="65"/>
      <c r="K82" s="71"/>
    </row>
    <row r="83" spans="1:13" x14ac:dyDescent="0.3">
      <c r="A83" s="63"/>
      <c r="B83" s="76" t="s">
        <v>78</v>
      </c>
      <c r="C83" s="74">
        <f>1*2</f>
        <v>2</v>
      </c>
      <c r="D83" s="75">
        <f>0.96</f>
        <v>0.96</v>
      </c>
      <c r="E83" s="75">
        <f>1/12/3.281</f>
        <v>2.5398760540485621E-2</v>
      </c>
      <c r="F83" s="75">
        <f>5/12/3.281</f>
        <v>0.12699380270242813</v>
      </c>
      <c r="G83" s="75">
        <f t="shared" si="4"/>
        <v>6.1929315551321239E-3</v>
      </c>
      <c r="H83" s="75"/>
      <c r="I83" s="75"/>
      <c r="J83" s="65"/>
      <c r="K83" s="71"/>
    </row>
    <row r="84" spans="1:13" x14ac:dyDescent="0.3">
      <c r="A84" s="63"/>
      <c r="B84" s="76"/>
      <c r="C84" s="74">
        <f>1*2</f>
        <v>2</v>
      </c>
      <c r="D84" s="75">
        <f>3/3.281</f>
        <v>0.91435537945748246</v>
      </c>
      <c r="E84" s="75">
        <f>1/12/3.281</f>
        <v>2.5398760540485621E-2</v>
      </c>
      <c r="F84" s="75">
        <f>4/12/3.281</f>
        <v>0.10159504216194248</v>
      </c>
      <c r="G84" s="81">
        <f t="shared" si="4"/>
        <v>4.7187835683725407E-3</v>
      </c>
      <c r="H84" s="75"/>
      <c r="I84" s="75"/>
      <c r="J84" s="65"/>
      <c r="K84" s="71"/>
    </row>
    <row r="85" spans="1:13" x14ac:dyDescent="0.3">
      <c r="A85" s="63"/>
      <c r="B85" s="76"/>
      <c r="C85" s="74">
        <f>1*2</f>
        <v>2</v>
      </c>
      <c r="D85" s="75">
        <f>0.83</f>
        <v>0.83</v>
      </c>
      <c r="E85" s="75">
        <f>1/12/3.281</f>
        <v>2.5398760540485621E-2</v>
      </c>
      <c r="F85" s="75">
        <f>3/12/3.281</f>
        <v>7.6196281621456863E-2</v>
      </c>
      <c r="G85" s="81">
        <f t="shared" si="4"/>
        <v>3.2125832442247886E-3</v>
      </c>
      <c r="H85" s="75"/>
      <c r="I85" s="75"/>
      <c r="J85" s="65"/>
      <c r="K85" s="71"/>
    </row>
    <row r="86" spans="1:13" x14ac:dyDescent="0.3">
      <c r="A86" s="63"/>
      <c r="B86" s="76" t="s">
        <v>61</v>
      </c>
      <c r="C86" s="74">
        <f t="shared" ref="C86:C87" si="5">4*1</f>
        <v>4</v>
      </c>
      <c r="D86" s="75">
        <f>26/12/3.281</f>
        <v>0.66036777405262614</v>
      </c>
      <c r="E86" s="75">
        <f>1/12/3.281</f>
        <v>2.5398760540485621E-2</v>
      </c>
      <c r="F86" s="75">
        <f>4/12/3.281</f>
        <v>0.10159504216194248</v>
      </c>
      <c r="G86" s="81">
        <f t="shared" si="4"/>
        <v>6.8160207098714471E-3</v>
      </c>
      <c r="H86" s="75"/>
      <c r="I86" s="75"/>
      <c r="J86" s="65"/>
      <c r="K86" s="71"/>
    </row>
    <row r="87" spans="1:13" x14ac:dyDescent="0.3">
      <c r="A87" s="63"/>
      <c r="B87" s="76"/>
      <c r="C87" s="74">
        <f t="shared" si="5"/>
        <v>4</v>
      </c>
      <c r="D87" s="75">
        <f>28/12/3.281</f>
        <v>0.7111652951335975</v>
      </c>
      <c r="E87" s="75">
        <f>0.12</f>
        <v>0.12</v>
      </c>
      <c r="F87" s="75">
        <f>1/12/3.281</f>
        <v>2.5398760540485621E-2</v>
      </c>
      <c r="G87" s="81">
        <f t="shared" si="4"/>
        <v>8.6701041771849729E-3</v>
      </c>
      <c r="H87" s="75"/>
      <c r="I87" s="75"/>
      <c r="J87" s="65"/>
      <c r="K87" s="71"/>
    </row>
    <row r="88" spans="1:13" x14ac:dyDescent="0.3">
      <c r="A88" s="63"/>
      <c r="B88" s="76" t="s">
        <v>79</v>
      </c>
      <c r="C88" s="74">
        <v>4</v>
      </c>
      <c r="D88" s="75">
        <f>1/3.281</f>
        <v>0.30478512648582745</v>
      </c>
      <c r="E88" s="75">
        <f>4/12/3.281</f>
        <v>0.10159504216194248</v>
      </c>
      <c r="F88" s="75">
        <f>3/12/3.281</f>
        <v>7.6196281621456863E-2</v>
      </c>
      <c r="G88" s="81">
        <f t="shared" si="4"/>
        <v>9.4375671367450797E-3</v>
      </c>
      <c r="H88" s="75"/>
      <c r="I88" s="75"/>
      <c r="J88" s="65"/>
      <c r="K88" s="71"/>
    </row>
    <row r="89" spans="1:13" x14ac:dyDescent="0.3">
      <c r="A89" s="63"/>
      <c r="B89" s="76"/>
      <c r="C89" s="74">
        <v>8</v>
      </c>
      <c r="D89" s="75">
        <f>10/12/3.281</f>
        <v>0.25398760540485626</v>
      </c>
      <c r="E89" s="75">
        <f>4/12/3.281</f>
        <v>0.10159504216194248</v>
      </c>
      <c r="F89" s="75">
        <f>3/12/3.281</f>
        <v>7.6196281621456863E-2</v>
      </c>
      <c r="G89" s="81">
        <f t="shared" si="4"/>
        <v>1.5729278561241806E-2</v>
      </c>
      <c r="H89" s="75"/>
      <c r="I89" s="75"/>
      <c r="J89" s="65"/>
      <c r="K89" s="71"/>
    </row>
    <row r="90" spans="1:13" x14ac:dyDescent="0.3">
      <c r="A90" s="63"/>
      <c r="B90" s="76"/>
      <c r="C90" s="74">
        <v>2</v>
      </c>
      <c r="D90" s="75">
        <f>0.23</f>
        <v>0.23</v>
      </c>
      <c r="E90" s="75">
        <v>0.15</v>
      </c>
      <c r="F90" s="75">
        <f>1.5/12/3.281</f>
        <v>3.8098140810728431E-2</v>
      </c>
      <c r="G90" s="81">
        <f t="shared" si="4"/>
        <v>2.6287717159402622E-3</v>
      </c>
      <c r="H90" s="75"/>
      <c r="I90" s="75"/>
      <c r="J90" s="65"/>
      <c r="K90" s="71"/>
    </row>
    <row r="91" spans="1:13" ht="15" customHeight="1" x14ac:dyDescent="0.3">
      <c r="A91" s="63"/>
      <c r="B91" s="76" t="s">
        <v>36</v>
      </c>
      <c r="C91" s="74"/>
      <c r="D91" s="75"/>
      <c r="E91" s="75"/>
      <c r="F91" s="75"/>
      <c r="G91" s="77">
        <f>SUM(G79:G90)</f>
        <v>0.12918477485430724</v>
      </c>
      <c r="H91" s="77" t="s">
        <v>42</v>
      </c>
      <c r="I91" s="78">
        <f>286497.45/1.15</f>
        <v>249128.21739130438</v>
      </c>
      <c r="J91" s="79">
        <f>G91*I91</f>
        <v>32183.572673550567</v>
      </c>
      <c r="K91" s="71"/>
    </row>
    <row r="92" spans="1:13" ht="15" customHeight="1" x14ac:dyDescent="0.3">
      <c r="A92" s="63"/>
      <c r="B92" s="76" t="s">
        <v>43</v>
      </c>
      <c r="C92" s="74"/>
      <c r="D92" s="75"/>
      <c r="E92" s="75"/>
      <c r="F92" s="75"/>
      <c r="G92" s="77"/>
      <c r="H92" s="77"/>
      <c r="I92" s="78"/>
      <c r="J92" s="79">
        <f>0.13*G91*225887.77</f>
        <v>3793.5638922728999</v>
      </c>
      <c r="K92" s="71"/>
    </row>
    <row r="93" spans="1:13" ht="15" customHeight="1" x14ac:dyDescent="0.3">
      <c r="A93" s="63"/>
      <c r="B93" s="76"/>
      <c r="C93" s="74"/>
      <c r="D93" s="75"/>
      <c r="E93" s="75"/>
      <c r="F93" s="75"/>
      <c r="G93" s="77"/>
      <c r="H93" s="77"/>
      <c r="I93" s="78"/>
      <c r="J93" s="79"/>
      <c r="K93" s="71"/>
    </row>
    <row r="94" spans="1:13" ht="30.6" x14ac:dyDescent="0.3">
      <c r="A94" s="63">
        <v>13</v>
      </c>
      <c r="B94" s="39" t="s">
        <v>81</v>
      </c>
      <c r="C94" s="74"/>
      <c r="D94" s="75"/>
      <c r="E94" s="75"/>
      <c r="F94" s="75"/>
      <c r="G94" s="75"/>
      <c r="H94" s="75"/>
      <c r="I94" s="75"/>
      <c r="J94" s="65"/>
      <c r="K94" s="71"/>
    </row>
    <row r="95" spans="1:13" ht="15" customHeight="1" x14ac:dyDescent="0.3">
      <c r="A95" s="63"/>
      <c r="B95" s="76" t="s">
        <v>49</v>
      </c>
      <c r="C95" s="74">
        <v>2</v>
      </c>
      <c r="D95" s="75">
        <f>42/12/3.281</f>
        <v>1.0667479427003961</v>
      </c>
      <c r="E95" s="75"/>
      <c r="F95" s="75">
        <f>78/12/3.281</f>
        <v>1.9811033221578787</v>
      </c>
      <c r="G95" s="75">
        <f>PRODUCT(C95:F95)</f>
        <v>4.2266757863776743</v>
      </c>
      <c r="H95" s="75"/>
      <c r="I95" s="75"/>
      <c r="J95" s="65"/>
      <c r="K95" s="71"/>
    </row>
    <row r="96" spans="1:13" ht="15" customHeight="1" x14ac:dyDescent="0.3">
      <c r="A96" s="63"/>
      <c r="B96" s="76" t="s">
        <v>36</v>
      </c>
      <c r="C96" s="74"/>
      <c r="D96" s="75"/>
      <c r="E96" s="75"/>
      <c r="F96" s="75"/>
      <c r="G96" s="77">
        <f>SUM(G95:G95)</f>
        <v>4.2266757863776743</v>
      </c>
      <c r="H96" s="77" t="s">
        <v>37</v>
      </c>
      <c r="I96" s="78">
        <f>15859.11</f>
        <v>15859.11</v>
      </c>
      <c r="J96" s="79">
        <f>G96*I96</f>
        <v>67031.316230500044</v>
      </c>
      <c r="K96" s="71"/>
    </row>
    <row r="97" spans="1:11" ht="15" customHeight="1" x14ac:dyDescent="0.3">
      <c r="A97" s="63"/>
      <c r="B97" s="76" t="s">
        <v>43</v>
      </c>
      <c r="C97" s="74"/>
      <c r="D97" s="75"/>
      <c r="E97" s="75"/>
      <c r="F97" s="75"/>
      <c r="G97" s="77"/>
      <c r="H97" s="77"/>
      <c r="I97" s="78"/>
      <c r="J97" s="79">
        <f>0.13*G96*(20356.18/2.114)</f>
        <v>5290.9491505150963</v>
      </c>
      <c r="K97" s="71"/>
    </row>
    <row r="98" spans="1:11" ht="15.6" x14ac:dyDescent="0.3">
      <c r="A98" s="63"/>
      <c r="B98" s="39"/>
      <c r="C98" s="74"/>
      <c r="D98" s="75"/>
      <c r="E98" s="75"/>
      <c r="F98" s="75"/>
      <c r="G98" s="75"/>
      <c r="H98" s="75"/>
      <c r="I98" s="75"/>
      <c r="J98" s="65"/>
      <c r="K98" s="71"/>
    </row>
    <row r="99" spans="1:11" x14ac:dyDescent="0.3">
      <c r="A99" s="63">
        <v>11</v>
      </c>
      <c r="B99" s="80" t="s">
        <v>48</v>
      </c>
      <c r="C99" s="74"/>
      <c r="D99" s="75"/>
      <c r="E99" s="75"/>
      <c r="F99" s="75"/>
      <c r="G99" s="75"/>
      <c r="H99" s="75"/>
      <c r="I99" s="75"/>
      <c r="J99" s="65"/>
      <c r="K99" s="71"/>
    </row>
    <row r="100" spans="1:11" ht="15" customHeight="1" x14ac:dyDescent="0.3">
      <c r="A100" s="63"/>
      <c r="B100" s="76" t="s">
        <v>49</v>
      </c>
      <c r="C100" s="74">
        <v>1</v>
      </c>
      <c r="D100" s="75">
        <f>1.2</f>
        <v>1.2</v>
      </c>
      <c r="E100" s="75"/>
      <c r="F100" s="75">
        <f>7/3.281</f>
        <v>2.1334958854007922</v>
      </c>
      <c r="G100" s="75">
        <f>PRODUCT(C100:F100)</f>
        <v>2.5601950624809504</v>
      </c>
      <c r="H100" s="75"/>
      <c r="I100" s="75"/>
      <c r="J100" s="65"/>
      <c r="K100" s="71"/>
    </row>
    <row r="101" spans="1:11" ht="15" customHeight="1" x14ac:dyDescent="0.3">
      <c r="A101" s="63"/>
      <c r="B101" s="76" t="s">
        <v>36</v>
      </c>
      <c r="C101" s="74"/>
      <c r="D101" s="75"/>
      <c r="E101" s="75"/>
      <c r="F101" s="75"/>
      <c r="G101" s="77">
        <f>SUM(G100:G100)</f>
        <v>2.5601950624809504</v>
      </c>
      <c r="H101" s="77" t="s">
        <v>37</v>
      </c>
      <c r="I101" s="78">
        <f>46573/1.15</f>
        <v>40498.260869565223</v>
      </c>
      <c r="J101" s="79">
        <f>G101*I101</f>
        <v>103683.44751732636</v>
      </c>
      <c r="K101" s="71"/>
    </row>
    <row r="102" spans="1:11" x14ac:dyDescent="0.3">
      <c r="A102" s="63"/>
      <c r="B102" s="80"/>
      <c r="C102" s="74"/>
      <c r="D102" s="75"/>
      <c r="E102" s="75"/>
      <c r="F102" s="75"/>
      <c r="G102" s="75"/>
      <c r="H102" s="75"/>
      <c r="I102" s="75"/>
      <c r="J102" s="65"/>
      <c r="K102" s="71"/>
    </row>
    <row r="103" spans="1:11" ht="28.8" x14ac:dyDescent="0.3">
      <c r="A103" s="63">
        <v>12</v>
      </c>
      <c r="B103" s="80" t="s">
        <v>50</v>
      </c>
      <c r="C103" s="74"/>
      <c r="D103" s="75"/>
      <c r="E103" s="75"/>
      <c r="F103" s="75"/>
      <c r="G103" s="75"/>
      <c r="H103" s="75"/>
      <c r="I103" s="75"/>
      <c r="J103" s="65"/>
      <c r="K103" s="71"/>
    </row>
    <row r="104" spans="1:11" ht="15" customHeight="1" x14ac:dyDescent="0.3">
      <c r="A104" s="63"/>
      <c r="B104" s="76" t="s">
        <v>51</v>
      </c>
      <c r="C104" s="74">
        <f>2*2</f>
        <v>4</v>
      </c>
      <c r="D104" s="75"/>
      <c r="E104" s="75">
        <f>(2+3)/12/3.281</f>
        <v>0.12699380270242813</v>
      </c>
      <c r="F104" s="75">
        <v>0.55000000000000004</v>
      </c>
      <c r="G104" s="75">
        <f>PRODUCT(C104:F104)</f>
        <v>0.27938636594534194</v>
      </c>
      <c r="H104" s="75"/>
      <c r="I104" s="75"/>
      <c r="J104" s="65"/>
      <c r="K104" s="71"/>
    </row>
    <row r="105" spans="1:11" ht="15" customHeight="1" x14ac:dyDescent="0.3">
      <c r="A105" s="63"/>
      <c r="B105" s="76"/>
      <c r="C105" s="74">
        <f>1*2</f>
        <v>2</v>
      </c>
      <c r="D105" s="75">
        <f>3/3.281</f>
        <v>0.91435537945748246</v>
      </c>
      <c r="E105" s="75"/>
      <c r="F105" s="75">
        <f>3/12/3.281</f>
        <v>7.6196281621456863E-2</v>
      </c>
      <c r="G105" s="75">
        <f>PRODUCT(C105:F105)</f>
        <v>0.13934095999047277</v>
      </c>
      <c r="H105" s="75"/>
      <c r="I105" s="75"/>
      <c r="J105" s="65"/>
      <c r="K105" s="71"/>
    </row>
    <row r="106" spans="1:11" ht="15" customHeight="1" x14ac:dyDescent="0.3">
      <c r="A106" s="63"/>
      <c r="B106" s="76"/>
      <c r="C106" s="74">
        <f t="shared" ref="C106:C109" si="6">1*2</f>
        <v>2</v>
      </c>
      <c r="D106" s="75">
        <f>3/3.281</f>
        <v>0.91435537945748246</v>
      </c>
      <c r="E106" s="75"/>
      <c r="F106" s="75">
        <f>3/12/3.281</f>
        <v>7.6196281621456863E-2</v>
      </c>
      <c r="G106" s="75">
        <f t="shared" ref="G106:G114" si="7">PRODUCT(C106:F106)</f>
        <v>0.13934095999047277</v>
      </c>
      <c r="H106" s="75"/>
      <c r="I106" s="75"/>
      <c r="J106" s="65"/>
      <c r="K106" s="71"/>
    </row>
    <row r="107" spans="1:11" ht="15" customHeight="1" x14ac:dyDescent="0.3">
      <c r="A107" s="63"/>
      <c r="B107" s="76"/>
      <c r="C107" s="74">
        <f t="shared" si="6"/>
        <v>2</v>
      </c>
      <c r="D107" s="75">
        <f>0.96</f>
        <v>0.96</v>
      </c>
      <c r="E107" s="75"/>
      <c r="F107" s="75">
        <f>1/12/3.281</f>
        <v>2.5398760540485621E-2</v>
      </c>
      <c r="G107" s="75">
        <f t="shared" si="7"/>
        <v>4.8765620237732392E-2</v>
      </c>
      <c r="H107" s="75"/>
      <c r="I107" s="75"/>
      <c r="J107" s="65"/>
      <c r="K107" s="71"/>
    </row>
    <row r="108" spans="1:11" ht="15" customHeight="1" x14ac:dyDescent="0.3">
      <c r="A108" s="63"/>
      <c r="B108" s="76"/>
      <c r="C108" s="74">
        <f t="shared" si="6"/>
        <v>2</v>
      </c>
      <c r="D108" s="75">
        <f>3/3.281</f>
        <v>0.91435537945748246</v>
      </c>
      <c r="E108" s="75"/>
      <c r="F108" s="75">
        <f t="shared" ref="F108:F109" si="8">1/12/3.281</f>
        <v>2.5398760540485621E-2</v>
      </c>
      <c r="G108" s="75">
        <f t="shared" si="7"/>
        <v>4.6446986663490925E-2</v>
      </c>
      <c r="H108" s="75"/>
      <c r="I108" s="75"/>
      <c r="J108" s="65"/>
      <c r="K108" s="71"/>
    </row>
    <row r="109" spans="1:11" ht="15" customHeight="1" x14ac:dyDescent="0.3">
      <c r="A109" s="63"/>
      <c r="B109" s="76"/>
      <c r="C109" s="74">
        <f t="shared" si="6"/>
        <v>2</v>
      </c>
      <c r="D109" s="75">
        <f>0.83</f>
        <v>0.83</v>
      </c>
      <c r="E109" s="75"/>
      <c r="F109" s="75">
        <f t="shared" si="8"/>
        <v>2.5398760540485621E-2</v>
      </c>
      <c r="G109" s="75">
        <f t="shared" si="7"/>
        <v>4.2161942497206131E-2</v>
      </c>
      <c r="H109" s="75"/>
      <c r="I109" s="75"/>
      <c r="J109" s="65"/>
      <c r="K109" s="71"/>
    </row>
    <row r="110" spans="1:11" ht="15" customHeight="1" x14ac:dyDescent="0.3">
      <c r="A110" s="63"/>
      <c r="B110" s="76" t="s">
        <v>75</v>
      </c>
      <c r="C110" s="74">
        <f>4*1</f>
        <v>4</v>
      </c>
      <c r="D110" s="75">
        <f>24/12/3.281</f>
        <v>0.6095702529716549</v>
      </c>
      <c r="E110" s="75"/>
      <c r="F110" s="75">
        <f>3/12/3.281</f>
        <v>7.6196281621456863E-2</v>
      </c>
      <c r="G110" s="75">
        <f t="shared" si="7"/>
        <v>0.18578794665396367</v>
      </c>
      <c r="H110" s="75"/>
      <c r="I110" s="75"/>
      <c r="J110" s="65"/>
      <c r="K110" s="71"/>
    </row>
    <row r="111" spans="1:11" ht="15" customHeight="1" x14ac:dyDescent="0.3">
      <c r="A111" s="63"/>
      <c r="B111" s="76"/>
      <c r="C111" s="74">
        <f>4*2</f>
        <v>8</v>
      </c>
      <c r="D111" s="75">
        <f>1/3.281</f>
        <v>0.30478512648582745</v>
      </c>
      <c r="E111" s="75"/>
      <c r="F111" s="75">
        <f>3/12/3.281</f>
        <v>7.6196281621456863E-2</v>
      </c>
      <c r="G111" s="75">
        <f t="shared" si="7"/>
        <v>0.18578794665396367</v>
      </c>
      <c r="H111" s="75"/>
      <c r="I111" s="75"/>
      <c r="J111" s="65"/>
      <c r="K111" s="71"/>
    </row>
    <row r="112" spans="1:11" ht="15" customHeight="1" x14ac:dyDescent="0.3">
      <c r="A112" s="63"/>
      <c r="B112" s="76"/>
      <c r="C112" s="74">
        <f>4*1</f>
        <v>4</v>
      </c>
      <c r="D112" s="75">
        <f>23/12/3.281</f>
        <v>0.58417149243116939</v>
      </c>
      <c r="E112" s="75"/>
      <c r="F112" s="75">
        <f>3/12/3.281</f>
        <v>7.6196281621456863E-2</v>
      </c>
      <c r="G112" s="75">
        <f t="shared" si="7"/>
        <v>0.17804678221004855</v>
      </c>
      <c r="H112" s="75"/>
      <c r="I112" s="75"/>
      <c r="J112" s="65"/>
      <c r="K112" s="71"/>
    </row>
    <row r="113" spans="1:20" ht="15" customHeight="1" x14ac:dyDescent="0.3">
      <c r="A113" s="63"/>
      <c r="B113" s="76"/>
      <c r="C113" s="74">
        <f t="shared" ref="C113:C114" si="9">4*1</f>
        <v>4</v>
      </c>
      <c r="D113" s="75">
        <f>26/3.281</f>
        <v>7.9244132886315146</v>
      </c>
      <c r="E113" s="75"/>
      <c r="F113" s="75">
        <f>1/12/3.281</f>
        <v>2.5398760540485621E-2</v>
      </c>
      <c r="G113" s="75">
        <f t="shared" si="7"/>
        <v>0.80508110216717599</v>
      </c>
      <c r="H113" s="75"/>
      <c r="I113" s="75"/>
      <c r="J113" s="65"/>
      <c r="K113" s="71"/>
    </row>
    <row r="114" spans="1:20" ht="15" customHeight="1" x14ac:dyDescent="0.3">
      <c r="A114" s="63"/>
      <c r="B114" s="76"/>
      <c r="C114" s="74">
        <f t="shared" si="9"/>
        <v>4</v>
      </c>
      <c r="D114" s="75">
        <f>28/12/3.281</f>
        <v>0.7111652951335975</v>
      </c>
      <c r="E114" s="75"/>
      <c r="F114" s="75">
        <f>1/12/3.281</f>
        <v>2.5398760540485621E-2</v>
      </c>
      <c r="G114" s="75">
        <f t="shared" si="7"/>
        <v>7.2250868143208108E-2</v>
      </c>
      <c r="H114" s="75"/>
      <c r="I114" s="75"/>
      <c r="J114" s="65"/>
      <c r="K114" s="71"/>
    </row>
    <row r="115" spans="1:20" ht="15" customHeight="1" x14ac:dyDescent="0.3">
      <c r="A115" s="63"/>
      <c r="B115" s="76" t="s">
        <v>36</v>
      </c>
      <c r="C115" s="74"/>
      <c r="D115" s="71"/>
      <c r="E115" s="75"/>
      <c r="F115" s="75"/>
      <c r="G115" s="77">
        <f>SUM(G104:G114)</f>
        <v>2.1223974811530768</v>
      </c>
      <c r="H115" s="77" t="s">
        <v>37</v>
      </c>
      <c r="I115" s="78">
        <f>50828.44/1.15</f>
        <v>44198.643478260878</v>
      </c>
      <c r="J115" s="79">
        <f>G115*I115</f>
        <v>93807.08958864375</v>
      </c>
      <c r="K115" s="71"/>
    </row>
    <row r="116" spans="1:20" x14ac:dyDescent="0.3">
      <c r="A116" s="63"/>
      <c r="B116" s="80"/>
      <c r="C116" s="74"/>
      <c r="D116" s="71"/>
      <c r="E116" s="75"/>
      <c r="F116" s="75"/>
      <c r="G116" s="75"/>
      <c r="H116" s="75"/>
      <c r="I116" s="75"/>
      <c r="J116" s="65"/>
      <c r="K116" s="71"/>
    </row>
    <row r="117" spans="1:20" ht="43.2" x14ac:dyDescent="0.3">
      <c r="A117" s="63">
        <v>13</v>
      </c>
      <c r="B117" s="80" t="s">
        <v>52</v>
      </c>
      <c r="C117" s="74"/>
      <c r="D117" s="75"/>
      <c r="E117" s="75"/>
      <c r="F117" s="75"/>
      <c r="G117" s="75"/>
      <c r="H117" s="75"/>
      <c r="I117" s="75"/>
      <c r="J117" s="65"/>
      <c r="K117" s="71"/>
    </row>
    <row r="118" spans="1:20" ht="15" customHeight="1" x14ac:dyDescent="0.3">
      <c r="A118" s="63"/>
      <c r="B118" s="76" t="s">
        <v>61</v>
      </c>
      <c r="C118" s="74">
        <v>4</v>
      </c>
      <c r="D118" s="75">
        <f>10/12/3.281</f>
        <v>0.25398760540485626</v>
      </c>
      <c r="E118" s="75"/>
      <c r="F118" s="75">
        <f>1/3.281</f>
        <v>0.30478512648582745</v>
      </c>
      <c r="G118" s="75">
        <f>PRODUCT(C118:F118)</f>
        <v>0.3096465777566062</v>
      </c>
      <c r="H118" s="75"/>
      <c r="I118" s="75"/>
      <c r="J118" s="65"/>
      <c r="K118" s="71"/>
    </row>
    <row r="119" spans="1:20" ht="15" customHeight="1" x14ac:dyDescent="0.3">
      <c r="A119" s="63"/>
      <c r="B119" s="76"/>
      <c r="C119" s="74">
        <v>2</v>
      </c>
      <c r="D119" s="75">
        <f>21/12/3.281</f>
        <v>0.53337397135019804</v>
      </c>
      <c r="E119" s="75"/>
      <c r="F119" s="75">
        <f>21/12/3.281</f>
        <v>0.53337397135019804</v>
      </c>
      <c r="G119" s="75">
        <f>PRODUCT(C119:F119)</f>
        <v>0.56897558662776371</v>
      </c>
      <c r="H119" s="75"/>
      <c r="I119" s="75"/>
      <c r="J119" s="65"/>
      <c r="K119" s="71"/>
    </row>
    <row r="120" spans="1:20" ht="15" customHeight="1" x14ac:dyDescent="0.3">
      <c r="A120" s="63"/>
      <c r="B120" s="76" t="s">
        <v>36</v>
      </c>
      <c r="C120" s="74"/>
      <c r="D120" s="75"/>
      <c r="E120" s="75"/>
      <c r="F120" s="75"/>
      <c r="G120" s="77">
        <f>SUM(G118:G119)</f>
        <v>0.87862216438436991</v>
      </c>
      <c r="H120" s="77" t="s">
        <v>37</v>
      </c>
      <c r="I120" s="78">
        <f>69579.92/1.15</f>
        <v>60504.278260869571</v>
      </c>
      <c r="J120" s="79">
        <f>G120*I120</f>
        <v>53160.399920079406</v>
      </c>
      <c r="K120" s="71"/>
    </row>
    <row r="121" spans="1:20" ht="15" customHeight="1" x14ac:dyDescent="0.3">
      <c r="A121" s="63"/>
      <c r="B121" s="76" t="s">
        <v>43</v>
      </c>
      <c r="C121" s="74"/>
      <c r="D121" s="75"/>
      <c r="E121" s="75"/>
      <c r="F121" s="75"/>
      <c r="G121" s="77"/>
      <c r="H121" s="77"/>
      <c r="I121" s="78"/>
      <c r="J121" s="79">
        <f>0.13*G120*(9888.94/0.92)</f>
        <v>1227.7428724073177</v>
      </c>
      <c r="K121" s="71"/>
    </row>
    <row r="122" spans="1:20" ht="15" customHeight="1" x14ac:dyDescent="0.3">
      <c r="A122" s="63"/>
      <c r="B122" s="76"/>
      <c r="C122" s="74"/>
      <c r="D122" s="75"/>
      <c r="E122" s="75"/>
      <c r="F122" s="75"/>
      <c r="G122" s="75"/>
      <c r="H122" s="75"/>
      <c r="I122" s="75"/>
      <c r="J122" s="65"/>
      <c r="K122" s="71"/>
      <c r="M122" s="35"/>
    </row>
    <row r="123" spans="1:20" ht="19.8" x14ac:dyDescent="0.3">
      <c r="A123" s="20">
        <v>15</v>
      </c>
      <c r="B123" s="30" t="s">
        <v>82</v>
      </c>
      <c r="C123" s="21">
        <v>1</v>
      </c>
      <c r="D123" s="22"/>
      <c r="E123" s="23"/>
      <c r="F123" s="23"/>
      <c r="G123" s="70">
        <f t="shared" ref="G123" si="10">PRODUCT(C123:F123)</f>
        <v>1</v>
      </c>
      <c r="H123" s="28" t="s">
        <v>62</v>
      </c>
      <c r="I123" s="29">
        <v>10000</v>
      </c>
      <c r="J123" s="70">
        <f>G123*I123</f>
        <v>10000</v>
      </c>
      <c r="K123" s="23"/>
      <c r="M123" s="25"/>
      <c r="N123" s="12"/>
      <c r="O123" s="12"/>
      <c r="P123" s="12"/>
      <c r="Q123" s="12"/>
      <c r="R123" s="12"/>
      <c r="S123" s="12"/>
      <c r="T123" s="12"/>
    </row>
    <row r="124" spans="1:20" ht="15" customHeight="1" x14ac:dyDescent="0.3">
      <c r="A124" s="63"/>
      <c r="B124" s="68"/>
      <c r="C124" s="69"/>
      <c r="D124" s="64"/>
      <c r="E124" s="64"/>
      <c r="F124" s="64"/>
      <c r="G124" s="64"/>
      <c r="H124" s="64"/>
      <c r="I124" s="64"/>
      <c r="J124" s="65"/>
      <c r="K124" s="66"/>
    </row>
    <row r="125" spans="1:20" ht="19.8" x14ac:dyDescent="0.3">
      <c r="A125" s="20">
        <v>15</v>
      </c>
      <c r="B125" s="30" t="s">
        <v>28</v>
      </c>
      <c r="C125" s="21">
        <v>1</v>
      </c>
      <c r="D125" s="22"/>
      <c r="E125" s="23"/>
      <c r="F125" s="23"/>
      <c r="G125" s="70">
        <f t="shared" ref="G125" si="11">PRODUCT(C125:F125)</f>
        <v>1</v>
      </c>
      <c r="H125" s="28" t="s">
        <v>29</v>
      </c>
      <c r="I125" s="29">
        <v>500</v>
      </c>
      <c r="J125" s="70">
        <f>G125*I125</f>
        <v>500</v>
      </c>
      <c r="K125" s="23"/>
      <c r="M125" s="25"/>
      <c r="N125" s="12"/>
      <c r="O125" s="12"/>
      <c r="P125" s="12"/>
      <c r="Q125" s="12"/>
      <c r="R125" s="12"/>
      <c r="S125" s="12"/>
      <c r="T125" s="12"/>
    </row>
    <row r="126" spans="1:20" ht="15" customHeight="1" x14ac:dyDescent="0.3">
      <c r="A126" s="63"/>
      <c r="B126" s="68"/>
      <c r="C126" s="69"/>
      <c r="D126" s="64"/>
      <c r="E126" s="64"/>
      <c r="F126" s="64"/>
      <c r="G126" s="64"/>
      <c r="H126" s="64"/>
      <c r="I126" s="64"/>
      <c r="J126" s="65"/>
      <c r="K126" s="66"/>
    </row>
    <row r="127" spans="1:20" x14ac:dyDescent="0.3">
      <c r="A127" s="63"/>
      <c r="B127" s="82" t="s">
        <v>15</v>
      </c>
      <c r="C127" s="69"/>
      <c r="D127" s="64"/>
      <c r="E127" s="64"/>
      <c r="F127" s="64"/>
      <c r="G127" s="70"/>
      <c r="H127" s="70"/>
      <c r="I127" s="70"/>
      <c r="J127" s="70">
        <f>SUM(J9:J125)</f>
        <v>600821.06516986643</v>
      </c>
      <c r="K127" s="66"/>
    </row>
    <row r="129" spans="2:11" s="1" customFormat="1" x14ac:dyDescent="0.3">
      <c r="B129" s="11" t="s">
        <v>89</v>
      </c>
      <c r="C129" s="45">
        <f>J127</f>
        <v>600821.06516986643</v>
      </c>
      <c r="D129" s="46"/>
      <c r="E129" s="10">
        <v>100</v>
      </c>
      <c r="F129" s="12"/>
      <c r="G129" s="13"/>
      <c r="H129" s="12"/>
      <c r="I129" s="14"/>
      <c r="J129" s="15"/>
      <c r="K129" s="16"/>
    </row>
    <row r="130" spans="2:11" x14ac:dyDescent="0.3">
      <c r="B130" s="11" t="s">
        <v>30</v>
      </c>
      <c r="C130" s="48">
        <v>500000</v>
      </c>
      <c r="D130" s="49"/>
      <c r="E130" s="10"/>
    </row>
    <row r="131" spans="2:11" x14ac:dyDescent="0.3">
      <c r="B131" s="11" t="s">
        <v>31</v>
      </c>
      <c r="C131" s="48">
        <f>C130-C133-C134</f>
        <v>475000</v>
      </c>
      <c r="D131" s="49"/>
      <c r="E131" s="10">
        <f>C131/C129*100</f>
        <v>79.058479726523274</v>
      </c>
    </row>
    <row r="132" spans="2:11" x14ac:dyDescent="0.3">
      <c r="B132" s="11" t="s">
        <v>32</v>
      </c>
      <c r="C132" s="50">
        <f>C129-C131</f>
        <v>125821.06516986643</v>
      </c>
      <c r="D132" s="50"/>
      <c r="E132" s="10">
        <f>100-E131</f>
        <v>20.941520273476726</v>
      </c>
    </row>
    <row r="133" spans="2:11" x14ac:dyDescent="0.3">
      <c r="B133" s="11" t="s">
        <v>33</v>
      </c>
      <c r="C133" s="45">
        <f>C130*0.03</f>
        <v>15000</v>
      </c>
      <c r="D133" s="46"/>
      <c r="E133" s="10">
        <v>3</v>
      </c>
    </row>
    <row r="134" spans="2:11" x14ac:dyDescent="0.3">
      <c r="B134" s="11" t="s">
        <v>34</v>
      </c>
      <c r="C134" s="45">
        <f>C130*0.02</f>
        <v>10000</v>
      </c>
      <c r="D134" s="46"/>
      <c r="E134" s="10">
        <v>2</v>
      </c>
    </row>
  </sheetData>
  <mergeCells count="14">
    <mergeCell ref="H6:K6"/>
    <mergeCell ref="A1:K1"/>
    <mergeCell ref="A2:K2"/>
    <mergeCell ref="A3:K3"/>
    <mergeCell ref="A4:K4"/>
    <mergeCell ref="A5:K5"/>
    <mergeCell ref="C133:D133"/>
    <mergeCell ref="C134:D134"/>
    <mergeCell ref="A7:F7"/>
    <mergeCell ref="H7:K7"/>
    <mergeCell ref="C129:D129"/>
    <mergeCell ref="C130:D130"/>
    <mergeCell ref="C131:D131"/>
    <mergeCell ref="C132:D132"/>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34"/>
  <sheetViews>
    <sheetView tabSelected="1" topLeftCell="A4" zoomScaleNormal="100" zoomScaleSheetLayoutView="80" workbookViewId="0">
      <selection activeCell="M9" sqref="M9"/>
    </sheetView>
  </sheetViews>
  <sheetFormatPr defaultRowHeight="14.4" x14ac:dyDescent="0.3"/>
  <cols>
    <col min="1" max="1" width="4.44140625" style="5" customWidth="1"/>
    <col min="2" max="2" width="31.33203125" customWidth="1"/>
    <col min="3" max="3" width="4.33203125" bestFit="1" customWidth="1"/>
    <col min="4" max="4" width="9.33203125" customWidth="1"/>
    <col min="5" max="5" width="7.88671875" customWidth="1"/>
    <col min="6" max="6" width="7.5546875" customWidth="1"/>
    <col min="7" max="7" width="8.5546875" style="5" customWidth="1"/>
    <col min="8" max="8" width="5.33203125" style="5" bestFit="1" customWidth="1"/>
    <col min="9" max="9" width="10.6640625" style="5" hidden="1" customWidth="1"/>
    <col min="10" max="10" width="10.5546875" style="5" hidden="1" customWidth="1"/>
    <col min="11" max="11" width="8.33203125" customWidth="1"/>
    <col min="14" max="14" width="9.5546875" bestFit="1" customWidth="1"/>
    <col min="15" max="15" width="12" bestFit="1" customWidth="1"/>
    <col min="16" max="16" width="12.109375" customWidth="1"/>
    <col min="17" max="17" width="14.44140625" customWidth="1"/>
  </cols>
  <sheetData>
    <row r="1" spans="1:14" s="1" customFormat="1" x14ac:dyDescent="0.3">
      <c r="A1" s="41" t="s">
        <v>0</v>
      </c>
      <c r="B1" s="41"/>
      <c r="C1" s="41"/>
      <c r="D1" s="41"/>
      <c r="E1" s="41"/>
      <c r="F1" s="41"/>
      <c r="G1" s="41"/>
      <c r="H1" s="41"/>
      <c r="I1" s="41"/>
      <c r="J1" s="41"/>
      <c r="K1" s="41"/>
    </row>
    <row r="2" spans="1:14" s="1" customFormat="1" ht="22.8" x14ac:dyDescent="0.3">
      <c r="A2" s="42" t="s">
        <v>1</v>
      </c>
      <c r="B2" s="42"/>
      <c r="C2" s="42"/>
      <c r="D2" s="42"/>
      <c r="E2" s="42"/>
      <c r="F2" s="42"/>
      <c r="G2" s="42"/>
      <c r="H2" s="42"/>
      <c r="I2" s="42"/>
      <c r="J2" s="42"/>
      <c r="K2" s="42"/>
    </row>
    <row r="3" spans="1:14" s="1" customFormat="1" x14ac:dyDescent="0.3">
      <c r="A3" s="43" t="s">
        <v>2</v>
      </c>
      <c r="B3" s="43"/>
      <c r="C3" s="43"/>
      <c r="D3" s="43"/>
      <c r="E3" s="43"/>
      <c r="F3" s="43"/>
      <c r="G3" s="43"/>
      <c r="H3" s="43"/>
      <c r="I3" s="43"/>
      <c r="J3" s="43"/>
      <c r="K3" s="43"/>
      <c r="N3" s="36"/>
    </row>
    <row r="4" spans="1:14" s="1" customFormat="1" x14ac:dyDescent="0.3">
      <c r="A4" s="43" t="s">
        <v>3</v>
      </c>
      <c r="B4" s="43"/>
      <c r="C4" s="43"/>
      <c r="D4" s="43"/>
      <c r="E4" s="43"/>
      <c r="F4" s="43"/>
      <c r="G4" s="43"/>
      <c r="H4" s="43"/>
      <c r="I4" s="43"/>
      <c r="J4" s="43"/>
      <c r="K4" s="43"/>
      <c r="N4" s="36"/>
    </row>
    <row r="5" spans="1:14" ht="17.399999999999999" x14ac:dyDescent="0.3">
      <c r="A5" s="44" t="s">
        <v>90</v>
      </c>
      <c r="B5" s="44"/>
      <c r="C5" s="44"/>
      <c r="D5" s="44"/>
      <c r="E5" s="44"/>
      <c r="F5" s="44"/>
      <c r="G5" s="44"/>
      <c r="H5" s="44"/>
      <c r="I5" s="44"/>
      <c r="J5" s="44"/>
      <c r="K5" s="44"/>
      <c r="M5" s="1"/>
      <c r="N5" s="36"/>
    </row>
    <row r="6" spans="1:14" ht="15.6" x14ac:dyDescent="0.3">
      <c r="A6" s="31" t="s">
        <v>68</v>
      </c>
      <c r="B6" s="31"/>
      <c r="C6" s="31"/>
      <c r="D6" s="31"/>
      <c r="E6" s="31"/>
      <c r="F6" s="31"/>
      <c r="G6" s="2"/>
      <c r="I6" s="31"/>
      <c r="J6" s="31"/>
      <c r="K6" s="38" t="s">
        <v>40</v>
      </c>
      <c r="M6" s="1"/>
      <c r="N6" s="36"/>
    </row>
    <row r="7" spans="1:14" ht="15.6" x14ac:dyDescent="0.3">
      <c r="A7" s="47" t="s">
        <v>26</v>
      </c>
      <c r="B7" s="47"/>
      <c r="C7" s="47"/>
      <c r="D7" s="47"/>
      <c r="E7" s="47"/>
      <c r="F7" s="47"/>
      <c r="G7" s="3"/>
      <c r="I7" s="31"/>
      <c r="J7" s="31"/>
      <c r="K7" s="38" t="s">
        <v>86</v>
      </c>
      <c r="N7" s="36"/>
    </row>
    <row r="8" spans="1:14" ht="15" customHeight="1" x14ac:dyDescent="0.3">
      <c r="A8" s="4" t="s">
        <v>4</v>
      </c>
      <c r="B8" s="17" t="s">
        <v>5</v>
      </c>
      <c r="C8" s="4" t="s">
        <v>6</v>
      </c>
      <c r="D8" s="18" t="s">
        <v>7</v>
      </c>
      <c r="E8" s="18" t="s">
        <v>8</v>
      </c>
      <c r="F8" s="18" t="s">
        <v>9</v>
      </c>
      <c r="G8" s="18" t="s">
        <v>10</v>
      </c>
      <c r="H8" s="4" t="s">
        <v>11</v>
      </c>
      <c r="I8" s="18" t="s">
        <v>12</v>
      </c>
      <c r="J8" s="18" t="s">
        <v>13</v>
      </c>
      <c r="K8" s="19" t="s">
        <v>14</v>
      </c>
      <c r="N8" s="37"/>
    </row>
    <row r="9" spans="1:14" ht="41.4" x14ac:dyDescent="0.3">
      <c r="A9" s="63">
        <v>1</v>
      </c>
      <c r="B9" s="34" t="s">
        <v>83</v>
      </c>
      <c r="C9" s="33"/>
      <c r="D9" s="64"/>
      <c r="E9" s="64"/>
      <c r="F9" s="64"/>
      <c r="G9" s="64"/>
      <c r="H9" s="64"/>
      <c r="I9" s="64"/>
      <c r="J9" s="65"/>
      <c r="K9" s="66"/>
    </row>
    <row r="10" spans="1:14" ht="17.399999999999999" x14ac:dyDescent="0.3">
      <c r="A10" s="63"/>
      <c r="B10" s="67" t="s">
        <v>76</v>
      </c>
      <c r="C10" s="33"/>
      <c r="D10" s="64"/>
      <c r="E10" s="64"/>
      <c r="F10" s="64"/>
      <c r="G10" s="64"/>
      <c r="H10" s="64"/>
      <c r="I10" s="64"/>
      <c r="J10" s="65"/>
      <c r="K10" s="66"/>
    </row>
    <row r="11" spans="1:14" ht="15" customHeight="1" x14ac:dyDescent="0.3">
      <c r="A11" s="63"/>
      <c r="B11" s="68" t="s">
        <v>63</v>
      </c>
      <c r="C11" s="69">
        <v>2</v>
      </c>
      <c r="D11" s="64">
        <v>2.97</v>
      </c>
      <c r="E11" s="64"/>
      <c r="F11" s="64">
        <f>1.11+0.7</f>
        <v>1.81</v>
      </c>
      <c r="G11" s="64">
        <f t="shared" ref="G11:G21" si="0">PRODUCT(C11:F11)</f>
        <v>10.7514</v>
      </c>
      <c r="H11" s="64"/>
      <c r="I11" s="70"/>
      <c r="J11" s="70"/>
      <c r="K11" s="66"/>
    </row>
    <row r="12" spans="1:14" ht="15" customHeight="1" x14ac:dyDescent="0.3">
      <c r="A12" s="63"/>
      <c r="B12" s="68"/>
      <c r="C12" s="69">
        <v>2</v>
      </c>
      <c r="D12" s="64">
        <v>2.97</v>
      </c>
      <c r="E12" s="64"/>
      <c r="F12" s="64">
        <f>1.11+0.7</f>
        <v>1.81</v>
      </c>
      <c r="G12" s="64">
        <f t="shared" si="0"/>
        <v>10.7514</v>
      </c>
      <c r="H12" s="64"/>
      <c r="I12" s="70"/>
      <c r="J12" s="70"/>
      <c r="K12" s="66"/>
    </row>
    <row r="13" spans="1:14" ht="28.8" x14ac:dyDescent="0.3">
      <c r="A13" s="63"/>
      <c r="B13" s="68" t="s">
        <v>65</v>
      </c>
      <c r="C13" s="69">
        <f>-C31</f>
        <v>0</v>
      </c>
      <c r="D13" s="64">
        <f>D31</f>
        <v>0.53337397135019804</v>
      </c>
      <c r="E13" s="64"/>
      <c r="F13" s="64">
        <f>F31</f>
        <v>0.75</v>
      </c>
      <c r="G13" s="64">
        <f t="shared" si="0"/>
        <v>0</v>
      </c>
      <c r="H13" s="64"/>
      <c r="I13" s="70"/>
      <c r="J13" s="70"/>
      <c r="K13" s="66"/>
    </row>
    <row r="14" spans="1:14" ht="15" customHeight="1" x14ac:dyDescent="0.3">
      <c r="A14" s="63"/>
      <c r="B14" s="68" t="s">
        <v>39</v>
      </c>
      <c r="C14" s="69">
        <f>C28</f>
        <v>-2</v>
      </c>
      <c r="D14" s="64">
        <f>D28</f>
        <v>0.7</v>
      </c>
      <c r="E14" s="64"/>
      <c r="F14" s="64">
        <f>F28</f>
        <v>0.7</v>
      </c>
      <c r="G14" s="64">
        <f t="shared" si="0"/>
        <v>-0.97999999999999987</v>
      </c>
      <c r="H14" s="64"/>
      <c r="I14" s="70"/>
      <c r="J14" s="70"/>
      <c r="K14" s="66"/>
    </row>
    <row r="15" spans="1:14" ht="15" customHeight="1" x14ac:dyDescent="0.3">
      <c r="A15" s="63"/>
      <c r="B15" s="68" t="s">
        <v>38</v>
      </c>
      <c r="C15" s="69">
        <f>C29</f>
        <v>-1</v>
      </c>
      <c r="D15" s="64">
        <f>D29+0.15+0.15+0.05</f>
        <v>1.5499999999999998</v>
      </c>
      <c r="E15" s="64"/>
      <c r="F15" s="64">
        <f>F29</f>
        <v>2.4382810118866196</v>
      </c>
      <c r="G15" s="64">
        <f t="shared" si="0"/>
        <v>-3.7793355684242598</v>
      </c>
      <c r="H15" s="64"/>
      <c r="I15" s="70"/>
      <c r="J15" s="70"/>
      <c r="K15" s="66"/>
    </row>
    <row r="16" spans="1:14" ht="15" customHeight="1" x14ac:dyDescent="0.3">
      <c r="A16" s="63"/>
      <c r="B16" s="68" t="s">
        <v>44</v>
      </c>
      <c r="C16" s="69">
        <f>C30</f>
        <v>0</v>
      </c>
      <c r="D16" s="64">
        <v>2.08</v>
      </c>
      <c r="E16" s="64"/>
      <c r="F16" s="64">
        <f>0.75-0.15*4</f>
        <v>0.15000000000000002</v>
      </c>
      <c r="G16" s="64">
        <f t="shared" si="0"/>
        <v>0</v>
      </c>
      <c r="H16" s="64"/>
      <c r="I16" s="70"/>
      <c r="J16" s="70"/>
      <c r="K16" s="66"/>
    </row>
    <row r="17" spans="1:11" ht="15" customHeight="1" x14ac:dyDescent="0.3">
      <c r="A17" s="63"/>
      <c r="B17" s="67" t="s">
        <v>66</v>
      </c>
      <c r="C17" s="71"/>
      <c r="D17" s="71"/>
      <c r="E17" s="71"/>
      <c r="F17" s="71"/>
      <c r="G17" s="72"/>
      <c r="H17" s="64"/>
      <c r="I17" s="70"/>
      <c r="J17" s="70"/>
      <c r="K17" s="66"/>
    </row>
    <row r="18" spans="1:11" ht="15" customHeight="1" x14ac:dyDescent="0.3">
      <c r="A18" s="63"/>
      <c r="B18" s="68" t="s">
        <v>80</v>
      </c>
      <c r="C18" s="69">
        <v>4</v>
      </c>
      <c r="D18" s="64">
        <f>76/12/3.281</f>
        <v>1.9303058010769072</v>
      </c>
      <c r="E18" s="64"/>
      <c r="F18" s="64">
        <f>20/12/3.281</f>
        <v>0.50797521080971253</v>
      </c>
      <c r="G18" s="64">
        <f>PRODUCT(C18:F18)</f>
        <v>3.9221899849170119</v>
      </c>
      <c r="H18" s="64"/>
      <c r="I18" s="70"/>
      <c r="J18" s="70"/>
      <c r="K18" s="66"/>
    </row>
    <row r="19" spans="1:11" ht="15" customHeight="1" x14ac:dyDescent="0.3">
      <c r="A19" s="63"/>
      <c r="B19" s="68" t="s">
        <v>67</v>
      </c>
      <c r="C19" s="69">
        <v>-4</v>
      </c>
      <c r="D19" s="64">
        <f>10.5/12/3.281</f>
        <v>0.26668698567509902</v>
      </c>
      <c r="E19" s="64"/>
      <c r="F19" s="64">
        <f>1/3.281</f>
        <v>0.30478512648582745</v>
      </c>
      <c r="G19" s="64">
        <f t="shared" si="0"/>
        <v>-0.32512890664443644</v>
      </c>
      <c r="H19" s="64"/>
      <c r="I19" s="70"/>
      <c r="J19" s="70"/>
      <c r="K19" s="66"/>
    </row>
    <row r="20" spans="1:11" ht="15" customHeight="1" x14ac:dyDescent="0.3">
      <c r="A20" s="63"/>
      <c r="B20" s="68"/>
      <c r="C20" s="69">
        <f>C19</f>
        <v>-4</v>
      </c>
      <c r="D20" s="64">
        <f>26/12/3.281</f>
        <v>0.66036777405262614</v>
      </c>
      <c r="E20" s="64"/>
      <c r="F20" s="64">
        <f>5/12/3.281</f>
        <v>0.12699380270242813</v>
      </c>
      <c r="G20" s="64">
        <f t="shared" si="0"/>
        <v>-0.33545045923632338</v>
      </c>
      <c r="H20" s="64"/>
      <c r="I20" s="70"/>
      <c r="J20" s="70"/>
      <c r="K20" s="66"/>
    </row>
    <row r="21" spans="1:11" ht="15" customHeight="1" x14ac:dyDescent="0.3">
      <c r="A21" s="63"/>
      <c r="B21" s="68"/>
      <c r="C21" s="69">
        <f>C19</f>
        <v>-4</v>
      </c>
      <c r="D21" s="64">
        <f>24/12/3.281</f>
        <v>0.6095702529716549</v>
      </c>
      <c r="E21" s="64"/>
      <c r="F21" s="64">
        <f>3/12/3.281</f>
        <v>7.6196281621456863E-2</v>
      </c>
      <c r="G21" s="64">
        <f t="shared" si="0"/>
        <v>-0.18578794665396367</v>
      </c>
      <c r="H21" s="64"/>
      <c r="I21" s="70"/>
      <c r="J21" s="70"/>
      <c r="K21" s="66"/>
    </row>
    <row r="22" spans="1:11" ht="15" customHeight="1" x14ac:dyDescent="0.3">
      <c r="A22" s="63"/>
      <c r="B22" s="68" t="s">
        <v>36</v>
      </c>
      <c r="C22" s="69"/>
      <c r="D22" s="64"/>
      <c r="E22" s="64"/>
      <c r="F22" s="64"/>
      <c r="G22" s="70">
        <f>SUM(G11:G21)</f>
        <v>19.819287103958029</v>
      </c>
      <c r="H22" s="70" t="s">
        <v>37</v>
      </c>
      <c r="I22" s="70">
        <f>5810.57/1.15</f>
        <v>5052.6695652173912</v>
      </c>
      <c r="J22" s="70">
        <f>G22*I22</f>
        <v>100140.30875447426</v>
      </c>
      <c r="K22" s="66"/>
    </row>
    <row r="23" spans="1:11" ht="15" hidden="1" customHeight="1" x14ac:dyDescent="0.3">
      <c r="A23" s="63"/>
      <c r="B23" s="68" t="s">
        <v>43</v>
      </c>
      <c r="C23" s="69"/>
      <c r="D23" s="64"/>
      <c r="E23" s="64"/>
      <c r="F23" s="64"/>
      <c r="G23" s="70"/>
      <c r="H23" s="70"/>
      <c r="I23" s="70"/>
      <c r="J23" s="70">
        <f>0.13*G22*(309557.25/100)</f>
        <v>7975.7652167202259</v>
      </c>
      <c r="K23" s="66"/>
    </row>
    <row r="24" spans="1:11" ht="15" customHeight="1" x14ac:dyDescent="0.3">
      <c r="A24" s="63"/>
      <c r="B24" s="68"/>
      <c r="C24" s="69"/>
      <c r="D24" s="64"/>
      <c r="E24" s="64"/>
      <c r="F24" s="64"/>
      <c r="G24" s="70"/>
      <c r="H24" s="70"/>
      <c r="I24" s="70"/>
      <c r="J24" s="70"/>
      <c r="K24" s="66"/>
    </row>
    <row r="25" spans="1:11" ht="30" x14ac:dyDescent="0.3">
      <c r="A25" s="63">
        <v>2</v>
      </c>
      <c r="B25" s="32" t="s">
        <v>64</v>
      </c>
      <c r="C25" s="69"/>
      <c r="D25" s="64"/>
      <c r="E25" s="64"/>
      <c r="F25" s="64"/>
      <c r="G25" s="70"/>
      <c r="H25" s="70"/>
      <c r="I25" s="70"/>
      <c r="J25" s="70"/>
      <c r="K25" s="66"/>
    </row>
    <row r="26" spans="1:11" x14ac:dyDescent="0.3">
      <c r="A26" s="63"/>
      <c r="B26" s="68" t="s">
        <v>69</v>
      </c>
      <c r="C26" s="69">
        <v>2</v>
      </c>
      <c r="D26" s="64">
        <v>2.0699999999999998</v>
      </c>
      <c r="E26" s="64">
        <v>0.1</v>
      </c>
      <c r="F26" s="64">
        <f>8/3.281</f>
        <v>2.4382810118866196</v>
      </c>
      <c r="G26" s="64">
        <f t="shared" ref="G26:G29" si="1">PRODUCT(C26:F26)</f>
        <v>1.0094483389210605</v>
      </c>
      <c r="H26" s="70"/>
      <c r="I26" s="70"/>
      <c r="J26" s="70"/>
      <c r="K26" s="66"/>
    </row>
    <row r="27" spans="1:11" ht="15" x14ac:dyDescent="0.3">
      <c r="A27" s="63"/>
      <c r="B27" s="32"/>
      <c r="C27" s="69">
        <v>2</v>
      </c>
      <c r="D27" s="64">
        <v>2.0699999999999998</v>
      </c>
      <c r="E27" s="64">
        <v>0.1</v>
      </c>
      <c r="F27" s="64">
        <f>8/3.281</f>
        <v>2.4382810118866196</v>
      </c>
      <c r="G27" s="64">
        <f t="shared" si="1"/>
        <v>1.0094483389210605</v>
      </c>
      <c r="H27" s="70"/>
      <c r="I27" s="70"/>
      <c r="J27" s="70"/>
      <c r="K27" s="66"/>
    </row>
    <row r="28" spans="1:11" x14ac:dyDescent="0.3">
      <c r="A28" s="63"/>
      <c r="B28" s="68" t="s">
        <v>70</v>
      </c>
      <c r="C28" s="69">
        <v>-2</v>
      </c>
      <c r="D28" s="64">
        <v>0.7</v>
      </c>
      <c r="E28" s="64">
        <v>0.1</v>
      </c>
      <c r="F28" s="64">
        <v>0.7</v>
      </c>
      <c r="G28" s="64">
        <f t="shared" si="1"/>
        <v>-9.799999999999999E-2</v>
      </c>
      <c r="H28" s="70"/>
      <c r="I28" s="70"/>
      <c r="J28" s="70"/>
      <c r="K28" s="66"/>
    </row>
    <row r="29" spans="1:11" x14ac:dyDescent="0.3">
      <c r="A29" s="63"/>
      <c r="B29" s="68" t="s">
        <v>71</v>
      </c>
      <c r="C29" s="69">
        <v>-1</v>
      </c>
      <c r="D29" s="64">
        <v>1.2</v>
      </c>
      <c r="E29" s="64">
        <v>0.1</v>
      </c>
      <c r="F29" s="64">
        <f>8/3.281</f>
        <v>2.4382810118866196</v>
      </c>
      <c r="G29" s="64">
        <f t="shared" si="1"/>
        <v>-0.29259372142639434</v>
      </c>
      <c r="H29" s="70"/>
      <c r="I29" s="70"/>
      <c r="J29" s="70"/>
      <c r="K29" s="66"/>
    </row>
    <row r="30" spans="1:11" ht="15" customHeight="1" x14ac:dyDescent="0.3">
      <c r="A30" s="63"/>
      <c r="B30" s="68" t="s">
        <v>44</v>
      </c>
      <c r="C30" s="69">
        <f>0*1</f>
        <v>0</v>
      </c>
      <c r="D30" s="64">
        <f>D16</f>
        <v>2.08</v>
      </c>
      <c r="E30" s="64">
        <v>0.1</v>
      </c>
      <c r="F30" s="64">
        <f>F16</f>
        <v>0.15000000000000002</v>
      </c>
      <c r="G30" s="64">
        <f>PRODUCT(C30:F30)</f>
        <v>0</v>
      </c>
      <c r="H30" s="64"/>
      <c r="I30" s="70"/>
      <c r="J30" s="70"/>
      <c r="K30" s="66"/>
    </row>
    <row r="31" spans="1:11" ht="15" customHeight="1" x14ac:dyDescent="0.3">
      <c r="A31" s="63"/>
      <c r="B31" s="68"/>
      <c r="C31" s="69">
        <f>0*2</f>
        <v>0</v>
      </c>
      <c r="D31" s="64">
        <f>(1.75/3.281)</f>
        <v>0.53337397135019804</v>
      </c>
      <c r="E31" s="64">
        <v>0.1</v>
      </c>
      <c r="F31" s="64">
        <v>0.75</v>
      </c>
      <c r="G31" s="64">
        <f>PRODUCT(C31:F31)</f>
        <v>0</v>
      </c>
      <c r="H31" s="64"/>
      <c r="I31" s="70"/>
      <c r="J31" s="70"/>
      <c r="K31" s="66"/>
    </row>
    <row r="32" spans="1:11" ht="15" customHeight="1" x14ac:dyDescent="0.3">
      <c r="A32" s="63"/>
      <c r="B32" s="68" t="str">
        <f>B17</f>
        <v>-2nd floor</v>
      </c>
      <c r="C32" s="69">
        <v>1</v>
      </c>
      <c r="D32" s="64">
        <f>73/12/3.281</f>
        <v>1.8541095194554504</v>
      </c>
      <c r="E32" s="64">
        <v>0.1</v>
      </c>
      <c r="F32" s="64">
        <f>0.1</f>
        <v>0.1</v>
      </c>
      <c r="G32" s="64">
        <f>PRODUCT(C32:F32)</f>
        <v>1.8541095194554505E-2</v>
      </c>
      <c r="H32" s="64"/>
      <c r="I32" s="70"/>
      <c r="J32" s="70"/>
      <c r="K32" s="66"/>
    </row>
    <row r="33" spans="1:19" ht="15" customHeight="1" x14ac:dyDescent="0.3">
      <c r="A33" s="63"/>
      <c r="B33" s="68" t="s">
        <v>36</v>
      </c>
      <c r="C33" s="69"/>
      <c r="D33" s="64"/>
      <c r="E33" s="64"/>
      <c r="F33" s="64"/>
      <c r="G33" s="70">
        <f>SUM(G26:G32)</f>
        <v>1.6468440516102811</v>
      </c>
      <c r="H33" s="70" t="s">
        <v>42</v>
      </c>
      <c r="I33" s="70">
        <v>14362.76</v>
      </c>
      <c r="J33" s="70">
        <f>G33*I33</f>
        <v>23653.225870706083</v>
      </c>
      <c r="K33" s="66"/>
    </row>
    <row r="34" spans="1:19" ht="15" hidden="1" customHeight="1" x14ac:dyDescent="0.3">
      <c r="A34" s="63"/>
      <c r="B34" s="68" t="s">
        <v>43</v>
      </c>
      <c r="C34" s="69"/>
      <c r="D34" s="64"/>
      <c r="E34" s="64"/>
      <c r="F34" s="64"/>
      <c r="G34" s="70"/>
      <c r="H34" s="70"/>
      <c r="I34" s="70"/>
      <c r="J34" s="70">
        <f>0.13*G33*10311.74</f>
        <v>2207.637598497734</v>
      </c>
      <c r="K34" s="66"/>
    </row>
    <row r="35" spans="1:19" ht="15" customHeight="1" x14ac:dyDescent="0.3">
      <c r="A35" s="20"/>
      <c r="B35" s="24"/>
      <c r="C35" s="21"/>
      <c r="D35" s="22"/>
      <c r="E35" s="23"/>
      <c r="F35" s="23"/>
      <c r="G35" s="29"/>
      <c r="H35" s="28"/>
      <c r="I35" s="29"/>
      <c r="J35" s="70"/>
      <c r="K35" s="23"/>
      <c r="M35" s="25"/>
      <c r="N35" s="1"/>
      <c r="O35" s="1"/>
      <c r="P35" s="1"/>
      <c r="Q35" s="1"/>
      <c r="R35" s="25"/>
      <c r="S35" s="25"/>
    </row>
    <row r="36" spans="1:19" ht="27.6" x14ac:dyDescent="0.3">
      <c r="A36" s="20">
        <v>3</v>
      </c>
      <c r="B36" s="30" t="s">
        <v>53</v>
      </c>
      <c r="C36" s="21"/>
      <c r="D36" s="22"/>
      <c r="E36" s="23"/>
      <c r="F36" s="23"/>
      <c r="G36" s="29"/>
      <c r="H36" s="28"/>
      <c r="I36" s="29"/>
      <c r="J36" s="70"/>
      <c r="K36" s="23"/>
      <c r="M36" s="25"/>
      <c r="N36" s="1"/>
      <c r="O36" s="1"/>
      <c r="P36" s="1"/>
      <c r="Q36" s="1"/>
      <c r="R36" s="25"/>
      <c r="S36" s="25"/>
    </row>
    <row r="37" spans="1:19" ht="15" customHeight="1" x14ac:dyDescent="0.3">
      <c r="A37" s="63"/>
      <c r="B37" s="68" t="s">
        <v>54</v>
      </c>
      <c r="C37" s="69">
        <v>1</v>
      </c>
      <c r="D37" s="64">
        <f>3.06*4</f>
        <v>12.24</v>
      </c>
      <c r="E37" s="64"/>
      <c r="F37" s="64"/>
      <c r="G37" s="64">
        <f>PRODUCT(C37:F37)</f>
        <v>12.24</v>
      </c>
      <c r="H37" s="64"/>
      <c r="I37" s="70"/>
      <c r="J37" s="70"/>
      <c r="K37" s="66"/>
    </row>
    <row r="38" spans="1:19" ht="15" customHeight="1" x14ac:dyDescent="0.3">
      <c r="A38" s="63"/>
      <c r="B38" s="68" t="s">
        <v>36</v>
      </c>
      <c r="C38" s="69"/>
      <c r="D38" s="64"/>
      <c r="E38" s="64"/>
      <c r="F38" s="64"/>
      <c r="G38" s="70">
        <f>SUM(G37)</f>
        <v>12.24</v>
      </c>
      <c r="H38" s="70" t="s">
        <v>55</v>
      </c>
      <c r="I38" s="70">
        <f>465.63/1.15</f>
        <v>404.89565217391305</v>
      </c>
      <c r="J38" s="70">
        <f>G38*I38</f>
        <v>4955.9227826086963</v>
      </c>
      <c r="K38" s="66"/>
    </row>
    <row r="39" spans="1:19" ht="15" hidden="1" customHeight="1" x14ac:dyDescent="0.3">
      <c r="A39" s="63"/>
      <c r="B39" s="68" t="s">
        <v>43</v>
      </c>
      <c r="C39" s="69"/>
      <c r="D39" s="64"/>
      <c r="E39" s="64"/>
      <c r="F39" s="64"/>
      <c r="G39" s="70"/>
      <c r="H39" s="70"/>
      <c r="I39" s="70"/>
      <c r="J39" s="70">
        <f>0.13*G38*(2780.61/10)</f>
        <v>442.45066320000012</v>
      </c>
      <c r="K39" s="66"/>
    </row>
    <row r="40" spans="1:19" ht="15" customHeight="1" x14ac:dyDescent="0.3">
      <c r="A40" s="63"/>
      <c r="B40" s="68"/>
      <c r="C40" s="69"/>
      <c r="D40" s="64"/>
      <c r="E40" s="64"/>
      <c r="F40" s="64"/>
      <c r="G40" s="64"/>
      <c r="H40" s="64"/>
      <c r="I40" s="64"/>
      <c r="J40" s="65"/>
      <c r="K40" s="66"/>
    </row>
    <row r="41" spans="1:19" ht="27.6" x14ac:dyDescent="0.3">
      <c r="A41" s="20">
        <v>4</v>
      </c>
      <c r="B41" s="30" t="s">
        <v>56</v>
      </c>
      <c r="C41" s="21"/>
      <c r="D41" s="22"/>
      <c r="E41" s="23"/>
      <c r="F41" s="23"/>
      <c r="G41" s="29"/>
      <c r="H41" s="28"/>
      <c r="I41" s="29"/>
      <c r="J41" s="70"/>
      <c r="K41" s="23"/>
      <c r="M41" s="25"/>
      <c r="N41" s="1"/>
      <c r="O41" s="1"/>
      <c r="P41" s="1"/>
      <c r="Q41" s="1"/>
      <c r="R41" s="25"/>
      <c r="S41" s="25"/>
    </row>
    <row r="42" spans="1:19" ht="15" customHeight="1" x14ac:dyDescent="0.3">
      <c r="A42" s="63"/>
      <c r="B42" s="68" t="s">
        <v>54</v>
      </c>
      <c r="C42" s="69">
        <v>1</v>
      </c>
      <c r="D42" s="64">
        <f>D37</f>
        <v>12.24</v>
      </c>
      <c r="E42" s="64"/>
      <c r="F42" s="64"/>
      <c r="G42" s="64">
        <f>PRODUCT(C42:F42)</f>
        <v>12.24</v>
      </c>
      <c r="H42" s="64"/>
      <c r="I42" s="70"/>
      <c r="J42" s="70"/>
      <c r="K42" s="66"/>
    </row>
    <row r="43" spans="1:19" ht="15" customHeight="1" x14ac:dyDescent="0.3">
      <c r="A43" s="63"/>
      <c r="B43" s="68" t="s">
        <v>36</v>
      </c>
      <c r="C43" s="69"/>
      <c r="D43" s="64"/>
      <c r="E43" s="64"/>
      <c r="F43" s="64"/>
      <c r="G43" s="70">
        <f>SUM(G42)</f>
        <v>12.24</v>
      </c>
      <c r="H43" s="70" t="s">
        <v>55</v>
      </c>
      <c r="I43" s="70">
        <f>396.86/1.15</f>
        <v>345.09565217391309</v>
      </c>
      <c r="J43" s="70">
        <f>G43*I43</f>
        <v>4223.970782608696</v>
      </c>
      <c r="K43" s="66"/>
    </row>
    <row r="44" spans="1:19" ht="15" hidden="1" customHeight="1" x14ac:dyDescent="0.3">
      <c r="A44" s="63"/>
      <c r="B44" s="68" t="s">
        <v>43</v>
      </c>
      <c r="C44" s="69"/>
      <c r="D44" s="64"/>
      <c r="E44" s="64"/>
      <c r="F44" s="64"/>
      <c r="G44" s="70"/>
      <c r="H44" s="70"/>
      <c r="I44" s="70"/>
      <c r="J44" s="70">
        <f>0.13*G43*(2182.61/10)</f>
        <v>347.29690320000009</v>
      </c>
      <c r="K44" s="66"/>
    </row>
    <row r="45" spans="1:19" ht="15" customHeight="1" x14ac:dyDescent="0.3">
      <c r="A45" s="20"/>
      <c r="B45" s="24"/>
      <c r="C45" s="21"/>
      <c r="D45" s="22"/>
      <c r="E45" s="23"/>
      <c r="F45" s="23"/>
      <c r="G45" s="29"/>
      <c r="H45" s="28"/>
      <c r="I45" s="29"/>
      <c r="J45" s="70"/>
      <c r="K45" s="23"/>
      <c r="M45" s="25"/>
      <c r="N45" s="1"/>
      <c r="O45" s="1"/>
      <c r="P45" s="1"/>
      <c r="Q45" s="1"/>
      <c r="R45" s="25"/>
      <c r="S45" s="25"/>
    </row>
    <row r="46" spans="1:19" ht="27.6" x14ac:dyDescent="0.3">
      <c r="A46" s="20">
        <v>5</v>
      </c>
      <c r="B46" s="30" t="s">
        <v>57</v>
      </c>
      <c r="C46" s="21"/>
      <c r="D46" s="22"/>
      <c r="E46" s="23"/>
      <c r="F46" s="23"/>
      <c r="G46" s="29"/>
      <c r="H46" s="28"/>
      <c r="I46" s="29"/>
      <c r="J46" s="70"/>
      <c r="K46" s="23"/>
      <c r="M46" s="25"/>
      <c r="N46" s="1"/>
      <c r="O46" s="1"/>
      <c r="P46" s="1"/>
      <c r="Q46" s="1"/>
      <c r="R46" s="25"/>
      <c r="S46" s="25"/>
    </row>
    <row r="47" spans="1:19" ht="15" customHeight="1" x14ac:dyDescent="0.3">
      <c r="A47" s="63"/>
      <c r="B47" s="68" t="s">
        <v>54</v>
      </c>
      <c r="C47" s="69">
        <v>1</v>
      </c>
      <c r="D47" s="64">
        <f>3.04*4-D15</f>
        <v>10.61</v>
      </c>
      <c r="E47" s="64"/>
      <c r="F47" s="64"/>
      <c r="G47" s="64">
        <f>PRODUCT(C47:F47)</f>
        <v>10.61</v>
      </c>
      <c r="H47" s="64"/>
      <c r="I47" s="70"/>
      <c r="J47" s="70"/>
      <c r="K47" s="66"/>
    </row>
    <row r="48" spans="1:19" ht="15" customHeight="1" x14ac:dyDescent="0.3">
      <c r="A48" s="63"/>
      <c r="B48" s="68" t="s">
        <v>36</v>
      </c>
      <c r="C48" s="69"/>
      <c r="D48" s="64"/>
      <c r="E48" s="64"/>
      <c r="F48" s="64"/>
      <c r="G48" s="70">
        <f>SUM(G47)</f>
        <v>10.61</v>
      </c>
      <c r="H48" s="70" t="s">
        <v>55</v>
      </c>
      <c r="I48" s="70">
        <f>447.23/1.15</f>
        <v>388.89565217391311</v>
      </c>
      <c r="J48" s="70">
        <f>G48*I48</f>
        <v>4126.1828695652175</v>
      </c>
      <c r="K48" s="66"/>
    </row>
    <row r="49" spans="1:19" ht="15" customHeight="1" x14ac:dyDescent="0.3">
      <c r="A49" s="63"/>
      <c r="B49" s="68" t="s">
        <v>43</v>
      </c>
      <c r="C49" s="69"/>
      <c r="D49" s="64"/>
      <c r="E49" s="64"/>
      <c r="F49" s="64"/>
      <c r="G49" s="70"/>
      <c r="H49" s="70"/>
      <c r="I49" s="70"/>
      <c r="J49" s="70">
        <f>0.13*G48*(2620.61/10)</f>
        <v>361.46073730000006</v>
      </c>
      <c r="K49" s="66"/>
    </row>
    <row r="50" spans="1:19" ht="15" customHeight="1" x14ac:dyDescent="0.3">
      <c r="A50" s="20"/>
      <c r="B50" s="24"/>
      <c r="C50" s="21"/>
      <c r="D50" s="22"/>
      <c r="E50" s="23"/>
      <c r="F50" s="23"/>
      <c r="G50" s="29"/>
      <c r="H50" s="28"/>
      <c r="I50" s="29"/>
      <c r="J50" s="70"/>
      <c r="K50" s="23"/>
      <c r="M50" s="25"/>
      <c r="N50" s="1"/>
      <c r="O50" s="1"/>
      <c r="P50" s="1"/>
      <c r="Q50" s="1"/>
      <c r="R50" s="25"/>
      <c r="S50" s="25"/>
    </row>
    <row r="51" spans="1:19" ht="27.6" x14ac:dyDescent="0.3">
      <c r="A51" s="20">
        <v>6</v>
      </c>
      <c r="B51" s="30" t="s">
        <v>58</v>
      </c>
      <c r="C51" s="21"/>
      <c r="D51" s="22"/>
      <c r="E51" s="23"/>
      <c r="F51" s="23"/>
      <c r="G51" s="29"/>
      <c r="H51" s="28"/>
      <c r="I51" s="29"/>
      <c r="J51" s="70"/>
      <c r="K51" s="23"/>
      <c r="M51" s="25"/>
      <c r="N51" s="1"/>
      <c r="O51" s="1"/>
      <c r="P51" s="1"/>
      <c r="Q51" s="1"/>
      <c r="R51" s="25"/>
      <c r="S51" s="25"/>
    </row>
    <row r="52" spans="1:19" ht="15" customHeight="1" x14ac:dyDescent="0.3">
      <c r="A52" s="63"/>
      <c r="B52" s="68" t="s">
        <v>54</v>
      </c>
      <c r="C52" s="69">
        <v>2</v>
      </c>
      <c r="D52" s="64">
        <f>3*4-D21</f>
        <v>11.390429747028346</v>
      </c>
      <c r="E52" s="64"/>
      <c r="F52" s="64"/>
      <c r="G52" s="64">
        <f>PRODUCT(C52:F52)</f>
        <v>22.780859494056692</v>
      </c>
      <c r="H52" s="64"/>
      <c r="I52" s="70"/>
      <c r="J52" s="70"/>
      <c r="K52" s="66"/>
    </row>
    <row r="53" spans="1:19" ht="15" customHeight="1" x14ac:dyDescent="0.3">
      <c r="A53" s="63"/>
      <c r="B53" s="68" t="s">
        <v>36</v>
      </c>
      <c r="C53" s="69"/>
      <c r="D53" s="64"/>
      <c r="E53" s="64"/>
      <c r="F53" s="64"/>
      <c r="G53" s="70">
        <f>SUM(G52)</f>
        <v>22.780859494056692</v>
      </c>
      <c r="H53" s="70" t="s">
        <v>55</v>
      </c>
      <c r="I53" s="70">
        <f>406.75/1.15</f>
        <v>353.69565217391306</v>
      </c>
      <c r="J53" s="70">
        <f>G53*I53</f>
        <v>8057.4909558326608</v>
      </c>
      <c r="K53" s="66"/>
    </row>
    <row r="54" spans="1:19" ht="15" hidden="1" customHeight="1" x14ac:dyDescent="0.3">
      <c r="A54" s="63"/>
      <c r="B54" s="68" t="s">
        <v>43</v>
      </c>
      <c r="C54" s="69"/>
      <c r="D54" s="64"/>
      <c r="E54" s="64"/>
      <c r="F54" s="64"/>
      <c r="G54" s="70"/>
      <c r="H54" s="70"/>
      <c r="I54" s="70"/>
      <c r="J54" s="70">
        <f>0.13*G53*(2268.61/10)</f>
        <v>671.85151353855554</v>
      </c>
      <c r="K54" s="66"/>
    </row>
    <row r="55" spans="1:19" ht="15" customHeight="1" x14ac:dyDescent="0.3">
      <c r="A55" s="20"/>
      <c r="B55" s="24"/>
      <c r="C55" s="21"/>
      <c r="D55" s="22"/>
      <c r="E55" s="23"/>
      <c r="F55" s="23"/>
      <c r="G55" s="29"/>
      <c r="H55" s="28"/>
      <c r="I55" s="29"/>
      <c r="J55" s="70"/>
      <c r="K55" s="23"/>
      <c r="M55" s="25"/>
      <c r="N55" s="1"/>
      <c r="O55" s="1"/>
      <c r="P55" s="1"/>
      <c r="Q55" s="1"/>
      <c r="R55" s="25"/>
      <c r="S55" s="25"/>
    </row>
    <row r="56" spans="1:19" ht="41.4" x14ac:dyDescent="0.3">
      <c r="A56" s="20">
        <v>7</v>
      </c>
      <c r="B56" s="30" t="s">
        <v>59</v>
      </c>
      <c r="C56" s="21"/>
      <c r="D56" s="22"/>
      <c r="E56" s="23"/>
      <c r="F56" s="23"/>
      <c r="G56" s="29"/>
      <c r="H56" s="28"/>
      <c r="I56" s="29"/>
      <c r="J56" s="70"/>
      <c r="K56" s="23"/>
      <c r="M56" s="25"/>
      <c r="N56" s="1"/>
      <c r="O56" s="1"/>
      <c r="P56" s="1"/>
      <c r="Q56" s="1"/>
      <c r="R56" s="25"/>
      <c r="S56" s="25"/>
    </row>
    <row r="57" spans="1:19" ht="15" customHeight="1" x14ac:dyDescent="0.3">
      <c r="A57" s="63"/>
      <c r="B57" s="68" t="s">
        <v>54</v>
      </c>
      <c r="C57" s="69">
        <v>1</v>
      </c>
      <c r="D57" s="64">
        <f>3.09*4-D15</f>
        <v>10.809999999999999</v>
      </c>
      <c r="E57" s="64"/>
      <c r="F57" s="64"/>
      <c r="G57" s="64">
        <f>PRODUCT(C57:F57)</f>
        <v>10.809999999999999</v>
      </c>
      <c r="H57" s="64"/>
      <c r="I57" s="70"/>
      <c r="J57" s="70"/>
      <c r="K57" s="66"/>
    </row>
    <row r="58" spans="1:19" ht="15" customHeight="1" x14ac:dyDescent="0.3">
      <c r="A58" s="63"/>
      <c r="B58" s="68" t="s">
        <v>66</v>
      </c>
      <c r="C58" s="69">
        <v>4</v>
      </c>
      <c r="D58" s="64">
        <f>72/12/3.281</f>
        <v>1.8287107589149649</v>
      </c>
      <c r="E58" s="64"/>
      <c r="F58" s="64"/>
      <c r="G58" s="64">
        <f>PRODUCT(C58:F58)</f>
        <v>7.3148430356598597</v>
      </c>
      <c r="H58" s="64"/>
      <c r="I58" s="70"/>
      <c r="J58" s="70"/>
      <c r="K58" s="66"/>
    </row>
    <row r="59" spans="1:19" ht="15" customHeight="1" x14ac:dyDescent="0.3">
      <c r="A59" s="63"/>
      <c r="B59" s="68" t="s">
        <v>36</v>
      </c>
      <c r="C59" s="69"/>
      <c r="D59" s="64"/>
      <c r="E59" s="64"/>
      <c r="F59" s="64"/>
      <c r="G59" s="70">
        <f>SUM(G57:G58)</f>
        <v>18.124843035659858</v>
      </c>
      <c r="H59" s="70" t="s">
        <v>55</v>
      </c>
      <c r="I59" s="70">
        <f>593.85/1.15</f>
        <v>516.39130434782612</v>
      </c>
      <c r="J59" s="70">
        <f>G59*I59</f>
        <v>9359.5113362840057</v>
      </c>
      <c r="K59" s="66"/>
    </row>
    <row r="60" spans="1:19" ht="15" hidden="1" customHeight="1" x14ac:dyDescent="0.3">
      <c r="A60" s="63"/>
      <c r="B60" s="68" t="s">
        <v>43</v>
      </c>
      <c r="C60" s="69"/>
      <c r="D60" s="64"/>
      <c r="E60" s="64"/>
      <c r="F60" s="64"/>
      <c r="G60" s="70"/>
      <c r="H60" s="70"/>
      <c r="I60" s="70"/>
      <c r="J60" s="70">
        <f>0.13*G59*(3895.61/10)</f>
        <v>917.89515711590968</v>
      </c>
      <c r="K60" s="66"/>
    </row>
    <row r="61" spans="1:19" ht="15" customHeight="1" x14ac:dyDescent="0.3">
      <c r="A61" s="20"/>
      <c r="B61" s="24"/>
      <c r="C61" s="21"/>
      <c r="D61" s="22"/>
      <c r="E61" s="23"/>
      <c r="F61" s="23"/>
      <c r="G61" s="29"/>
      <c r="H61" s="28"/>
      <c r="I61" s="29"/>
      <c r="J61" s="70"/>
      <c r="K61" s="23"/>
      <c r="M61" s="25"/>
      <c r="N61" s="1"/>
      <c r="O61" s="1"/>
      <c r="P61" s="1"/>
      <c r="Q61" s="1"/>
      <c r="R61" s="25"/>
      <c r="S61" s="25"/>
    </row>
    <row r="62" spans="1:19" ht="27.6" x14ac:dyDescent="0.3">
      <c r="A62" s="20">
        <v>8</v>
      </c>
      <c r="B62" s="30" t="s">
        <v>60</v>
      </c>
      <c r="C62" s="21"/>
      <c r="D62" s="22"/>
      <c r="E62" s="23"/>
      <c r="F62" s="23"/>
      <c r="G62" s="29"/>
      <c r="H62" s="28"/>
      <c r="I62" s="29"/>
      <c r="J62" s="70"/>
      <c r="K62" s="23"/>
      <c r="M62" s="25"/>
      <c r="N62" s="1"/>
      <c r="O62" s="1"/>
      <c r="P62" s="1"/>
      <c r="Q62" s="1"/>
      <c r="R62" s="25"/>
      <c r="S62" s="25"/>
    </row>
    <row r="63" spans="1:19" ht="15" customHeight="1" x14ac:dyDescent="0.3">
      <c r="A63" s="63"/>
      <c r="B63" s="68" t="s">
        <v>54</v>
      </c>
      <c r="C63" s="69">
        <v>4</v>
      </c>
      <c r="D63" s="64">
        <f>80/12/3.281</f>
        <v>2.0319008432388501</v>
      </c>
      <c r="E63" s="64"/>
      <c r="F63" s="64"/>
      <c r="G63" s="64">
        <f>PRODUCT(C63:F63)</f>
        <v>8.1276033729554005</v>
      </c>
      <c r="H63" s="64"/>
      <c r="I63" s="70"/>
      <c r="J63" s="70"/>
      <c r="K63" s="66"/>
    </row>
    <row r="64" spans="1:19" ht="15" customHeight="1" x14ac:dyDescent="0.3">
      <c r="A64" s="63"/>
      <c r="B64" s="68" t="s">
        <v>36</v>
      </c>
      <c r="C64" s="69"/>
      <c r="D64" s="64"/>
      <c r="E64" s="64"/>
      <c r="F64" s="64"/>
      <c r="G64" s="70">
        <f>SUM(G63)</f>
        <v>8.1276033729554005</v>
      </c>
      <c r="H64" s="70" t="s">
        <v>55</v>
      </c>
      <c r="I64" s="70">
        <f>465.63/1.15</f>
        <v>404.89565217391305</v>
      </c>
      <c r="J64" s="70">
        <f>G64*I64</f>
        <v>3290.8312683036725</v>
      </c>
      <c r="K64" s="66"/>
    </row>
    <row r="65" spans="1:19" ht="15" customHeight="1" x14ac:dyDescent="0.3">
      <c r="A65" s="63"/>
      <c r="B65" s="68" t="s">
        <v>43</v>
      </c>
      <c r="C65" s="69"/>
      <c r="D65" s="64"/>
      <c r="E65" s="64"/>
      <c r="F65" s="64"/>
      <c r="G65" s="70"/>
      <c r="H65" s="70"/>
      <c r="I65" s="70"/>
      <c r="J65" s="70">
        <f>0.13*G64*(2780.61/10)</f>
        <v>293.79603779335577</v>
      </c>
      <c r="K65" s="66"/>
    </row>
    <row r="66" spans="1:19" ht="15" customHeight="1" x14ac:dyDescent="0.3">
      <c r="A66" s="20"/>
      <c r="B66" s="24"/>
      <c r="C66" s="21"/>
      <c r="D66" s="22"/>
      <c r="E66" s="23"/>
      <c r="F66" s="23"/>
      <c r="G66" s="29"/>
      <c r="H66" s="28"/>
      <c r="I66" s="29"/>
      <c r="J66" s="70"/>
      <c r="K66" s="23"/>
      <c r="M66" s="25"/>
      <c r="N66" s="1"/>
      <c r="O66" s="1"/>
      <c r="P66" s="1"/>
      <c r="Q66" s="1"/>
      <c r="R66" s="25"/>
      <c r="S66" s="25"/>
    </row>
    <row r="67" spans="1:19" ht="28.8" x14ac:dyDescent="0.3">
      <c r="A67" s="63">
        <v>9</v>
      </c>
      <c r="B67" s="73" t="s">
        <v>45</v>
      </c>
      <c r="C67" s="74"/>
      <c r="D67" s="75"/>
      <c r="E67" s="75"/>
      <c r="F67" s="75"/>
      <c r="G67" s="75"/>
      <c r="H67" s="75"/>
      <c r="I67" s="75"/>
      <c r="J67" s="65"/>
      <c r="K67" s="71"/>
    </row>
    <row r="68" spans="1:19" x14ac:dyDescent="0.3">
      <c r="A68" s="63"/>
      <c r="B68" s="76" t="s">
        <v>46</v>
      </c>
      <c r="C68" s="74">
        <v>1</v>
      </c>
      <c r="D68" s="75">
        <f>1.2+(6.667/3.281+1/12/3.281)*2</f>
        <v>5.3148023976429952</v>
      </c>
      <c r="E68" s="75">
        <f>0.1</f>
        <v>0.1</v>
      </c>
      <c r="F68" s="75">
        <v>0.1</v>
      </c>
      <c r="G68" s="75">
        <f t="shared" ref="G68:G72" si="2">PRODUCT(C68:F68)</f>
        <v>5.314802397642996E-2</v>
      </c>
      <c r="H68" s="75"/>
      <c r="I68" s="75"/>
      <c r="J68" s="65"/>
      <c r="K68" s="71"/>
    </row>
    <row r="69" spans="1:19" x14ac:dyDescent="0.3">
      <c r="A69" s="63"/>
      <c r="B69" s="76" t="s">
        <v>47</v>
      </c>
      <c r="C69" s="74">
        <f>2*2</f>
        <v>4</v>
      </c>
      <c r="D69" s="75">
        <v>0.55000000000000004</v>
      </c>
      <c r="E69" s="75">
        <f>4/12/3.281</f>
        <v>0.10159504216194248</v>
      </c>
      <c r="F69" s="75">
        <f>4/12/3.281</f>
        <v>0.10159504216194248</v>
      </c>
      <c r="G69" s="75">
        <f t="shared" si="2"/>
        <v>2.2707415702151117E-2</v>
      </c>
      <c r="H69" s="75"/>
      <c r="I69" s="75"/>
      <c r="J69" s="65"/>
      <c r="K69" s="71"/>
      <c r="M69">
        <f>508.75/1.15</f>
        <v>442.39130434782612</v>
      </c>
    </row>
    <row r="70" spans="1:19" x14ac:dyDescent="0.3">
      <c r="A70" s="63"/>
      <c r="B70" s="76"/>
      <c r="C70" s="74">
        <f>1*2</f>
        <v>2</v>
      </c>
      <c r="D70" s="75">
        <f>3/3.281</f>
        <v>0.91435537945748246</v>
      </c>
      <c r="E70" s="75">
        <f>3/12/3.281</f>
        <v>7.6196281621456863E-2</v>
      </c>
      <c r="F70" s="75">
        <f>4/12/3.281</f>
        <v>0.10159504216194248</v>
      </c>
      <c r="G70" s="75">
        <f t="shared" si="2"/>
        <v>1.4156350705117622E-2</v>
      </c>
      <c r="H70" s="75"/>
      <c r="I70" s="75"/>
      <c r="J70" s="65"/>
      <c r="K70" s="71"/>
      <c r="M70">
        <f>155.11/1.15</f>
        <v>134.87826086956525</v>
      </c>
      <c r="N70">
        <f>M70*5.5</f>
        <v>741.8304347826089</v>
      </c>
    </row>
    <row r="71" spans="1:19" x14ac:dyDescent="0.3">
      <c r="A71" s="63"/>
      <c r="B71" s="76"/>
      <c r="C71" s="74">
        <f>1*2</f>
        <v>2</v>
      </c>
      <c r="D71" s="75">
        <f>3/3.281</f>
        <v>0.91435537945748246</v>
      </c>
      <c r="E71" s="75">
        <f>5/12/3.281</f>
        <v>0.12699380270242813</v>
      </c>
      <c r="F71" s="75">
        <f>3/12/3.281</f>
        <v>7.6196281621456863E-2</v>
      </c>
      <c r="G71" s="75">
        <f t="shared" si="2"/>
        <v>1.7695438381397033E-2</v>
      </c>
      <c r="H71" s="75"/>
      <c r="I71" s="75"/>
      <c r="J71" s="65"/>
      <c r="K71" s="71"/>
    </row>
    <row r="72" spans="1:19" x14ac:dyDescent="0.3">
      <c r="A72" s="63"/>
      <c r="B72" s="76" t="s">
        <v>75</v>
      </c>
      <c r="C72" s="74">
        <f>4*1</f>
        <v>4</v>
      </c>
      <c r="D72" s="75">
        <f>24/12/3.281</f>
        <v>0.6095702529716549</v>
      </c>
      <c r="E72" s="75">
        <f>4/12/3.281</f>
        <v>0.10159504216194248</v>
      </c>
      <c r="F72" s="75">
        <f>3/12/3.281</f>
        <v>7.6196281621456863E-2</v>
      </c>
      <c r="G72" s="75">
        <f t="shared" si="2"/>
        <v>1.8875134273490159E-2</v>
      </c>
      <c r="H72" s="75"/>
      <c r="I72" s="75"/>
      <c r="J72" s="65"/>
      <c r="K72" s="71"/>
    </row>
    <row r="73" spans="1:19" x14ac:dyDescent="0.3">
      <c r="A73" s="63"/>
      <c r="B73" s="76"/>
      <c r="C73" s="74">
        <f>4*1</f>
        <v>4</v>
      </c>
      <c r="D73" s="75">
        <f>23/12/3.281</f>
        <v>0.58417149243116939</v>
      </c>
      <c r="E73" s="75">
        <f>3/12/3.281</f>
        <v>7.6196281621456863E-2</v>
      </c>
      <c r="F73" s="75">
        <f>4/12/3.281</f>
        <v>0.10159504216194248</v>
      </c>
      <c r="G73" s="75">
        <f>PRODUCT(C73:F73)</f>
        <v>1.8088670345428073E-2</v>
      </c>
      <c r="H73" s="75"/>
      <c r="I73" s="75"/>
      <c r="J73" s="65"/>
      <c r="K73" s="71"/>
    </row>
    <row r="74" spans="1:19" x14ac:dyDescent="0.3">
      <c r="A74" s="63"/>
      <c r="B74" s="76"/>
      <c r="C74" s="74">
        <v>8</v>
      </c>
      <c r="D74" s="75">
        <f>1.5/3.281</f>
        <v>0.45717768972874123</v>
      </c>
      <c r="E74" s="75">
        <f>4/12/3.281</f>
        <v>0.10159504216194248</v>
      </c>
      <c r="F74" s="75">
        <f>3/12/3.281</f>
        <v>7.6196281621456863E-2</v>
      </c>
      <c r="G74" s="75">
        <f t="shared" ref="G74" si="3">PRODUCT(C74:F74)</f>
        <v>2.8312701410235244E-2</v>
      </c>
      <c r="H74" s="75"/>
      <c r="I74" s="75"/>
      <c r="J74" s="65"/>
      <c r="K74" s="71"/>
    </row>
    <row r="75" spans="1:19" ht="15" customHeight="1" x14ac:dyDescent="0.3">
      <c r="A75" s="63"/>
      <c r="B75" s="76" t="s">
        <v>36</v>
      </c>
      <c r="C75" s="74"/>
      <c r="D75" s="75"/>
      <c r="E75" s="75"/>
      <c r="F75" s="75"/>
      <c r="G75" s="77">
        <f>SUM(G68:G74)</f>
        <v>0.17298373479424922</v>
      </c>
      <c r="H75" s="77" t="s">
        <v>42</v>
      </c>
      <c r="I75" s="78">
        <f>353723.98/1.15</f>
        <v>307586.06956521742</v>
      </c>
      <c r="J75" s="79">
        <f>G75*I75</f>
        <v>53207.387084075061</v>
      </c>
      <c r="K75" s="71"/>
    </row>
    <row r="76" spans="1:19" ht="15" hidden="1" customHeight="1" x14ac:dyDescent="0.3">
      <c r="A76" s="63"/>
      <c r="B76" s="76" t="s">
        <v>43</v>
      </c>
      <c r="C76" s="74"/>
      <c r="D76" s="75"/>
      <c r="E76" s="75"/>
      <c r="F76" s="75"/>
      <c r="G76" s="77"/>
      <c r="H76" s="77"/>
      <c r="I76" s="78"/>
      <c r="J76" s="79">
        <f>0.13*G75*262808.07</f>
        <v>5909.9977927469035</v>
      </c>
      <c r="K76" s="71"/>
    </row>
    <row r="77" spans="1:19" ht="15" customHeight="1" x14ac:dyDescent="0.3">
      <c r="A77" s="63"/>
      <c r="B77" s="76"/>
      <c r="C77" s="74"/>
      <c r="D77" s="75"/>
      <c r="E77" s="75"/>
      <c r="F77" s="75"/>
      <c r="G77" s="77"/>
      <c r="H77" s="77"/>
      <c r="I77" s="78"/>
      <c r="J77" s="79"/>
      <c r="K77" s="71"/>
    </row>
    <row r="78" spans="1:19" ht="28.8" x14ac:dyDescent="0.3">
      <c r="A78" s="63">
        <v>10</v>
      </c>
      <c r="B78" s="80" t="s">
        <v>77</v>
      </c>
      <c r="C78" s="74"/>
      <c r="D78" s="75"/>
      <c r="E78" s="75"/>
      <c r="F78" s="75"/>
      <c r="G78" s="77"/>
      <c r="H78" s="77"/>
      <c r="I78" s="78"/>
      <c r="J78" s="79"/>
      <c r="K78" s="71"/>
    </row>
    <row r="79" spans="1:19" x14ac:dyDescent="0.3">
      <c r="A79" s="63"/>
      <c r="B79" s="76" t="s">
        <v>72</v>
      </c>
      <c r="C79" s="74">
        <v>1</v>
      </c>
      <c r="D79" s="75">
        <f>5.5/3.281</f>
        <v>1.6763181956720512</v>
      </c>
      <c r="E79" s="75">
        <f>0.15</f>
        <v>0.15</v>
      </c>
      <c r="F79" s="75">
        <f>3/12/3.281</f>
        <v>7.6196281621456863E-2</v>
      </c>
      <c r="G79" s="75">
        <f t="shared" ref="G79:G90" si="4">PRODUCT(C79:F79)</f>
        <v>1.9159381998690005E-2</v>
      </c>
      <c r="H79" s="75"/>
      <c r="I79" s="75"/>
      <c r="J79" s="65"/>
      <c r="K79" s="71"/>
    </row>
    <row r="80" spans="1:19" x14ac:dyDescent="0.3">
      <c r="A80" s="63"/>
      <c r="B80" s="76" t="s">
        <v>73</v>
      </c>
      <c r="C80" s="74">
        <v>1</v>
      </c>
      <c r="D80" s="75">
        <f>1.2+2*(6.833/3.281)</f>
        <v>5.3651935385553182</v>
      </c>
      <c r="E80" s="75">
        <f>1/12/3.281</f>
        <v>2.5398760540485621E-2</v>
      </c>
      <c r="F80" s="75">
        <f>1/12/3.281</f>
        <v>2.5398760540485621E-2</v>
      </c>
      <c r="G80" s="81">
        <f t="shared" si="4"/>
        <v>3.4610704546156465E-3</v>
      </c>
      <c r="H80" s="75"/>
      <c r="I80" s="75"/>
      <c r="J80" s="65"/>
      <c r="K80" s="71"/>
    </row>
    <row r="81" spans="1:13" x14ac:dyDescent="0.3">
      <c r="A81" s="63"/>
      <c r="B81" s="76" t="s">
        <v>74</v>
      </c>
      <c r="C81" s="74">
        <v>2</v>
      </c>
      <c r="D81" s="75">
        <f>7/3.281</f>
        <v>2.1334958854007922</v>
      </c>
      <c r="E81" s="75">
        <f>0.15</f>
        <v>0.15</v>
      </c>
      <c r="F81" s="75">
        <f>1.5/12/3.281</f>
        <v>3.8098140810728431E-2</v>
      </c>
      <c r="G81" s="75">
        <f t="shared" si="4"/>
        <v>2.4384667998332731E-2</v>
      </c>
      <c r="H81" s="75"/>
      <c r="I81" s="75"/>
      <c r="J81" s="65"/>
      <c r="K81" s="71"/>
      <c r="M81">
        <f>I75*G79</f>
        <v>5893.1590042756379</v>
      </c>
    </row>
    <row r="82" spans="1:13" x14ac:dyDescent="0.3">
      <c r="A82" s="63"/>
      <c r="B82" s="76"/>
      <c r="C82" s="74">
        <v>2</v>
      </c>
      <c r="D82" s="75">
        <f>7/3.281</f>
        <v>2.1334958854007922</v>
      </c>
      <c r="E82" s="75">
        <f>3/12/3.281</f>
        <v>7.6196281621456863E-2</v>
      </c>
      <c r="F82" s="75">
        <f>3/12/3.281</f>
        <v>7.6196281621456863E-2</v>
      </c>
      <c r="G82" s="75">
        <f t="shared" si="4"/>
        <v>2.4773613733955837E-2</v>
      </c>
      <c r="H82" s="75"/>
      <c r="I82" s="75"/>
      <c r="J82" s="65"/>
      <c r="K82" s="71"/>
    </row>
    <row r="83" spans="1:13" x14ac:dyDescent="0.3">
      <c r="A83" s="63"/>
      <c r="B83" s="76" t="s">
        <v>78</v>
      </c>
      <c r="C83" s="74">
        <f>1*2</f>
        <v>2</v>
      </c>
      <c r="D83" s="75">
        <f>0.96</f>
        <v>0.96</v>
      </c>
      <c r="E83" s="75">
        <f>1/12/3.281</f>
        <v>2.5398760540485621E-2</v>
      </c>
      <c r="F83" s="75">
        <f>5/12/3.281</f>
        <v>0.12699380270242813</v>
      </c>
      <c r="G83" s="75">
        <f t="shared" si="4"/>
        <v>6.1929315551321239E-3</v>
      </c>
      <c r="H83" s="75"/>
      <c r="I83" s="75"/>
      <c r="J83" s="65"/>
      <c r="K83" s="71"/>
    </row>
    <row r="84" spans="1:13" x14ac:dyDescent="0.3">
      <c r="A84" s="63"/>
      <c r="B84" s="76"/>
      <c r="C84" s="74">
        <f>1*2</f>
        <v>2</v>
      </c>
      <c r="D84" s="75">
        <f>3/3.281</f>
        <v>0.91435537945748246</v>
      </c>
      <c r="E84" s="75">
        <f>1/12/3.281</f>
        <v>2.5398760540485621E-2</v>
      </c>
      <c r="F84" s="75">
        <f>4/12/3.281</f>
        <v>0.10159504216194248</v>
      </c>
      <c r="G84" s="81">
        <f t="shared" si="4"/>
        <v>4.7187835683725407E-3</v>
      </c>
      <c r="H84" s="75"/>
      <c r="I84" s="75"/>
      <c r="J84" s="65"/>
      <c r="K84" s="71"/>
    </row>
    <row r="85" spans="1:13" x14ac:dyDescent="0.3">
      <c r="A85" s="63"/>
      <c r="B85" s="76"/>
      <c r="C85" s="74">
        <f>1*2</f>
        <v>2</v>
      </c>
      <c r="D85" s="75">
        <f>0.83</f>
        <v>0.83</v>
      </c>
      <c r="E85" s="75">
        <f>1/12/3.281</f>
        <v>2.5398760540485621E-2</v>
      </c>
      <c r="F85" s="75">
        <f>3/12/3.281</f>
        <v>7.6196281621456863E-2</v>
      </c>
      <c r="G85" s="81">
        <f t="shared" si="4"/>
        <v>3.2125832442247886E-3</v>
      </c>
      <c r="H85" s="75"/>
      <c r="I85" s="75"/>
      <c r="J85" s="65"/>
      <c r="K85" s="71"/>
    </row>
    <row r="86" spans="1:13" x14ac:dyDescent="0.3">
      <c r="A86" s="63"/>
      <c r="B86" s="76" t="s">
        <v>61</v>
      </c>
      <c r="C86" s="74">
        <f t="shared" ref="C86:C87" si="5">4*1</f>
        <v>4</v>
      </c>
      <c r="D86" s="75">
        <f>26/12/3.281</f>
        <v>0.66036777405262614</v>
      </c>
      <c r="E86" s="75">
        <f>1/12/3.281</f>
        <v>2.5398760540485621E-2</v>
      </c>
      <c r="F86" s="75">
        <f>4/12/3.281</f>
        <v>0.10159504216194248</v>
      </c>
      <c r="G86" s="81">
        <f t="shared" si="4"/>
        <v>6.8160207098714471E-3</v>
      </c>
      <c r="H86" s="75"/>
      <c r="I86" s="75"/>
      <c r="J86" s="65"/>
      <c r="K86" s="71"/>
    </row>
    <row r="87" spans="1:13" x14ac:dyDescent="0.3">
      <c r="A87" s="63"/>
      <c r="B87" s="76"/>
      <c r="C87" s="74">
        <f t="shared" si="5"/>
        <v>4</v>
      </c>
      <c r="D87" s="75">
        <f>28/12/3.281</f>
        <v>0.7111652951335975</v>
      </c>
      <c r="E87" s="75">
        <f>0.12</f>
        <v>0.12</v>
      </c>
      <c r="F87" s="75">
        <f>1/12/3.281</f>
        <v>2.5398760540485621E-2</v>
      </c>
      <c r="G87" s="81">
        <f t="shared" si="4"/>
        <v>8.6701041771849729E-3</v>
      </c>
      <c r="H87" s="75"/>
      <c r="I87" s="75"/>
      <c r="J87" s="65"/>
      <c r="K87" s="71"/>
    </row>
    <row r="88" spans="1:13" x14ac:dyDescent="0.3">
      <c r="A88" s="63"/>
      <c r="B88" s="76" t="s">
        <v>79</v>
      </c>
      <c r="C88" s="74">
        <v>4</v>
      </c>
      <c r="D88" s="75">
        <f>1/3.281</f>
        <v>0.30478512648582745</v>
      </c>
      <c r="E88" s="75">
        <f>4/12/3.281</f>
        <v>0.10159504216194248</v>
      </c>
      <c r="F88" s="75">
        <f>3/12/3.281</f>
        <v>7.6196281621456863E-2</v>
      </c>
      <c r="G88" s="81">
        <f t="shared" si="4"/>
        <v>9.4375671367450797E-3</v>
      </c>
      <c r="H88" s="75"/>
      <c r="I88" s="75"/>
      <c r="J88" s="65"/>
      <c r="K88" s="71"/>
    </row>
    <row r="89" spans="1:13" x14ac:dyDescent="0.3">
      <c r="A89" s="63"/>
      <c r="B89" s="76"/>
      <c r="C89" s="74">
        <v>8</v>
      </c>
      <c r="D89" s="75">
        <f>10/12/3.281</f>
        <v>0.25398760540485626</v>
      </c>
      <c r="E89" s="75">
        <f>4/12/3.281</f>
        <v>0.10159504216194248</v>
      </c>
      <c r="F89" s="75">
        <f>3/12/3.281</f>
        <v>7.6196281621456863E-2</v>
      </c>
      <c r="G89" s="81">
        <f t="shared" si="4"/>
        <v>1.5729278561241806E-2</v>
      </c>
      <c r="H89" s="75"/>
      <c r="I89" s="75"/>
      <c r="J89" s="65"/>
      <c r="K89" s="71"/>
    </row>
    <row r="90" spans="1:13" x14ac:dyDescent="0.3">
      <c r="A90" s="63"/>
      <c r="B90" s="76"/>
      <c r="C90" s="74">
        <v>2</v>
      </c>
      <c r="D90" s="75">
        <f>0.23</f>
        <v>0.23</v>
      </c>
      <c r="E90" s="75">
        <v>0.15</v>
      </c>
      <c r="F90" s="75">
        <f>1.5/12/3.281</f>
        <v>3.8098140810728431E-2</v>
      </c>
      <c r="G90" s="81">
        <f t="shared" si="4"/>
        <v>2.6287717159402622E-3</v>
      </c>
      <c r="H90" s="75"/>
      <c r="I90" s="75"/>
      <c r="J90" s="65"/>
      <c r="K90" s="71"/>
    </row>
    <row r="91" spans="1:13" ht="15" customHeight="1" x14ac:dyDescent="0.3">
      <c r="A91" s="63"/>
      <c r="B91" s="76" t="s">
        <v>36</v>
      </c>
      <c r="C91" s="74"/>
      <c r="D91" s="75"/>
      <c r="E91" s="75"/>
      <c r="F91" s="75"/>
      <c r="G91" s="77">
        <f>SUM(G79:G90)</f>
        <v>0.12918477485430724</v>
      </c>
      <c r="H91" s="77" t="s">
        <v>42</v>
      </c>
      <c r="I91" s="78">
        <f>286497.45/1.15</f>
        <v>249128.21739130438</v>
      </c>
      <c r="J91" s="79">
        <f>G91*I91</f>
        <v>32183.572673550567</v>
      </c>
      <c r="K91" s="71"/>
    </row>
    <row r="92" spans="1:13" ht="15" hidden="1" customHeight="1" x14ac:dyDescent="0.3">
      <c r="A92" s="63"/>
      <c r="B92" s="76" t="s">
        <v>43</v>
      </c>
      <c r="C92" s="74"/>
      <c r="D92" s="75"/>
      <c r="E92" s="75"/>
      <c r="F92" s="75"/>
      <c r="G92" s="77"/>
      <c r="H92" s="77"/>
      <c r="I92" s="78"/>
      <c r="J92" s="79">
        <f>0.13*G91*225887.77</f>
        <v>3793.5638922728999</v>
      </c>
      <c r="K92" s="71"/>
    </row>
    <row r="93" spans="1:13" ht="15" customHeight="1" x14ac:dyDescent="0.3">
      <c r="A93" s="63"/>
      <c r="B93" s="76"/>
      <c r="C93" s="74"/>
      <c r="D93" s="75"/>
      <c r="E93" s="75"/>
      <c r="F93" s="75"/>
      <c r="G93" s="77"/>
      <c r="H93" s="77"/>
      <c r="I93" s="78"/>
      <c r="J93" s="79"/>
      <c r="K93" s="71"/>
    </row>
    <row r="94" spans="1:13" ht="30.6" x14ac:dyDescent="0.3">
      <c r="A94" s="63">
        <v>13</v>
      </c>
      <c r="B94" s="39" t="s">
        <v>81</v>
      </c>
      <c r="C94" s="74"/>
      <c r="D94" s="75"/>
      <c r="E94" s="75"/>
      <c r="F94" s="75"/>
      <c r="G94" s="75"/>
      <c r="H94" s="75"/>
      <c r="I94" s="75"/>
      <c r="J94" s="65"/>
      <c r="K94" s="71"/>
    </row>
    <row r="95" spans="1:13" ht="15" customHeight="1" x14ac:dyDescent="0.3">
      <c r="A95" s="63"/>
      <c r="B95" s="76" t="s">
        <v>49</v>
      </c>
      <c r="C95" s="74">
        <v>2</v>
      </c>
      <c r="D95" s="75">
        <f>42/12/3.281</f>
        <v>1.0667479427003961</v>
      </c>
      <c r="E95" s="75"/>
      <c r="F95" s="75">
        <f>78/12/3.281</f>
        <v>1.9811033221578787</v>
      </c>
      <c r="G95" s="75">
        <f>PRODUCT(C95:F95)</f>
        <v>4.2266757863776743</v>
      </c>
      <c r="H95" s="75"/>
      <c r="I95" s="75"/>
      <c r="J95" s="65"/>
      <c r="K95" s="71"/>
    </row>
    <row r="96" spans="1:13" ht="15" customHeight="1" x14ac:dyDescent="0.3">
      <c r="A96" s="63"/>
      <c r="B96" s="76" t="s">
        <v>36</v>
      </c>
      <c r="C96" s="74"/>
      <c r="D96" s="75"/>
      <c r="E96" s="75"/>
      <c r="F96" s="75"/>
      <c r="G96" s="77">
        <f>SUM(G95:G95)</f>
        <v>4.2266757863776743</v>
      </c>
      <c r="H96" s="77" t="s">
        <v>37</v>
      </c>
      <c r="I96" s="78">
        <f>15859.11</f>
        <v>15859.11</v>
      </c>
      <c r="J96" s="79">
        <f>G96*I96</f>
        <v>67031.316230500044</v>
      </c>
      <c r="K96" s="71"/>
    </row>
    <row r="97" spans="1:11" ht="15" hidden="1" customHeight="1" x14ac:dyDescent="0.3">
      <c r="A97" s="63"/>
      <c r="B97" s="76" t="s">
        <v>43</v>
      </c>
      <c r="C97" s="74"/>
      <c r="D97" s="75"/>
      <c r="E97" s="75"/>
      <c r="F97" s="75"/>
      <c r="G97" s="77"/>
      <c r="H97" s="77"/>
      <c r="I97" s="78"/>
      <c r="J97" s="79">
        <f>0.13*G96*(20356.18/2.114)</f>
        <v>5290.9491505150963</v>
      </c>
      <c r="K97" s="71"/>
    </row>
    <row r="98" spans="1:11" ht="15.6" x14ac:dyDescent="0.3">
      <c r="A98" s="63"/>
      <c r="B98" s="39"/>
      <c r="C98" s="74"/>
      <c r="D98" s="75"/>
      <c r="E98" s="75"/>
      <c r="F98" s="75"/>
      <c r="G98" s="75"/>
      <c r="H98" s="75"/>
      <c r="I98" s="75"/>
      <c r="J98" s="65"/>
      <c r="K98" s="71"/>
    </row>
    <row r="99" spans="1:11" x14ac:dyDescent="0.3">
      <c r="A99" s="63">
        <v>11</v>
      </c>
      <c r="B99" s="80" t="s">
        <v>48</v>
      </c>
      <c r="C99" s="74"/>
      <c r="D99" s="75"/>
      <c r="E99" s="75"/>
      <c r="F99" s="75"/>
      <c r="G99" s="75"/>
      <c r="H99" s="75"/>
      <c r="I99" s="75"/>
      <c r="J99" s="65"/>
      <c r="K99" s="71"/>
    </row>
    <row r="100" spans="1:11" ht="15" customHeight="1" x14ac:dyDescent="0.3">
      <c r="A100" s="63"/>
      <c r="B100" s="76" t="s">
        <v>49</v>
      </c>
      <c r="C100" s="74">
        <v>1</v>
      </c>
      <c r="D100" s="75">
        <f>1.2</f>
        <v>1.2</v>
      </c>
      <c r="E100" s="75"/>
      <c r="F100" s="75">
        <f>7/3.281</f>
        <v>2.1334958854007922</v>
      </c>
      <c r="G100" s="75">
        <f>PRODUCT(C100:F100)</f>
        <v>2.5601950624809504</v>
      </c>
      <c r="H100" s="75"/>
      <c r="I100" s="75"/>
      <c r="J100" s="65"/>
      <c r="K100" s="71"/>
    </row>
    <row r="101" spans="1:11" ht="15" customHeight="1" x14ac:dyDescent="0.3">
      <c r="A101" s="63"/>
      <c r="B101" s="76" t="s">
        <v>36</v>
      </c>
      <c r="C101" s="74"/>
      <c r="D101" s="75"/>
      <c r="E101" s="75"/>
      <c r="F101" s="75"/>
      <c r="G101" s="77">
        <f>SUM(G100:G100)</f>
        <v>2.5601950624809504</v>
      </c>
      <c r="H101" s="77" t="s">
        <v>37</v>
      </c>
      <c r="I101" s="78">
        <f>46573/1.15</f>
        <v>40498.260869565223</v>
      </c>
      <c r="J101" s="79">
        <f>G101*I101</f>
        <v>103683.44751732636</v>
      </c>
      <c r="K101" s="71"/>
    </row>
    <row r="102" spans="1:11" x14ac:dyDescent="0.3">
      <c r="A102" s="63"/>
      <c r="B102" s="80"/>
      <c r="C102" s="74"/>
      <c r="D102" s="75"/>
      <c r="E102" s="75"/>
      <c r="F102" s="75"/>
      <c r="G102" s="75"/>
      <c r="H102" s="75"/>
      <c r="I102" s="75"/>
      <c r="J102" s="65"/>
      <c r="K102" s="71"/>
    </row>
    <row r="103" spans="1:11" ht="28.8" x14ac:dyDescent="0.3">
      <c r="A103" s="63">
        <v>12</v>
      </c>
      <c r="B103" s="80" t="s">
        <v>50</v>
      </c>
      <c r="C103" s="74"/>
      <c r="D103" s="75"/>
      <c r="E103" s="75"/>
      <c r="F103" s="75"/>
      <c r="G103" s="75"/>
      <c r="H103" s="75"/>
      <c r="I103" s="75"/>
      <c r="J103" s="65"/>
      <c r="K103" s="71"/>
    </row>
    <row r="104" spans="1:11" ht="15" customHeight="1" x14ac:dyDescent="0.3">
      <c r="A104" s="63"/>
      <c r="B104" s="76" t="s">
        <v>51</v>
      </c>
      <c r="C104" s="74">
        <f>2*2</f>
        <v>4</v>
      </c>
      <c r="D104" s="75"/>
      <c r="E104" s="75">
        <f>(2+3)/12/3.281</f>
        <v>0.12699380270242813</v>
      </c>
      <c r="F104" s="75">
        <v>0.55000000000000004</v>
      </c>
      <c r="G104" s="75">
        <f>PRODUCT(C104:F104)</f>
        <v>0.27938636594534194</v>
      </c>
      <c r="H104" s="75"/>
      <c r="I104" s="75"/>
      <c r="J104" s="65"/>
      <c r="K104" s="71"/>
    </row>
    <row r="105" spans="1:11" ht="15" customHeight="1" x14ac:dyDescent="0.3">
      <c r="A105" s="63"/>
      <c r="B105" s="76"/>
      <c r="C105" s="74">
        <f>1*2</f>
        <v>2</v>
      </c>
      <c r="D105" s="75">
        <f>3/3.281</f>
        <v>0.91435537945748246</v>
      </c>
      <c r="E105" s="75"/>
      <c r="F105" s="75">
        <f>3/12/3.281</f>
        <v>7.6196281621456863E-2</v>
      </c>
      <c r="G105" s="75">
        <f>PRODUCT(C105:F105)</f>
        <v>0.13934095999047277</v>
      </c>
      <c r="H105" s="75"/>
      <c r="I105" s="75"/>
      <c r="J105" s="65"/>
      <c r="K105" s="71"/>
    </row>
    <row r="106" spans="1:11" ht="15" customHeight="1" x14ac:dyDescent="0.3">
      <c r="A106" s="63"/>
      <c r="B106" s="76"/>
      <c r="C106" s="74">
        <f t="shared" ref="C106:C109" si="6">1*2</f>
        <v>2</v>
      </c>
      <c r="D106" s="75">
        <f>3/3.281</f>
        <v>0.91435537945748246</v>
      </c>
      <c r="E106" s="75"/>
      <c r="F106" s="75">
        <f>3/12/3.281</f>
        <v>7.6196281621456863E-2</v>
      </c>
      <c r="G106" s="75">
        <f t="shared" ref="G106:G114" si="7">PRODUCT(C106:F106)</f>
        <v>0.13934095999047277</v>
      </c>
      <c r="H106" s="75"/>
      <c r="I106" s="75"/>
      <c r="J106" s="65"/>
      <c r="K106" s="71"/>
    </row>
    <row r="107" spans="1:11" ht="15" customHeight="1" x14ac:dyDescent="0.3">
      <c r="A107" s="63"/>
      <c r="B107" s="76"/>
      <c r="C107" s="74">
        <f t="shared" si="6"/>
        <v>2</v>
      </c>
      <c r="D107" s="75">
        <f>0.96</f>
        <v>0.96</v>
      </c>
      <c r="E107" s="75"/>
      <c r="F107" s="75">
        <f>1/12/3.281</f>
        <v>2.5398760540485621E-2</v>
      </c>
      <c r="G107" s="75">
        <f t="shared" si="7"/>
        <v>4.8765620237732392E-2</v>
      </c>
      <c r="H107" s="75"/>
      <c r="I107" s="75"/>
      <c r="J107" s="65"/>
      <c r="K107" s="71"/>
    </row>
    <row r="108" spans="1:11" ht="15" customHeight="1" x14ac:dyDescent="0.3">
      <c r="A108" s="63"/>
      <c r="B108" s="76"/>
      <c r="C108" s="74">
        <f t="shared" si="6"/>
        <v>2</v>
      </c>
      <c r="D108" s="75">
        <f>3/3.281</f>
        <v>0.91435537945748246</v>
      </c>
      <c r="E108" s="75"/>
      <c r="F108" s="75">
        <f t="shared" ref="F108:F109" si="8">1/12/3.281</f>
        <v>2.5398760540485621E-2</v>
      </c>
      <c r="G108" s="75">
        <f t="shared" si="7"/>
        <v>4.6446986663490925E-2</v>
      </c>
      <c r="H108" s="75"/>
      <c r="I108" s="75"/>
      <c r="J108" s="65"/>
      <c r="K108" s="71"/>
    </row>
    <row r="109" spans="1:11" ht="15" customHeight="1" x14ac:dyDescent="0.3">
      <c r="A109" s="63"/>
      <c r="B109" s="76"/>
      <c r="C109" s="74">
        <f t="shared" si="6"/>
        <v>2</v>
      </c>
      <c r="D109" s="75">
        <f>0.83</f>
        <v>0.83</v>
      </c>
      <c r="E109" s="75"/>
      <c r="F109" s="75">
        <f t="shared" si="8"/>
        <v>2.5398760540485621E-2</v>
      </c>
      <c r="G109" s="75">
        <f t="shared" si="7"/>
        <v>4.2161942497206131E-2</v>
      </c>
      <c r="H109" s="75"/>
      <c r="I109" s="75"/>
      <c r="J109" s="65"/>
      <c r="K109" s="71"/>
    </row>
    <row r="110" spans="1:11" ht="15" customHeight="1" x14ac:dyDescent="0.3">
      <c r="A110" s="63"/>
      <c r="B110" s="76" t="s">
        <v>75</v>
      </c>
      <c r="C110" s="74">
        <f>4*1</f>
        <v>4</v>
      </c>
      <c r="D110" s="75">
        <f>24/12/3.281</f>
        <v>0.6095702529716549</v>
      </c>
      <c r="E110" s="75"/>
      <c r="F110" s="75">
        <f>3/12/3.281</f>
        <v>7.6196281621456863E-2</v>
      </c>
      <c r="G110" s="75">
        <f t="shared" si="7"/>
        <v>0.18578794665396367</v>
      </c>
      <c r="H110" s="75"/>
      <c r="I110" s="75"/>
      <c r="J110" s="65"/>
      <c r="K110" s="71"/>
    </row>
    <row r="111" spans="1:11" ht="15" customHeight="1" x14ac:dyDescent="0.3">
      <c r="A111" s="63"/>
      <c r="B111" s="76"/>
      <c r="C111" s="74">
        <f>4*2</f>
        <v>8</v>
      </c>
      <c r="D111" s="75">
        <f>1/3.281</f>
        <v>0.30478512648582745</v>
      </c>
      <c r="E111" s="75"/>
      <c r="F111" s="75">
        <f>3/12/3.281</f>
        <v>7.6196281621456863E-2</v>
      </c>
      <c r="G111" s="75">
        <f t="shared" si="7"/>
        <v>0.18578794665396367</v>
      </c>
      <c r="H111" s="75"/>
      <c r="I111" s="75"/>
      <c r="J111" s="65"/>
      <c r="K111" s="71"/>
    </row>
    <row r="112" spans="1:11" ht="15" customHeight="1" x14ac:dyDescent="0.3">
      <c r="A112" s="63"/>
      <c r="B112" s="76"/>
      <c r="C112" s="74">
        <f>4*1</f>
        <v>4</v>
      </c>
      <c r="D112" s="75">
        <f>23/12/3.281</f>
        <v>0.58417149243116939</v>
      </c>
      <c r="E112" s="75"/>
      <c r="F112" s="75">
        <f>3/12/3.281</f>
        <v>7.6196281621456863E-2</v>
      </c>
      <c r="G112" s="75">
        <f t="shared" si="7"/>
        <v>0.17804678221004855</v>
      </c>
      <c r="H112" s="75"/>
      <c r="I112" s="75"/>
      <c r="J112" s="65"/>
      <c r="K112" s="71"/>
    </row>
    <row r="113" spans="1:20" ht="15" customHeight="1" x14ac:dyDescent="0.3">
      <c r="A113" s="63"/>
      <c r="B113" s="76"/>
      <c r="C113" s="74">
        <f t="shared" ref="C113:C114" si="9">4*1</f>
        <v>4</v>
      </c>
      <c r="D113" s="75">
        <f>26/3.281</f>
        <v>7.9244132886315146</v>
      </c>
      <c r="E113" s="75"/>
      <c r="F113" s="75">
        <f>1/12/3.281</f>
        <v>2.5398760540485621E-2</v>
      </c>
      <c r="G113" s="75">
        <f t="shared" si="7"/>
        <v>0.80508110216717599</v>
      </c>
      <c r="H113" s="75"/>
      <c r="I113" s="75"/>
      <c r="J113" s="65"/>
      <c r="K113" s="71"/>
    </row>
    <row r="114" spans="1:20" ht="15" customHeight="1" x14ac:dyDescent="0.3">
      <c r="A114" s="63"/>
      <c r="B114" s="76"/>
      <c r="C114" s="74">
        <f t="shared" si="9"/>
        <v>4</v>
      </c>
      <c r="D114" s="75">
        <f>28/12/3.281</f>
        <v>0.7111652951335975</v>
      </c>
      <c r="E114" s="75"/>
      <c r="F114" s="75">
        <f>1/12/3.281</f>
        <v>2.5398760540485621E-2</v>
      </c>
      <c r="G114" s="75">
        <f t="shared" si="7"/>
        <v>7.2250868143208108E-2</v>
      </c>
      <c r="H114" s="75"/>
      <c r="I114" s="75"/>
      <c r="J114" s="65"/>
      <c r="K114" s="71"/>
    </row>
    <row r="115" spans="1:20" ht="15" customHeight="1" x14ac:dyDescent="0.3">
      <c r="A115" s="63"/>
      <c r="B115" s="76" t="s">
        <v>36</v>
      </c>
      <c r="C115" s="74"/>
      <c r="D115" s="71"/>
      <c r="E115" s="75"/>
      <c r="F115" s="75"/>
      <c r="G115" s="77">
        <f>SUM(G104:G114)</f>
        <v>2.1223974811530768</v>
      </c>
      <c r="H115" s="77" t="s">
        <v>37</v>
      </c>
      <c r="I115" s="78">
        <f>50828.44/1.15</f>
        <v>44198.643478260878</v>
      </c>
      <c r="J115" s="79">
        <f>G115*I115</f>
        <v>93807.08958864375</v>
      </c>
      <c r="K115" s="71"/>
    </row>
    <row r="116" spans="1:20" x14ac:dyDescent="0.3">
      <c r="A116" s="63"/>
      <c r="B116" s="80"/>
      <c r="C116" s="74"/>
      <c r="D116" s="71"/>
      <c r="E116" s="75"/>
      <c r="F116" s="75"/>
      <c r="G116" s="75"/>
      <c r="H116" s="75"/>
      <c r="I116" s="75"/>
      <c r="J116" s="65"/>
      <c r="K116" s="71"/>
    </row>
    <row r="117" spans="1:20" ht="43.2" x14ac:dyDescent="0.3">
      <c r="A117" s="63">
        <v>13</v>
      </c>
      <c r="B117" s="80" t="s">
        <v>52</v>
      </c>
      <c r="C117" s="74"/>
      <c r="D117" s="75"/>
      <c r="E117" s="75"/>
      <c r="F117" s="75"/>
      <c r="G117" s="75"/>
      <c r="H117" s="75"/>
      <c r="I117" s="75"/>
      <c r="J117" s="65"/>
      <c r="K117" s="71"/>
    </row>
    <row r="118" spans="1:20" ht="15" customHeight="1" x14ac:dyDescent="0.3">
      <c r="A118" s="63"/>
      <c r="B118" s="76" t="s">
        <v>61</v>
      </c>
      <c r="C118" s="74">
        <v>4</v>
      </c>
      <c r="D118" s="75">
        <f>10/12/3.281</f>
        <v>0.25398760540485626</v>
      </c>
      <c r="E118" s="75"/>
      <c r="F118" s="75">
        <f>1/3.281</f>
        <v>0.30478512648582745</v>
      </c>
      <c r="G118" s="75">
        <f>PRODUCT(C118:F118)</f>
        <v>0.3096465777566062</v>
      </c>
      <c r="H118" s="75"/>
      <c r="I118" s="75"/>
      <c r="J118" s="65"/>
      <c r="K118" s="71"/>
    </row>
    <row r="119" spans="1:20" ht="15" customHeight="1" x14ac:dyDescent="0.3">
      <c r="A119" s="63"/>
      <c r="B119" s="76"/>
      <c r="C119" s="74">
        <v>2</v>
      </c>
      <c r="D119" s="75">
        <f>21/12/3.281</f>
        <v>0.53337397135019804</v>
      </c>
      <c r="E119" s="75"/>
      <c r="F119" s="75">
        <f>21/12/3.281</f>
        <v>0.53337397135019804</v>
      </c>
      <c r="G119" s="75">
        <f>PRODUCT(C119:F119)</f>
        <v>0.56897558662776371</v>
      </c>
      <c r="H119" s="75"/>
      <c r="I119" s="75"/>
      <c r="J119" s="65"/>
      <c r="K119" s="71"/>
    </row>
    <row r="120" spans="1:20" ht="15" customHeight="1" x14ac:dyDescent="0.3">
      <c r="A120" s="63"/>
      <c r="B120" s="76" t="s">
        <v>36</v>
      </c>
      <c r="C120" s="74"/>
      <c r="D120" s="75"/>
      <c r="E120" s="75"/>
      <c r="F120" s="75"/>
      <c r="G120" s="77">
        <f>SUM(G118:G119)</f>
        <v>0.87862216438436991</v>
      </c>
      <c r="H120" s="77" t="s">
        <v>37</v>
      </c>
      <c r="I120" s="78">
        <f>69579.92/1.15</f>
        <v>60504.278260869571</v>
      </c>
      <c r="J120" s="79">
        <f>G120*I120</f>
        <v>53160.399920079406</v>
      </c>
      <c r="K120" s="71"/>
    </row>
    <row r="121" spans="1:20" ht="15" hidden="1" customHeight="1" x14ac:dyDescent="0.3">
      <c r="A121" s="63"/>
      <c r="B121" s="76" t="s">
        <v>43</v>
      </c>
      <c r="C121" s="74"/>
      <c r="D121" s="75"/>
      <c r="E121" s="75"/>
      <c r="F121" s="75"/>
      <c r="G121" s="77"/>
      <c r="H121" s="77"/>
      <c r="I121" s="78"/>
      <c r="J121" s="79">
        <f>0.13*G120*(9888.94/0.92)</f>
        <v>1227.7428724073177</v>
      </c>
      <c r="K121" s="71"/>
    </row>
    <row r="122" spans="1:20" ht="15" customHeight="1" x14ac:dyDescent="0.3">
      <c r="A122" s="63"/>
      <c r="B122" s="76"/>
      <c r="C122" s="74"/>
      <c r="D122" s="75"/>
      <c r="E122" s="75"/>
      <c r="F122" s="75"/>
      <c r="G122" s="75"/>
      <c r="H122" s="75"/>
      <c r="I122" s="75"/>
      <c r="J122" s="65"/>
      <c r="K122" s="71"/>
      <c r="M122" s="35"/>
    </row>
    <row r="123" spans="1:20" ht="19.8" x14ac:dyDescent="0.3">
      <c r="A123" s="20">
        <v>15</v>
      </c>
      <c r="B123" s="30" t="s">
        <v>82</v>
      </c>
      <c r="C123" s="21">
        <v>1</v>
      </c>
      <c r="D123" s="22"/>
      <c r="E123" s="23"/>
      <c r="F123" s="23"/>
      <c r="G123" s="70">
        <f t="shared" ref="G123" si="10">PRODUCT(C123:F123)</f>
        <v>1</v>
      </c>
      <c r="H123" s="28" t="s">
        <v>62</v>
      </c>
      <c r="I123" s="29">
        <v>10000</v>
      </c>
      <c r="J123" s="70">
        <f>G123*I123</f>
        <v>10000</v>
      </c>
      <c r="K123" s="23"/>
      <c r="M123" s="25"/>
      <c r="N123" s="12"/>
      <c r="O123" s="12"/>
      <c r="P123" s="12"/>
      <c r="Q123" s="12"/>
      <c r="R123" s="12"/>
      <c r="S123" s="12"/>
      <c r="T123" s="12"/>
    </row>
    <row r="124" spans="1:20" ht="15" customHeight="1" x14ac:dyDescent="0.3">
      <c r="A124" s="63"/>
      <c r="B124" s="68"/>
      <c r="C124" s="69"/>
      <c r="D124" s="64"/>
      <c r="E124" s="64"/>
      <c r="F124" s="64"/>
      <c r="G124" s="64"/>
      <c r="H124" s="64"/>
      <c r="I124" s="64"/>
      <c r="J124" s="65"/>
      <c r="K124" s="66"/>
    </row>
    <row r="125" spans="1:20" ht="19.8" x14ac:dyDescent="0.3">
      <c r="A125" s="20">
        <v>15</v>
      </c>
      <c r="B125" s="30" t="s">
        <v>28</v>
      </c>
      <c r="C125" s="21">
        <v>1</v>
      </c>
      <c r="D125" s="22"/>
      <c r="E125" s="23"/>
      <c r="F125" s="23"/>
      <c r="G125" s="70">
        <f t="shared" ref="G125" si="11">PRODUCT(C125:F125)</f>
        <v>1</v>
      </c>
      <c r="H125" s="28" t="s">
        <v>29</v>
      </c>
      <c r="I125" s="29">
        <v>500</v>
      </c>
      <c r="J125" s="70">
        <f>G125*I125</f>
        <v>500</v>
      </c>
      <c r="K125" s="23"/>
      <c r="M125" s="25"/>
      <c r="N125" s="12"/>
      <c r="O125" s="12"/>
      <c r="P125" s="12"/>
      <c r="Q125" s="12"/>
      <c r="R125" s="12"/>
      <c r="S125" s="12"/>
      <c r="T125" s="12"/>
    </row>
    <row r="126" spans="1:20" ht="15" customHeight="1" x14ac:dyDescent="0.3">
      <c r="A126" s="63"/>
      <c r="B126" s="68"/>
      <c r="C126" s="69"/>
      <c r="D126" s="64"/>
      <c r="E126" s="64"/>
      <c r="F126" s="64"/>
      <c r="G126" s="64"/>
      <c r="H126" s="64"/>
      <c r="I126" s="64"/>
      <c r="J126" s="65"/>
      <c r="K126" s="66"/>
    </row>
    <row r="127" spans="1:20" x14ac:dyDescent="0.3">
      <c r="A127" s="63"/>
      <c r="B127" s="82" t="s">
        <v>15</v>
      </c>
      <c r="C127" s="69"/>
      <c r="D127" s="64"/>
      <c r="E127" s="64"/>
      <c r="F127" s="64"/>
      <c r="G127" s="70"/>
      <c r="H127" s="70"/>
      <c r="I127" s="70"/>
      <c r="J127" s="70">
        <f>SUM(J9:J125)</f>
        <v>600821.06516986643</v>
      </c>
      <c r="K127" s="66"/>
    </row>
    <row r="129" spans="2:11" s="1" customFormat="1" hidden="1" x14ac:dyDescent="0.3">
      <c r="B129" s="11" t="s">
        <v>89</v>
      </c>
      <c r="C129" s="45">
        <f>J127</f>
        <v>600821.06516986643</v>
      </c>
      <c r="D129" s="46"/>
      <c r="E129" s="10">
        <v>100</v>
      </c>
      <c r="F129" s="12"/>
      <c r="G129" s="13"/>
      <c r="H129" s="12"/>
      <c r="I129" s="14"/>
      <c r="J129" s="15"/>
      <c r="K129" s="16"/>
    </row>
    <row r="130" spans="2:11" hidden="1" x14ac:dyDescent="0.3">
      <c r="B130" s="11" t="s">
        <v>30</v>
      </c>
      <c r="C130" s="48">
        <v>500000</v>
      </c>
      <c r="D130" s="49"/>
      <c r="E130" s="10"/>
    </row>
    <row r="131" spans="2:11" hidden="1" x14ac:dyDescent="0.3">
      <c r="B131" s="11" t="s">
        <v>31</v>
      </c>
      <c r="C131" s="48">
        <f>C130-C133-C134</f>
        <v>475000</v>
      </c>
      <c r="D131" s="49"/>
      <c r="E131" s="10">
        <f>C131/C129*100</f>
        <v>79.058479726523274</v>
      </c>
    </row>
    <row r="132" spans="2:11" hidden="1" x14ac:dyDescent="0.3">
      <c r="B132" s="11" t="s">
        <v>32</v>
      </c>
      <c r="C132" s="50">
        <f>C129-C131</f>
        <v>125821.06516986643</v>
      </c>
      <c r="D132" s="50"/>
      <c r="E132" s="10">
        <f>100-E131</f>
        <v>20.941520273476726</v>
      </c>
    </row>
    <row r="133" spans="2:11" hidden="1" x14ac:dyDescent="0.3">
      <c r="B133" s="11" t="s">
        <v>33</v>
      </c>
      <c r="C133" s="45">
        <f>C130*0.03</f>
        <v>15000</v>
      </c>
      <c r="D133" s="46"/>
      <c r="E133" s="10">
        <v>3</v>
      </c>
    </row>
    <row r="134" spans="2:11" hidden="1" x14ac:dyDescent="0.3">
      <c r="B134" s="11" t="s">
        <v>34</v>
      </c>
      <c r="C134" s="45">
        <f>C130*0.02</f>
        <v>10000</v>
      </c>
      <c r="D134" s="46"/>
      <c r="E134" s="10">
        <v>2</v>
      </c>
    </row>
  </sheetData>
  <mergeCells count="12">
    <mergeCell ref="C133:D133"/>
    <mergeCell ref="C134:D134"/>
    <mergeCell ref="A7:F7"/>
    <mergeCell ref="C129:D129"/>
    <mergeCell ref="C130:D130"/>
    <mergeCell ref="C131:D131"/>
    <mergeCell ref="C132:D132"/>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
&amp;CChecked By:        
&amp;RApproved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estimate</vt:lpstr>
      <vt:lpstr>WCR</vt:lpstr>
      <vt:lpstr>V</vt:lpstr>
      <vt:lpstr>M</vt:lpstr>
      <vt:lpstr>estimate!Print_Area</vt:lpstr>
      <vt:lpstr>M!Print_Area</vt:lpstr>
      <vt:lpstr>V!Print_Area</vt:lpstr>
      <vt:lpstr>estimate!Print_Titles</vt:lpstr>
      <vt:lpstr>M!Print_Titles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DELL</cp:lastModifiedBy>
  <cp:lastPrinted>2025-03-27T05:38:40Z</cp:lastPrinted>
  <dcterms:created xsi:type="dcterms:W3CDTF">2015-06-05T18:17:20Z</dcterms:created>
  <dcterms:modified xsi:type="dcterms:W3CDTF">2025-06-26T18:02:07Z</dcterms:modified>
</cp:coreProperties>
</file>