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79-080\samjhauta huna baki\toilet estimate\"/>
    </mc:Choice>
  </mc:AlternateContent>
  <bookViews>
    <workbookView xWindow="-120" yWindow="-120" windowWidth="20736" windowHeight="11160"/>
  </bookViews>
  <sheets>
    <sheet name="estimated upabhokta" sheetId="12" r:id="rId1"/>
    <sheet name="WCR" sheetId="6" r:id="rId2"/>
    <sheet name="valuated" sheetId="14" r:id="rId3"/>
    <sheet name="measure" sheetId="15" r:id="rId4"/>
    <sheet name="estimated quotation" sheetId="16" r:id="rId5"/>
  </sheets>
  <externalReferences>
    <externalReference r:id="rId6"/>
    <externalReference r:id="rId7"/>
  </externalReferences>
  <definedNames>
    <definedName name="description_124" localSheetId="4">#REF!</definedName>
    <definedName name="description_124" localSheetId="0">#REF!</definedName>
    <definedName name="description_124" localSheetId="3">#REF!</definedName>
    <definedName name="description_124" localSheetId="2">#REF!</definedName>
    <definedName name="description_124">#REF!</definedName>
    <definedName name="description_261">[1]Abstract!$B$33</definedName>
    <definedName name="description_262">[2]Abstract!$B$34</definedName>
    <definedName name="description_6">[2]Abstract!$B$172</definedName>
    <definedName name="description_759">[2]Abstract!$B$278</definedName>
    <definedName name="description_783">[2]Abstract!$B$301</definedName>
    <definedName name="_xlnm.Print_Area" localSheetId="4">'estimated quotation'!$A$1:$K$58</definedName>
    <definedName name="_xlnm.Print_Area" localSheetId="0">'estimated upabhokta'!$A$1:$K$66</definedName>
    <definedName name="_xlnm.Print_Area" localSheetId="3">measure!$A$1:$K$26</definedName>
    <definedName name="_xlnm.Print_Area" localSheetId="2">valuated!$A$1:$K$26</definedName>
    <definedName name="_xlnm.Print_Titles" localSheetId="4">'estimated quotation'!$1:$8</definedName>
    <definedName name="_xlnm.Print_Titles" localSheetId="0">'estimated upabhokta'!$1:$8</definedName>
    <definedName name="_xlnm.Print_Titles" localSheetId="3">measure!$1:$8</definedName>
    <definedName name="_xlnm.Print_Titles" localSheetId="2">valuated!$1:$8</definedName>
    <definedName name="_xlnm.Print_Titles" localSheetId="1">WCR!$1:$12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59" i="12" l="1"/>
  <c r="J55" i="12"/>
  <c r="G53" i="12"/>
  <c r="G54" i="12" s="1"/>
  <c r="J54" i="12" s="1"/>
  <c r="F53" i="12"/>
  <c r="E53" i="12"/>
  <c r="F49" i="16"/>
  <c r="G49" i="16" s="1"/>
  <c r="G50" i="16" s="1"/>
  <c r="E49" i="16"/>
  <c r="J50" i="16" l="1"/>
  <c r="J42" i="12" l="1"/>
  <c r="G42" i="12"/>
  <c r="G41" i="12"/>
  <c r="J43" i="12"/>
  <c r="G52" i="16" l="1"/>
  <c r="J52" i="16" s="1"/>
  <c r="F45" i="16"/>
  <c r="E45" i="16"/>
  <c r="C45" i="16"/>
  <c r="E44" i="16"/>
  <c r="D44" i="16"/>
  <c r="F43" i="16"/>
  <c r="D43" i="16"/>
  <c r="C35" i="16"/>
  <c r="G35" i="16" s="1"/>
  <c r="F34" i="16"/>
  <c r="E34" i="16"/>
  <c r="C34" i="16"/>
  <c r="F33" i="16"/>
  <c r="D33" i="16"/>
  <c r="F32" i="16"/>
  <c r="D32" i="16"/>
  <c r="G29" i="16"/>
  <c r="J29" i="16" s="1"/>
  <c r="G28" i="16"/>
  <c r="J28" i="16" s="1"/>
  <c r="G27" i="16"/>
  <c r="J27" i="16" s="1"/>
  <c r="G26" i="16"/>
  <c r="J26" i="16" s="1"/>
  <c r="G25" i="16"/>
  <c r="J25" i="16" s="1"/>
  <c r="G24" i="16"/>
  <c r="J24" i="16" s="1"/>
  <c r="G23" i="16"/>
  <c r="J23" i="16" s="1"/>
  <c r="D22" i="16"/>
  <c r="G22" i="16" s="1"/>
  <c r="J22" i="16" s="1"/>
  <c r="D21" i="16"/>
  <c r="G21" i="16" s="1"/>
  <c r="J21" i="16" s="1"/>
  <c r="G20" i="16"/>
  <c r="J20" i="16" s="1"/>
  <c r="G19" i="16"/>
  <c r="J19" i="16" s="1"/>
  <c r="D18" i="16"/>
  <c r="G18" i="16" s="1"/>
  <c r="J18" i="16" s="1"/>
  <c r="D17" i="16"/>
  <c r="G17" i="16" s="1"/>
  <c r="J17" i="16" s="1"/>
  <c r="D16" i="16"/>
  <c r="G16" i="16" s="1"/>
  <c r="J16" i="16" s="1"/>
  <c r="G15" i="16"/>
  <c r="J15" i="16" s="1"/>
  <c r="G14" i="16"/>
  <c r="J14" i="16" s="1"/>
  <c r="G13" i="16"/>
  <c r="J13" i="16" s="1"/>
  <c r="G12" i="16"/>
  <c r="J12" i="16" s="1"/>
  <c r="G11" i="16"/>
  <c r="J11" i="16" s="1"/>
  <c r="D10" i="16"/>
  <c r="G10" i="16" s="1"/>
  <c r="J10" i="16" s="1"/>
  <c r="G32" i="16" l="1"/>
  <c r="J36" i="16" s="1"/>
  <c r="G44" i="16"/>
  <c r="G34" i="16"/>
  <c r="G45" i="16"/>
  <c r="G43" i="16"/>
  <c r="G33" i="16"/>
  <c r="G49" i="12"/>
  <c r="G47" i="12"/>
  <c r="E47" i="12"/>
  <c r="D47" i="12"/>
  <c r="G36" i="16" l="1"/>
  <c r="G39" i="16" s="1"/>
  <c r="G40" i="16" s="1"/>
  <c r="J40" i="16" s="1"/>
  <c r="J54" i="16" s="1"/>
  <c r="C56" i="16" s="1"/>
  <c r="G46" i="16"/>
  <c r="J46" i="16" s="1"/>
  <c r="C36" i="12"/>
  <c r="G36" i="12" s="1"/>
  <c r="F48" i="12"/>
  <c r="C48" i="12"/>
  <c r="G48" i="12" s="1"/>
  <c r="C35" i="12"/>
  <c r="G35" i="12" s="1"/>
  <c r="F46" i="12"/>
  <c r="E48" i="12"/>
  <c r="G46" i="12"/>
  <c r="D46" i="12"/>
  <c r="E35" i="12"/>
  <c r="F35" i="12"/>
  <c r="F33" i="12"/>
  <c r="F34" i="12"/>
  <c r="G34" i="12"/>
  <c r="D34" i="12"/>
  <c r="D33" i="12"/>
  <c r="G33" i="12" s="1"/>
  <c r="C57" i="16" l="1"/>
  <c r="C58" i="16" s="1"/>
  <c r="G37" i="12"/>
  <c r="J37" i="12"/>
  <c r="J38" i="12"/>
  <c r="J50" i="12" l="1"/>
  <c r="J49" i="12"/>
  <c r="G29" i="12"/>
  <c r="J29" i="12" s="1"/>
  <c r="J30" i="12" s="1"/>
  <c r="G28" i="12"/>
  <c r="J28" i="12" s="1"/>
  <c r="G15" i="12"/>
  <c r="J15" i="12" s="1"/>
  <c r="G23" i="12"/>
  <c r="J23" i="12" s="1"/>
  <c r="G24" i="12"/>
  <c r="J24" i="12" s="1"/>
  <c r="G25" i="12"/>
  <c r="J25" i="12" s="1"/>
  <c r="G26" i="12"/>
  <c r="J26" i="12" s="1"/>
  <c r="G27" i="12"/>
  <c r="J27" i="12" s="1"/>
  <c r="D22" i="12"/>
  <c r="G22" i="12" s="1"/>
  <c r="J22" i="12" s="1"/>
  <c r="D21" i="12"/>
  <c r="G21" i="12" s="1"/>
  <c r="J21" i="12" s="1"/>
  <c r="G20" i="12"/>
  <c r="J20" i="12" s="1"/>
  <c r="G19" i="12"/>
  <c r="J19" i="12" s="1"/>
  <c r="D18" i="12"/>
  <c r="G18" i="12" s="1"/>
  <c r="J18" i="12" s="1"/>
  <c r="D17" i="12"/>
  <c r="G17" i="12" s="1"/>
  <c r="J17" i="12" s="1"/>
  <c r="D16" i="12"/>
  <c r="G16" i="12" s="1"/>
  <c r="J16" i="12" s="1"/>
  <c r="G13" i="12"/>
  <c r="J13" i="12" s="1"/>
  <c r="G14" i="12"/>
  <c r="J14" i="12" s="1"/>
  <c r="G11" i="12"/>
  <c r="J11" i="12" s="1"/>
  <c r="G12" i="12"/>
  <c r="J12" i="12" s="1"/>
  <c r="D10" i="12"/>
  <c r="G10" i="12" s="1"/>
  <c r="J10" i="12" s="1"/>
  <c r="A6" i="14" l="1"/>
  <c r="A6" i="15" s="1"/>
  <c r="G13" i="15" l="1"/>
  <c r="G12" i="15"/>
  <c r="G11" i="15"/>
  <c r="G10" i="15"/>
  <c r="B9" i="15"/>
  <c r="G13" i="14"/>
  <c r="G12" i="14"/>
  <c r="G11" i="14"/>
  <c r="G10" i="14"/>
  <c r="B9" i="14"/>
  <c r="A9" i="6" l="1"/>
  <c r="A8" i="6"/>
  <c r="H16" i="6"/>
  <c r="E16" i="6"/>
  <c r="C16" i="6"/>
  <c r="B16" i="6"/>
  <c r="A16" i="6"/>
  <c r="B14" i="6"/>
  <c r="H13" i="6"/>
  <c r="E13" i="6"/>
  <c r="C13" i="6"/>
  <c r="A13" i="6"/>
  <c r="C26" i="15"/>
  <c r="C25" i="15"/>
  <c r="G17" i="15"/>
  <c r="J17" i="15" s="1"/>
  <c r="C26" i="14"/>
  <c r="C25" i="14"/>
  <c r="G17" i="14"/>
  <c r="J17" i="14" s="1"/>
  <c r="C23" i="14" l="1"/>
  <c r="G16" i="6"/>
  <c r="I16" i="6" s="1"/>
  <c r="C23" i="15"/>
  <c r="G14" i="15" l="1"/>
  <c r="G14" i="14"/>
  <c r="G13" i="6" s="1"/>
  <c r="I13" i="6" s="1"/>
  <c r="B13" i="6"/>
  <c r="J15" i="15" l="1"/>
  <c r="J14" i="15"/>
  <c r="J15" i="14"/>
  <c r="I14" i="6" s="1"/>
  <c r="J14" i="14"/>
  <c r="J19" i="14" l="1"/>
  <c r="C21" i="14" s="1"/>
  <c r="C24" i="14" s="1"/>
  <c r="J19" i="15"/>
  <c r="C21" i="15" s="1"/>
  <c r="C24" i="15"/>
  <c r="E23" i="15"/>
  <c r="E24" i="15" s="1"/>
  <c r="E23" i="14" l="1"/>
  <c r="E24" i="14" s="1"/>
  <c r="C66" i="12"/>
  <c r="C65" i="12"/>
  <c r="G57" i="12"/>
  <c r="J57" i="12" l="1"/>
  <c r="D16" i="6"/>
  <c r="F16" i="6" s="1"/>
  <c r="J16" i="6" s="1"/>
  <c r="C63" i="12"/>
  <c r="F14" i="6" l="1"/>
  <c r="J14" i="6" s="1"/>
  <c r="D13" i="6"/>
  <c r="F13" i="6" s="1"/>
  <c r="J13" i="6" s="1"/>
  <c r="C61" i="12" l="1"/>
  <c r="C64" i="12" s="1"/>
  <c r="E63" i="12" l="1"/>
  <c r="E64" i="12" s="1"/>
  <c r="I18" i="6"/>
  <c r="F18" i="6"/>
  <c r="J6" i="6" l="1"/>
  <c r="J18" i="6" l="1"/>
  <c r="C6" i="6" l="1"/>
</calcChain>
</file>

<file path=xl/sharedStrings.xml><?xml version="1.0" encoding="utf-8"?>
<sst xmlns="http://schemas.openxmlformats.org/spreadsheetml/2006/main" count="271" uniqueCount="91">
  <si>
    <t>Government of Nepal</t>
  </si>
  <si>
    <t>Shankharapur Municipality Office</t>
  </si>
  <si>
    <t>Bagmati Province</t>
  </si>
  <si>
    <t>Sankhu, Kathmandu</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</si>
  <si>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</si>
  <si>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</si>
  <si>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</si>
  <si>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</si>
  <si>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</si>
  <si>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</si>
  <si>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</si>
  <si>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</si>
  <si>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</si>
  <si>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</si>
  <si>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</si>
  <si>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</si>
  <si>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</si>
  <si>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</si>
  <si>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</si>
  <si>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</si>
  <si>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</si>
  <si>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</si>
  <si>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</si>
  <si>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</si>
  <si>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</si>
  <si>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</si>
  <si>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</si>
  <si>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</si>
  <si>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</si>
  <si>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</si>
  <si>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</si>
  <si>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</si>
  <si>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</si>
  <si>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</si>
  <si>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</si>
  <si>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</si>
  <si>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F.Y:2079/80                          </t>
  </si>
  <si>
    <t xml:space="preserve">Date:2079/        /                 </t>
  </si>
  <si>
    <t xml:space="preserve">Work Finished:                     </t>
  </si>
  <si>
    <t>Sub-total</t>
  </si>
  <si>
    <t>VAT calculation</t>
  </si>
  <si>
    <t>m3</t>
  </si>
  <si>
    <t>Detail Estimate Sheet</t>
  </si>
  <si>
    <t>F.Y.: 2079/80</t>
  </si>
  <si>
    <t xml:space="preserve">Date:2079      </t>
  </si>
  <si>
    <t>Detail quantity Measurement Sheet</t>
  </si>
  <si>
    <t>Total Valuated</t>
  </si>
  <si>
    <t>Detail Valuated Sheet</t>
  </si>
  <si>
    <t xml:space="preserve">F.Y.: 2079/80        </t>
  </si>
  <si>
    <t xml:space="preserve">Date:2079/      /        </t>
  </si>
  <si>
    <t>Project:- बिद्यालय क्षेत्र अगाडी स्पिड ब्रेकर बनाउने काम (भैपरी आउने बिबिध पुँजिगत खर्च)</t>
  </si>
  <si>
    <t>Toilet fitings</t>
  </si>
  <si>
    <t>PP-R Pipe (PN-10) 20mm outer, 1.9mm thick, 0.107 kg/m</t>
  </si>
  <si>
    <t>Female elbow 20mmX1/2"</t>
  </si>
  <si>
    <t>Female tee 20mmX1/2"</t>
  </si>
  <si>
    <r>
      <t>Elbow90</t>
    </r>
    <r>
      <rPr>
        <vertAlign val="superscript"/>
        <sz val="11"/>
        <rFont val="Times New Roman"/>
        <family val="1"/>
      </rPr>
      <t>o</t>
    </r>
  </si>
  <si>
    <t>Cross Tee</t>
  </si>
  <si>
    <t xml:space="preserve">110mm HDPE pipe </t>
  </si>
  <si>
    <t>Kg</t>
  </si>
  <si>
    <t>rm</t>
  </si>
  <si>
    <t>20mm G.I Pipe threaded - Light class</t>
  </si>
  <si>
    <t>20mm G.I Union</t>
  </si>
  <si>
    <t>Plug 20mm</t>
  </si>
  <si>
    <t>500mm size white glazed without siphon</t>
  </si>
  <si>
    <t>set</t>
  </si>
  <si>
    <t>Multi-floor trap</t>
  </si>
  <si>
    <t>UPVC Pipe NS 206/046 -4kg/cm2 pressure 75mm</t>
  </si>
  <si>
    <t>UPVC Pipe NS 206/046 -6kg/cm2 pressure 50mm</t>
  </si>
  <si>
    <t>UPVC Pipe NS 206/046 -2.5kg/cm2 pressure 110mm</t>
  </si>
  <si>
    <t xml:space="preserve">110mm UPVC bend </t>
  </si>
  <si>
    <t xml:space="preserve">110mm UPVC single tee </t>
  </si>
  <si>
    <t>PVC Cistern Set single flush complete set</t>
  </si>
  <si>
    <t>Urinal set- Porcelain clay small urinal (46.5*35.5*26.5)cm size</t>
  </si>
  <si>
    <t>Porcelain clay white glaze wash basin (500*400)cm size regular</t>
  </si>
  <si>
    <t xml:space="preserve">set </t>
  </si>
  <si>
    <t>LS</t>
  </si>
  <si>
    <t>!@=% dL=dL= l;d]G6 afn'jf -!M$_ Knfi6/</t>
  </si>
  <si>
    <t>sqm</t>
  </si>
  <si>
    <r>
      <t>kf]/l;lng Un]H8 6fO{n</t>
    </r>
    <r>
      <rPr>
        <sz val="10"/>
        <rFont val="Arial"/>
        <family val="2"/>
      </rPr>
      <t>(Ordinary floor and Wall Tile-as per approved standard of manufactured country</t>
    </r>
    <r>
      <rPr>
        <sz val="14"/>
        <rFont val="Arial"/>
        <family val="2"/>
      </rPr>
      <t>)</t>
    </r>
    <r>
      <rPr>
        <sz val="14"/>
        <rFont val="Preeti"/>
      </rPr>
      <t xml:space="preserve"> !M$ l;d]G6 afn'jfdf 5fKg] sfd .</t>
    </r>
  </si>
  <si>
    <t>-Outer face of Toilet wall</t>
  </si>
  <si>
    <t>-Inner face of Toilet wall</t>
  </si>
  <si>
    <t>-Deduction for door</t>
  </si>
  <si>
    <t>-Deduction for window</t>
  </si>
  <si>
    <t>Other fittings &amp; electric fittings items</t>
  </si>
  <si>
    <t>-Floor</t>
  </si>
  <si>
    <t>VAT 13%</t>
  </si>
  <si>
    <t xml:space="preserve"> Ps sf]6 k|fO{d/ ;lxt b'O{ sf]6 tof/L jf;]jn l8:6]Dk/ nufpg] sfd .</t>
  </si>
  <si>
    <t>As per plaster</t>
  </si>
  <si>
    <t>Project:- इन्द्रायणी सार्वजनिक शौचालय बनाउने काम  (भैपरी आउने बिबिध पुँजिगत खर्च)</t>
  </si>
  <si>
    <t>Providing and fixing Single Panel Casement (Hinged) door of aluminium section in natural or color anodized/powder coated color section size(102x45x1.5 mm) fitted with 5 mm clear glass of 9 mm both side laminated board  (excluding the cost of handle and door closer).</t>
  </si>
  <si>
    <t>-Door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</si>
</sst>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0.0"/>
  </numFmts>
  <fonts count="21"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vertAlign val="superscript"/>
      <sz val="11"/>
      <name val="Times New Roman"/>
      <family val="1"/>
    </font>
    <font>
      <sz val="14"/>
      <name val="Preeti"/>
    </font>
    <font>
      <b/>
      <sz val="12"/>
      <name val="Preeti"/>
    </font>
    <font>
      <sz val="10"/>
      <name val="Arial"/>
      <family val="2"/>
    </font>
    <font>
      <sz val="14"/>
      <name val="Arial"/>
      <family val="2"/>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92">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0" fontId="2" fillId="0" borderId="0" xfId="0" applyFont="1"/>
    <xf numFmtId="2" fontId="2" fillId="0" borderId="1" xfId="0" applyNumberFormat="1" applyFont="1" applyBorder="1"/>
    <xf numFmtId="0" fontId="2" fillId="0" borderId="1" xfId="0"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xf>
    <xf numFmtId="0" fontId="0" fillId="0" borderId="1" xfId="0" applyBorder="1" applyAlignment="1">
      <alignment vertical="center" wrapText="1"/>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43" fontId="2" fillId="0" borderId="0" xfId="1" applyFont="1" applyBorder="1" applyAlignment="1">
      <alignment vertical="center"/>
    </xf>
    <xf numFmtId="0" fontId="2" fillId="0" borderId="0" xfId="0" applyFont="1" applyBorder="1" applyAlignment="1">
      <alignment vertical="center"/>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0" fontId="2" fillId="0" borderId="1" xfId="0" applyFont="1" applyBorder="1" applyAlignment="1">
      <alignment horizontal="right"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43" fontId="2" fillId="0" borderId="1" xfId="1" applyFont="1" applyBorder="1" applyAlignment="1">
      <alignment vertical="center"/>
    </xf>
    <xf numFmtId="0" fontId="15" fillId="0" borderId="1" xfId="0" applyFont="1" applyBorder="1" applyAlignment="1">
      <alignment vertical="center"/>
    </xf>
    <xf numFmtId="1" fontId="15" fillId="0" borderId="1" xfId="0" applyNumberFormat="1" applyFont="1" applyBorder="1" applyAlignment="1">
      <alignment vertical="center" wrapText="1"/>
    </xf>
    <xf numFmtId="1" fontId="13" fillId="0" borderId="1" xfId="0" quotePrefix="1" applyNumberFormat="1" applyFont="1" applyFill="1" applyBorder="1" applyAlignment="1">
      <alignment horizontal="right" vertical="center" wrapText="1"/>
    </xf>
    <xf numFmtId="164" fontId="13" fillId="0" borderId="1" xfId="0" applyNumberFormat="1" applyFont="1" applyFill="1" applyBorder="1" applyAlignment="1"/>
    <xf numFmtId="2" fontId="13" fillId="0" borderId="1" xfId="1" applyNumberFormat="1" applyFont="1" applyFill="1" applyBorder="1" applyAlignment="1"/>
    <xf numFmtId="2" fontId="13" fillId="0" borderId="1" xfId="0" applyNumberFormat="1" applyFont="1" applyFill="1" applyBorder="1" applyAlignment="1"/>
    <xf numFmtId="2" fontId="2" fillId="0" borderId="1" xfId="0" applyNumberFormat="1" applyFont="1" applyBorder="1" applyAlignment="1"/>
    <xf numFmtId="2" fontId="12" fillId="0" borderId="1" xfId="0" applyNumberFormat="1" applyFont="1" applyFill="1" applyBorder="1" applyAlignment="1"/>
    <xf numFmtId="2" fontId="12" fillId="0" borderId="1" xfId="1" applyNumberFormat="1" applyFont="1" applyFill="1" applyBorder="1" applyAlignment="1"/>
    <xf numFmtId="164" fontId="0" fillId="0" borderId="1" xfId="0" applyNumberFormat="1" applyBorder="1" applyAlignment="1"/>
    <xf numFmtId="2" fontId="0" fillId="0" borderId="1" xfId="0" applyNumberFormat="1" applyBorder="1" applyAlignment="1"/>
    <xf numFmtId="0" fontId="0" fillId="0" borderId="0" xfId="0" applyAlignment="1"/>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0" fontId="0" fillId="0" borderId="1" xfId="0" quotePrefix="1" applyFont="1" applyBorder="1" applyAlignment="1">
      <alignment horizontal="right" wrapText="1"/>
    </xf>
    <xf numFmtId="2" fontId="2" fillId="0" borderId="1" xfId="1" applyNumberFormat="1" applyFont="1" applyBorder="1" applyAlignment="1"/>
    <xf numFmtId="2" fontId="3" fillId="0" borderId="1" xfId="0" applyNumberFormat="1" applyFont="1" applyBorder="1" applyAlignment="1"/>
    <xf numFmtId="2" fontId="0" fillId="0" borderId="1" xfId="0" applyNumberFormat="1" applyFont="1" applyBorder="1" applyAlignment="1"/>
    <xf numFmtId="2" fontId="2" fillId="0" borderId="1" xfId="1" applyNumberFormat="1" applyFont="1" applyBorder="1" applyAlignment="1">
      <alignment vertical="center"/>
    </xf>
    <xf numFmtId="1" fontId="13" fillId="0" borderId="1" xfId="0" applyNumberFormat="1" applyFont="1" applyFill="1" applyBorder="1" applyAlignment="1">
      <alignment vertical="center" wrapText="1"/>
    </xf>
    <xf numFmtId="0" fontId="6" fillId="0" borderId="0" xfId="0" applyFont="1" applyAlignment="1"/>
    <xf numFmtId="0" fontId="2" fillId="0" borderId="1" xfId="0" applyFont="1" applyBorder="1" applyAlignment="1">
      <alignment vertical="center"/>
    </xf>
    <xf numFmtId="2" fontId="2" fillId="0" borderId="1" xfId="0" applyNumberFormat="1" applyFont="1" applyBorder="1" applyAlignment="1">
      <alignment vertical="center"/>
    </xf>
    <xf numFmtId="0" fontId="0" fillId="0" borderId="1" xfId="0" quotePrefix="1" applyFont="1" applyBorder="1" applyAlignment="1">
      <alignment horizontal="right" vertical="center" wrapText="1"/>
    </xf>
    <xf numFmtId="164" fontId="0" fillId="0" borderId="1" xfId="0" applyNumberFormat="1" applyBorder="1" applyAlignment="1">
      <alignment vertical="center"/>
    </xf>
    <xf numFmtId="2" fontId="0" fillId="0" borderId="1" xfId="0" applyNumberFormat="1" applyFont="1" applyBorder="1" applyAlignment="1">
      <alignment vertical="center"/>
    </xf>
    <xf numFmtId="0" fontId="18" fillId="3" borderId="1" xfId="0" applyFont="1" applyFill="1" applyBorder="1" applyAlignment="1">
      <alignment vertical="center" wrapText="1"/>
    </xf>
    <xf numFmtId="0" fontId="17" fillId="3" borderId="1" xfId="0" applyFont="1" applyFill="1" applyBorder="1" applyAlignment="1">
      <alignment vertical="center" wrapText="1"/>
    </xf>
    <xf numFmtId="0" fontId="2" fillId="0" borderId="1" xfId="0" applyFont="1" applyBorder="1" applyAlignment="1">
      <alignment horizontal="right" vertical="center" wrapText="1"/>
    </xf>
    <xf numFmtId="1" fontId="12" fillId="0" borderId="1" xfId="0" quotePrefix="1" applyNumberFormat="1" applyFont="1" applyFill="1" applyBorder="1" applyAlignment="1">
      <alignment vertical="center" wrapText="1"/>
    </xf>
    <xf numFmtId="1" fontId="13" fillId="0" borderId="1" xfId="0" quotePrefix="1" applyNumberFormat="1" applyFont="1" applyFill="1" applyBorder="1" applyAlignment="1">
      <alignment vertical="center" wrapText="1"/>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6" fillId="0" borderId="0" xfId="0" applyFont="1"/>
    <xf numFmtId="0" fontId="6" fillId="0" borderId="0" xfId="0" applyFont="1" applyAlignment="1">
      <alignment horizontal="right"/>
    </xf>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2" fontId="0" fillId="0" borderId="1" xfId="0" applyNumberFormat="1" applyBorder="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2" fontId="0" fillId="0" borderId="1" xfId="1" applyNumberFormat="1" applyFont="1" applyBorder="1" applyAlignment="1">
      <alignment horizontal="center" vertical="center"/>
    </xf>
    <xf numFmtId="0" fontId="19" fillId="3" borderId="1" xfId="0" applyFont="1" applyFill="1" applyBorder="1" applyAlignment="1">
      <alignment vertical="top"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079-080/Rate%20Analysis/Road-rate-analysis-079-80-shankharapur-as-per-dor-norms-nnn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72">
          <cell r="B172" t="str">
            <v>Providing and laying of Plain/Reinforced Cement Concrete in Foundation complete as per Drawing and Technical Specifications., RCC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6"/>
  <sheetViews>
    <sheetView tabSelected="1" topLeftCell="A52" zoomScaleNormal="100" zoomScaleSheetLayoutView="80" workbookViewId="0">
      <selection activeCell="G65" sqref="G65"/>
    </sheetView>
  </sheetViews>
  <sheetFormatPr defaultRowHeight="14.4" x14ac:dyDescent="0.3"/>
  <cols>
    <col min="1" max="1" width="4.44140625" style="7" customWidth="1"/>
    <col min="2" max="2" width="31.33203125" customWidth="1"/>
    <col min="3" max="3" width="4.33203125" bestFit="1" customWidth="1"/>
    <col min="4" max="4" width="9.33203125" customWidth="1"/>
    <col min="5" max="5" width="7.88671875" customWidth="1"/>
    <col min="6" max="6" width="7.5546875" customWidth="1"/>
    <col min="7" max="7" width="8.5546875" style="7" customWidth="1"/>
    <col min="8" max="8" width="5.33203125" style="7" bestFit="1" customWidth="1"/>
    <col min="9" max="9" width="10.6640625" style="7" customWidth="1"/>
    <col min="10" max="10" width="10.5546875" style="7" bestFit="1" customWidth="1"/>
    <col min="11" max="11" width="8.33203125" customWidth="1"/>
    <col min="14" max="14" width="9.5546875" bestFit="1" customWidth="1"/>
    <col min="15" max="15" width="12" bestFit="1" customWidth="1"/>
    <col min="16" max="16" width="12.109375" customWidth="1"/>
    <col min="17" max="17" width="14.44140625" customWidth="1"/>
  </cols>
  <sheetData>
    <row r="1" spans="1:19" s="1" customFormat="1" x14ac:dyDescent="0.3">
      <c r="A1" s="74" t="s">
        <v>0</v>
      </c>
      <c r="B1" s="74"/>
      <c r="C1" s="74"/>
      <c r="D1" s="74"/>
      <c r="E1" s="74"/>
      <c r="F1" s="74"/>
      <c r="G1" s="74"/>
      <c r="H1" s="74"/>
      <c r="I1" s="74"/>
      <c r="J1" s="74"/>
      <c r="K1" s="74"/>
    </row>
    <row r="2" spans="1:19" s="1" customFormat="1" ht="22.8" x14ac:dyDescent="0.3">
      <c r="A2" s="75" t="s">
        <v>1</v>
      </c>
      <c r="B2" s="75"/>
      <c r="C2" s="75"/>
      <c r="D2" s="75"/>
      <c r="E2" s="75"/>
      <c r="F2" s="75"/>
      <c r="G2" s="75"/>
      <c r="H2" s="75"/>
      <c r="I2" s="75"/>
      <c r="J2" s="75"/>
      <c r="K2" s="75"/>
    </row>
    <row r="3" spans="1:19" s="1" customFormat="1" x14ac:dyDescent="0.3">
      <c r="A3" s="76" t="s">
        <v>2</v>
      </c>
      <c r="B3" s="76"/>
      <c r="C3" s="76"/>
      <c r="D3" s="76"/>
      <c r="E3" s="76"/>
      <c r="F3" s="76"/>
      <c r="G3" s="76"/>
      <c r="H3" s="76"/>
      <c r="I3" s="76"/>
      <c r="J3" s="76"/>
      <c r="K3" s="76"/>
    </row>
    <row r="4" spans="1:19" s="1" customFormat="1" x14ac:dyDescent="0.3">
      <c r="A4" s="76" t="s">
        <v>3</v>
      </c>
      <c r="B4" s="76"/>
      <c r="C4" s="76"/>
      <c r="D4" s="76"/>
      <c r="E4" s="76"/>
      <c r="F4" s="76"/>
      <c r="G4" s="76"/>
      <c r="H4" s="76"/>
      <c r="I4" s="76"/>
      <c r="J4" s="76"/>
      <c r="K4" s="76"/>
    </row>
    <row r="5" spans="1:19" ht="17.399999999999999" x14ac:dyDescent="0.3">
      <c r="A5" s="77" t="s">
        <v>42</v>
      </c>
      <c r="B5" s="77"/>
      <c r="C5" s="77"/>
      <c r="D5" s="77"/>
      <c r="E5" s="77"/>
      <c r="F5" s="77"/>
      <c r="G5" s="77"/>
      <c r="H5" s="77"/>
      <c r="I5" s="77"/>
      <c r="J5" s="77"/>
      <c r="K5" s="77"/>
    </row>
    <row r="6" spans="1:19" ht="15.6" x14ac:dyDescent="0.3">
      <c r="A6" s="56" t="s">
        <v>88</v>
      </c>
      <c r="B6" s="56"/>
      <c r="C6" s="56"/>
      <c r="D6" s="56"/>
      <c r="E6" s="56"/>
      <c r="F6" s="56"/>
      <c r="G6" s="2"/>
      <c r="H6" s="70" t="s">
        <v>43</v>
      </c>
      <c r="I6" s="70"/>
      <c r="J6" s="70"/>
      <c r="K6" s="70"/>
    </row>
    <row r="7" spans="1:19" ht="15.6" x14ac:dyDescent="0.3">
      <c r="A7" s="69" t="s">
        <v>27</v>
      </c>
      <c r="B7" s="69"/>
      <c r="C7" s="69"/>
      <c r="D7" s="69"/>
      <c r="E7" s="69"/>
      <c r="F7" s="69"/>
      <c r="G7" s="3"/>
      <c r="H7" s="70" t="s">
        <v>44</v>
      </c>
      <c r="I7" s="70"/>
      <c r="J7" s="70"/>
      <c r="K7" s="70"/>
    </row>
    <row r="8" spans="1:19" ht="15" customHeight="1" x14ac:dyDescent="0.3">
      <c r="A8" s="4" t="s">
        <v>4</v>
      </c>
      <c r="B8" s="23" t="s">
        <v>5</v>
      </c>
      <c r="C8" s="4" t="s">
        <v>6</v>
      </c>
      <c r="D8" s="24" t="s">
        <v>7</v>
      </c>
      <c r="E8" s="24" t="s">
        <v>8</v>
      </c>
      <c r="F8" s="24" t="s">
        <v>9</v>
      </c>
      <c r="G8" s="24" t="s">
        <v>10</v>
      </c>
      <c r="H8" s="4" t="s">
        <v>11</v>
      </c>
      <c r="I8" s="24" t="s">
        <v>12</v>
      </c>
      <c r="J8" s="24" t="s">
        <v>13</v>
      </c>
      <c r="K8" s="25" t="s">
        <v>14</v>
      </c>
    </row>
    <row r="9" spans="1:19" ht="15" customHeight="1" x14ac:dyDescent="0.3">
      <c r="A9" s="27">
        <v>1</v>
      </c>
      <c r="B9" s="65" t="s">
        <v>51</v>
      </c>
      <c r="C9" s="28"/>
      <c r="D9" s="29"/>
      <c r="E9" s="29"/>
      <c r="F9" s="30"/>
      <c r="G9" s="14"/>
      <c r="H9" s="48"/>
      <c r="I9" s="49"/>
      <c r="J9" s="58"/>
      <c r="K9" s="30"/>
      <c r="M9" s="32"/>
      <c r="N9" s="1"/>
      <c r="O9" s="1"/>
      <c r="P9" s="1"/>
      <c r="Q9" s="1"/>
      <c r="R9" s="32"/>
      <c r="S9" s="32"/>
    </row>
    <row r="10" spans="1:19" ht="27.6" x14ac:dyDescent="0.3">
      <c r="A10" s="27"/>
      <c r="B10" s="38" t="s">
        <v>52</v>
      </c>
      <c r="C10" s="28">
        <v>1</v>
      </c>
      <c r="D10" s="29">
        <f>(((55+6)+(35+64+70+38+31+64)+(72+63+36+35+9))/12)/3.281</f>
        <v>14.680483592400689</v>
      </c>
      <c r="E10" s="29"/>
      <c r="F10" s="30"/>
      <c r="G10" s="14">
        <f>PRODUCT(C10:F10)</f>
        <v>14.680483592400689</v>
      </c>
      <c r="H10" s="48" t="s">
        <v>59</v>
      </c>
      <c r="I10" s="49">
        <v>56</v>
      </c>
      <c r="J10" s="54">
        <f>G10*I10</f>
        <v>822.10708117443858</v>
      </c>
      <c r="K10" s="30"/>
      <c r="M10" s="32"/>
      <c r="N10" s="1"/>
      <c r="O10" s="1"/>
      <c r="P10" s="1"/>
      <c r="Q10" s="1"/>
      <c r="R10" s="32"/>
      <c r="S10" s="32"/>
    </row>
    <row r="11" spans="1:19" ht="15" customHeight="1" x14ac:dyDescent="0.3">
      <c r="A11" s="27"/>
      <c r="B11" s="38" t="s">
        <v>53</v>
      </c>
      <c r="C11" s="28">
        <v>7</v>
      </c>
      <c r="D11" s="29"/>
      <c r="E11" s="29"/>
      <c r="F11" s="30"/>
      <c r="G11" s="14">
        <f t="shared" ref="G11:G29" si="0">PRODUCT(C11:F11)</f>
        <v>7</v>
      </c>
      <c r="H11" s="48" t="s">
        <v>30</v>
      </c>
      <c r="I11" s="49">
        <v>113</v>
      </c>
      <c r="J11" s="54">
        <f t="shared" ref="J11:J29" si="1">G11*I11</f>
        <v>791</v>
      </c>
      <c r="K11" s="30"/>
      <c r="M11" s="32"/>
      <c r="N11" s="1"/>
      <c r="O11" s="1"/>
      <c r="P11" s="1"/>
      <c r="Q11" s="1"/>
      <c r="R11" s="32"/>
      <c r="S11" s="32"/>
    </row>
    <row r="12" spans="1:19" ht="15" customHeight="1" x14ac:dyDescent="0.3">
      <c r="A12" s="27"/>
      <c r="B12" s="38" t="s">
        <v>54</v>
      </c>
      <c r="C12" s="28">
        <v>3</v>
      </c>
      <c r="D12" s="29"/>
      <c r="E12" s="29"/>
      <c r="F12" s="30"/>
      <c r="G12" s="14">
        <f t="shared" si="0"/>
        <v>3</v>
      </c>
      <c r="H12" s="48" t="s">
        <v>30</v>
      </c>
      <c r="I12" s="49">
        <v>116</v>
      </c>
      <c r="J12" s="54">
        <f t="shared" si="1"/>
        <v>348</v>
      </c>
      <c r="K12" s="30"/>
      <c r="M12" s="32"/>
      <c r="N12" s="1"/>
      <c r="O12" s="1"/>
      <c r="P12" s="1"/>
      <c r="Q12" s="1"/>
      <c r="R12" s="32"/>
      <c r="S12" s="32"/>
    </row>
    <row r="13" spans="1:19" ht="15" customHeight="1" x14ac:dyDescent="0.3">
      <c r="A13" s="27"/>
      <c r="B13" s="38" t="s">
        <v>55</v>
      </c>
      <c r="C13" s="28">
        <v>8</v>
      </c>
      <c r="D13" s="29"/>
      <c r="E13" s="29"/>
      <c r="F13" s="30"/>
      <c r="G13" s="14">
        <f t="shared" si="0"/>
        <v>8</v>
      </c>
      <c r="H13" s="48" t="s">
        <v>30</v>
      </c>
      <c r="I13" s="49">
        <v>11</v>
      </c>
      <c r="J13" s="54">
        <f t="shared" si="1"/>
        <v>88</v>
      </c>
      <c r="K13" s="30"/>
      <c r="M13" s="32"/>
      <c r="N13" s="1"/>
      <c r="O13" s="1"/>
      <c r="P13" s="1"/>
      <c r="Q13" s="1"/>
      <c r="R13" s="32"/>
      <c r="S13" s="32"/>
    </row>
    <row r="14" spans="1:19" ht="15" customHeight="1" x14ac:dyDescent="0.3">
      <c r="A14" s="27"/>
      <c r="B14" s="38" t="s">
        <v>56</v>
      </c>
      <c r="C14" s="28">
        <v>6</v>
      </c>
      <c r="D14" s="29"/>
      <c r="E14" s="29"/>
      <c r="F14" s="30"/>
      <c r="G14" s="14">
        <f t="shared" si="0"/>
        <v>6</v>
      </c>
      <c r="H14" s="48" t="s">
        <v>30</v>
      </c>
      <c r="I14" s="49">
        <v>26</v>
      </c>
      <c r="J14" s="54">
        <f t="shared" si="1"/>
        <v>156</v>
      </c>
      <c r="K14" s="30"/>
      <c r="M14" s="32"/>
      <c r="N14" s="1"/>
      <c r="O14" s="1"/>
      <c r="P14" s="1"/>
      <c r="Q14" s="1"/>
      <c r="R14" s="32"/>
      <c r="S14" s="32"/>
    </row>
    <row r="15" spans="1:19" ht="15" customHeight="1" x14ac:dyDescent="0.3">
      <c r="A15" s="27"/>
      <c r="B15" s="38" t="s">
        <v>62</v>
      </c>
      <c r="C15" s="28">
        <v>5</v>
      </c>
      <c r="D15" s="29"/>
      <c r="E15" s="29"/>
      <c r="F15" s="30"/>
      <c r="G15" s="14">
        <f t="shared" si="0"/>
        <v>5</v>
      </c>
      <c r="H15" s="48" t="s">
        <v>30</v>
      </c>
      <c r="I15" s="49">
        <v>13</v>
      </c>
      <c r="J15" s="54">
        <f t="shared" si="1"/>
        <v>65</v>
      </c>
      <c r="K15" s="30"/>
      <c r="M15" s="32"/>
      <c r="N15" s="1"/>
      <c r="O15" s="1"/>
      <c r="P15" s="1"/>
      <c r="Q15" s="1"/>
      <c r="R15" s="32"/>
      <c r="S15" s="32"/>
    </row>
    <row r="16" spans="1:19" ht="27.6" x14ac:dyDescent="0.3">
      <c r="A16" s="27"/>
      <c r="B16" s="38" t="s">
        <v>66</v>
      </c>
      <c r="C16" s="28">
        <v>1</v>
      </c>
      <c r="D16" s="29">
        <f>((20*12-64*2+240)/12)/3.281</f>
        <v>8.9403637102509386</v>
      </c>
      <c r="E16" s="29"/>
      <c r="F16" s="30"/>
      <c r="G16" s="14">
        <f t="shared" si="0"/>
        <v>8.9403637102509386</v>
      </c>
      <c r="H16" s="48" t="s">
        <v>59</v>
      </c>
      <c r="I16" s="49">
        <v>181</v>
      </c>
      <c r="J16" s="54">
        <f t="shared" si="1"/>
        <v>1618.20583155542</v>
      </c>
      <c r="K16" s="30"/>
      <c r="M16" s="32"/>
      <c r="N16" s="1"/>
      <c r="O16" s="1"/>
      <c r="P16" s="1"/>
      <c r="Q16" s="1"/>
      <c r="R16" s="32"/>
      <c r="S16" s="32"/>
    </row>
    <row r="17" spans="1:19" ht="27.6" x14ac:dyDescent="0.3">
      <c r="A17" s="27"/>
      <c r="B17" s="38" t="s">
        <v>67</v>
      </c>
      <c r="C17" s="28">
        <v>1</v>
      </c>
      <c r="D17" s="29">
        <f>((10*12+30+10)/12)/3.281</f>
        <v>4.0638016864777002</v>
      </c>
      <c r="E17" s="29"/>
      <c r="F17" s="30"/>
      <c r="G17" s="14">
        <f t="shared" si="0"/>
        <v>4.0638016864777002</v>
      </c>
      <c r="H17" s="48" t="s">
        <v>59</v>
      </c>
      <c r="I17" s="49">
        <v>117</v>
      </c>
      <c r="J17" s="54">
        <f t="shared" si="1"/>
        <v>475.46479731789094</v>
      </c>
      <c r="K17" s="30"/>
      <c r="M17" s="32"/>
      <c r="N17" s="1"/>
      <c r="O17" s="1"/>
      <c r="P17" s="1"/>
      <c r="Q17" s="1"/>
      <c r="R17" s="32"/>
      <c r="S17" s="32"/>
    </row>
    <row r="18" spans="1:19" ht="27.6" x14ac:dyDescent="0.3">
      <c r="A18" s="27"/>
      <c r="B18" s="38" t="s">
        <v>68</v>
      </c>
      <c r="C18" s="28">
        <v>1</v>
      </c>
      <c r="D18" s="29">
        <f>((70+27+6+10)/12)/3.281</f>
        <v>2.8700599410748753</v>
      </c>
      <c r="E18" s="29"/>
      <c r="F18" s="30"/>
      <c r="G18" s="14">
        <f t="shared" si="0"/>
        <v>2.8700599410748753</v>
      </c>
      <c r="H18" s="48" t="s">
        <v>59</v>
      </c>
      <c r="I18" s="49">
        <v>247</v>
      </c>
      <c r="J18" s="54">
        <f t="shared" si="1"/>
        <v>708.90480544549416</v>
      </c>
      <c r="K18" s="30"/>
      <c r="M18" s="32"/>
      <c r="N18" s="1"/>
      <c r="O18" s="1"/>
      <c r="P18" s="1"/>
      <c r="Q18" s="1"/>
      <c r="R18" s="32"/>
      <c r="S18" s="32"/>
    </row>
    <row r="19" spans="1:19" ht="15" customHeight="1" x14ac:dyDescent="0.3">
      <c r="A19" s="27"/>
      <c r="B19" s="38" t="s">
        <v>69</v>
      </c>
      <c r="C19" s="28">
        <v>2</v>
      </c>
      <c r="D19" s="29"/>
      <c r="E19" s="29"/>
      <c r="F19" s="30"/>
      <c r="G19" s="14">
        <f t="shared" si="0"/>
        <v>2</v>
      </c>
      <c r="H19" s="48" t="s">
        <v>30</v>
      </c>
      <c r="I19" s="49">
        <v>185</v>
      </c>
      <c r="J19" s="54">
        <f t="shared" si="1"/>
        <v>370</v>
      </c>
      <c r="K19" s="30"/>
      <c r="M19" s="32"/>
      <c r="N19" s="1"/>
      <c r="O19" s="1"/>
      <c r="P19" s="1"/>
      <c r="Q19" s="1"/>
      <c r="R19" s="32"/>
      <c r="S19" s="32"/>
    </row>
    <row r="20" spans="1:19" ht="15" customHeight="1" x14ac:dyDescent="0.3">
      <c r="A20" s="27"/>
      <c r="B20" s="38" t="s">
        <v>70</v>
      </c>
      <c r="C20" s="28">
        <v>2</v>
      </c>
      <c r="D20" s="29"/>
      <c r="E20" s="29"/>
      <c r="F20" s="30"/>
      <c r="G20" s="14">
        <f t="shared" si="0"/>
        <v>2</v>
      </c>
      <c r="H20" s="48" t="s">
        <v>30</v>
      </c>
      <c r="I20" s="49">
        <v>327</v>
      </c>
      <c r="J20" s="54">
        <f t="shared" si="1"/>
        <v>654</v>
      </c>
      <c r="K20" s="30"/>
      <c r="M20" s="32"/>
      <c r="N20" s="1"/>
      <c r="O20" s="1"/>
      <c r="P20" s="1"/>
      <c r="Q20" s="1"/>
      <c r="R20" s="32"/>
      <c r="S20" s="32"/>
    </row>
    <row r="21" spans="1:19" ht="15" customHeight="1" x14ac:dyDescent="0.3">
      <c r="A21" s="27"/>
      <c r="B21" s="38" t="s">
        <v>57</v>
      </c>
      <c r="C21" s="28">
        <v>1</v>
      </c>
      <c r="D21" s="29">
        <f>10/3.281</f>
        <v>3.047851264858275</v>
      </c>
      <c r="E21" s="29"/>
      <c r="F21" s="30"/>
      <c r="G21" s="14">
        <f t="shared" si="0"/>
        <v>3.047851264858275</v>
      </c>
      <c r="H21" s="48" t="s">
        <v>58</v>
      </c>
      <c r="I21" s="49">
        <v>287</v>
      </c>
      <c r="J21" s="54">
        <f t="shared" si="1"/>
        <v>874.73331301432495</v>
      </c>
      <c r="K21" s="30"/>
      <c r="M21" s="32"/>
      <c r="N21" s="1"/>
      <c r="O21" s="1"/>
      <c r="P21" s="1"/>
      <c r="Q21" s="1"/>
      <c r="R21" s="32"/>
      <c r="S21" s="32"/>
    </row>
    <row r="22" spans="1:19" ht="15" customHeight="1" x14ac:dyDescent="0.3">
      <c r="A22" s="27"/>
      <c r="B22" s="38" t="s">
        <v>60</v>
      </c>
      <c r="C22" s="28">
        <v>1</v>
      </c>
      <c r="D22" s="29">
        <f>0.3*2</f>
        <v>0.6</v>
      </c>
      <c r="E22" s="29"/>
      <c r="F22" s="30"/>
      <c r="G22" s="14">
        <f t="shared" si="0"/>
        <v>0.6</v>
      </c>
      <c r="H22" s="48" t="s">
        <v>59</v>
      </c>
      <c r="I22" s="49">
        <v>323</v>
      </c>
      <c r="J22" s="54">
        <f t="shared" si="1"/>
        <v>193.79999999999998</v>
      </c>
      <c r="K22" s="30"/>
      <c r="M22" s="32"/>
      <c r="N22" s="1"/>
      <c r="O22" s="1"/>
      <c r="P22" s="1"/>
      <c r="Q22" s="1"/>
      <c r="R22" s="32"/>
      <c r="S22" s="32"/>
    </row>
    <row r="23" spans="1:19" ht="15" customHeight="1" x14ac:dyDescent="0.3">
      <c r="A23" s="27"/>
      <c r="B23" s="38" t="s">
        <v>61</v>
      </c>
      <c r="C23" s="28">
        <v>1</v>
      </c>
      <c r="D23" s="29"/>
      <c r="E23" s="29"/>
      <c r="F23" s="30"/>
      <c r="G23" s="14">
        <f t="shared" si="0"/>
        <v>1</v>
      </c>
      <c r="H23" s="48" t="s">
        <v>30</v>
      </c>
      <c r="I23" s="49">
        <v>153</v>
      </c>
      <c r="J23" s="54">
        <f t="shared" si="1"/>
        <v>153</v>
      </c>
      <c r="K23" s="30"/>
      <c r="M23" s="32"/>
      <c r="N23" s="1"/>
      <c r="O23" s="1"/>
      <c r="P23" s="1"/>
      <c r="Q23" s="1"/>
      <c r="R23" s="32"/>
      <c r="S23" s="32"/>
    </row>
    <row r="24" spans="1:19" ht="27.6" x14ac:dyDescent="0.3">
      <c r="A24" s="27"/>
      <c r="B24" s="38" t="s">
        <v>63</v>
      </c>
      <c r="C24" s="28">
        <v>2</v>
      </c>
      <c r="D24" s="29"/>
      <c r="E24" s="29"/>
      <c r="F24" s="30"/>
      <c r="G24" s="14">
        <f t="shared" si="0"/>
        <v>2</v>
      </c>
      <c r="H24" s="48" t="s">
        <v>64</v>
      </c>
      <c r="I24" s="49">
        <v>2741</v>
      </c>
      <c r="J24" s="54">
        <f t="shared" si="1"/>
        <v>5482</v>
      </c>
      <c r="K24" s="30"/>
      <c r="M24" s="32"/>
      <c r="N24" s="1"/>
      <c r="O24" s="1"/>
      <c r="P24" s="1"/>
      <c r="Q24" s="1"/>
      <c r="R24" s="32"/>
      <c r="S24" s="32"/>
    </row>
    <row r="25" spans="1:19" ht="15" customHeight="1" x14ac:dyDescent="0.3">
      <c r="A25" s="27"/>
      <c r="B25" s="38" t="s">
        <v>65</v>
      </c>
      <c r="C25" s="28">
        <v>2</v>
      </c>
      <c r="D25" s="29"/>
      <c r="E25" s="29"/>
      <c r="F25" s="30"/>
      <c r="G25" s="14">
        <f t="shared" si="0"/>
        <v>2</v>
      </c>
      <c r="H25" s="48" t="s">
        <v>30</v>
      </c>
      <c r="I25" s="49">
        <v>329</v>
      </c>
      <c r="J25" s="54">
        <f t="shared" si="1"/>
        <v>658</v>
      </c>
      <c r="K25" s="30"/>
      <c r="M25" s="32"/>
      <c r="N25" s="1"/>
      <c r="O25" s="1"/>
      <c r="P25" s="1"/>
      <c r="Q25" s="1"/>
      <c r="R25" s="32"/>
      <c r="S25" s="32"/>
    </row>
    <row r="26" spans="1:19" ht="27.6" x14ac:dyDescent="0.3">
      <c r="A26" s="27"/>
      <c r="B26" s="38" t="s">
        <v>71</v>
      </c>
      <c r="C26" s="28">
        <v>2</v>
      </c>
      <c r="D26" s="29"/>
      <c r="E26" s="29"/>
      <c r="F26" s="30"/>
      <c r="G26" s="14">
        <f t="shared" si="0"/>
        <v>2</v>
      </c>
      <c r="H26" s="48" t="s">
        <v>64</v>
      </c>
      <c r="I26" s="49">
        <v>1973</v>
      </c>
      <c r="J26" s="54">
        <f t="shared" si="1"/>
        <v>3946</v>
      </c>
      <c r="K26" s="30"/>
      <c r="M26" s="32"/>
      <c r="N26" s="1"/>
      <c r="O26" s="1"/>
      <c r="P26" s="1"/>
      <c r="Q26" s="1"/>
      <c r="R26" s="32"/>
      <c r="S26" s="32"/>
    </row>
    <row r="27" spans="1:19" ht="27.6" x14ac:dyDescent="0.3">
      <c r="A27" s="27"/>
      <c r="B27" s="38" t="s">
        <v>72</v>
      </c>
      <c r="C27" s="28">
        <v>3</v>
      </c>
      <c r="D27" s="29"/>
      <c r="E27" s="29"/>
      <c r="F27" s="30"/>
      <c r="G27" s="14">
        <f t="shared" si="0"/>
        <v>3</v>
      </c>
      <c r="H27" s="48" t="s">
        <v>64</v>
      </c>
      <c r="I27" s="49">
        <v>1880</v>
      </c>
      <c r="J27" s="54">
        <f t="shared" si="1"/>
        <v>5640</v>
      </c>
      <c r="K27" s="30"/>
      <c r="M27" s="32"/>
      <c r="N27" s="1"/>
      <c r="O27" s="1"/>
      <c r="P27" s="1"/>
      <c r="Q27" s="1"/>
      <c r="R27" s="32"/>
      <c r="S27" s="32"/>
    </row>
    <row r="28" spans="1:19" ht="27.6" x14ac:dyDescent="0.3">
      <c r="A28" s="27"/>
      <c r="B28" s="38" t="s">
        <v>73</v>
      </c>
      <c r="C28" s="28">
        <v>2</v>
      </c>
      <c r="D28" s="29"/>
      <c r="E28" s="29"/>
      <c r="F28" s="30"/>
      <c r="G28" s="14">
        <f t="shared" si="0"/>
        <v>2</v>
      </c>
      <c r="H28" s="48" t="s">
        <v>74</v>
      </c>
      <c r="I28" s="49">
        <v>1095</v>
      </c>
      <c r="J28" s="54">
        <f t="shared" si="1"/>
        <v>2190</v>
      </c>
      <c r="K28" s="30"/>
      <c r="M28" s="32"/>
      <c r="N28" s="1"/>
      <c r="O28" s="1"/>
      <c r="P28" s="1"/>
      <c r="Q28" s="1"/>
      <c r="R28" s="32"/>
      <c r="S28" s="32"/>
    </row>
    <row r="29" spans="1:19" ht="15" customHeight="1" x14ac:dyDescent="0.3">
      <c r="A29" s="27"/>
      <c r="B29" s="66" t="s">
        <v>83</v>
      </c>
      <c r="C29" s="28">
        <v>1</v>
      </c>
      <c r="D29" s="29"/>
      <c r="E29" s="29"/>
      <c r="F29" s="30"/>
      <c r="G29" s="14">
        <f t="shared" si="0"/>
        <v>1</v>
      </c>
      <c r="H29" s="48" t="s">
        <v>75</v>
      </c>
      <c r="I29" s="49">
        <v>10000</v>
      </c>
      <c r="J29" s="54">
        <f t="shared" si="1"/>
        <v>10000</v>
      </c>
      <c r="K29" s="30"/>
      <c r="M29" s="32"/>
      <c r="N29" s="1"/>
      <c r="O29" s="1"/>
      <c r="P29" s="1"/>
      <c r="Q29" s="1"/>
      <c r="R29" s="32"/>
      <c r="S29" s="32"/>
    </row>
    <row r="30" spans="1:19" ht="15" customHeight="1" x14ac:dyDescent="0.3">
      <c r="A30" s="57"/>
      <c r="B30" s="59" t="s">
        <v>40</v>
      </c>
      <c r="C30" s="60"/>
      <c r="D30" s="14"/>
      <c r="E30" s="14"/>
      <c r="F30" s="14"/>
      <c r="G30" s="61"/>
      <c r="H30" s="61"/>
      <c r="I30" s="61"/>
      <c r="J30" s="54">
        <f>0.13*SUM(J10:J29)</f>
        <v>4580.448057705984</v>
      </c>
      <c r="K30" s="16"/>
    </row>
    <row r="31" spans="1:19" ht="15" customHeight="1" x14ac:dyDescent="0.3">
      <c r="A31" s="57"/>
      <c r="B31" s="59"/>
      <c r="C31" s="60"/>
      <c r="D31" s="14"/>
      <c r="E31" s="14"/>
      <c r="F31" s="14"/>
      <c r="G31" s="61"/>
      <c r="H31" s="61"/>
      <c r="I31" s="61"/>
      <c r="J31" s="54"/>
      <c r="K31" s="16"/>
    </row>
    <row r="32" spans="1:19" ht="30" x14ac:dyDescent="0.3">
      <c r="A32" s="57">
        <v>2</v>
      </c>
      <c r="B32" s="62" t="s">
        <v>76</v>
      </c>
      <c r="C32" s="60"/>
      <c r="D32" s="14"/>
      <c r="E32" s="14"/>
      <c r="F32" s="14"/>
      <c r="G32" s="61"/>
      <c r="H32" s="61"/>
      <c r="I32" s="61"/>
      <c r="J32" s="54"/>
      <c r="K32" s="16"/>
    </row>
    <row r="33" spans="1:11" ht="15" customHeight="1" x14ac:dyDescent="0.3">
      <c r="A33" s="57"/>
      <c r="B33" s="59" t="s">
        <v>79</v>
      </c>
      <c r="C33" s="60">
        <v>1</v>
      </c>
      <c r="D33" s="14">
        <f>4*2+3.5*2</f>
        <v>15</v>
      </c>
      <c r="E33" s="14"/>
      <c r="F33" s="14">
        <f>(9-5)/3.281</f>
        <v>1.2191405059433098</v>
      </c>
      <c r="G33" s="14">
        <f t="shared" ref="G33:G35" si="2">PRODUCT(C33:F33)</f>
        <v>18.287107589149649</v>
      </c>
      <c r="H33" s="61"/>
      <c r="I33" s="58"/>
      <c r="J33" s="58"/>
      <c r="K33" s="16"/>
    </row>
    <row r="34" spans="1:11" ht="15" customHeight="1" x14ac:dyDescent="0.3">
      <c r="A34" s="57"/>
      <c r="B34" s="59" t="s">
        <v>80</v>
      </c>
      <c r="C34" s="60">
        <v>1</v>
      </c>
      <c r="D34" s="14">
        <f>(3*4+1.8*4)</f>
        <v>19.2</v>
      </c>
      <c r="E34" s="14"/>
      <c r="F34" s="14">
        <f>(8.75-5)/3.281</f>
        <v>1.1429442243218531</v>
      </c>
      <c r="G34" s="14">
        <f t="shared" si="2"/>
        <v>21.944529106979576</v>
      </c>
      <c r="H34" s="61"/>
      <c r="I34" s="58"/>
      <c r="J34" s="58"/>
      <c r="K34" s="16"/>
    </row>
    <row r="35" spans="1:11" ht="15" customHeight="1" x14ac:dyDescent="0.3">
      <c r="A35" s="57"/>
      <c r="B35" s="59" t="s">
        <v>81</v>
      </c>
      <c r="C35" s="60">
        <f>-2*2</f>
        <v>-4</v>
      </c>
      <c r="D35" s="14"/>
      <c r="E35" s="14">
        <f>0.9</f>
        <v>0.9</v>
      </c>
      <c r="F35" s="14">
        <f>(9-5)/3.281</f>
        <v>1.2191405059433098</v>
      </c>
      <c r="G35" s="14">
        <f t="shared" si="2"/>
        <v>-4.3889058213959151</v>
      </c>
      <c r="H35" s="61"/>
      <c r="I35" s="58"/>
      <c r="J35" s="58"/>
      <c r="K35" s="16"/>
    </row>
    <row r="36" spans="1:11" ht="15" customHeight="1" x14ac:dyDescent="0.3">
      <c r="A36" s="57"/>
      <c r="B36" s="59" t="s">
        <v>82</v>
      </c>
      <c r="C36" s="60">
        <f>-2*2</f>
        <v>-4</v>
      </c>
      <c r="D36" s="14"/>
      <c r="E36" s="14">
        <v>1.2</v>
      </c>
      <c r="F36" s="14">
        <v>0.75</v>
      </c>
      <c r="G36" s="14">
        <f t="shared" ref="G36" si="3">PRODUCT(C36:F36)</f>
        <v>-3.5999999999999996</v>
      </c>
      <c r="H36" s="61"/>
      <c r="I36" s="58"/>
      <c r="J36" s="58"/>
      <c r="K36" s="16"/>
    </row>
    <row r="37" spans="1:11" ht="15" customHeight="1" x14ac:dyDescent="0.3">
      <c r="A37" s="57"/>
      <c r="B37" s="59" t="s">
        <v>39</v>
      </c>
      <c r="C37" s="60"/>
      <c r="D37" s="14"/>
      <c r="E37" s="14"/>
      <c r="F37" s="14"/>
      <c r="G37" s="58">
        <f>SUM(G33:G36)</f>
        <v>32.242730874733311</v>
      </c>
      <c r="H37" s="58" t="s">
        <v>77</v>
      </c>
      <c r="I37" s="61">
        <v>405.43</v>
      </c>
      <c r="J37" s="58">
        <f>G33*I37</f>
        <v>7414.1420298689427</v>
      </c>
      <c r="K37" s="16"/>
    </row>
    <row r="38" spans="1:11" ht="15" customHeight="1" x14ac:dyDescent="0.3">
      <c r="A38" s="57"/>
      <c r="B38" s="59" t="s">
        <v>40</v>
      </c>
      <c r="C38" s="60"/>
      <c r="D38" s="14"/>
      <c r="E38" s="14"/>
      <c r="F38" s="14"/>
      <c r="G38" s="61"/>
      <c r="H38" s="61"/>
      <c r="I38" s="61"/>
      <c r="J38" s="54">
        <f>0.13*G37*(12403.6/100)</f>
        <v>519.90371768119473</v>
      </c>
      <c r="K38" s="16"/>
    </row>
    <row r="39" spans="1:11" ht="15" customHeight="1" x14ac:dyDescent="0.3">
      <c r="A39" s="57"/>
      <c r="B39" s="59"/>
      <c r="C39" s="60"/>
      <c r="D39" s="14"/>
      <c r="E39" s="14"/>
      <c r="F39" s="14"/>
      <c r="G39" s="61"/>
      <c r="H39" s="61"/>
      <c r="I39" s="61"/>
      <c r="J39" s="54"/>
      <c r="K39" s="16"/>
    </row>
    <row r="40" spans="1:11" ht="30" x14ac:dyDescent="0.3">
      <c r="A40" s="57">
        <v>3</v>
      </c>
      <c r="B40" s="62" t="s">
        <v>86</v>
      </c>
      <c r="C40" s="60"/>
      <c r="D40" s="14"/>
      <c r="E40" s="14"/>
      <c r="F40" s="14"/>
      <c r="G40" s="61"/>
      <c r="H40" s="61"/>
      <c r="I40" s="61"/>
      <c r="J40" s="54"/>
      <c r="K40" s="16"/>
    </row>
    <row r="41" spans="1:11" x14ac:dyDescent="0.3">
      <c r="A41" s="57"/>
      <c r="B41" s="59" t="s">
        <v>87</v>
      </c>
      <c r="C41" s="60">
        <v>1</v>
      </c>
      <c r="D41" s="14"/>
      <c r="E41" s="14"/>
      <c r="F41" s="14"/>
      <c r="G41" s="58">
        <f>G37</f>
        <v>32.242730874733311</v>
      </c>
      <c r="H41" s="58"/>
      <c r="I41" s="9"/>
      <c r="J41" s="9"/>
      <c r="K41" s="16"/>
    </row>
    <row r="42" spans="1:11" ht="15" customHeight="1" x14ac:dyDescent="0.3">
      <c r="A42" s="57"/>
      <c r="B42" s="59" t="s">
        <v>39</v>
      </c>
      <c r="C42" s="60"/>
      <c r="D42" s="14"/>
      <c r="E42" s="14"/>
      <c r="F42" s="14"/>
      <c r="G42" s="58">
        <f>SUM(G41)</f>
        <v>32.242730874733311</v>
      </c>
      <c r="H42" s="58" t="s">
        <v>77</v>
      </c>
      <c r="I42" s="58">
        <v>179.19</v>
      </c>
      <c r="J42" s="58">
        <f>G42*I42</f>
        <v>5777.5749454434617</v>
      </c>
      <c r="K42" s="16"/>
    </row>
    <row r="43" spans="1:11" ht="15" customHeight="1" x14ac:dyDescent="0.3">
      <c r="A43" s="57"/>
      <c r="B43" s="59" t="s">
        <v>40</v>
      </c>
      <c r="C43" s="60"/>
      <c r="D43" s="14"/>
      <c r="E43" s="14"/>
      <c r="F43" s="14"/>
      <c r="G43" s="61"/>
      <c r="H43" s="61"/>
      <c r="I43" s="61"/>
      <c r="J43" s="54">
        <f>0.13*G42*(6000/100)</f>
        <v>251.49330082291982</v>
      </c>
      <c r="K43" s="16"/>
    </row>
    <row r="44" spans="1:11" x14ac:dyDescent="0.3">
      <c r="A44" s="57"/>
      <c r="B44" s="59"/>
      <c r="C44" s="60"/>
      <c r="D44" s="14"/>
      <c r="E44" s="14"/>
      <c r="F44" s="14"/>
      <c r="G44" s="61"/>
      <c r="H44" s="61"/>
      <c r="I44" s="61"/>
      <c r="J44" s="54"/>
      <c r="K44" s="16"/>
    </row>
    <row r="45" spans="1:11" ht="65.400000000000006" x14ac:dyDescent="0.3">
      <c r="A45" s="57">
        <v>4</v>
      </c>
      <c r="B45" s="63" t="s">
        <v>78</v>
      </c>
      <c r="C45" s="63"/>
      <c r="D45" s="14"/>
      <c r="E45" s="14"/>
      <c r="F45" s="14"/>
      <c r="G45" s="61"/>
      <c r="H45" s="61"/>
      <c r="I45" s="61"/>
      <c r="J45" s="54"/>
      <c r="K45" s="16"/>
    </row>
    <row r="46" spans="1:11" ht="15" customHeight="1" x14ac:dyDescent="0.3">
      <c r="A46" s="57"/>
      <c r="B46" s="59" t="s">
        <v>80</v>
      </c>
      <c r="C46" s="60">
        <v>1</v>
      </c>
      <c r="D46" s="14">
        <f>(3*4+1.8*4)</f>
        <v>19.2</v>
      </c>
      <c r="E46" s="14"/>
      <c r="F46" s="14">
        <f>(8.75-4)/3.281</f>
        <v>1.4477293508076805</v>
      </c>
      <c r="G46" s="14">
        <f t="shared" ref="G46:G48" si="4">PRODUCT(C46:F46)</f>
        <v>27.796403535507466</v>
      </c>
      <c r="H46" s="61"/>
      <c r="I46" s="58"/>
      <c r="J46" s="58"/>
      <c r="K46" s="16"/>
    </row>
    <row r="47" spans="1:11" ht="15" customHeight="1" x14ac:dyDescent="0.3">
      <c r="A47" s="57"/>
      <c r="B47" s="59" t="s">
        <v>84</v>
      </c>
      <c r="C47" s="60">
        <v>2</v>
      </c>
      <c r="D47" s="14">
        <f>6/3.281</f>
        <v>1.8287107589149649</v>
      </c>
      <c r="E47" s="14">
        <f>10/3.281</f>
        <v>3.047851264858275</v>
      </c>
      <c r="F47" s="14"/>
      <c r="G47" s="14">
        <f t="shared" si="4"/>
        <v>11.147276799237824</v>
      </c>
      <c r="H47" s="61"/>
      <c r="I47" s="58"/>
      <c r="J47" s="58"/>
      <c r="K47" s="16"/>
    </row>
    <row r="48" spans="1:11" ht="15" customHeight="1" x14ac:dyDescent="0.3">
      <c r="A48" s="57"/>
      <c r="B48" s="59" t="s">
        <v>81</v>
      </c>
      <c r="C48" s="60">
        <f>-2*2</f>
        <v>-4</v>
      </c>
      <c r="D48" s="14"/>
      <c r="E48" s="14">
        <f>0.9</f>
        <v>0.9</v>
      </c>
      <c r="F48" s="14">
        <f>(5)/3.281</f>
        <v>1.5239256324291375</v>
      </c>
      <c r="G48" s="14">
        <f t="shared" si="4"/>
        <v>-5.486132276744895</v>
      </c>
      <c r="H48" s="61"/>
      <c r="I48" s="58"/>
      <c r="J48" s="58"/>
      <c r="K48" s="16"/>
    </row>
    <row r="49" spans="1:20" ht="15" customHeight="1" x14ac:dyDescent="0.3">
      <c r="A49" s="57"/>
      <c r="B49" s="59" t="s">
        <v>39</v>
      </c>
      <c r="C49" s="60"/>
      <c r="D49" s="14"/>
      <c r="E49" s="14"/>
      <c r="F49" s="14"/>
      <c r="G49" s="58">
        <f>SUM(G46:G48)</f>
        <v>33.457548058000391</v>
      </c>
      <c r="H49" s="58" t="s">
        <v>77</v>
      </c>
      <c r="I49" s="61">
        <v>2745.77</v>
      </c>
      <c r="J49" s="58">
        <f>G49*I49</f>
        <v>91866.731731215739</v>
      </c>
      <c r="K49" s="16"/>
    </row>
    <row r="50" spans="1:20" ht="15" customHeight="1" x14ac:dyDescent="0.3">
      <c r="A50" s="57"/>
      <c r="B50" s="59" t="s">
        <v>40</v>
      </c>
      <c r="C50" s="60"/>
      <c r="D50" s="14"/>
      <c r="E50" s="14"/>
      <c r="F50" s="14"/>
      <c r="G50" s="61"/>
      <c r="H50" s="61"/>
      <c r="I50" s="61"/>
      <c r="J50" s="54">
        <f>0.13*G49*(8137.75/10)</f>
        <v>3539.4991022169047</v>
      </c>
      <c r="K50" s="16"/>
    </row>
    <row r="51" spans="1:20" ht="15" customHeight="1" x14ac:dyDescent="0.3">
      <c r="A51" s="27"/>
      <c r="B51" s="31"/>
      <c r="C51" s="28"/>
      <c r="D51" s="29"/>
      <c r="E51" s="30"/>
      <c r="F51" s="30"/>
      <c r="G51" s="49"/>
      <c r="H51" s="48"/>
      <c r="I51" s="49"/>
      <c r="J51" s="58"/>
      <c r="K51" s="30"/>
      <c r="M51" s="32"/>
      <c r="N51" s="1"/>
      <c r="O51" s="1"/>
      <c r="P51" s="1"/>
      <c r="Q51" s="1"/>
      <c r="R51" s="32"/>
      <c r="S51" s="32"/>
    </row>
    <row r="52" spans="1:20" ht="105.6" x14ac:dyDescent="0.3">
      <c r="A52" s="27">
        <v>5</v>
      </c>
      <c r="B52" s="91" t="s">
        <v>89</v>
      </c>
      <c r="C52" s="91"/>
      <c r="D52" s="29"/>
      <c r="E52" s="30"/>
      <c r="F52" s="30"/>
      <c r="G52" s="49"/>
      <c r="H52" s="48"/>
      <c r="I52" s="49"/>
      <c r="J52" s="58"/>
      <c r="K52" s="30"/>
      <c r="M52" s="32"/>
      <c r="N52" s="1"/>
      <c r="O52" s="1"/>
      <c r="P52" s="1"/>
      <c r="Q52" s="1"/>
      <c r="R52" s="32"/>
      <c r="S52" s="32"/>
    </row>
    <row r="53" spans="1:20" ht="15" customHeight="1" x14ac:dyDescent="0.3">
      <c r="A53" s="57"/>
      <c r="B53" s="59" t="s">
        <v>90</v>
      </c>
      <c r="C53" s="60">
        <v>2</v>
      </c>
      <c r="D53" s="14"/>
      <c r="E53" s="14">
        <f>0.9</f>
        <v>0.9</v>
      </c>
      <c r="F53" s="14">
        <f>7/3.281</f>
        <v>2.1334958854007922</v>
      </c>
      <c r="G53" s="14">
        <f t="shared" ref="G53" si="5">PRODUCT(C53:F53)</f>
        <v>3.8402925937214261</v>
      </c>
      <c r="H53" s="61"/>
      <c r="I53" s="58"/>
      <c r="J53" s="58"/>
      <c r="K53" s="16"/>
    </row>
    <row r="54" spans="1:20" ht="15" customHeight="1" x14ac:dyDescent="0.3">
      <c r="A54" s="57"/>
      <c r="B54" s="59" t="s">
        <v>39</v>
      </c>
      <c r="C54" s="60"/>
      <c r="D54" s="14"/>
      <c r="E54" s="14"/>
      <c r="F54" s="14"/>
      <c r="G54" s="58">
        <f>SUM(G53)</f>
        <v>3.8402925937214261</v>
      </c>
      <c r="H54" s="58" t="s">
        <v>77</v>
      </c>
      <c r="I54" s="58">
        <v>7069.31</v>
      </c>
      <c r="J54" s="58">
        <f>G54*I54</f>
        <v>27148.218835720814</v>
      </c>
      <c r="K54" s="16"/>
    </row>
    <row r="55" spans="1:20" ht="15" customHeight="1" x14ac:dyDescent="0.3">
      <c r="A55" s="57"/>
      <c r="B55" s="59" t="s">
        <v>40</v>
      </c>
      <c r="C55" s="60"/>
      <c r="D55" s="14"/>
      <c r="E55" s="14"/>
      <c r="F55" s="14"/>
      <c r="G55" s="61"/>
      <c r="H55" s="61"/>
      <c r="I55" s="61"/>
      <c r="J55" s="54">
        <f>0.13*J54</f>
        <v>3529.2684486437061</v>
      </c>
      <c r="K55" s="16"/>
    </row>
    <row r="56" spans="1:20" ht="15" customHeight="1" x14ac:dyDescent="0.3">
      <c r="A56" s="57"/>
      <c r="B56" s="59"/>
      <c r="C56" s="60"/>
      <c r="D56" s="14"/>
      <c r="E56" s="14"/>
      <c r="F56" s="14"/>
      <c r="G56" s="58"/>
      <c r="H56" s="58"/>
      <c r="I56" s="58"/>
      <c r="J56" s="58"/>
      <c r="K56" s="16"/>
    </row>
    <row r="57" spans="1:20" ht="19.8" x14ac:dyDescent="0.3">
      <c r="A57" s="27">
        <v>6</v>
      </c>
      <c r="B57" s="55" t="s">
        <v>29</v>
      </c>
      <c r="C57" s="28">
        <v>1</v>
      </c>
      <c r="D57" s="29"/>
      <c r="E57" s="30"/>
      <c r="F57" s="30"/>
      <c r="G57" s="58">
        <f t="shared" ref="G57" si="6">PRODUCT(C57:F57)</f>
        <v>1</v>
      </c>
      <c r="H57" s="48" t="s">
        <v>30</v>
      </c>
      <c r="I57" s="49">
        <v>500</v>
      </c>
      <c r="J57" s="58">
        <f>G57*I57</f>
        <v>500</v>
      </c>
      <c r="K57" s="30"/>
      <c r="M57" s="32"/>
      <c r="N57" s="18"/>
      <c r="O57" s="18"/>
      <c r="P57" s="18"/>
      <c r="Q57" s="18"/>
      <c r="R57" s="18"/>
      <c r="S57" s="18"/>
      <c r="T57" s="18"/>
    </row>
    <row r="58" spans="1:20" ht="15" customHeight="1" x14ac:dyDescent="0.3">
      <c r="A58" s="27"/>
      <c r="B58" s="31"/>
      <c r="C58" s="28"/>
      <c r="D58" s="29"/>
      <c r="E58" s="30"/>
      <c r="F58" s="30"/>
      <c r="G58" s="49"/>
      <c r="H58" s="48"/>
      <c r="I58" s="49"/>
      <c r="J58" s="58"/>
      <c r="K58" s="30"/>
      <c r="M58" s="32"/>
      <c r="N58" s="18"/>
      <c r="O58" s="18"/>
      <c r="P58" s="18"/>
      <c r="Q58" s="18"/>
      <c r="R58" s="18"/>
      <c r="S58" s="18"/>
      <c r="T58" s="18"/>
    </row>
    <row r="59" spans="1:20" x14ac:dyDescent="0.3">
      <c r="A59" s="57"/>
      <c r="B59" s="64" t="s">
        <v>16</v>
      </c>
      <c r="C59" s="60"/>
      <c r="D59" s="14"/>
      <c r="E59" s="14"/>
      <c r="F59" s="14"/>
      <c r="G59" s="58"/>
      <c r="H59" s="58"/>
      <c r="I59" s="58"/>
      <c r="J59" s="58">
        <f>SUM(J9:J57)</f>
        <v>180361.49599782727</v>
      </c>
      <c r="K59" s="16"/>
    </row>
    <row r="61" spans="1:20" s="1" customFormat="1" x14ac:dyDescent="0.3">
      <c r="B61" s="16" t="s">
        <v>26</v>
      </c>
      <c r="C61" s="67">
        <f>J59</f>
        <v>180361.49599782727</v>
      </c>
      <c r="D61" s="68"/>
      <c r="E61" s="14">
        <v>100</v>
      </c>
      <c r="F61" s="18"/>
      <c r="G61" s="19"/>
      <c r="H61" s="18"/>
      <c r="I61" s="20"/>
      <c r="J61" s="21"/>
      <c r="K61" s="22"/>
    </row>
    <row r="62" spans="1:20" x14ac:dyDescent="0.3">
      <c r="B62" s="16" t="s">
        <v>31</v>
      </c>
      <c r="C62" s="71">
        <v>160000</v>
      </c>
      <c r="D62" s="72"/>
      <c r="E62" s="14"/>
    </row>
    <row r="63" spans="1:20" x14ac:dyDescent="0.3">
      <c r="B63" s="16" t="s">
        <v>32</v>
      </c>
      <c r="C63" s="71">
        <f>C62-C65-C66</f>
        <v>152000</v>
      </c>
      <c r="D63" s="72"/>
      <c r="E63" s="14">
        <f>C63/C61*100</f>
        <v>84.275193637688091</v>
      </c>
    </row>
    <row r="64" spans="1:20" x14ac:dyDescent="0.3">
      <c r="B64" s="16" t="s">
        <v>33</v>
      </c>
      <c r="C64" s="73">
        <f>C61-C63</f>
        <v>28361.495997827267</v>
      </c>
      <c r="D64" s="73"/>
      <c r="E64" s="14">
        <f>100-E63</f>
        <v>15.724806362311909</v>
      </c>
    </row>
    <row r="65" spans="2:5" x14ac:dyDescent="0.3">
      <c r="B65" s="16" t="s">
        <v>34</v>
      </c>
      <c r="C65" s="67">
        <f>C62*0.03</f>
        <v>4800</v>
      </c>
      <c r="D65" s="68"/>
      <c r="E65" s="14">
        <v>3</v>
      </c>
    </row>
    <row r="66" spans="2:5" x14ac:dyDescent="0.3">
      <c r="B66" s="16" t="s">
        <v>35</v>
      </c>
      <c r="C66" s="67">
        <f>C62*0.02</f>
        <v>3200</v>
      </c>
      <c r="D66" s="68"/>
      <c r="E66" s="14">
        <v>2</v>
      </c>
    </row>
  </sheetData>
  <mergeCells count="14">
    <mergeCell ref="H6:K6"/>
    <mergeCell ref="A1:K1"/>
    <mergeCell ref="A2:K2"/>
    <mergeCell ref="A3:K3"/>
    <mergeCell ref="A4:K4"/>
    <mergeCell ref="A5:K5"/>
    <mergeCell ref="C65:D65"/>
    <mergeCell ref="C66:D66"/>
    <mergeCell ref="A7:F7"/>
    <mergeCell ref="H7:K7"/>
    <mergeCell ref="C61:D61"/>
    <mergeCell ref="C62:D62"/>
    <mergeCell ref="C63:D63"/>
    <mergeCell ref="C64:D64"/>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Er. Prakash Singh Saud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zoomScaleNormal="100" workbookViewId="0">
      <selection activeCell="E23" sqref="E23"/>
    </sheetView>
  </sheetViews>
  <sheetFormatPr defaultRowHeight="14.4" x14ac:dyDescent="0.3"/>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 min="13" max="13" width="11.5546875" bestFit="1" customWidth="1"/>
  </cols>
  <sheetData>
    <row r="1" spans="1:11" x14ac:dyDescent="0.3">
      <c r="A1" s="80" t="s">
        <v>0</v>
      </c>
      <c r="B1" s="80"/>
      <c r="C1" s="80"/>
      <c r="D1" s="80"/>
      <c r="E1" s="80"/>
      <c r="F1" s="80"/>
      <c r="G1" s="80"/>
      <c r="H1" s="80"/>
      <c r="I1" s="80"/>
      <c r="J1" s="80"/>
      <c r="K1" s="80"/>
    </row>
    <row r="2" spans="1:11" ht="24.6" x14ac:dyDescent="0.4">
      <c r="A2" s="81" t="s">
        <v>1</v>
      </c>
      <c r="B2" s="81"/>
      <c r="C2" s="81"/>
      <c r="D2" s="81"/>
      <c r="E2" s="81"/>
      <c r="F2" s="81"/>
      <c r="G2" s="81"/>
      <c r="H2" s="81"/>
      <c r="I2" s="81"/>
      <c r="J2" s="81"/>
      <c r="K2" s="81"/>
    </row>
    <row r="3" spans="1:11" s="1" customFormat="1" x14ac:dyDescent="0.3">
      <c r="A3" s="76" t="s">
        <v>2</v>
      </c>
      <c r="B3" s="76"/>
      <c r="C3" s="76"/>
      <c r="D3" s="76"/>
      <c r="E3" s="76"/>
      <c r="F3" s="76"/>
      <c r="G3" s="76"/>
      <c r="H3" s="76"/>
      <c r="I3" s="76"/>
      <c r="J3" s="76"/>
      <c r="K3" s="76"/>
    </row>
    <row r="4" spans="1:11" s="1" customFormat="1" x14ac:dyDescent="0.3">
      <c r="A4" s="76" t="s">
        <v>3</v>
      </c>
      <c r="B4" s="76"/>
      <c r="C4" s="76"/>
      <c r="D4" s="76"/>
      <c r="E4" s="76"/>
      <c r="F4" s="76"/>
      <c r="G4" s="76"/>
      <c r="H4" s="76"/>
      <c r="I4" s="76"/>
      <c r="J4" s="76"/>
      <c r="K4" s="76"/>
    </row>
    <row r="5" spans="1:11" ht="18" x14ac:dyDescent="0.35">
      <c r="A5" s="82" t="s">
        <v>17</v>
      </c>
      <c r="B5" s="82"/>
      <c r="C5" s="82"/>
      <c r="D5" s="82"/>
      <c r="E5" s="82"/>
      <c r="F5" s="82"/>
      <c r="G5" s="82"/>
      <c r="H5" s="82"/>
      <c r="I5" s="82"/>
      <c r="J5" s="82"/>
      <c r="K5" s="82"/>
    </row>
    <row r="6" spans="1:11" ht="18" x14ac:dyDescent="0.35">
      <c r="A6" s="10" t="s">
        <v>18</v>
      </c>
      <c r="B6" s="10"/>
      <c r="C6" s="78" t="e">
        <f>F18</f>
        <v>#REF!</v>
      </c>
      <c r="D6" s="79"/>
      <c r="E6" s="11"/>
      <c r="F6" s="10"/>
      <c r="G6" s="10"/>
      <c r="H6" s="10" t="s">
        <v>19</v>
      </c>
      <c r="I6" s="10"/>
      <c r="J6" s="78">
        <f>I18</f>
        <v>6975.0491069999998</v>
      </c>
      <c r="K6" s="79"/>
    </row>
    <row r="7" spans="1:11" x14ac:dyDescent="0.3">
      <c r="A7" s="33" t="s">
        <v>28</v>
      </c>
      <c r="B7" s="12"/>
      <c r="C7" s="12"/>
      <c r="D7" s="12"/>
      <c r="F7" s="47"/>
      <c r="G7" s="47"/>
      <c r="I7" s="86" t="s">
        <v>38</v>
      </c>
      <c r="J7" s="86"/>
      <c r="K7" s="86"/>
    </row>
    <row r="8" spans="1:11" ht="15.6" x14ac:dyDescent="0.3">
      <c r="A8" s="85" t="str">
        <f>'estimated upabhokta'!A6</f>
        <v>Project:- इन्द्रायणी सार्वजनिक शौचालय बनाउने काम  (भैपरी आउने बिबिध पुँजिगत खर्च)</v>
      </c>
      <c r="B8" s="85"/>
      <c r="C8" s="85"/>
      <c r="D8" s="85"/>
      <c r="E8" s="85"/>
      <c r="F8" s="85"/>
      <c r="I8" s="87" t="s">
        <v>36</v>
      </c>
      <c r="J8" s="87"/>
      <c r="K8" s="87"/>
    </row>
    <row r="9" spans="1:11" x14ac:dyDescent="0.3">
      <c r="A9" s="88" t="str">
        <f>'estimated upabhokta'!A7</f>
        <v>Location:- Shankharapur Municipality 9</v>
      </c>
      <c r="B9" s="88"/>
      <c r="C9" s="88"/>
      <c r="D9" s="88"/>
      <c r="E9" s="88"/>
      <c r="F9" s="88"/>
      <c r="I9" s="87" t="s">
        <v>37</v>
      </c>
      <c r="J9" s="87"/>
      <c r="K9" s="87"/>
    </row>
    <row r="11" spans="1:11" x14ac:dyDescent="0.3">
      <c r="A11" s="83" t="s">
        <v>20</v>
      </c>
      <c r="B11" s="83" t="s">
        <v>21</v>
      </c>
      <c r="C11" s="83" t="s">
        <v>11</v>
      </c>
      <c r="D11" s="89" t="s">
        <v>22</v>
      </c>
      <c r="E11" s="89"/>
      <c r="F11" s="89"/>
      <c r="G11" s="89" t="s">
        <v>23</v>
      </c>
      <c r="H11" s="89"/>
      <c r="I11" s="89"/>
      <c r="J11" s="83" t="s">
        <v>24</v>
      </c>
      <c r="K11" s="84" t="s">
        <v>14</v>
      </c>
    </row>
    <row r="12" spans="1:11" x14ac:dyDescent="0.3">
      <c r="A12" s="83"/>
      <c r="B12" s="83"/>
      <c r="C12" s="83"/>
      <c r="D12" s="13" t="s">
        <v>25</v>
      </c>
      <c r="E12" s="13" t="s">
        <v>12</v>
      </c>
      <c r="F12" s="13" t="s">
        <v>13</v>
      </c>
      <c r="G12" s="13" t="s">
        <v>25</v>
      </c>
      <c r="H12" s="13" t="s">
        <v>12</v>
      </c>
      <c r="I12" s="13" t="s">
        <v>13</v>
      </c>
      <c r="J12" s="83"/>
      <c r="K12" s="84"/>
    </row>
    <row r="13" spans="1:11" s="1" customFormat="1" ht="55.2" x14ac:dyDescent="0.3">
      <c r="A13" s="34">
        <f>'estimated upabhokta'!A9</f>
        <v>1</v>
      </c>
      <c r="B13" s="37" t="str">
        <f>'estimated upabhokta'!B9</f>
        <v>Toilet fitings</v>
      </c>
      <c r="C13" s="14" t="e">
        <f>'estimated upabhokta'!#REF!</f>
        <v>#REF!</v>
      </c>
      <c r="D13" s="14" t="e">
        <f>'estimated upabhokta'!#REF!</f>
        <v>#REF!</v>
      </c>
      <c r="E13" s="14" t="e">
        <f>'estimated upabhokta'!#REF!</f>
        <v>#REF!</v>
      </c>
      <c r="F13" s="14" t="e">
        <f>D13*E13</f>
        <v>#REF!</v>
      </c>
      <c r="G13" s="14">
        <f>valuated!G14</f>
        <v>0.47099999999999997</v>
      </c>
      <c r="H13" s="14">
        <f>valuated!I14</f>
        <v>12452.23</v>
      </c>
      <c r="I13" s="14">
        <f>G13*H13</f>
        <v>5865.0003299999998</v>
      </c>
      <c r="J13" s="35" t="e">
        <f t="shared" ref="J13:J16" si="0">I13-F13</f>
        <v>#REF!</v>
      </c>
      <c r="K13" s="17"/>
    </row>
    <row r="14" spans="1:11" s="1" customFormat="1" x14ac:dyDescent="0.3">
      <c r="A14" s="34"/>
      <c r="B14" s="37" t="str">
        <f>'estimated upabhokta'!B30</f>
        <v>VAT calculation</v>
      </c>
      <c r="C14" s="14"/>
      <c r="D14" s="14"/>
      <c r="E14" s="14"/>
      <c r="F14" s="14">
        <f>'estimated upabhokta'!J30</f>
        <v>4580.448057705984</v>
      </c>
      <c r="G14" s="14"/>
      <c r="H14" s="14"/>
      <c r="I14" s="14">
        <f>valuated!J15</f>
        <v>610.04877699999997</v>
      </c>
      <c r="J14" s="35">
        <f t="shared" si="0"/>
        <v>-3970.399280705984</v>
      </c>
      <c r="K14" s="17"/>
    </row>
    <row r="15" spans="1:11" s="1" customFormat="1" x14ac:dyDescent="0.3">
      <c r="A15" s="34"/>
      <c r="B15" s="37"/>
      <c r="C15" s="14"/>
      <c r="D15" s="14"/>
      <c r="E15" s="14"/>
      <c r="F15" s="14"/>
      <c r="G15" s="14"/>
      <c r="H15" s="14"/>
      <c r="I15" s="14"/>
      <c r="J15" s="35"/>
      <c r="K15" s="17"/>
    </row>
    <row r="16" spans="1:11" s="1" customFormat="1" x14ac:dyDescent="0.3">
      <c r="A16" s="34">
        <f>'estimated upabhokta'!A57</f>
        <v>6</v>
      </c>
      <c r="B16" s="34" t="str">
        <f>'estimated upabhokta'!B57</f>
        <v>Information board (सुचना पाटि)</v>
      </c>
      <c r="C16" s="14" t="str">
        <f>'estimated upabhokta'!H57</f>
        <v>no.</v>
      </c>
      <c r="D16" s="14">
        <f>'estimated upabhokta'!G57</f>
        <v>1</v>
      </c>
      <c r="E16" s="14">
        <f>'estimated upabhokta'!I57</f>
        <v>500</v>
      </c>
      <c r="F16" s="14">
        <f>D16*E16</f>
        <v>500</v>
      </c>
      <c r="G16" s="14">
        <f>valuated!G17</f>
        <v>1</v>
      </c>
      <c r="H16" s="14">
        <f>valuated!I17</f>
        <v>500</v>
      </c>
      <c r="I16" s="14">
        <f>G16*H16</f>
        <v>500</v>
      </c>
      <c r="J16" s="35">
        <f t="shared" si="0"/>
        <v>0</v>
      </c>
      <c r="K16" s="17"/>
    </row>
    <row r="17" spans="1:11" s="1" customFormat="1" x14ac:dyDescent="0.3">
      <c r="A17" s="36"/>
      <c r="B17" s="36"/>
      <c r="C17" s="14"/>
      <c r="D17" s="14"/>
      <c r="E17" s="14"/>
      <c r="F17" s="14"/>
      <c r="G17" s="14"/>
      <c r="H17" s="14"/>
      <c r="I17" s="14"/>
      <c r="J17" s="35"/>
      <c r="K17" s="17"/>
    </row>
    <row r="18" spans="1:11" x14ac:dyDescent="0.3">
      <c r="A18" s="5"/>
      <c r="B18" s="6" t="s">
        <v>15</v>
      </c>
      <c r="C18" s="6"/>
      <c r="D18" s="8"/>
      <c r="E18" s="8"/>
      <c r="F18" s="8" t="e">
        <f>SUM(F13:F16)</f>
        <v>#REF!</v>
      </c>
      <c r="G18" s="8"/>
      <c r="H18" s="8"/>
      <c r="I18" s="8">
        <f>SUM(I13:I16)</f>
        <v>6975.0491069999998</v>
      </c>
      <c r="J18" s="15" t="e">
        <f>I18-F18</f>
        <v>#REF!</v>
      </c>
      <c r="K18" s="5"/>
    </row>
  </sheetData>
  <mergeCells count="19">
    <mergeCell ref="J11:J12"/>
    <mergeCell ref="K11:K12"/>
    <mergeCell ref="A8:F8"/>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&amp;LPrepared By:
Kristal Suwal&amp;CChecked By:
Er. Milan Phuyal&amp;RApproved By:
Basudev Khanal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6"/>
  <sheetViews>
    <sheetView zoomScaleNormal="100" zoomScaleSheetLayoutView="80" workbookViewId="0">
      <selection activeCell="E13" sqref="E13"/>
    </sheetView>
  </sheetViews>
  <sheetFormatPr defaultRowHeight="14.4" x14ac:dyDescent="0.3"/>
  <cols>
    <col min="1" max="1" width="4.44140625" style="7" customWidth="1"/>
    <col min="2" max="2" width="31.33203125" customWidth="1"/>
    <col min="3" max="3" width="6.33203125" bestFit="1" customWidth="1"/>
    <col min="4" max="4" width="9.33203125" customWidth="1"/>
    <col min="5" max="5" width="7.88671875" customWidth="1"/>
    <col min="6" max="6" width="7.5546875" customWidth="1"/>
    <col min="7" max="7" width="8.5546875" style="7" customWidth="1"/>
    <col min="8" max="8" width="5.33203125" style="7" bestFit="1" customWidth="1"/>
    <col min="9" max="9" width="10.6640625" style="7" customWidth="1"/>
    <col min="10" max="10" width="9.88671875" style="7" customWidth="1"/>
    <col min="11" max="11" width="8.33203125" customWidth="1"/>
    <col min="14" max="14" width="9.5546875" bestFit="1" customWidth="1"/>
    <col min="15" max="15" width="12" bestFit="1" customWidth="1"/>
    <col min="16" max="16" width="12.109375" customWidth="1"/>
    <col min="17" max="17" width="14.44140625" customWidth="1"/>
  </cols>
  <sheetData>
    <row r="1" spans="1:19" s="1" customFormat="1" x14ac:dyDescent="0.3">
      <c r="A1" s="74" t="s">
        <v>0</v>
      </c>
      <c r="B1" s="74"/>
      <c r="C1" s="74"/>
      <c r="D1" s="74"/>
      <c r="E1" s="74"/>
      <c r="F1" s="74"/>
      <c r="G1" s="74"/>
      <c r="H1" s="74"/>
      <c r="I1" s="74"/>
      <c r="J1" s="74"/>
      <c r="K1" s="74"/>
    </row>
    <row r="2" spans="1:19" s="1" customFormat="1" ht="22.8" x14ac:dyDescent="0.3">
      <c r="A2" s="75" t="s">
        <v>1</v>
      </c>
      <c r="B2" s="75"/>
      <c r="C2" s="75"/>
      <c r="D2" s="75"/>
      <c r="E2" s="75"/>
      <c r="F2" s="75"/>
      <c r="G2" s="75"/>
      <c r="H2" s="75"/>
      <c r="I2" s="75"/>
      <c r="J2" s="75"/>
      <c r="K2" s="75"/>
    </row>
    <row r="3" spans="1:19" s="1" customFormat="1" x14ac:dyDescent="0.3">
      <c r="A3" s="76" t="s">
        <v>2</v>
      </c>
      <c r="B3" s="76"/>
      <c r="C3" s="76"/>
      <c r="D3" s="76"/>
      <c r="E3" s="76"/>
      <c r="F3" s="76"/>
      <c r="G3" s="76"/>
      <c r="H3" s="76"/>
      <c r="I3" s="76"/>
      <c r="J3" s="76"/>
      <c r="K3" s="76"/>
    </row>
    <row r="4" spans="1:19" s="1" customFormat="1" x14ac:dyDescent="0.3">
      <c r="A4" s="76" t="s">
        <v>3</v>
      </c>
      <c r="B4" s="76"/>
      <c r="C4" s="76"/>
      <c r="D4" s="76"/>
      <c r="E4" s="76"/>
      <c r="F4" s="76"/>
      <c r="G4" s="76"/>
      <c r="H4" s="76"/>
      <c r="I4" s="76"/>
      <c r="J4" s="76"/>
      <c r="K4" s="76"/>
    </row>
    <row r="5" spans="1:19" ht="17.399999999999999" x14ac:dyDescent="0.3">
      <c r="A5" s="77" t="s">
        <v>47</v>
      </c>
      <c r="B5" s="77"/>
      <c r="C5" s="77"/>
      <c r="D5" s="77"/>
      <c r="E5" s="77"/>
      <c r="F5" s="77"/>
      <c r="G5" s="77"/>
      <c r="H5" s="77"/>
      <c r="I5" s="77"/>
      <c r="J5" s="77"/>
      <c r="K5" s="77"/>
    </row>
    <row r="6" spans="1:19" ht="15.6" x14ac:dyDescent="0.3">
      <c r="A6" s="56" t="str">
        <f>'estimated upabhokta'!A6</f>
        <v>Project:- इन्द्रायणी सार्वजनिक शौचालय बनाउने काम  (भैपरी आउने बिबिध पुँजिगत खर्च)</v>
      </c>
      <c r="B6" s="56"/>
      <c r="C6" s="56"/>
      <c r="D6" s="56"/>
      <c r="E6" s="56"/>
      <c r="F6" s="56"/>
      <c r="G6" s="2"/>
      <c r="H6" s="70" t="s">
        <v>48</v>
      </c>
      <c r="I6" s="70"/>
      <c r="J6" s="70"/>
      <c r="K6" s="70"/>
    </row>
    <row r="7" spans="1:19" ht="15.6" x14ac:dyDescent="0.3">
      <c r="A7" s="69" t="s">
        <v>27</v>
      </c>
      <c r="B7" s="69"/>
      <c r="C7" s="69"/>
      <c r="D7" s="69"/>
      <c r="E7" s="69"/>
      <c r="F7" s="69"/>
      <c r="G7" s="3"/>
      <c r="H7" s="70" t="s">
        <v>49</v>
      </c>
      <c r="I7" s="70"/>
      <c r="J7" s="70"/>
      <c r="K7" s="70"/>
    </row>
    <row r="8" spans="1:19" ht="15" customHeight="1" x14ac:dyDescent="0.3">
      <c r="A8" s="4" t="s">
        <v>4</v>
      </c>
      <c r="B8" s="23" t="s">
        <v>5</v>
      </c>
      <c r="C8" s="4" t="s">
        <v>6</v>
      </c>
      <c r="D8" s="24" t="s">
        <v>7</v>
      </c>
      <c r="E8" s="24" t="s">
        <v>8</v>
      </c>
      <c r="F8" s="24" t="s">
        <v>9</v>
      </c>
      <c r="G8" s="24" t="s">
        <v>10</v>
      </c>
      <c r="H8" s="4" t="s">
        <v>11</v>
      </c>
      <c r="I8" s="24" t="s">
        <v>12</v>
      </c>
      <c r="J8" s="24" t="s">
        <v>13</v>
      </c>
      <c r="K8" s="25" t="s">
        <v>14</v>
      </c>
    </row>
    <row r="9" spans="1:19" ht="69" x14ac:dyDescent="0.3">
      <c r="A9" s="27">
        <v>1</v>
      </c>
      <c r="B9" s="55" t="str">
        <f>description_6</f>
        <v>Providing and laying of Plain/Reinforced Cement Concrete in Foundation complete as per Drawing and Technical Specifications., RCC Grade M 20</v>
      </c>
      <c r="C9" s="28"/>
      <c r="D9" s="29"/>
      <c r="E9" s="30"/>
      <c r="F9" s="30"/>
      <c r="G9" s="49"/>
      <c r="H9" s="48"/>
      <c r="I9" s="49"/>
      <c r="J9" s="8"/>
      <c r="K9" s="30"/>
      <c r="M9" s="32"/>
      <c r="N9" s="1"/>
      <c r="O9" s="1"/>
      <c r="P9" s="1"/>
      <c r="Q9" s="1"/>
      <c r="R9" s="32"/>
      <c r="S9" s="32"/>
    </row>
    <row r="10" spans="1:19" ht="15" customHeight="1" x14ac:dyDescent="0.3">
      <c r="A10" s="27"/>
      <c r="B10" s="38"/>
      <c r="C10" s="28">
        <v>1</v>
      </c>
      <c r="D10" s="29">
        <v>3.7</v>
      </c>
      <c r="E10" s="29">
        <v>0.45</v>
      </c>
      <c r="F10" s="30">
        <v>0.1</v>
      </c>
      <c r="G10" s="46">
        <f>C10*(D10*((2/3)*E10*F10))</f>
        <v>0.111</v>
      </c>
      <c r="H10" s="48"/>
      <c r="I10" s="49"/>
      <c r="J10" s="8"/>
      <c r="K10" s="30"/>
      <c r="M10" s="32"/>
      <c r="N10" s="1"/>
      <c r="O10" s="1"/>
      <c r="P10" s="1"/>
      <c r="Q10" s="1"/>
      <c r="R10" s="32"/>
      <c r="S10" s="32"/>
    </row>
    <row r="11" spans="1:19" ht="15" customHeight="1" x14ac:dyDescent="0.3">
      <c r="A11" s="27"/>
      <c r="B11" s="38"/>
      <c r="C11" s="28">
        <v>1</v>
      </c>
      <c r="D11" s="29">
        <v>4</v>
      </c>
      <c r="E11" s="29">
        <v>0.45</v>
      </c>
      <c r="F11" s="30">
        <v>0.1</v>
      </c>
      <c r="G11" s="46">
        <f t="shared" ref="G11:G13" si="0">C11*(D11*((2/3)*E11*F11))</f>
        <v>0.12</v>
      </c>
      <c r="H11" s="48"/>
      <c r="I11" s="49"/>
      <c r="J11" s="8"/>
      <c r="K11" s="30"/>
      <c r="M11" s="32"/>
      <c r="N11" s="1"/>
      <c r="O11" s="1"/>
      <c r="P11" s="1"/>
      <c r="Q11" s="1"/>
      <c r="R11" s="32"/>
      <c r="S11" s="32"/>
    </row>
    <row r="12" spans="1:19" ht="15" customHeight="1" x14ac:dyDescent="0.3">
      <c r="A12" s="27"/>
      <c r="B12" s="38"/>
      <c r="C12" s="28">
        <v>1</v>
      </c>
      <c r="D12" s="29">
        <v>4</v>
      </c>
      <c r="E12" s="29">
        <v>0.45</v>
      </c>
      <c r="F12" s="30">
        <v>0.1</v>
      </c>
      <c r="G12" s="46">
        <f t="shared" si="0"/>
        <v>0.12</v>
      </c>
      <c r="H12" s="48"/>
      <c r="I12" s="49"/>
      <c r="J12" s="8"/>
      <c r="K12" s="30"/>
      <c r="M12" s="32"/>
      <c r="N12" s="1"/>
      <c r="O12" s="1"/>
      <c r="P12" s="1"/>
      <c r="Q12" s="1"/>
      <c r="R12" s="32"/>
      <c r="S12" s="32"/>
    </row>
    <row r="13" spans="1:19" ht="15" customHeight="1" x14ac:dyDescent="0.3">
      <c r="A13" s="27"/>
      <c r="B13" s="38"/>
      <c r="C13" s="28">
        <v>1</v>
      </c>
      <c r="D13" s="29">
        <v>4</v>
      </c>
      <c r="E13" s="29">
        <v>0.45</v>
      </c>
      <c r="F13" s="30">
        <v>0.1</v>
      </c>
      <c r="G13" s="46">
        <f t="shared" si="0"/>
        <v>0.12</v>
      </c>
      <c r="H13" s="48"/>
      <c r="I13" s="49"/>
      <c r="J13" s="8"/>
      <c r="K13" s="30"/>
      <c r="M13" s="32"/>
      <c r="N13" s="1"/>
      <c r="O13" s="1"/>
      <c r="P13" s="1"/>
      <c r="Q13" s="1"/>
      <c r="R13" s="32"/>
      <c r="S13" s="32"/>
    </row>
    <row r="14" spans="1:19" ht="15" customHeight="1" x14ac:dyDescent="0.3">
      <c r="A14" s="9"/>
      <c r="B14" s="50" t="s">
        <v>39</v>
      </c>
      <c r="C14" s="45"/>
      <c r="D14" s="46"/>
      <c r="E14" s="46"/>
      <c r="F14" s="46"/>
      <c r="G14" s="42">
        <f>SUM(G10:G13)</f>
        <v>0.47099999999999997</v>
      </c>
      <c r="H14" s="42" t="s">
        <v>41</v>
      </c>
      <c r="I14" s="52">
        <v>12452.23</v>
      </c>
      <c r="J14" s="51">
        <f>G14*I14</f>
        <v>5865.0003299999998</v>
      </c>
      <c r="K14" s="5"/>
    </row>
    <row r="15" spans="1:19" ht="15" customHeight="1" x14ac:dyDescent="0.3">
      <c r="A15" s="9"/>
      <c r="B15" s="50" t="s">
        <v>40</v>
      </c>
      <c r="C15" s="45"/>
      <c r="D15" s="46"/>
      <c r="E15" s="46"/>
      <c r="F15" s="46"/>
      <c r="G15" s="53"/>
      <c r="H15" s="53"/>
      <c r="I15" s="53"/>
      <c r="J15" s="54">
        <f>0.13*G14*((142264.5+7184)/15)</f>
        <v>610.04877699999997</v>
      </c>
      <c r="K15" s="5"/>
    </row>
    <row r="16" spans="1:19" ht="15" customHeight="1" x14ac:dyDescent="0.3">
      <c r="A16" s="27"/>
      <c r="B16" s="31"/>
      <c r="C16" s="28"/>
      <c r="D16" s="29"/>
      <c r="E16" s="30"/>
      <c r="F16" s="30"/>
      <c r="G16" s="49"/>
      <c r="H16" s="48"/>
      <c r="I16" s="49"/>
      <c r="J16" s="8"/>
      <c r="K16" s="30"/>
      <c r="M16" s="32"/>
      <c r="N16" s="1"/>
      <c r="O16" s="1"/>
      <c r="P16" s="1"/>
      <c r="Q16" s="1"/>
      <c r="R16" s="32"/>
      <c r="S16" s="32"/>
    </row>
    <row r="17" spans="1:20" ht="19.8" x14ac:dyDescent="0.3">
      <c r="A17" s="27">
        <v>2</v>
      </c>
      <c r="B17" s="55" t="s">
        <v>29</v>
      </c>
      <c r="C17" s="39">
        <v>1</v>
      </c>
      <c r="D17" s="40"/>
      <c r="E17" s="41"/>
      <c r="F17" s="41"/>
      <c r="G17" s="42">
        <f t="shared" ref="G17" si="1">PRODUCT(C17:F17)</f>
        <v>1</v>
      </c>
      <c r="H17" s="43" t="s">
        <v>30</v>
      </c>
      <c r="I17" s="44">
        <v>500</v>
      </c>
      <c r="J17" s="42">
        <f>G17*I17</f>
        <v>500</v>
      </c>
      <c r="K17" s="30"/>
      <c r="M17" s="32"/>
      <c r="N17" s="18"/>
      <c r="O17" s="18"/>
      <c r="P17" s="18"/>
      <c r="Q17" s="18"/>
      <c r="R17" s="18"/>
      <c r="S17" s="18"/>
      <c r="T17" s="18"/>
    </row>
    <row r="18" spans="1:20" ht="15" customHeight="1" x14ac:dyDescent="0.3">
      <c r="A18" s="27"/>
      <c r="B18" s="31"/>
      <c r="C18" s="39"/>
      <c r="D18" s="40"/>
      <c r="E18" s="41"/>
      <c r="F18" s="41"/>
      <c r="G18" s="44"/>
      <c r="H18" s="43"/>
      <c r="I18" s="44"/>
      <c r="J18" s="42"/>
      <c r="K18" s="30"/>
      <c r="M18" s="32"/>
      <c r="N18" s="18"/>
      <c r="O18" s="18"/>
      <c r="P18" s="18"/>
      <c r="Q18" s="18"/>
      <c r="R18" s="18"/>
      <c r="S18" s="18"/>
      <c r="T18" s="18"/>
    </row>
    <row r="19" spans="1:20" x14ac:dyDescent="0.3">
      <c r="A19" s="9"/>
      <c r="B19" s="26" t="s">
        <v>16</v>
      </c>
      <c r="C19" s="45"/>
      <c r="D19" s="46"/>
      <c r="E19" s="46"/>
      <c r="F19" s="46"/>
      <c r="G19" s="42"/>
      <c r="H19" s="42"/>
      <c r="I19" s="42"/>
      <c r="J19" s="42">
        <f>SUM(J9:J17)</f>
        <v>6975.0491069999998</v>
      </c>
      <c r="K19" s="5"/>
    </row>
    <row r="21" spans="1:20" s="1" customFormat="1" x14ac:dyDescent="0.3">
      <c r="B21" s="16" t="s">
        <v>46</v>
      </c>
      <c r="C21" s="67">
        <f>J19</f>
        <v>6975.0491069999998</v>
      </c>
      <c r="D21" s="68"/>
      <c r="E21" s="14">
        <v>100</v>
      </c>
      <c r="F21" s="18"/>
      <c r="G21" s="19"/>
      <c r="H21" s="18"/>
      <c r="I21" s="20"/>
      <c r="J21" s="21"/>
      <c r="K21" s="22"/>
    </row>
    <row r="22" spans="1:20" hidden="1" x14ac:dyDescent="0.3">
      <c r="B22" s="16" t="s">
        <v>31</v>
      </c>
      <c r="C22" s="71">
        <v>24000</v>
      </c>
      <c r="D22" s="72"/>
      <c r="E22" s="14"/>
    </row>
    <row r="23" spans="1:20" hidden="1" x14ac:dyDescent="0.3">
      <c r="B23" s="16" t="s">
        <v>32</v>
      </c>
      <c r="C23" s="71">
        <f>C22-C25-C26</f>
        <v>22800</v>
      </c>
      <c r="D23" s="72"/>
      <c r="E23" s="14">
        <f>C23/C21*100</f>
        <v>326.8794190584041</v>
      </c>
    </row>
    <row r="24" spans="1:20" hidden="1" x14ac:dyDescent="0.3">
      <c r="B24" s="16" t="s">
        <v>33</v>
      </c>
      <c r="C24" s="73">
        <f>C21-C23</f>
        <v>-15824.950893000001</v>
      </c>
      <c r="D24" s="73"/>
      <c r="E24" s="14">
        <f>100-E23</f>
        <v>-226.8794190584041</v>
      </c>
    </row>
    <row r="25" spans="1:20" hidden="1" x14ac:dyDescent="0.3">
      <c r="B25" s="16" t="s">
        <v>34</v>
      </c>
      <c r="C25" s="67">
        <f>C22*0.03</f>
        <v>720</v>
      </c>
      <c r="D25" s="68"/>
      <c r="E25" s="14">
        <v>3</v>
      </c>
    </row>
    <row r="26" spans="1:20" hidden="1" x14ac:dyDescent="0.3">
      <c r="B26" s="16" t="s">
        <v>35</v>
      </c>
      <c r="C26" s="67">
        <f>C22*0.02</f>
        <v>480</v>
      </c>
      <c r="D26" s="68"/>
      <c r="E26" s="14">
        <v>2</v>
      </c>
    </row>
  </sheetData>
  <mergeCells count="14">
    <mergeCell ref="C25:D25"/>
    <mergeCell ref="C26:D26"/>
    <mergeCell ref="A7:F7"/>
    <mergeCell ref="H7:K7"/>
    <mergeCell ref="C21:D21"/>
    <mergeCell ref="C22:D22"/>
    <mergeCell ref="C23:D23"/>
    <mergeCell ref="C24:D24"/>
    <mergeCell ref="H6:K6"/>
    <mergeCell ref="A1:K1"/>
    <mergeCell ref="A2:K2"/>
    <mergeCell ref="A3:K3"/>
    <mergeCell ref="A4:K4"/>
    <mergeCell ref="A5:K5"/>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Basudev Khanal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6"/>
  <sheetViews>
    <sheetView zoomScaleNormal="100" zoomScaleSheetLayoutView="80" workbookViewId="0">
      <selection activeCell="G9" sqref="G9"/>
    </sheetView>
  </sheetViews>
  <sheetFormatPr defaultRowHeight="14.4" x14ac:dyDescent="0.3"/>
  <cols>
    <col min="1" max="1" width="4.44140625" style="7" customWidth="1"/>
    <col min="2" max="2" width="31.33203125" customWidth="1"/>
    <col min="3" max="3" width="6.33203125" bestFit="1" customWidth="1"/>
    <col min="4" max="4" width="9.33203125" customWidth="1"/>
    <col min="5" max="5" width="7.88671875" customWidth="1"/>
    <col min="6" max="6" width="7.5546875" customWidth="1"/>
    <col min="7" max="7" width="8.5546875" style="7" customWidth="1"/>
    <col min="8" max="8" width="5.33203125" style="7" bestFit="1" customWidth="1"/>
    <col min="9" max="9" width="10.6640625" style="7" hidden="1" customWidth="1"/>
    <col min="10" max="10" width="9.88671875" style="7" hidden="1" customWidth="1"/>
    <col min="11" max="11" width="10.88671875" customWidth="1"/>
    <col min="14" max="14" width="9.5546875" bestFit="1" customWidth="1"/>
    <col min="15" max="15" width="12" bestFit="1" customWidth="1"/>
    <col min="16" max="16" width="12.109375" customWidth="1"/>
    <col min="17" max="17" width="14.44140625" customWidth="1"/>
  </cols>
  <sheetData>
    <row r="1" spans="1:19" s="1" customFormat="1" x14ac:dyDescent="0.3">
      <c r="A1" s="74" t="s">
        <v>0</v>
      </c>
      <c r="B1" s="74"/>
      <c r="C1" s="74"/>
      <c r="D1" s="74"/>
      <c r="E1" s="74"/>
      <c r="F1" s="74"/>
      <c r="G1" s="74"/>
      <c r="H1" s="74"/>
      <c r="I1" s="74"/>
      <c r="J1" s="74"/>
      <c r="K1" s="74"/>
    </row>
    <row r="2" spans="1:19" s="1" customFormat="1" ht="22.8" x14ac:dyDescent="0.3">
      <c r="A2" s="75" t="s">
        <v>1</v>
      </c>
      <c r="B2" s="75"/>
      <c r="C2" s="75"/>
      <c r="D2" s="75"/>
      <c r="E2" s="75"/>
      <c r="F2" s="75"/>
      <c r="G2" s="75"/>
      <c r="H2" s="75"/>
      <c r="I2" s="75"/>
      <c r="J2" s="75"/>
      <c r="K2" s="75"/>
    </row>
    <row r="3" spans="1:19" s="1" customFormat="1" x14ac:dyDescent="0.3">
      <c r="A3" s="76" t="s">
        <v>2</v>
      </c>
      <c r="B3" s="76"/>
      <c r="C3" s="76"/>
      <c r="D3" s="76"/>
      <c r="E3" s="76"/>
      <c r="F3" s="76"/>
      <c r="G3" s="76"/>
      <c r="H3" s="76"/>
      <c r="I3" s="76"/>
      <c r="J3" s="76"/>
      <c r="K3" s="76"/>
    </row>
    <row r="4" spans="1:19" s="1" customFormat="1" x14ac:dyDescent="0.3">
      <c r="A4" s="76" t="s">
        <v>3</v>
      </c>
      <c r="B4" s="76"/>
      <c r="C4" s="76"/>
      <c r="D4" s="76"/>
      <c r="E4" s="76"/>
      <c r="F4" s="76"/>
      <c r="G4" s="76"/>
      <c r="H4" s="76"/>
      <c r="I4" s="76"/>
      <c r="J4" s="76"/>
      <c r="K4" s="76"/>
    </row>
    <row r="5" spans="1:19" ht="17.399999999999999" x14ac:dyDescent="0.3">
      <c r="A5" s="77" t="s">
        <v>45</v>
      </c>
      <c r="B5" s="77"/>
      <c r="C5" s="77"/>
      <c r="D5" s="77"/>
      <c r="E5" s="77"/>
      <c r="F5" s="77"/>
      <c r="G5" s="77"/>
      <c r="H5" s="77"/>
      <c r="I5" s="77"/>
      <c r="J5" s="77"/>
      <c r="K5" s="77"/>
    </row>
    <row r="6" spans="1:19" ht="15.6" x14ac:dyDescent="0.3">
      <c r="A6" s="56" t="str">
        <f>valuated!A6</f>
        <v>Project:- इन्द्रायणी सार्वजनिक शौचालय बनाउने काम  (भैपरी आउने बिबिध पुँजिगत खर्च)</v>
      </c>
      <c r="B6" s="56"/>
      <c r="C6" s="56"/>
      <c r="D6" s="56"/>
      <c r="E6" s="56"/>
      <c r="F6" s="56"/>
      <c r="G6" s="2"/>
      <c r="H6" s="70" t="s">
        <v>43</v>
      </c>
      <c r="I6" s="70"/>
      <c r="J6" s="70"/>
      <c r="K6" s="70"/>
    </row>
    <row r="7" spans="1:19" ht="15.6" x14ac:dyDescent="0.3">
      <c r="A7" s="69" t="s">
        <v>27</v>
      </c>
      <c r="B7" s="69"/>
      <c r="C7" s="69"/>
      <c r="D7" s="69"/>
      <c r="E7" s="69"/>
      <c r="F7" s="69"/>
      <c r="G7" s="3"/>
      <c r="H7" s="70" t="s">
        <v>44</v>
      </c>
      <c r="I7" s="70"/>
      <c r="J7" s="70"/>
      <c r="K7" s="70"/>
    </row>
    <row r="8" spans="1:19" ht="15" customHeight="1" x14ac:dyDescent="0.3">
      <c r="A8" s="4" t="s">
        <v>4</v>
      </c>
      <c r="B8" s="23" t="s">
        <v>5</v>
      </c>
      <c r="C8" s="4" t="s">
        <v>6</v>
      </c>
      <c r="D8" s="24" t="s">
        <v>7</v>
      </c>
      <c r="E8" s="24" t="s">
        <v>8</v>
      </c>
      <c r="F8" s="24" t="s">
        <v>9</v>
      </c>
      <c r="G8" s="24" t="s">
        <v>10</v>
      </c>
      <c r="H8" s="4" t="s">
        <v>11</v>
      </c>
      <c r="I8" s="24" t="s">
        <v>12</v>
      </c>
      <c r="J8" s="24" t="s">
        <v>13</v>
      </c>
      <c r="K8" s="25" t="s">
        <v>14</v>
      </c>
    </row>
    <row r="9" spans="1:19" ht="69" x14ac:dyDescent="0.3">
      <c r="A9" s="27">
        <v>1</v>
      </c>
      <c r="B9" s="55" t="str">
        <f>description_6</f>
        <v>Providing and laying of Plain/Reinforced Cement Concrete in Foundation complete as per Drawing and Technical Specifications., RCC Grade M 20</v>
      </c>
      <c r="C9" s="28"/>
      <c r="D9" s="29"/>
      <c r="E9" s="30"/>
      <c r="F9" s="30"/>
      <c r="G9" s="49"/>
      <c r="H9" s="48"/>
      <c r="I9" s="49"/>
      <c r="J9" s="8"/>
      <c r="K9" s="30"/>
      <c r="M9" s="32"/>
      <c r="N9" s="1"/>
      <c r="O9" s="1"/>
      <c r="P9" s="1"/>
      <c r="Q9" s="1"/>
      <c r="R9" s="32"/>
      <c r="S9" s="32"/>
    </row>
    <row r="10" spans="1:19" ht="15" customHeight="1" x14ac:dyDescent="0.3">
      <c r="A10" s="27"/>
      <c r="B10" s="38"/>
      <c r="C10" s="28">
        <v>1</v>
      </c>
      <c r="D10" s="29">
        <v>3.7</v>
      </c>
      <c r="E10" s="29">
        <v>0.45</v>
      </c>
      <c r="F10" s="30">
        <v>0.1</v>
      </c>
      <c r="G10" s="46">
        <f>C10*(D10*((2/3)*E10*F10))</f>
        <v>0.111</v>
      </c>
      <c r="H10" s="48"/>
      <c r="I10" s="49"/>
      <c r="J10" s="8"/>
      <c r="K10" s="30"/>
      <c r="M10" s="32"/>
      <c r="N10" s="1"/>
      <c r="O10" s="1"/>
      <c r="P10" s="1"/>
      <c r="Q10" s="1"/>
      <c r="R10" s="32"/>
      <c r="S10" s="32"/>
    </row>
    <row r="11" spans="1:19" ht="15" customHeight="1" x14ac:dyDescent="0.3">
      <c r="A11" s="27"/>
      <c r="B11" s="38"/>
      <c r="C11" s="28">
        <v>1</v>
      </c>
      <c r="D11" s="29">
        <v>4</v>
      </c>
      <c r="E11" s="29">
        <v>0.45</v>
      </c>
      <c r="F11" s="30">
        <v>0.1</v>
      </c>
      <c r="G11" s="46">
        <f t="shared" ref="G11:G13" si="0">C11*(D11*((2/3)*E11*F11))</f>
        <v>0.12</v>
      </c>
      <c r="H11" s="48"/>
      <c r="I11" s="49"/>
      <c r="J11" s="8"/>
      <c r="K11" s="30"/>
      <c r="M11" s="32"/>
      <c r="N11" s="1"/>
      <c r="O11" s="1"/>
      <c r="P11" s="1"/>
      <c r="Q11" s="1"/>
      <c r="R11" s="32"/>
      <c r="S11" s="32"/>
    </row>
    <row r="12" spans="1:19" ht="15" customHeight="1" x14ac:dyDescent="0.3">
      <c r="A12" s="27"/>
      <c r="B12" s="38"/>
      <c r="C12" s="28">
        <v>1</v>
      </c>
      <c r="D12" s="29">
        <v>4</v>
      </c>
      <c r="E12" s="29">
        <v>0.45</v>
      </c>
      <c r="F12" s="30">
        <v>0.1</v>
      </c>
      <c r="G12" s="46">
        <f t="shared" si="0"/>
        <v>0.12</v>
      </c>
      <c r="H12" s="48"/>
      <c r="I12" s="49"/>
      <c r="J12" s="8"/>
      <c r="K12" s="30"/>
      <c r="M12" s="32"/>
      <c r="N12" s="1"/>
      <c r="O12" s="1"/>
      <c r="P12" s="1"/>
      <c r="Q12" s="1"/>
      <c r="R12" s="32"/>
      <c r="S12" s="32"/>
    </row>
    <row r="13" spans="1:19" ht="15" customHeight="1" x14ac:dyDescent="0.3">
      <c r="A13" s="27"/>
      <c r="B13" s="38"/>
      <c r="C13" s="28">
        <v>1</v>
      </c>
      <c r="D13" s="29">
        <v>4</v>
      </c>
      <c r="E13" s="29">
        <v>0.45</v>
      </c>
      <c r="F13" s="30">
        <v>0.1</v>
      </c>
      <c r="G13" s="46">
        <f t="shared" si="0"/>
        <v>0.12</v>
      </c>
      <c r="H13" s="48"/>
      <c r="I13" s="49"/>
      <c r="J13" s="8"/>
      <c r="K13" s="30"/>
      <c r="M13" s="32"/>
      <c r="N13" s="1"/>
      <c r="O13" s="1"/>
      <c r="P13" s="1"/>
      <c r="Q13" s="1"/>
      <c r="R13" s="32"/>
      <c r="S13" s="32"/>
    </row>
    <row r="14" spans="1:19" ht="15" customHeight="1" x14ac:dyDescent="0.3">
      <c r="A14" s="9"/>
      <c r="B14" s="50" t="s">
        <v>39</v>
      </c>
      <c r="C14" s="45"/>
      <c r="D14" s="46"/>
      <c r="E14" s="46"/>
      <c r="F14" s="46"/>
      <c r="G14" s="42">
        <f>SUM(G10:G13)</f>
        <v>0.47099999999999997</v>
      </c>
      <c r="H14" s="42" t="s">
        <v>41</v>
      </c>
      <c r="I14" s="52">
        <v>12452.23</v>
      </c>
      <c r="J14" s="51">
        <f>G14*I14</f>
        <v>5865.0003299999998</v>
      </c>
      <c r="K14" s="5"/>
    </row>
    <row r="15" spans="1:19" ht="15" customHeight="1" x14ac:dyDescent="0.3">
      <c r="A15" s="9"/>
      <c r="B15" s="50" t="s">
        <v>40</v>
      </c>
      <c r="C15" s="45"/>
      <c r="D15" s="46"/>
      <c r="E15" s="46"/>
      <c r="F15" s="46"/>
      <c r="G15" s="53"/>
      <c r="H15" s="53"/>
      <c r="I15" s="53"/>
      <c r="J15" s="54">
        <f>0.13*G14*((142264.5+7184)/15)</f>
        <v>610.04877699999997</v>
      </c>
      <c r="K15" s="5"/>
    </row>
    <row r="16" spans="1:19" ht="15" customHeight="1" x14ac:dyDescent="0.3">
      <c r="A16" s="27"/>
      <c r="B16" s="31"/>
      <c r="C16" s="28"/>
      <c r="D16" s="29"/>
      <c r="E16" s="30"/>
      <c r="F16" s="30"/>
      <c r="G16" s="49"/>
      <c r="H16" s="48"/>
      <c r="I16" s="49"/>
      <c r="J16" s="8"/>
      <c r="K16" s="30"/>
      <c r="M16" s="32"/>
      <c r="N16" s="1"/>
      <c r="O16" s="1"/>
      <c r="P16" s="1"/>
      <c r="Q16" s="1"/>
      <c r="R16" s="32"/>
      <c r="S16" s="32"/>
    </row>
    <row r="17" spans="1:20" ht="19.8" x14ac:dyDescent="0.3">
      <c r="A17" s="27">
        <v>2</v>
      </c>
      <c r="B17" s="55" t="s">
        <v>29</v>
      </c>
      <c r="C17" s="39">
        <v>1</v>
      </c>
      <c r="D17" s="40"/>
      <c r="E17" s="41"/>
      <c r="F17" s="41"/>
      <c r="G17" s="42">
        <f t="shared" ref="G17" si="1">PRODUCT(C17:F17)</f>
        <v>1</v>
      </c>
      <c r="H17" s="43" t="s">
        <v>30</v>
      </c>
      <c r="I17" s="44">
        <v>500</v>
      </c>
      <c r="J17" s="42">
        <f>G17*I17</f>
        <v>500</v>
      </c>
      <c r="K17" s="30"/>
      <c r="M17" s="32"/>
      <c r="N17" s="18"/>
      <c r="O17" s="18"/>
      <c r="P17" s="18"/>
      <c r="Q17" s="18"/>
      <c r="R17" s="18"/>
      <c r="S17" s="18"/>
      <c r="T17" s="18"/>
    </row>
    <row r="18" spans="1:20" ht="15" customHeight="1" x14ac:dyDescent="0.3">
      <c r="A18" s="27"/>
      <c r="B18" s="31"/>
      <c r="C18" s="39"/>
      <c r="D18" s="40"/>
      <c r="E18" s="41"/>
      <c r="F18" s="41"/>
      <c r="G18" s="44"/>
      <c r="H18" s="43"/>
      <c r="I18" s="44"/>
      <c r="J18" s="42"/>
      <c r="K18" s="30"/>
      <c r="M18" s="32"/>
      <c r="N18" s="18"/>
      <c r="O18" s="18"/>
      <c r="P18" s="18"/>
      <c r="Q18" s="18"/>
      <c r="R18" s="18"/>
      <c r="S18" s="18"/>
      <c r="T18" s="18"/>
    </row>
    <row r="19" spans="1:20" x14ac:dyDescent="0.3">
      <c r="A19" s="9"/>
      <c r="B19" s="26" t="s">
        <v>16</v>
      </c>
      <c r="C19" s="45"/>
      <c r="D19" s="46"/>
      <c r="E19" s="46"/>
      <c r="F19" s="46"/>
      <c r="G19" s="42"/>
      <c r="H19" s="42"/>
      <c r="I19" s="42"/>
      <c r="J19" s="42">
        <f>SUM(J9:J17)</f>
        <v>6975.0491069999998</v>
      </c>
      <c r="K19" s="5"/>
    </row>
    <row r="21" spans="1:20" s="1" customFormat="1" hidden="1" x14ac:dyDescent="0.3">
      <c r="B21" s="16" t="s">
        <v>26</v>
      </c>
      <c r="C21" s="67">
        <f>J19</f>
        <v>6975.0491069999998</v>
      </c>
      <c r="D21" s="68"/>
      <c r="E21" s="14">
        <v>100</v>
      </c>
      <c r="F21" s="18"/>
      <c r="G21" s="19"/>
      <c r="H21" s="18"/>
      <c r="I21" s="20"/>
      <c r="J21" s="21"/>
      <c r="K21" s="22"/>
    </row>
    <row r="22" spans="1:20" hidden="1" x14ac:dyDescent="0.3">
      <c r="B22" s="16" t="s">
        <v>31</v>
      </c>
      <c r="C22" s="71">
        <v>24000</v>
      </c>
      <c r="D22" s="72"/>
      <c r="E22" s="14"/>
    </row>
    <row r="23" spans="1:20" hidden="1" x14ac:dyDescent="0.3">
      <c r="B23" s="16" t="s">
        <v>32</v>
      </c>
      <c r="C23" s="71">
        <f>C22-C25-C26</f>
        <v>22800</v>
      </c>
      <c r="D23" s="72"/>
      <c r="E23" s="14">
        <f>C23/C21*100</f>
        <v>326.8794190584041</v>
      </c>
    </row>
    <row r="24" spans="1:20" hidden="1" x14ac:dyDescent="0.3">
      <c r="B24" s="16" t="s">
        <v>33</v>
      </c>
      <c r="C24" s="73">
        <f>C21-C23</f>
        <v>-15824.950893000001</v>
      </c>
      <c r="D24" s="73"/>
      <c r="E24" s="14">
        <f>100-E23</f>
        <v>-226.8794190584041</v>
      </c>
    </row>
    <row r="25" spans="1:20" hidden="1" x14ac:dyDescent="0.3">
      <c r="B25" s="16" t="s">
        <v>34</v>
      </c>
      <c r="C25" s="67">
        <f>C22*0.03</f>
        <v>720</v>
      </c>
      <c r="D25" s="68"/>
      <c r="E25" s="14">
        <v>3</v>
      </c>
    </row>
    <row r="26" spans="1:20" hidden="1" x14ac:dyDescent="0.3">
      <c r="B26" s="16" t="s">
        <v>35</v>
      </c>
      <c r="C26" s="67">
        <f>C22*0.02</f>
        <v>480</v>
      </c>
      <c r="D26" s="68"/>
      <c r="E26" s="14">
        <v>2</v>
      </c>
    </row>
  </sheetData>
  <mergeCells count="14">
    <mergeCell ref="C25:D25"/>
    <mergeCell ref="C26:D26"/>
    <mergeCell ref="A7:F7"/>
    <mergeCell ref="H7:K7"/>
    <mergeCell ref="C21:D21"/>
    <mergeCell ref="C22:D22"/>
    <mergeCell ref="C23:D23"/>
    <mergeCell ref="C24:D24"/>
    <mergeCell ref="H6:K6"/>
    <mergeCell ref="A1:K1"/>
    <mergeCell ref="A2:K2"/>
    <mergeCell ref="A3:K3"/>
    <mergeCell ref="A4:K4"/>
    <mergeCell ref="A5:K5"/>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Basudev Khanal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8"/>
  <sheetViews>
    <sheetView topLeftCell="A42" zoomScaleNormal="100" zoomScaleSheetLayoutView="80" workbookViewId="0">
      <selection activeCell="A48" sqref="A48:XFD51"/>
    </sheetView>
  </sheetViews>
  <sheetFormatPr defaultRowHeight="14.4" x14ac:dyDescent="0.3"/>
  <cols>
    <col min="1" max="1" width="4.44140625" style="7" customWidth="1"/>
    <col min="2" max="2" width="31.33203125" customWidth="1"/>
    <col min="3" max="3" width="6.33203125" bestFit="1" customWidth="1"/>
    <col min="4" max="4" width="9.33203125" customWidth="1"/>
    <col min="5" max="5" width="7.88671875" customWidth="1"/>
    <col min="6" max="6" width="7.5546875" customWidth="1"/>
    <col min="7" max="7" width="8.5546875" style="7" customWidth="1"/>
    <col min="8" max="8" width="5.33203125" style="7" bestFit="1" customWidth="1"/>
    <col min="9" max="9" width="10.6640625" style="7" customWidth="1"/>
    <col min="10" max="10" width="10.5546875" style="7" bestFit="1" customWidth="1"/>
    <col min="11" max="11" width="8.33203125" customWidth="1"/>
    <col min="14" max="14" width="9.5546875" bestFit="1" customWidth="1"/>
    <col min="15" max="15" width="12" bestFit="1" customWidth="1"/>
    <col min="16" max="16" width="12.109375" customWidth="1"/>
    <col min="17" max="17" width="14.44140625" customWidth="1"/>
  </cols>
  <sheetData>
    <row r="1" spans="1:19" s="1" customFormat="1" x14ac:dyDescent="0.3">
      <c r="A1" s="74" t="s">
        <v>0</v>
      </c>
      <c r="B1" s="74"/>
      <c r="C1" s="74"/>
      <c r="D1" s="74"/>
      <c r="E1" s="74"/>
      <c r="F1" s="74"/>
      <c r="G1" s="74"/>
      <c r="H1" s="74"/>
      <c r="I1" s="74"/>
      <c r="J1" s="74"/>
      <c r="K1" s="74"/>
    </row>
    <row r="2" spans="1:19" s="1" customFormat="1" ht="22.8" x14ac:dyDescent="0.3">
      <c r="A2" s="75" t="s">
        <v>1</v>
      </c>
      <c r="B2" s="75"/>
      <c r="C2" s="75"/>
      <c r="D2" s="75"/>
      <c r="E2" s="75"/>
      <c r="F2" s="75"/>
      <c r="G2" s="75"/>
      <c r="H2" s="75"/>
      <c r="I2" s="75"/>
      <c r="J2" s="75"/>
      <c r="K2" s="75"/>
    </row>
    <row r="3" spans="1:19" s="1" customFormat="1" x14ac:dyDescent="0.3">
      <c r="A3" s="76" t="s">
        <v>2</v>
      </c>
      <c r="B3" s="76"/>
      <c r="C3" s="76"/>
      <c r="D3" s="76"/>
      <c r="E3" s="76"/>
      <c r="F3" s="76"/>
      <c r="G3" s="76"/>
      <c r="H3" s="76"/>
      <c r="I3" s="76"/>
      <c r="J3" s="76"/>
      <c r="K3" s="76"/>
    </row>
    <row r="4" spans="1:19" s="1" customFormat="1" x14ac:dyDescent="0.3">
      <c r="A4" s="76" t="s">
        <v>3</v>
      </c>
      <c r="B4" s="76"/>
      <c r="C4" s="76"/>
      <c r="D4" s="76"/>
      <c r="E4" s="76"/>
      <c r="F4" s="76"/>
      <c r="G4" s="76"/>
      <c r="H4" s="76"/>
      <c r="I4" s="76"/>
      <c r="J4" s="76"/>
      <c r="K4" s="76"/>
    </row>
    <row r="5" spans="1:19" ht="17.399999999999999" x14ac:dyDescent="0.3">
      <c r="A5" s="77" t="s">
        <v>42</v>
      </c>
      <c r="B5" s="77"/>
      <c r="C5" s="77"/>
      <c r="D5" s="77"/>
      <c r="E5" s="77"/>
      <c r="F5" s="77"/>
      <c r="G5" s="77"/>
      <c r="H5" s="77"/>
      <c r="I5" s="77"/>
      <c r="J5" s="77"/>
      <c r="K5" s="77"/>
    </row>
    <row r="6" spans="1:19" ht="15.6" x14ac:dyDescent="0.3">
      <c r="A6" s="56" t="s">
        <v>50</v>
      </c>
      <c r="B6" s="56"/>
      <c r="C6" s="56"/>
      <c r="D6" s="56"/>
      <c r="E6" s="56"/>
      <c r="F6" s="56"/>
      <c r="G6" s="2"/>
      <c r="H6" s="70" t="s">
        <v>43</v>
      </c>
      <c r="I6" s="70"/>
      <c r="J6" s="70"/>
      <c r="K6" s="70"/>
    </row>
    <row r="7" spans="1:19" ht="15.6" x14ac:dyDescent="0.3">
      <c r="A7" s="69" t="s">
        <v>27</v>
      </c>
      <c r="B7" s="69"/>
      <c r="C7" s="69"/>
      <c r="D7" s="69"/>
      <c r="E7" s="69"/>
      <c r="F7" s="69"/>
      <c r="G7" s="3"/>
      <c r="H7" s="70" t="s">
        <v>44</v>
      </c>
      <c r="I7" s="70"/>
      <c r="J7" s="70"/>
      <c r="K7" s="70"/>
    </row>
    <row r="8" spans="1:19" ht="15" customHeight="1" x14ac:dyDescent="0.3">
      <c r="A8" s="4" t="s">
        <v>4</v>
      </c>
      <c r="B8" s="23" t="s">
        <v>5</v>
      </c>
      <c r="C8" s="4" t="s">
        <v>6</v>
      </c>
      <c r="D8" s="24" t="s">
        <v>7</v>
      </c>
      <c r="E8" s="24" t="s">
        <v>8</v>
      </c>
      <c r="F8" s="24" t="s">
        <v>9</v>
      </c>
      <c r="G8" s="24" t="s">
        <v>10</v>
      </c>
      <c r="H8" s="4" t="s">
        <v>11</v>
      </c>
      <c r="I8" s="24" t="s">
        <v>12</v>
      </c>
      <c r="J8" s="24" t="s">
        <v>13</v>
      </c>
      <c r="K8" s="25" t="s">
        <v>14</v>
      </c>
    </row>
    <row r="9" spans="1:19" ht="15" customHeight="1" x14ac:dyDescent="0.3">
      <c r="A9" s="27">
        <v>1</v>
      </c>
      <c r="B9" s="65" t="s">
        <v>51</v>
      </c>
      <c r="C9" s="28"/>
      <c r="D9" s="29"/>
      <c r="E9" s="29"/>
      <c r="F9" s="30"/>
      <c r="G9" s="14"/>
      <c r="H9" s="48"/>
      <c r="I9" s="49"/>
      <c r="J9" s="58"/>
      <c r="K9" s="30"/>
      <c r="M9" s="32"/>
      <c r="N9" s="1"/>
      <c r="O9" s="1"/>
      <c r="P9" s="1"/>
      <c r="Q9" s="1"/>
      <c r="R9" s="32"/>
      <c r="S9" s="32"/>
    </row>
    <row r="10" spans="1:19" ht="27.6" x14ac:dyDescent="0.3">
      <c r="A10" s="27"/>
      <c r="B10" s="38" t="s">
        <v>52</v>
      </c>
      <c r="C10" s="28">
        <v>1</v>
      </c>
      <c r="D10" s="29">
        <f>(((55+6)+(35+64+70+38+31+64)+(72+63+36+35+9))/12)/3.281</f>
        <v>14.680483592400689</v>
      </c>
      <c r="E10" s="29"/>
      <c r="F10" s="30"/>
      <c r="G10" s="14">
        <f>PRODUCT(C10:F10)</f>
        <v>14.680483592400689</v>
      </c>
      <c r="H10" s="48" t="s">
        <v>59</v>
      </c>
      <c r="I10" s="49">
        <v>56</v>
      </c>
      <c r="J10" s="54">
        <f>G10*I10</f>
        <v>822.10708117443858</v>
      </c>
      <c r="K10" s="30"/>
      <c r="M10" s="32"/>
      <c r="N10" s="1"/>
      <c r="O10" s="1"/>
      <c r="P10" s="1"/>
      <c r="Q10" s="1"/>
      <c r="R10" s="32"/>
      <c r="S10" s="32"/>
    </row>
    <row r="11" spans="1:19" ht="15" customHeight="1" x14ac:dyDescent="0.3">
      <c r="A11" s="27"/>
      <c r="B11" s="38" t="s">
        <v>53</v>
      </c>
      <c r="C11" s="28">
        <v>7</v>
      </c>
      <c r="D11" s="29"/>
      <c r="E11" s="29"/>
      <c r="F11" s="30"/>
      <c r="G11" s="14">
        <f t="shared" ref="G11:G29" si="0">PRODUCT(C11:F11)</f>
        <v>7</v>
      </c>
      <c r="H11" s="48" t="s">
        <v>30</v>
      </c>
      <c r="I11" s="49">
        <v>113</v>
      </c>
      <c r="J11" s="54">
        <f t="shared" ref="J11:J29" si="1">G11*I11</f>
        <v>791</v>
      </c>
      <c r="K11" s="30"/>
      <c r="M11" s="32"/>
      <c r="N11" s="1"/>
      <c r="O11" s="1"/>
      <c r="P11" s="1"/>
      <c r="Q11" s="1"/>
      <c r="R11" s="32"/>
      <c r="S11" s="32"/>
    </row>
    <row r="12" spans="1:19" ht="15" customHeight="1" x14ac:dyDescent="0.3">
      <c r="A12" s="27"/>
      <c r="B12" s="38" t="s">
        <v>54</v>
      </c>
      <c r="C12" s="28">
        <v>3</v>
      </c>
      <c r="D12" s="29"/>
      <c r="E12" s="29"/>
      <c r="F12" s="30"/>
      <c r="G12" s="14">
        <f t="shared" si="0"/>
        <v>3</v>
      </c>
      <c r="H12" s="48" t="s">
        <v>30</v>
      </c>
      <c r="I12" s="49">
        <v>116</v>
      </c>
      <c r="J12" s="54">
        <f t="shared" si="1"/>
        <v>348</v>
      </c>
      <c r="K12" s="30"/>
      <c r="M12" s="32"/>
      <c r="N12" s="1"/>
      <c r="O12" s="1"/>
      <c r="P12" s="1"/>
      <c r="Q12" s="1"/>
      <c r="R12" s="32"/>
      <c r="S12" s="32"/>
    </row>
    <row r="13" spans="1:19" ht="15" customHeight="1" x14ac:dyDescent="0.3">
      <c r="A13" s="27"/>
      <c r="B13" s="38" t="s">
        <v>55</v>
      </c>
      <c r="C13" s="28">
        <v>8</v>
      </c>
      <c r="D13" s="29"/>
      <c r="E13" s="29"/>
      <c r="F13" s="30"/>
      <c r="G13" s="14">
        <f t="shared" si="0"/>
        <v>8</v>
      </c>
      <c r="H13" s="48" t="s">
        <v>30</v>
      </c>
      <c r="I13" s="49">
        <v>11</v>
      </c>
      <c r="J13" s="54">
        <f t="shared" si="1"/>
        <v>88</v>
      </c>
      <c r="K13" s="30"/>
      <c r="M13" s="32"/>
      <c r="N13" s="1"/>
      <c r="O13" s="1"/>
      <c r="P13" s="1"/>
      <c r="Q13" s="1"/>
      <c r="R13" s="32"/>
      <c r="S13" s="32"/>
    </row>
    <row r="14" spans="1:19" ht="15" customHeight="1" x14ac:dyDescent="0.3">
      <c r="A14" s="27"/>
      <c r="B14" s="38" t="s">
        <v>56</v>
      </c>
      <c r="C14" s="28">
        <v>6</v>
      </c>
      <c r="D14" s="29"/>
      <c r="E14" s="29"/>
      <c r="F14" s="30"/>
      <c r="G14" s="14">
        <f t="shared" si="0"/>
        <v>6</v>
      </c>
      <c r="H14" s="48" t="s">
        <v>30</v>
      </c>
      <c r="I14" s="49">
        <v>26</v>
      </c>
      <c r="J14" s="54">
        <f t="shared" si="1"/>
        <v>156</v>
      </c>
      <c r="K14" s="30"/>
      <c r="M14" s="32"/>
      <c r="N14" s="1"/>
      <c r="O14" s="1"/>
      <c r="P14" s="1"/>
      <c r="Q14" s="1"/>
      <c r="R14" s="32"/>
      <c r="S14" s="32"/>
    </row>
    <row r="15" spans="1:19" ht="15" customHeight="1" x14ac:dyDescent="0.3">
      <c r="A15" s="27"/>
      <c r="B15" s="38" t="s">
        <v>62</v>
      </c>
      <c r="C15" s="28">
        <v>5</v>
      </c>
      <c r="D15" s="29"/>
      <c r="E15" s="29"/>
      <c r="F15" s="30"/>
      <c r="G15" s="14">
        <f t="shared" si="0"/>
        <v>5</v>
      </c>
      <c r="H15" s="48" t="s">
        <v>30</v>
      </c>
      <c r="I15" s="49">
        <v>13</v>
      </c>
      <c r="J15" s="54">
        <f t="shared" si="1"/>
        <v>65</v>
      </c>
      <c r="K15" s="30"/>
      <c r="M15" s="32"/>
      <c r="N15" s="1"/>
      <c r="O15" s="1"/>
      <c r="P15" s="1"/>
      <c r="Q15" s="1"/>
      <c r="R15" s="32"/>
      <c r="S15" s="32"/>
    </row>
    <row r="16" spans="1:19" ht="27.6" x14ac:dyDescent="0.3">
      <c r="A16" s="27"/>
      <c r="B16" s="38" t="s">
        <v>66</v>
      </c>
      <c r="C16" s="28">
        <v>1</v>
      </c>
      <c r="D16" s="29">
        <f>((20*12-64*2+240)/12)/3.281</f>
        <v>8.9403637102509386</v>
      </c>
      <c r="E16" s="29"/>
      <c r="F16" s="30"/>
      <c r="G16" s="14">
        <f t="shared" si="0"/>
        <v>8.9403637102509386</v>
      </c>
      <c r="H16" s="48" t="s">
        <v>59</v>
      </c>
      <c r="I16" s="49">
        <v>181</v>
      </c>
      <c r="J16" s="54">
        <f t="shared" si="1"/>
        <v>1618.20583155542</v>
      </c>
      <c r="K16" s="30"/>
      <c r="M16" s="32"/>
      <c r="N16" s="1"/>
      <c r="O16" s="1"/>
      <c r="P16" s="1"/>
      <c r="Q16" s="1"/>
      <c r="R16" s="32"/>
      <c r="S16" s="32"/>
    </row>
    <row r="17" spans="1:19" ht="27.6" x14ac:dyDescent="0.3">
      <c r="A17" s="27"/>
      <c r="B17" s="38" t="s">
        <v>67</v>
      </c>
      <c r="C17" s="28">
        <v>1</v>
      </c>
      <c r="D17" s="29">
        <f>((10*12+30+10)/12)/3.281</f>
        <v>4.0638016864777002</v>
      </c>
      <c r="E17" s="29"/>
      <c r="F17" s="30"/>
      <c r="G17" s="14">
        <f t="shared" si="0"/>
        <v>4.0638016864777002</v>
      </c>
      <c r="H17" s="48" t="s">
        <v>59</v>
      </c>
      <c r="I17" s="49">
        <v>117</v>
      </c>
      <c r="J17" s="54">
        <f t="shared" si="1"/>
        <v>475.46479731789094</v>
      </c>
      <c r="K17" s="30"/>
      <c r="M17" s="32"/>
      <c r="N17" s="1"/>
      <c r="O17" s="1"/>
      <c r="P17" s="1"/>
      <c r="Q17" s="1"/>
      <c r="R17" s="32"/>
      <c r="S17" s="32"/>
    </row>
    <row r="18" spans="1:19" ht="27.6" x14ac:dyDescent="0.3">
      <c r="A18" s="27"/>
      <c r="B18" s="38" t="s">
        <v>68</v>
      </c>
      <c r="C18" s="28">
        <v>1</v>
      </c>
      <c r="D18" s="29">
        <f>((70+27+6+10)/12)/3.281</f>
        <v>2.8700599410748753</v>
      </c>
      <c r="E18" s="29"/>
      <c r="F18" s="30"/>
      <c r="G18" s="14">
        <f t="shared" si="0"/>
        <v>2.8700599410748753</v>
      </c>
      <c r="H18" s="48" t="s">
        <v>59</v>
      </c>
      <c r="I18" s="49">
        <v>247</v>
      </c>
      <c r="J18" s="54">
        <f t="shared" si="1"/>
        <v>708.90480544549416</v>
      </c>
      <c r="K18" s="30"/>
      <c r="M18" s="32"/>
      <c r="N18" s="1"/>
      <c r="O18" s="1"/>
      <c r="P18" s="1"/>
      <c r="Q18" s="1"/>
      <c r="R18" s="32"/>
      <c r="S18" s="32"/>
    </row>
    <row r="19" spans="1:19" ht="15" customHeight="1" x14ac:dyDescent="0.3">
      <c r="A19" s="27"/>
      <c r="B19" s="38" t="s">
        <v>69</v>
      </c>
      <c r="C19" s="28">
        <v>2</v>
      </c>
      <c r="D19" s="29"/>
      <c r="E19" s="29"/>
      <c r="F19" s="30"/>
      <c r="G19" s="14">
        <f t="shared" si="0"/>
        <v>2</v>
      </c>
      <c r="H19" s="48" t="s">
        <v>30</v>
      </c>
      <c r="I19" s="49">
        <v>185</v>
      </c>
      <c r="J19" s="54">
        <f t="shared" si="1"/>
        <v>370</v>
      </c>
      <c r="K19" s="30"/>
      <c r="M19" s="32"/>
      <c r="N19" s="1"/>
      <c r="O19" s="1"/>
      <c r="P19" s="1"/>
      <c r="Q19" s="1"/>
      <c r="R19" s="32"/>
      <c r="S19" s="32"/>
    </row>
    <row r="20" spans="1:19" ht="15" customHeight="1" x14ac:dyDescent="0.3">
      <c r="A20" s="27"/>
      <c r="B20" s="38" t="s">
        <v>70</v>
      </c>
      <c r="C20" s="28">
        <v>2</v>
      </c>
      <c r="D20" s="29"/>
      <c r="E20" s="29"/>
      <c r="F20" s="30"/>
      <c r="G20" s="14">
        <f t="shared" si="0"/>
        <v>2</v>
      </c>
      <c r="H20" s="48" t="s">
        <v>30</v>
      </c>
      <c r="I20" s="49">
        <v>327</v>
      </c>
      <c r="J20" s="54">
        <f t="shared" si="1"/>
        <v>654</v>
      </c>
      <c r="K20" s="30"/>
      <c r="M20" s="32"/>
      <c r="N20" s="1"/>
      <c r="O20" s="1"/>
      <c r="P20" s="1"/>
      <c r="Q20" s="1"/>
      <c r="R20" s="32"/>
      <c r="S20" s="32"/>
    </row>
    <row r="21" spans="1:19" ht="15" customHeight="1" x14ac:dyDescent="0.3">
      <c r="A21" s="27"/>
      <c r="B21" s="38" t="s">
        <v>57</v>
      </c>
      <c r="C21" s="28">
        <v>1</v>
      </c>
      <c r="D21" s="29">
        <f>10/3.281</f>
        <v>3.047851264858275</v>
      </c>
      <c r="E21" s="29"/>
      <c r="F21" s="30"/>
      <c r="G21" s="14">
        <f t="shared" si="0"/>
        <v>3.047851264858275</v>
      </c>
      <c r="H21" s="48" t="s">
        <v>58</v>
      </c>
      <c r="I21" s="49">
        <v>287</v>
      </c>
      <c r="J21" s="54">
        <f t="shared" si="1"/>
        <v>874.73331301432495</v>
      </c>
      <c r="K21" s="30"/>
      <c r="M21" s="32"/>
      <c r="N21" s="1"/>
      <c r="O21" s="1"/>
      <c r="P21" s="1"/>
      <c r="Q21" s="1"/>
      <c r="R21" s="32"/>
      <c r="S21" s="32"/>
    </row>
    <row r="22" spans="1:19" ht="15" customHeight="1" x14ac:dyDescent="0.3">
      <c r="A22" s="27"/>
      <c r="B22" s="38" t="s">
        <v>60</v>
      </c>
      <c r="C22" s="28">
        <v>1</v>
      </c>
      <c r="D22" s="29">
        <f>0.3*2</f>
        <v>0.6</v>
      </c>
      <c r="E22" s="29"/>
      <c r="F22" s="30"/>
      <c r="G22" s="14">
        <f t="shared" si="0"/>
        <v>0.6</v>
      </c>
      <c r="H22" s="48" t="s">
        <v>59</v>
      </c>
      <c r="I22" s="49">
        <v>323</v>
      </c>
      <c r="J22" s="54">
        <f t="shared" si="1"/>
        <v>193.79999999999998</v>
      </c>
      <c r="K22" s="30"/>
      <c r="M22" s="32"/>
      <c r="N22" s="1"/>
      <c r="O22" s="1"/>
      <c r="P22" s="1"/>
      <c r="Q22" s="1"/>
      <c r="R22" s="32"/>
      <c r="S22" s="32"/>
    </row>
    <row r="23" spans="1:19" ht="15" customHeight="1" x14ac:dyDescent="0.3">
      <c r="A23" s="27"/>
      <c r="B23" s="38" t="s">
        <v>61</v>
      </c>
      <c r="C23" s="28">
        <v>1</v>
      </c>
      <c r="D23" s="29"/>
      <c r="E23" s="29"/>
      <c r="F23" s="30"/>
      <c r="G23" s="14">
        <f t="shared" si="0"/>
        <v>1</v>
      </c>
      <c r="H23" s="48" t="s">
        <v>30</v>
      </c>
      <c r="I23" s="49">
        <v>153</v>
      </c>
      <c r="J23" s="54">
        <f t="shared" si="1"/>
        <v>153</v>
      </c>
      <c r="K23" s="30"/>
      <c r="M23" s="32"/>
      <c r="N23" s="1"/>
      <c r="O23" s="1"/>
      <c r="P23" s="1"/>
      <c r="Q23" s="1"/>
      <c r="R23" s="32"/>
      <c r="S23" s="32"/>
    </row>
    <row r="24" spans="1:19" ht="27.6" x14ac:dyDescent="0.3">
      <c r="A24" s="27"/>
      <c r="B24" s="38" t="s">
        <v>63</v>
      </c>
      <c r="C24" s="28">
        <v>2</v>
      </c>
      <c r="D24" s="29"/>
      <c r="E24" s="29"/>
      <c r="F24" s="30"/>
      <c r="G24" s="14">
        <f t="shared" si="0"/>
        <v>2</v>
      </c>
      <c r="H24" s="48" t="s">
        <v>64</v>
      </c>
      <c r="I24" s="49">
        <v>2741</v>
      </c>
      <c r="J24" s="54">
        <f t="shared" si="1"/>
        <v>5482</v>
      </c>
      <c r="K24" s="30"/>
      <c r="M24" s="32"/>
      <c r="N24" s="1"/>
      <c r="O24" s="1"/>
      <c r="P24" s="1"/>
      <c r="Q24" s="1"/>
      <c r="R24" s="32"/>
      <c r="S24" s="32"/>
    </row>
    <row r="25" spans="1:19" ht="15" customHeight="1" x14ac:dyDescent="0.3">
      <c r="A25" s="27"/>
      <c r="B25" s="38" t="s">
        <v>65</v>
      </c>
      <c r="C25" s="28">
        <v>2</v>
      </c>
      <c r="D25" s="29"/>
      <c r="E25" s="29"/>
      <c r="F25" s="30"/>
      <c r="G25" s="14">
        <f t="shared" si="0"/>
        <v>2</v>
      </c>
      <c r="H25" s="48" t="s">
        <v>30</v>
      </c>
      <c r="I25" s="49">
        <v>329</v>
      </c>
      <c r="J25" s="54">
        <f t="shared" si="1"/>
        <v>658</v>
      </c>
      <c r="K25" s="30"/>
      <c r="M25" s="32"/>
      <c r="N25" s="1"/>
      <c r="O25" s="1"/>
      <c r="P25" s="1"/>
      <c r="Q25" s="1"/>
      <c r="R25" s="32"/>
      <c r="S25" s="32"/>
    </row>
    <row r="26" spans="1:19" ht="27.6" x14ac:dyDescent="0.3">
      <c r="A26" s="27"/>
      <c r="B26" s="38" t="s">
        <v>71</v>
      </c>
      <c r="C26" s="28">
        <v>2</v>
      </c>
      <c r="D26" s="29"/>
      <c r="E26" s="29"/>
      <c r="F26" s="30"/>
      <c r="G26" s="14">
        <f t="shared" si="0"/>
        <v>2</v>
      </c>
      <c r="H26" s="48" t="s">
        <v>64</v>
      </c>
      <c r="I26" s="49">
        <v>1973</v>
      </c>
      <c r="J26" s="54">
        <f t="shared" si="1"/>
        <v>3946</v>
      </c>
      <c r="K26" s="30"/>
      <c r="M26" s="32"/>
      <c r="N26" s="1"/>
      <c r="O26" s="1"/>
      <c r="P26" s="1"/>
      <c r="Q26" s="1"/>
      <c r="R26" s="32"/>
      <c r="S26" s="32"/>
    </row>
    <row r="27" spans="1:19" ht="27.6" x14ac:dyDescent="0.3">
      <c r="A27" s="27"/>
      <c r="B27" s="38" t="s">
        <v>72</v>
      </c>
      <c r="C27" s="28">
        <v>3</v>
      </c>
      <c r="D27" s="29"/>
      <c r="E27" s="29"/>
      <c r="F27" s="30"/>
      <c r="G27" s="14">
        <f t="shared" si="0"/>
        <v>3</v>
      </c>
      <c r="H27" s="48" t="s">
        <v>64</v>
      </c>
      <c r="I27" s="49">
        <v>1880</v>
      </c>
      <c r="J27" s="54">
        <f t="shared" si="1"/>
        <v>5640</v>
      </c>
      <c r="K27" s="30"/>
      <c r="M27" s="32"/>
      <c r="N27" s="1"/>
      <c r="O27" s="1"/>
      <c r="P27" s="1"/>
      <c r="Q27" s="1"/>
      <c r="R27" s="32"/>
      <c r="S27" s="32"/>
    </row>
    <row r="28" spans="1:19" ht="27.6" x14ac:dyDescent="0.3">
      <c r="A28" s="27"/>
      <c r="B28" s="38" t="s">
        <v>73</v>
      </c>
      <c r="C28" s="28">
        <v>2</v>
      </c>
      <c r="D28" s="29"/>
      <c r="E28" s="29"/>
      <c r="F28" s="30"/>
      <c r="G28" s="14">
        <f t="shared" si="0"/>
        <v>2</v>
      </c>
      <c r="H28" s="48" t="s">
        <v>74</v>
      </c>
      <c r="I28" s="49">
        <v>1095</v>
      </c>
      <c r="J28" s="54">
        <f t="shared" si="1"/>
        <v>2190</v>
      </c>
      <c r="K28" s="30"/>
      <c r="M28" s="32"/>
      <c r="N28" s="1"/>
      <c r="O28" s="1"/>
      <c r="P28" s="1"/>
      <c r="Q28" s="1"/>
      <c r="R28" s="32"/>
      <c r="S28" s="32"/>
    </row>
    <row r="29" spans="1:19" ht="15" customHeight="1" x14ac:dyDescent="0.3">
      <c r="A29" s="27"/>
      <c r="B29" s="66" t="s">
        <v>83</v>
      </c>
      <c r="C29" s="28">
        <v>1</v>
      </c>
      <c r="D29" s="29"/>
      <c r="E29" s="29"/>
      <c r="F29" s="30"/>
      <c r="G29" s="14">
        <f t="shared" si="0"/>
        <v>1</v>
      </c>
      <c r="H29" s="48" t="s">
        <v>75</v>
      </c>
      <c r="I29" s="49">
        <v>10000</v>
      </c>
      <c r="J29" s="54">
        <f t="shared" si="1"/>
        <v>10000</v>
      </c>
      <c r="K29" s="30"/>
      <c r="M29" s="32"/>
      <c r="N29" s="1"/>
      <c r="O29" s="1"/>
      <c r="P29" s="1"/>
      <c r="Q29" s="1"/>
      <c r="R29" s="32"/>
      <c r="S29" s="32"/>
    </row>
    <row r="30" spans="1:19" ht="15" customHeight="1" x14ac:dyDescent="0.3">
      <c r="A30" s="57"/>
      <c r="B30" s="59"/>
      <c r="C30" s="60"/>
      <c r="D30" s="14"/>
      <c r="E30" s="14"/>
      <c r="F30" s="14"/>
      <c r="G30" s="61"/>
      <c r="H30" s="61"/>
      <c r="I30" s="61"/>
      <c r="J30" s="54"/>
      <c r="K30" s="16"/>
    </row>
    <row r="31" spans="1:19" ht="30" x14ac:dyDescent="0.3">
      <c r="A31" s="57">
        <v>2</v>
      </c>
      <c r="B31" s="62" t="s">
        <v>76</v>
      </c>
      <c r="C31" s="60"/>
      <c r="D31" s="14"/>
      <c r="E31" s="14"/>
      <c r="F31" s="14"/>
      <c r="G31" s="61"/>
      <c r="H31" s="61"/>
      <c r="I31" s="61"/>
      <c r="J31" s="54"/>
      <c r="K31" s="16"/>
    </row>
    <row r="32" spans="1:19" ht="15" customHeight="1" x14ac:dyDescent="0.3">
      <c r="A32" s="57"/>
      <c r="B32" s="59" t="s">
        <v>79</v>
      </c>
      <c r="C32" s="60">
        <v>1</v>
      </c>
      <c r="D32" s="14">
        <f>4*2+3.5*2</f>
        <v>15</v>
      </c>
      <c r="E32" s="14"/>
      <c r="F32" s="14">
        <f>(9-5)/3.281</f>
        <v>1.2191405059433098</v>
      </c>
      <c r="G32" s="14">
        <f t="shared" ref="G32:G35" si="2">PRODUCT(C32:F32)</f>
        <v>18.287107589149649</v>
      </c>
      <c r="H32" s="61"/>
      <c r="I32" s="58"/>
      <c r="J32" s="58"/>
      <c r="K32" s="16"/>
    </row>
    <row r="33" spans="1:19" ht="15" customHeight="1" x14ac:dyDescent="0.3">
      <c r="A33" s="57"/>
      <c r="B33" s="59" t="s">
        <v>80</v>
      </c>
      <c r="C33" s="60">
        <v>1</v>
      </c>
      <c r="D33" s="14">
        <f>(3*4+1.8*4)</f>
        <v>19.2</v>
      </c>
      <c r="E33" s="14"/>
      <c r="F33" s="14">
        <f>(8.75-5)/3.281</f>
        <v>1.1429442243218531</v>
      </c>
      <c r="G33" s="14">
        <f t="shared" si="2"/>
        <v>21.944529106979576</v>
      </c>
      <c r="H33" s="61"/>
      <c r="I33" s="58"/>
      <c r="J33" s="58"/>
      <c r="K33" s="16"/>
    </row>
    <row r="34" spans="1:19" ht="15" customHeight="1" x14ac:dyDescent="0.3">
      <c r="A34" s="57"/>
      <c r="B34" s="59" t="s">
        <v>81</v>
      </c>
      <c r="C34" s="60">
        <f>-2*2</f>
        <v>-4</v>
      </c>
      <c r="D34" s="14"/>
      <c r="E34" s="14">
        <f>0.9</f>
        <v>0.9</v>
      </c>
      <c r="F34" s="14">
        <f>(9-5)/3.281</f>
        <v>1.2191405059433098</v>
      </c>
      <c r="G34" s="14">
        <f t="shared" si="2"/>
        <v>-4.3889058213959151</v>
      </c>
      <c r="H34" s="61"/>
      <c r="I34" s="58"/>
      <c r="J34" s="58"/>
      <c r="K34" s="16"/>
    </row>
    <row r="35" spans="1:19" ht="15" customHeight="1" x14ac:dyDescent="0.3">
      <c r="A35" s="57"/>
      <c r="B35" s="59" t="s">
        <v>82</v>
      </c>
      <c r="C35" s="60">
        <f>-2*2</f>
        <v>-4</v>
      </c>
      <c r="D35" s="14"/>
      <c r="E35" s="14">
        <v>1.2</v>
      </c>
      <c r="F35" s="14">
        <v>0.75</v>
      </c>
      <c r="G35" s="14">
        <f t="shared" si="2"/>
        <v>-3.5999999999999996</v>
      </c>
      <c r="H35" s="61"/>
      <c r="I35" s="58"/>
      <c r="J35" s="58"/>
      <c r="K35" s="16"/>
    </row>
    <row r="36" spans="1:19" ht="15" customHeight="1" x14ac:dyDescent="0.3">
      <c r="A36" s="57"/>
      <c r="B36" s="59" t="s">
        <v>39</v>
      </c>
      <c r="C36" s="60"/>
      <c r="D36" s="14"/>
      <c r="E36" s="14"/>
      <c r="F36" s="14"/>
      <c r="G36" s="58">
        <f>SUM(G32:G35)</f>
        <v>32.242730874733311</v>
      </c>
      <c r="H36" s="58" t="s">
        <v>77</v>
      </c>
      <c r="I36" s="58">
        <v>466.25</v>
      </c>
      <c r="J36" s="58">
        <f>G32*I36</f>
        <v>8526.3639134410241</v>
      </c>
      <c r="K36" s="16"/>
    </row>
    <row r="37" spans="1:19" ht="15" customHeight="1" x14ac:dyDescent="0.3">
      <c r="A37" s="57"/>
      <c r="B37" s="59"/>
      <c r="C37" s="60"/>
      <c r="D37" s="14"/>
      <c r="E37" s="14"/>
      <c r="F37" s="14"/>
      <c r="G37" s="61"/>
      <c r="H37" s="61"/>
      <c r="I37" s="61"/>
      <c r="J37" s="54"/>
      <c r="K37" s="16"/>
    </row>
    <row r="38" spans="1:19" ht="30" x14ac:dyDescent="0.3">
      <c r="A38" s="57">
        <v>3</v>
      </c>
      <c r="B38" s="62" t="s">
        <v>86</v>
      </c>
      <c r="C38" s="60"/>
      <c r="D38" s="14"/>
      <c r="E38" s="14"/>
      <c r="F38" s="14"/>
      <c r="G38" s="61"/>
      <c r="H38" s="61"/>
      <c r="I38" s="61"/>
      <c r="J38" s="54"/>
      <c r="K38" s="16"/>
    </row>
    <row r="39" spans="1:19" x14ac:dyDescent="0.3">
      <c r="A39" s="57"/>
      <c r="B39" s="59" t="s">
        <v>87</v>
      </c>
      <c r="C39" s="60">
        <v>1</v>
      </c>
      <c r="D39" s="14"/>
      <c r="E39" s="14"/>
      <c r="F39" s="14"/>
      <c r="G39" s="58">
        <f>G36</f>
        <v>32.242730874733311</v>
      </c>
      <c r="H39" s="58"/>
      <c r="I39" s="9"/>
      <c r="J39" s="9"/>
      <c r="K39" s="16"/>
    </row>
    <row r="40" spans="1:19" ht="15" customHeight="1" x14ac:dyDescent="0.3">
      <c r="A40" s="57"/>
      <c r="B40" s="59" t="s">
        <v>39</v>
      </c>
      <c r="C40" s="60"/>
      <c r="D40" s="14"/>
      <c r="E40" s="14"/>
      <c r="F40" s="14"/>
      <c r="G40" s="58">
        <f>SUM(G39)</f>
        <v>32.242730874733311</v>
      </c>
      <c r="H40" s="58" t="s">
        <v>77</v>
      </c>
      <c r="I40" s="58">
        <v>206.07</v>
      </c>
      <c r="J40" s="58">
        <f>G40*I40</f>
        <v>6644.2595513562928</v>
      </c>
      <c r="K40" s="16"/>
    </row>
    <row r="41" spans="1:19" x14ac:dyDescent="0.3">
      <c r="A41" s="57"/>
      <c r="B41" s="59"/>
      <c r="C41" s="60"/>
      <c r="D41" s="14"/>
      <c r="E41" s="14"/>
      <c r="F41" s="14"/>
      <c r="G41" s="61"/>
      <c r="H41" s="61"/>
      <c r="I41" s="61"/>
      <c r="J41" s="54"/>
      <c r="K41" s="16"/>
    </row>
    <row r="42" spans="1:19" ht="65.400000000000006" x14ac:dyDescent="0.3">
      <c r="A42" s="57">
        <v>4</v>
      </c>
      <c r="B42" s="63" t="s">
        <v>78</v>
      </c>
      <c r="C42" s="63"/>
      <c r="D42" s="14"/>
      <c r="E42" s="14"/>
      <c r="F42" s="14"/>
      <c r="G42" s="61"/>
      <c r="H42" s="61"/>
      <c r="I42" s="61"/>
      <c r="J42" s="54"/>
      <c r="K42" s="16"/>
    </row>
    <row r="43" spans="1:19" ht="15" customHeight="1" x14ac:dyDescent="0.3">
      <c r="A43" s="57"/>
      <c r="B43" s="59" t="s">
        <v>80</v>
      </c>
      <c r="C43" s="60">
        <v>1</v>
      </c>
      <c r="D43" s="14">
        <f>(3*4+1.8*4)</f>
        <v>19.2</v>
      </c>
      <c r="E43" s="14"/>
      <c r="F43" s="14">
        <f>(8.75-4)/3.281</f>
        <v>1.4477293508076805</v>
      </c>
      <c r="G43" s="14">
        <f t="shared" ref="G43:G45" si="3">PRODUCT(C43:F43)</f>
        <v>27.796403535507466</v>
      </c>
      <c r="H43" s="61"/>
      <c r="I43" s="58"/>
      <c r="J43" s="58"/>
      <c r="K43" s="16"/>
    </row>
    <row r="44" spans="1:19" ht="15" customHeight="1" x14ac:dyDescent="0.3">
      <c r="A44" s="57"/>
      <c r="B44" s="59" t="s">
        <v>84</v>
      </c>
      <c r="C44" s="60">
        <v>2</v>
      </c>
      <c r="D44" s="14">
        <f>6/3.281</f>
        <v>1.8287107589149649</v>
      </c>
      <c r="E44" s="14">
        <f>10/3.281</f>
        <v>3.047851264858275</v>
      </c>
      <c r="F44" s="14"/>
      <c r="G44" s="14">
        <f t="shared" si="3"/>
        <v>11.147276799237824</v>
      </c>
      <c r="H44" s="61"/>
      <c r="I44" s="58"/>
      <c r="J44" s="58"/>
      <c r="K44" s="16"/>
    </row>
    <row r="45" spans="1:19" ht="15" customHeight="1" x14ac:dyDescent="0.3">
      <c r="A45" s="57"/>
      <c r="B45" s="59" t="s">
        <v>81</v>
      </c>
      <c r="C45" s="60">
        <f>-2*2</f>
        <v>-4</v>
      </c>
      <c r="D45" s="14"/>
      <c r="E45" s="14">
        <f>0.9</f>
        <v>0.9</v>
      </c>
      <c r="F45" s="14">
        <f>(5)/3.281</f>
        <v>1.5239256324291375</v>
      </c>
      <c r="G45" s="14">
        <f t="shared" si="3"/>
        <v>-5.486132276744895</v>
      </c>
      <c r="H45" s="61"/>
      <c r="I45" s="58"/>
      <c r="J45" s="58"/>
      <c r="K45" s="16"/>
    </row>
    <row r="46" spans="1:19" ht="15" customHeight="1" x14ac:dyDescent="0.3">
      <c r="A46" s="57"/>
      <c r="B46" s="59" t="s">
        <v>39</v>
      </c>
      <c r="C46" s="60"/>
      <c r="D46" s="14"/>
      <c r="E46" s="14"/>
      <c r="F46" s="14"/>
      <c r="G46" s="58">
        <f>SUM(G43:G45)</f>
        <v>33.457548058000391</v>
      </c>
      <c r="H46" s="58" t="s">
        <v>77</v>
      </c>
      <c r="I46" s="58">
        <v>3157.64</v>
      </c>
      <c r="J46" s="58">
        <f>G46*I46</f>
        <v>105646.89204986436</v>
      </c>
      <c r="K46" s="16"/>
    </row>
    <row r="47" spans="1:19" ht="15" customHeight="1" x14ac:dyDescent="0.3">
      <c r="A47" s="57"/>
      <c r="B47" s="59"/>
      <c r="C47" s="60"/>
      <c r="D47" s="14"/>
      <c r="E47" s="14"/>
      <c r="F47" s="14"/>
      <c r="G47" s="58"/>
      <c r="H47" s="58"/>
      <c r="I47" s="58"/>
      <c r="J47" s="58"/>
      <c r="K47" s="16"/>
    </row>
    <row r="48" spans="1:19" ht="105.6" x14ac:dyDescent="0.3">
      <c r="A48" s="27">
        <v>5</v>
      </c>
      <c r="B48" s="91" t="s">
        <v>89</v>
      </c>
      <c r="C48" s="91"/>
      <c r="D48" s="29"/>
      <c r="E48" s="30"/>
      <c r="F48" s="30"/>
      <c r="G48" s="49"/>
      <c r="H48" s="48"/>
      <c r="I48" s="49"/>
      <c r="J48" s="58"/>
      <c r="K48" s="30"/>
      <c r="M48" s="32"/>
      <c r="N48" s="1"/>
      <c r="O48" s="1"/>
      <c r="P48" s="1"/>
      <c r="Q48" s="1"/>
      <c r="R48" s="32"/>
      <c r="S48" s="32"/>
    </row>
    <row r="49" spans="1:20" ht="15" customHeight="1" x14ac:dyDescent="0.3">
      <c r="A49" s="57"/>
      <c r="B49" s="59" t="s">
        <v>90</v>
      </c>
      <c r="C49" s="60">
        <v>2</v>
      </c>
      <c r="D49" s="14"/>
      <c r="E49" s="14">
        <f>0.9</f>
        <v>0.9</v>
      </c>
      <c r="F49" s="14">
        <f>7/3.281</f>
        <v>2.1334958854007922</v>
      </c>
      <c r="G49" s="14">
        <f t="shared" ref="G49" si="4">PRODUCT(C49:F49)</f>
        <v>3.8402925937214261</v>
      </c>
      <c r="H49" s="61"/>
      <c r="I49" s="58"/>
      <c r="J49" s="58"/>
      <c r="K49" s="16"/>
    </row>
    <row r="50" spans="1:20" ht="15" customHeight="1" x14ac:dyDescent="0.3">
      <c r="A50" s="57"/>
      <c r="B50" s="59" t="s">
        <v>39</v>
      </c>
      <c r="C50" s="60"/>
      <c r="D50" s="14"/>
      <c r="E50" s="14"/>
      <c r="F50" s="14"/>
      <c r="G50" s="58">
        <f>SUM(G49)</f>
        <v>3.8402925937214261</v>
      </c>
      <c r="H50" s="58" t="s">
        <v>77</v>
      </c>
      <c r="I50" s="58">
        <v>8129.71</v>
      </c>
      <c r="J50" s="58">
        <f>G50*I50</f>
        <v>31220.465102103015</v>
      </c>
      <c r="K50" s="16"/>
    </row>
    <row r="51" spans="1:20" ht="15" customHeight="1" x14ac:dyDescent="0.3">
      <c r="A51" s="57"/>
      <c r="B51" s="59"/>
      <c r="C51" s="60"/>
      <c r="D51" s="14"/>
      <c r="E51" s="14"/>
      <c r="F51" s="14"/>
      <c r="G51" s="58"/>
      <c r="H51" s="58"/>
      <c r="I51" s="58"/>
      <c r="J51" s="58"/>
      <c r="K51" s="16"/>
    </row>
    <row r="52" spans="1:20" ht="19.8" x14ac:dyDescent="0.3">
      <c r="A52" s="27">
        <v>6</v>
      </c>
      <c r="B52" s="55" t="s">
        <v>29</v>
      </c>
      <c r="C52" s="28">
        <v>1</v>
      </c>
      <c r="D52" s="29"/>
      <c r="E52" s="30"/>
      <c r="F52" s="30"/>
      <c r="G52" s="58">
        <f t="shared" ref="G52" si="5">PRODUCT(C52:F52)</f>
        <v>1</v>
      </c>
      <c r="H52" s="48" t="s">
        <v>30</v>
      </c>
      <c r="I52" s="49">
        <v>500</v>
      </c>
      <c r="J52" s="58">
        <f>G52*I52</f>
        <v>500</v>
      </c>
      <c r="K52" s="30"/>
      <c r="M52" s="32"/>
      <c r="N52" s="18"/>
      <c r="O52" s="18"/>
      <c r="P52" s="18"/>
      <c r="Q52" s="18"/>
      <c r="R52" s="18"/>
      <c r="S52" s="18"/>
      <c r="T52" s="18"/>
    </row>
    <row r="53" spans="1:20" ht="15" customHeight="1" x14ac:dyDescent="0.3">
      <c r="A53" s="27"/>
      <c r="B53" s="31"/>
      <c r="C53" s="28"/>
      <c r="D53" s="29"/>
      <c r="E53" s="30"/>
      <c r="F53" s="30"/>
      <c r="G53" s="49"/>
      <c r="H53" s="48"/>
      <c r="I53" s="49"/>
      <c r="J53" s="58"/>
      <c r="K53" s="30"/>
      <c r="M53" s="32"/>
      <c r="N53" s="18"/>
      <c r="O53" s="18"/>
      <c r="P53" s="18"/>
      <c r="Q53" s="18"/>
      <c r="R53" s="18"/>
      <c r="S53" s="18"/>
      <c r="T53" s="18"/>
    </row>
    <row r="54" spans="1:20" x14ac:dyDescent="0.3">
      <c r="A54" s="57"/>
      <c r="B54" s="64" t="s">
        <v>16</v>
      </c>
      <c r="C54" s="60"/>
      <c r="D54" s="14"/>
      <c r="E54" s="14"/>
      <c r="F54" s="14"/>
      <c r="G54" s="58"/>
      <c r="H54" s="58"/>
      <c r="I54" s="58"/>
      <c r="J54" s="58">
        <f>SUM(J9:J52)</f>
        <v>187772.19644527225</v>
      </c>
      <c r="K54" s="16"/>
    </row>
    <row r="56" spans="1:20" s="1" customFormat="1" x14ac:dyDescent="0.3">
      <c r="B56" s="16" t="s">
        <v>26</v>
      </c>
      <c r="C56" s="73">
        <f>J54</f>
        <v>187772.19644527225</v>
      </c>
      <c r="D56" s="73"/>
      <c r="E56" s="19"/>
      <c r="F56" s="18"/>
      <c r="G56" s="19"/>
      <c r="H56" s="18"/>
      <c r="I56" s="20"/>
      <c r="J56" s="21"/>
      <c r="K56" s="22"/>
    </row>
    <row r="57" spans="1:20" x14ac:dyDescent="0.3">
      <c r="B57" s="16" t="s">
        <v>85</v>
      </c>
      <c r="C57" s="90">
        <f>C56*0.13</f>
        <v>24410.385537885391</v>
      </c>
      <c r="D57" s="90"/>
      <c r="E57" s="19"/>
    </row>
    <row r="58" spans="1:20" x14ac:dyDescent="0.3">
      <c r="B58" s="16" t="s">
        <v>16</v>
      </c>
      <c r="C58" s="90">
        <f>SUM(C56:D57)</f>
        <v>212182.58198315764</v>
      </c>
      <c r="D58" s="90"/>
      <c r="E58" s="19"/>
    </row>
  </sheetData>
  <mergeCells count="11">
    <mergeCell ref="A7:F7"/>
    <mergeCell ref="H7:K7"/>
    <mergeCell ref="C56:D56"/>
    <mergeCell ref="C57:D57"/>
    <mergeCell ref="C58:D58"/>
    <mergeCell ref="H6:K6"/>
    <mergeCell ref="A1:K1"/>
    <mergeCell ref="A2:K2"/>
    <mergeCell ref="A3:K3"/>
    <mergeCell ref="A4:K4"/>
    <mergeCell ref="A5:K5"/>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Basudev Khanal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estimated upabhokta</vt:lpstr>
      <vt:lpstr>WCR</vt:lpstr>
      <vt:lpstr>valuated</vt:lpstr>
      <vt:lpstr>measure</vt:lpstr>
      <vt:lpstr>estimated quotation</vt:lpstr>
      <vt:lpstr>'estimated quotation'!Print_Area</vt:lpstr>
      <vt:lpstr>'estimated upabhokta'!Print_Area</vt:lpstr>
      <vt:lpstr>measure!Print_Area</vt:lpstr>
      <vt:lpstr>valuated!Print_Area</vt:lpstr>
      <vt:lpstr>'estimated quotation'!Print_Titles</vt:lpstr>
      <vt:lpstr>'estimated upabhokta'!Print_Titles</vt:lpstr>
      <vt:lpstr>measure!Print_Titles</vt:lpstr>
      <vt:lpstr>valuated!Print_Titles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2023-03-11T09:26:23Z</cp:lastPrinted>
  <dcterms:created xsi:type="dcterms:W3CDTF">2015-06-05T18:17:20Z</dcterms:created>
  <dcterms:modified xsi:type="dcterms:W3CDTF">2023-03-11T09:26:56Z</dcterms:modified>
</cp:coreProperties>
</file>