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New folder\081-082\ofc\ofc\estimates\कुर्थली च्यानेपाखा माझगाउँ जोड्ने सडक\"/>
    </mc:Choice>
  </mc:AlternateContent>
  <bookViews>
    <workbookView xWindow="-120" yWindow="-120" windowWidth="20730" windowHeight="11160" activeTab="3"/>
  </bookViews>
  <sheets>
    <sheet name="200k" sheetId="20" r:id="rId1"/>
    <sheet name="WCR" sheetId="6" r:id="rId2"/>
    <sheet name="V" sheetId="21" r:id="rId3"/>
    <sheet name="V (2)" sheetId="23" r:id="rId4"/>
  </sheets>
  <externalReferences>
    <externalReference r:id="rId5"/>
    <externalReference r:id="rId6"/>
    <externalReference r:id="rId7"/>
    <externalReference r:id="rId8"/>
    <externalReference r:id="rId9"/>
  </externalReferences>
  <definedNames>
    <definedName name="description_103">[1]Abstract!$B$16</definedName>
    <definedName name="description_124" localSheetId="0">#REF!</definedName>
    <definedName name="description_124" localSheetId="2">#REF!</definedName>
    <definedName name="description_124" localSheetId="3">#REF!</definedName>
    <definedName name="description_124">#REF!</definedName>
    <definedName name="description_247">[1]Abstract!$B$22</definedName>
    <definedName name="description_248">[1]Abstract!$B$23</definedName>
    <definedName name="description_261">[2]Abstract!$B$33</definedName>
    <definedName name="description_262">[1]Abstract!$B$34</definedName>
    <definedName name="description_3">[1]Abstract!$B$169</definedName>
    <definedName name="description_310">[3]Abstract!$B$60</definedName>
    <definedName name="description_312">[4]Abstract!$B$61</definedName>
    <definedName name="description_5">[1]Abstract!$B$171</definedName>
    <definedName name="description_6">[3]Abstract!$B$172</definedName>
    <definedName name="description_759">[1]Abstract!$B$278</definedName>
    <definedName name="description_781">[5]Abstract!$B$299</definedName>
    <definedName name="description_783">[1]Abstract!$B$301</definedName>
    <definedName name="_xlnm.Print_Area" localSheetId="0">'200k'!$A$1:$K$42</definedName>
    <definedName name="_xlnm.Print_Area" localSheetId="2">V!$A$1:$K$53</definedName>
    <definedName name="_xlnm.Print_Area" localSheetId="3">'V (2)'!$A$1:$K$53</definedName>
    <definedName name="_xlnm.Print_Area" localSheetId="1">WCR!$A$1:$K$29</definedName>
    <definedName name="_xlnm.Print_Titles" localSheetId="0">'200k'!$1:$8</definedName>
    <definedName name="_xlnm.Print_Titles" localSheetId="2">V!$1:$8</definedName>
    <definedName name="_xlnm.Print_Titles" localSheetId="3">'V (2)'!$1:$8</definedName>
    <definedName name="_xlnm.Print_Titles" localSheetId="1">WCR!$1:$12</definedName>
  </definedNames>
  <calcPr calcId="15251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C53" i="23" l="1"/>
  <c r="C52" i="23"/>
  <c r="G44" i="23"/>
  <c r="J44" i="23" s="1"/>
  <c r="G40" i="23"/>
  <c r="E40" i="23"/>
  <c r="G39" i="23"/>
  <c r="E39" i="23"/>
  <c r="G38" i="23"/>
  <c r="E38" i="23"/>
  <c r="G37" i="23"/>
  <c r="E37" i="23"/>
  <c r="G36" i="23"/>
  <c r="E36" i="23"/>
  <c r="M35" i="23"/>
  <c r="E35" i="23"/>
  <c r="G35" i="23" s="1"/>
  <c r="G41" i="23" s="1"/>
  <c r="D35" i="23"/>
  <c r="J32" i="23"/>
  <c r="G31" i="23"/>
  <c r="J31" i="23" s="1"/>
  <c r="G30" i="23"/>
  <c r="B30" i="23"/>
  <c r="G25" i="23"/>
  <c r="G24" i="23"/>
  <c r="G23" i="23"/>
  <c r="G22" i="23"/>
  <c r="G21" i="23"/>
  <c r="G20" i="23"/>
  <c r="G26" i="23" s="1"/>
  <c r="D20" i="23"/>
  <c r="B20" i="23"/>
  <c r="E16" i="23"/>
  <c r="D16" i="23"/>
  <c r="G11" i="23"/>
  <c r="F10" i="23"/>
  <c r="F16" i="23" s="1"/>
  <c r="E10" i="23"/>
  <c r="D10" i="23"/>
  <c r="G10" i="23" s="1"/>
  <c r="G12" i="23" s="1"/>
  <c r="J41" i="23" l="1"/>
  <c r="J42" i="23"/>
  <c r="G16" i="23"/>
  <c r="G17" i="23" s="1"/>
  <c r="J17" i="23" s="1"/>
  <c r="J13" i="23"/>
  <c r="J12" i="23"/>
  <c r="J27" i="23"/>
  <c r="J26" i="23"/>
  <c r="J46" i="23" l="1"/>
  <c r="C48" i="23" s="1"/>
  <c r="C50" i="23" l="1"/>
  <c r="E50" i="23" s="1"/>
  <c r="E51" i="23" s="1"/>
  <c r="C51" i="23"/>
  <c r="A9" i="6" l="1"/>
  <c r="A8" i="6"/>
  <c r="C50" i="21"/>
  <c r="G31" i="21" l="1"/>
  <c r="M27" i="6" l="1"/>
  <c r="G11" i="21"/>
  <c r="F10" i="21"/>
  <c r="E40" i="21"/>
  <c r="E39" i="21"/>
  <c r="E38" i="21"/>
  <c r="E37" i="21"/>
  <c r="E36" i="21"/>
  <c r="E35" i="21"/>
  <c r="M35" i="21"/>
  <c r="F16" i="21" l="1"/>
  <c r="H27" i="6"/>
  <c r="E27" i="6"/>
  <c r="D27" i="6"/>
  <c r="C27" i="6"/>
  <c r="B27" i="6"/>
  <c r="A27" i="6"/>
  <c r="H24" i="6"/>
  <c r="E24" i="6"/>
  <c r="C24" i="6"/>
  <c r="B25" i="6"/>
  <c r="B24" i="6"/>
  <c r="A24" i="6"/>
  <c r="H21" i="6"/>
  <c r="E21" i="6"/>
  <c r="C21" i="6"/>
  <c r="B22" i="6"/>
  <c r="B21" i="6"/>
  <c r="A21" i="6"/>
  <c r="H18" i="6"/>
  <c r="E18" i="6"/>
  <c r="C18" i="6"/>
  <c r="B19" i="6"/>
  <c r="B18" i="6"/>
  <c r="A18" i="6"/>
  <c r="H16" i="6"/>
  <c r="E16" i="6"/>
  <c r="C16" i="6"/>
  <c r="B16" i="6"/>
  <c r="A16" i="6"/>
  <c r="H13" i="6"/>
  <c r="E13" i="6"/>
  <c r="C13" i="6"/>
  <c r="B14" i="6"/>
  <c r="B13" i="6"/>
  <c r="A13" i="6"/>
  <c r="D10" i="21"/>
  <c r="G21" i="21"/>
  <c r="D35" i="21"/>
  <c r="G40" i="21"/>
  <c r="G36" i="21"/>
  <c r="D20" i="21"/>
  <c r="D16" i="21" s="1"/>
  <c r="G22" i="21"/>
  <c r="G23" i="21"/>
  <c r="G24" i="21"/>
  <c r="G25" i="21"/>
  <c r="G35" i="21"/>
  <c r="C53" i="21"/>
  <c r="C52" i="21"/>
  <c r="G44" i="21"/>
  <c r="J44" i="21" s="1"/>
  <c r="B30" i="21"/>
  <c r="B20" i="21"/>
  <c r="G39" i="21" l="1"/>
  <c r="G41" i="21" s="1"/>
  <c r="G27" i="6"/>
  <c r="G37" i="21"/>
  <c r="G38" i="21"/>
  <c r="F10" i="20"/>
  <c r="F15" i="20" s="1"/>
  <c r="E24" i="20"/>
  <c r="E19" i="20" s="1"/>
  <c r="D24" i="20"/>
  <c r="D19" i="20" s="1"/>
  <c r="D15" i="20" s="1"/>
  <c r="E29" i="20"/>
  <c r="J42" i="21" l="1"/>
  <c r="I25" i="6" s="1"/>
  <c r="G24" i="6"/>
  <c r="I24" i="6" s="1"/>
  <c r="J41" i="21"/>
  <c r="G30" i="21"/>
  <c r="G21" i="6" s="1"/>
  <c r="I21" i="6" s="1"/>
  <c r="E10" i="20"/>
  <c r="E15" i="20"/>
  <c r="D10" i="20"/>
  <c r="J31" i="21" l="1"/>
  <c r="J32" i="21"/>
  <c r="I22" i="6" s="1"/>
  <c r="E16" i="21"/>
  <c r="G16" i="21" s="1"/>
  <c r="G17" i="21" s="1"/>
  <c r="E10" i="21"/>
  <c r="G10" i="21" s="1"/>
  <c r="G12" i="21" s="1"/>
  <c r="G20" i="21"/>
  <c r="G26" i="21" s="1"/>
  <c r="C42" i="20"/>
  <c r="C41" i="20"/>
  <c r="G33" i="20"/>
  <c r="J33" i="20" s="1"/>
  <c r="B24" i="20"/>
  <c r="B19" i="20"/>
  <c r="G10" i="20"/>
  <c r="G11" i="20" s="1"/>
  <c r="D13" i="6" s="1"/>
  <c r="G18" i="6" l="1"/>
  <c r="I18" i="6" s="1"/>
  <c r="G13" i="6"/>
  <c r="J17" i="21"/>
  <c r="G16" i="6"/>
  <c r="I16" i="6" s="1"/>
  <c r="J27" i="21"/>
  <c r="I19" i="6" s="1"/>
  <c r="J26" i="21"/>
  <c r="G15" i="20"/>
  <c r="G16" i="20" s="1"/>
  <c r="G19" i="20"/>
  <c r="G20" i="20" s="1"/>
  <c r="D18" i="6" s="1"/>
  <c r="F18" i="6" s="1"/>
  <c r="M18" i="6" s="1"/>
  <c r="G24" i="20"/>
  <c r="G25" i="20" s="1"/>
  <c r="G29" i="20"/>
  <c r="G30" i="20" s="1"/>
  <c r="C39" i="20"/>
  <c r="J11" i="20"/>
  <c r="J12" i="20"/>
  <c r="F14" i="6" s="1"/>
  <c r="M14" i="6" s="1"/>
  <c r="J18" i="6" l="1"/>
  <c r="J25" i="20"/>
  <c r="D21" i="6"/>
  <c r="F21" i="6" s="1"/>
  <c r="J16" i="20"/>
  <c r="D16" i="6"/>
  <c r="F16" i="6" s="1"/>
  <c r="M16" i="6" s="1"/>
  <c r="J31" i="20"/>
  <c r="F25" i="6" s="1"/>
  <c r="D24" i="6"/>
  <c r="F24" i="6" s="1"/>
  <c r="J12" i="21"/>
  <c r="J13" i="21"/>
  <c r="I14" i="6" s="1"/>
  <c r="J14" i="6" s="1"/>
  <c r="J26" i="20"/>
  <c r="F22" i="6" s="1"/>
  <c r="J30" i="20"/>
  <c r="J21" i="20"/>
  <c r="F19" i="6" s="1"/>
  <c r="M19" i="6" s="1"/>
  <c r="J20" i="20"/>
  <c r="M21" i="6" l="1"/>
  <c r="J21" i="6"/>
  <c r="M24" i="6"/>
  <c r="J24" i="6"/>
  <c r="J16" i="6"/>
  <c r="M22" i="6"/>
  <c r="J22" i="6"/>
  <c r="M25" i="6"/>
  <c r="J25" i="6"/>
  <c r="J19" i="6"/>
  <c r="J46" i="21"/>
  <c r="C48" i="21" s="1"/>
  <c r="J35" i="20"/>
  <c r="C37" i="20" s="1"/>
  <c r="C40" i="20" s="1"/>
  <c r="C51" i="21" l="1"/>
  <c r="E50" i="21"/>
  <c r="E51" i="21" s="1"/>
  <c r="E39" i="20"/>
  <c r="E40" i="20" s="1"/>
  <c r="I27" i="6" l="1"/>
  <c r="F27" i="6"/>
  <c r="J27" i="6" l="1"/>
  <c r="I13" i="6"/>
  <c r="I29" i="6" s="1"/>
  <c r="F13" i="6" l="1"/>
  <c r="J13" i="6" l="1"/>
  <c r="M13" i="6"/>
  <c r="F29" i="6"/>
  <c r="J6" i="6" l="1"/>
  <c r="J29" i="6" l="1"/>
  <c r="C6" i="6" l="1"/>
</calcChain>
</file>

<file path=xl/sharedStrings.xml><?xml version="1.0" encoding="utf-8"?>
<sst xmlns="http://schemas.openxmlformats.org/spreadsheetml/2006/main" count="183" uniqueCount="61">
  <si>
    <t>Government of Nepal</t>
  </si>
  <si>
    <t>Shankharapur Municipality Office</t>
  </si>
  <si>
    <t>Bagmati Province</t>
  </si>
  <si>
    <t>Sankhu, Kathmandu</t>
  </si>
  <si>
    <t>Detail Estimated Sheet</t>
  </si>
  <si>
    <t>S.N.</t>
  </si>
  <si>
    <t>Description of work</t>
  </si>
  <si>
    <t>No.</t>
  </si>
  <si>
    <t>Length</t>
  </si>
  <si>
    <t>Breadth</t>
  </si>
  <si>
    <t>Height</t>
  </si>
  <si>
    <t>Quantity</t>
  </si>
  <si>
    <t>Unit</t>
  </si>
  <si>
    <t>Rate</t>
  </si>
  <si>
    <t>Amount</t>
  </si>
  <si>
    <t>Remarks</t>
  </si>
  <si>
    <t>Total</t>
  </si>
  <si>
    <t>Grand Total</t>
  </si>
  <si>
    <t>Work Completion Report</t>
  </si>
  <si>
    <t>Total Estimated Amount:</t>
  </si>
  <si>
    <t>Total Valuated Amount :</t>
  </si>
  <si>
    <t>S.No.</t>
  </si>
  <si>
    <t>Description</t>
  </si>
  <si>
    <t>Estimated</t>
  </si>
  <si>
    <t>Valuated</t>
  </si>
  <si>
    <t>Difference</t>
  </si>
  <si>
    <t xml:space="preserve">Quantity </t>
  </si>
  <si>
    <t>Total Estimated</t>
  </si>
  <si>
    <t>Location:- Shankharapur Municipality 9</t>
  </si>
  <si>
    <t xml:space="preserve">Work Started : </t>
  </si>
  <si>
    <t>Information board (सुचना पाटि)</t>
  </si>
  <si>
    <t>no.</t>
  </si>
  <si>
    <t>Budget allocated</t>
  </si>
  <si>
    <t>Municipal payment</t>
  </si>
  <si>
    <t>User Contribution</t>
  </si>
  <si>
    <t xml:space="preserve">Contingencies </t>
  </si>
  <si>
    <t xml:space="preserve">Maintanince </t>
  </si>
  <si>
    <t xml:space="preserve">Work Finished:           </t>
  </si>
  <si>
    <t>VAT calculation</t>
  </si>
  <si>
    <t>m3</t>
  </si>
  <si>
    <t>Sub-total</t>
  </si>
  <si>
    <t>Providing and laying of hand pack locally available Stone soling with 150 to 200 mm thick stones and packing with smaller stone on prepared surface as per Drawing and Technical Specifications.</t>
  </si>
  <si>
    <t>-Road</t>
  </si>
  <si>
    <t>Providing and laying of Plain/Reinforced Cement Concrete in Foundation complete as per Drawing and Technical Specifications, PCC Grade M 15</t>
  </si>
  <si>
    <t>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t>
  </si>
  <si>
    <t>F.Y.: 2081/2082</t>
  </si>
  <si>
    <t>45m</t>
  </si>
  <si>
    <t>13m</t>
  </si>
  <si>
    <t>ht=3'9"</t>
  </si>
  <si>
    <t>-For wall</t>
  </si>
  <si>
    <t>Providing suitable material and Back filling behind abutment, wing wall and return wall complete as per Drawing and Technical Specifications., locally available material including compaction by tamping rod</t>
  </si>
  <si>
    <t>Providing and laying Plum concrete ( Boulder mixed concrete) including form work and 110mm dia PN6 HDPE pipe for Weep hole as per Drawing and Specifications, 60% M 15  concrete and 40% boulders/stones, using Mechanical Aids</t>
  </si>
  <si>
    <t>Date:2081/10/09</t>
  </si>
  <si>
    <t>Project:-  कुर्थली च्यानेपाखा माझगाउँ जोड्ने सडक</t>
  </si>
  <si>
    <t>Total Valuated</t>
  </si>
  <si>
    <t>Detail Valuated Sheet</t>
  </si>
  <si>
    <t>-for road</t>
  </si>
  <si>
    <t xml:space="preserve">Date:2082/03/13       </t>
  </si>
  <si>
    <t xml:space="preserve">F.Y:2081/82                  </t>
  </si>
  <si>
    <t>Detail Quantity Measurement Sheet</t>
  </si>
  <si>
    <t>Date:2082/03/13</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</si>
</sst>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43" formatCode="_(* #,##0.00_);_(* \(#,##0.00\);_(* &quot;-&quot;??_);_(@_)"/>
    <numFmt numFmtId="164" formatCode="0.0"/>
  </numFmts>
  <fonts count="16" x14ac:knownFonts="1">
    <font>
      <sz val="11"/>
      <color theme="1"/>
      <name val="Calibri"/>
      <family val="2"/>
      <scheme val="minor"/>
    </font>
    <font>
      <sz val="11"/>
      <color theme="1"/>
      <name val="Calibri"/>
      <family val="2"/>
      <scheme val="minor"/>
    </font>
    <font>
      <b/>
      <sz val="11"/>
      <color theme="1"/>
      <name val="Calibri"/>
      <family val="2"/>
      <scheme val="minor"/>
    </font>
    <font>
      <b/>
      <sz val="11"/>
      <color theme="1"/>
      <name val="Times New Roman"/>
      <family val="1"/>
    </font>
    <font>
      <b/>
      <sz val="18"/>
      <color theme="1"/>
      <name val="Times New Roman"/>
      <family val="1"/>
    </font>
    <font>
      <b/>
      <sz val="14"/>
      <color theme="1"/>
      <name val="Times New Roman"/>
      <family val="1"/>
    </font>
    <font>
      <sz val="12"/>
      <color theme="1"/>
      <name val="Times New Roman"/>
      <family val="1"/>
    </font>
    <font>
      <b/>
      <sz val="12"/>
      <color theme="1"/>
      <name val="Times New Roman"/>
      <family val="1"/>
    </font>
    <font>
      <b/>
      <sz val="20"/>
      <color theme="1"/>
      <name val="Times New Roman"/>
      <family val="1"/>
    </font>
    <font>
      <b/>
      <sz val="14"/>
      <color theme="1"/>
      <name val="Calibri"/>
      <family val="2"/>
      <scheme val="minor"/>
    </font>
    <font>
      <sz val="12"/>
      <color theme="1"/>
      <name val="Calibri"/>
      <family val="2"/>
      <scheme val="minor"/>
    </font>
    <font>
      <sz val="14"/>
      <color theme="1"/>
      <name val="Calibri"/>
      <family val="2"/>
      <scheme val="minor"/>
    </font>
    <font>
      <b/>
      <sz val="11"/>
      <name val="Times New Roman"/>
      <family val="1"/>
    </font>
    <font>
      <sz val="11"/>
      <name val="Times New Roman"/>
      <family val="1"/>
    </font>
    <font>
      <sz val="16"/>
      <name val="Preeti"/>
    </font>
    <font>
      <sz val="11"/>
      <color theme="1"/>
      <name val="Times New Roman"/>
      <family val="1"/>
    </font>
  </fonts>
  <fills count="3">
    <fill>
      <patternFill patternType="none"/>
    </fill>
    <fill>
      <patternFill patternType="gray125"/>
    </fill>
    <fill>
      <patternFill patternType="solid">
        <fgColor theme="0" tint="-0.14999847407452621"/>
        <bgColor indexed="64"/>
      </patternFill>
    </fill>
  </fills>
  <borders count="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s>
  <cellStyleXfs count="2">
    <xf numFmtId="0" fontId="0" fillId="0" borderId="0"/>
    <xf numFmtId="43" fontId="1" fillId="0" borderId="0" applyFont="0" applyFill="0" applyBorder="0" applyAlignment="0" applyProtection="0"/>
  </cellStyleXfs>
  <cellXfs count="92">
    <xf numFmtId="0" fontId="0" fillId="0" borderId="0" xfId="0"/>
    <xf numFmtId="0" fontId="0" fillId="0" borderId="0" xfId="0" applyAlignment="1">
      <alignment vertical="center"/>
    </xf>
    <xf numFmtId="0" fontId="7" fillId="0" borderId="0" xfId="0" applyFont="1" applyAlignment="1">
      <alignment horizontal="center"/>
    </xf>
    <xf numFmtId="43" fontId="7" fillId="0" borderId="0" xfId="1" applyFont="1"/>
    <xf numFmtId="0" fontId="7" fillId="0" borderId="1" xfId="0" applyFont="1" applyBorder="1" applyAlignment="1">
      <alignment horizontal="center"/>
    </xf>
    <xf numFmtId="0" fontId="0" fillId="0" borderId="1" xfId="0" applyBorder="1"/>
    <xf numFmtId="0" fontId="2" fillId="0" borderId="1" xfId="0" applyFont="1" applyBorder="1" applyAlignment="1">
      <alignment horizontal="right"/>
    </xf>
    <xf numFmtId="2" fontId="2" fillId="0" borderId="1" xfId="0" applyNumberFormat="1" applyFont="1" applyBorder="1"/>
    <xf numFmtId="0" fontId="10" fillId="0" borderId="0" xfId="0" applyFont="1"/>
    <xf numFmtId="0" fontId="11" fillId="0" borderId="0" xfId="0" applyFont="1" applyAlignment="1">
      <alignment horizontal="center"/>
    </xf>
    <xf numFmtId="0" fontId="0" fillId="0" borderId="0" xfId="0" applyAlignment="1">
      <alignment horizontal="left"/>
    </xf>
    <xf numFmtId="0" fontId="0" fillId="2" borderId="1" xfId="0" applyFill="1" applyBorder="1"/>
    <xf numFmtId="2" fontId="0" fillId="0" borderId="1" xfId="0" applyNumberFormat="1" applyBorder="1" applyAlignment="1">
      <alignment vertical="center"/>
    </xf>
    <xf numFmtId="43" fontId="2" fillId="0" borderId="1" xfId="1" applyFont="1" applyBorder="1"/>
    <xf numFmtId="0" fontId="0" fillId="0" borderId="1" xfId="0" applyBorder="1" applyAlignment="1">
      <alignment vertical="center" wrapText="1"/>
    </xf>
    <xf numFmtId="0" fontId="7" fillId="0" borderId="1" xfId="0" applyFont="1" applyBorder="1" applyAlignment="1">
      <alignment horizontal="center" vertical="top" wrapText="1"/>
    </xf>
    <xf numFmtId="43" fontId="7" fillId="0" borderId="1" xfId="1" applyFont="1" applyBorder="1" applyAlignment="1">
      <alignment horizontal="center"/>
    </xf>
    <xf numFmtId="0" fontId="7" fillId="0" borderId="1" xfId="0" applyFont="1" applyBorder="1" applyAlignment="1">
      <alignment horizontal="center" wrapText="1"/>
    </xf>
    <xf numFmtId="1" fontId="12" fillId="0" borderId="1" xfId="0" applyNumberFormat="1" applyFont="1" applyFill="1" applyBorder="1" applyAlignment="1">
      <alignment vertical="center"/>
    </xf>
    <xf numFmtId="164" fontId="13" fillId="0" borderId="1" xfId="0" applyNumberFormat="1" applyFont="1" applyFill="1" applyBorder="1" applyAlignment="1">
      <alignment vertical="center"/>
    </xf>
    <xf numFmtId="2" fontId="13" fillId="0" borderId="1" xfId="1" applyNumberFormat="1" applyFont="1" applyFill="1" applyBorder="1" applyAlignment="1">
      <alignment vertical="center"/>
    </xf>
    <xf numFmtId="2" fontId="13" fillId="0" borderId="1" xfId="0" applyNumberFormat="1" applyFont="1" applyFill="1" applyBorder="1" applyAlignment="1">
      <alignment vertical="center"/>
    </xf>
    <xf numFmtId="2" fontId="12" fillId="0" borderId="1" xfId="0" applyNumberFormat="1" applyFont="1" applyFill="1" applyBorder="1" applyAlignment="1">
      <alignment vertical="center"/>
    </xf>
    <xf numFmtId="2" fontId="12" fillId="0" borderId="1" xfId="1" applyNumberFormat="1" applyFont="1" applyFill="1" applyBorder="1" applyAlignment="1">
      <alignment vertical="center"/>
    </xf>
    <xf numFmtId="1" fontId="13" fillId="0" borderId="1" xfId="0" applyNumberFormat="1" applyFont="1" applyFill="1" applyBorder="1" applyAlignment="1">
      <alignment horizontal="right" vertical="center" wrapText="1"/>
    </xf>
    <xf numFmtId="0" fontId="14" fillId="0" borderId="0" xfId="0" applyFont="1" applyBorder="1" applyAlignment="1"/>
    <xf numFmtId="0" fontId="0" fillId="0" borderId="0" xfId="0" applyAlignment="1">
      <alignment horizontal="left"/>
    </xf>
    <xf numFmtId="1" fontId="15" fillId="0" borderId="1" xfId="0" applyNumberFormat="1" applyFont="1" applyBorder="1" applyAlignment="1">
      <alignment vertical="center"/>
    </xf>
    <xf numFmtId="43" fontId="2" fillId="0" borderId="1" xfId="1" applyFont="1" applyBorder="1" applyAlignment="1">
      <alignment vertical="center"/>
    </xf>
    <xf numFmtId="0" fontId="15" fillId="0" borderId="1" xfId="0" applyFont="1" applyBorder="1" applyAlignment="1">
      <alignment vertical="center"/>
    </xf>
    <xf numFmtId="1" fontId="13" fillId="0" borderId="1" xfId="0" applyNumberFormat="1" applyFont="1" applyFill="1" applyBorder="1" applyAlignment="1">
      <alignment vertical="center" wrapText="1"/>
    </xf>
    <xf numFmtId="1" fontId="15" fillId="0" borderId="1" xfId="0" applyNumberFormat="1" applyFont="1" applyBorder="1" applyAlignment="1">
      <alignment vertical="center" wrapText="1"/>
    </xf>
    <xf numFmtId="1" fontId="6" fillId="0" borderId="1" xfId="0" applyNumberFormat="1" applyFont="1" applyFill="1" applyBorder="1" applyAlignment="1">
      <alignment horizontal="left" vertical="center" wrapText="1"/>
    </xf>
    <xf numFmtId="2" fontId="3" fillId="0" borderId="1" xfId="0" applyNumberFormat="1" applyFont="1" applyBorder="1" applyAlignment="1"/>
    <xf numFmtId="2" fontId="3" fillId="0" borderId="1" xfId="0" applyNumberFormat="1" applyFont="1" applyBorder="1" applyAlignment="1">
      <alignment vertical="center"/>
    </xf>
    <xf numFmtId="0" fontId="0" fillId="0" borderId="0" xfId="0" applyBorder="1"/>
    <xf numFmtId="0" fontId="15" fillId="0" borderId="1" xfId="0" applyFont="1" applyBorder="1"/>
    <xf numFmtId="0" fontId="15" fillId="0" borderId="1" xfId="0" quotePrefix="1" applyFont="1" applyBorder="1" applyAlignment="1">
      <alignment horizontal="right" wrapText="1"/>
    </xf>
    <xf numFmtId="2" fontId="15" fillId="0" borderId="1" xfId="0" applyNumberFormat="1" applyFont="1" applyBorder="1"/>
    <xf numFmtId="2" fontId="15" fillId="0" borderId="1" xfId="0" applyNumberFormat="1" applyFont="1" applyBorder="1" applyAlignment="1">
      <alignment vertical="center"/>
    </xf>
    <xf numFmtId="0" fontId="3" fillId="0" borderId="1" xfId="0" applyFont="1" applyBorder="1"/>
    <xf numFmtId="2" fontId="3" fillId="0" borderId="1" xfId="0" applyNumberFormat="1" applyFont="1" applyBorder="1"/>
    <xf numFmtId="164" fontId="15" fillId="0" borderId="1" xfId="0" applyNumberFormat="1" applyFont="1" applyBorder="1" applyAlignment="1"/>
    <xf numFmtId="2" fontId="15" fillId="0" borderId="1" xfId="0" applyNumberFormat="1" applyFont="1" applyBorder="1" applyAlignment="1"/>
    <xf numFmtId="2" fontId="3" fillId="0" borderId="1" xfId="1" applyNumberFormat="1" applyFont="1" applyBorder="1" applyAlignment="1"/>
    <xf numFmtId="2" fontId="3" fillId="0" borderId="1" xfId="1" applyNumberFormat="1" applyFont="1" applyBorder="1" applyAlignment="1">
      <alignment vertical="center"/>
    </xf>
    <xf numFmtId="0" fontId="3" fillId="0" borderId="1" xfId="0" applyFont="1" applyBorder="1" applyAlignment="1">
      <alignment horizontal="right" wrapText="1"/>
    </xf>
    <xf numFmtId="164" fontId="15" fillId="0" borderId="1" xfId="0" applyNumberFormat="1" applyFont="1" applyBorder="1"/>
    <xf numFmtId="0" fontId="3" fillId="0" borderId="0" xfId="0" applyFont="1"/>
    <xf numFmtId="0" fontId="15" fillId="0" borderId="0" xfId="0" applyFont="1"/>
    <xf numFmtId="0" fontId="15" fillId="0" borderId="0" xfId="0" applyFont="1" applyAlignment="1">
      <alignment vertical="center"/>
    </xf>
    <xf numFmtId="0" fontId="15" fillId="0" borderId="0" xfId="0" applyFont="1" applyBorder="1" applyAlignment="1">
      <alignment vertical="center"/>
    </xf>
    <xf numFmtId="2" fontId="15" fillId="0" borderId="0" xfId="0" applyNumberFormat="1" applyFont="1" applyBorder="1" applyAlignment="1">
      <alignment vertical="center"/>
    </xf>
    <xf numFmtId="0" fontId="3" fillId="0" borderId="0" xfId="0" applyFont="1" applyBorder="1" applyAlignment="1">
      <alignment horizontal="right" vertical="center"/>
    </xf>
    <xf numFmtId="43" fontId="3" fillId="0" borderId="0" xfId="1" applyFont="1" applyBorder="1" applyAlignment="1">
      <alignment vertical="center"/>
    </xf>
    <xf numFmtId="0" fontId="3" fillId="0" borderId="0" xfId="0" applyFont="1" applyBorder="1" applyAlignment="1">
      <alignment vertical="center"/>
    </xf>
    <xf numFmtId="0" fontId="3" fillId="0" borderId="0" xfId="0" applyFont="1" applyAlignment="1">
      <alignment vertical="center"/>
    </xf>
    <xf numFmtId="0" fontId="15" fillId="0" borderId="0" xfId="0" applyFont="1" applyBorder="1"/>
    <xf numFmtId="0" fontId="3" fillId="0" borderId="0" xfId="0" applyFont="1" applyBorder="1"/>
    <xf numFmtId="2" fontId="15" fillId="0" borderId="0" xfId="0" applyNumberFormat="1" applyFont="1" applyBorder="1"/>
    <xf numFmtId="2" fontId="3" fillId="0" borderId="0" xfId="0" applyNumberFormat="1" applyFont="1" applyBorder="1"/>
    <xf numFmtId="0" fontId="3" fillId="0" borderId="0" xfId="0" applyFont="1" applyBorder="1" applyAlignment="1">
      <alignment horizontal="right" wrapText="1"/>
    </xf>
    <xf numFmtId="164" fontId="15" fillId="0" borderId="0" xfId="0" applyNumberFormat="1" applyFont="1" applyBorder="1"/>
    <xf numFmtId="0" fontId="3" fillId="0" borderId="1" xfId="0" applyFont="1" applyBorder="1" applyAlignment="1">
      <alignment vertical="center"/>
    </xf>
    <xf numFmtId="1" fontId="15" fillId="0" borderId="1" xfId="0" applyNumberFormat="1" applyFont="1" applyBorder="1"/>
    <xf numFmtId="1" fontId="6" fillId="0" borderId="1" xfId="0" applyNumberFormat="1" applyFont="1" applyFill="1" applyBorder="1" applyAlignment="1">
      <alignment horizontal="right" vertical="center" wrapText="1"/>
    </xf>
    <xf numFmtId="0" fontId="6" fillId="0" borderId="2" xfId="0" applyFont="1" applyBorder="1" applyAlignment="1">
      <alignment horizontal="right"/>
    </xf>
    <xf numFmtId="0" fontId="6" fillId="0" borderId="0" xfId="0" applyFont="1" applyAlignment="1">
      <alignment horizontal="right"/>
    </xf>
    <xf numFmtId="0" fontId="6" fillId="0" borderId="0" xfId="0" applyFont="1" applyAlignment="1"/>
    <xf numFmtId="0" fontId="6" fillId="0" borderId="2" xfId="0" applyFont="1" applyBorder="1" applyAlignment="1"/>
    <xf numFmtId="0" fontId="6" fillId="0" borderId="0" xfId="0" applyFont="1" applyAlignment="1">
      <alignment horizontal="left"/>
    </xf>
    <xf numFmtId="0" fontId="6" fillId="0" borderId="0" xfId="0" applyFont="1" applyAlignment="1">
      <alignment horizontal="right"/>
    </xf>
    <xf numFmtId="0" fontId="3" fillId="0" borderId="0" xfId="0" applyFont="1" applyAlignment="1">
      <alignment horizontal="center" vertical="center"/>
    </xf>
    <xf numFmtId="0" fontId="4" fillId="0" borderId="0" xfId="0" applyFont="1" applyAlignment="1">
      <alignment horizontal="center" vertical="center"/>
    </xf>
    <xf numFmtId="0" fontId="2" fillId="0" borderId="0" xfId="0" applyFont="1" applyAlignment="1">
      <alignment horizontal="center" vertical="center"/>
    </xf>
    <xf numFmtId="0" fontId="5" fillId="0" borderId="0" xfId="0" applyFont="1" applyAlignment="1">
      <alignment horizontal="center"/>
    </xf>
    <xf numFmtId="2" fontId="15" fillId="0" borderId="1" xfId="0" applyNumberFormat="1" applyFont="1" applyBorder="1" applyAlignment="1">
      <alignment horizontal="center" vertical="center"/>
    </xf>
    <xf numFmtId="0" fontId="6" fillId="0" borderId="2" xfId="0" applyFont="1" applyBorder="1"/>
    <xf numFmtId="0" fontId="6" fillId="0" borderId="2" xfId="0" applyFont="1" applyBorder="1" applyAlignment="1">
      <alignment horizontal="right"/>
    </xf>
    <xf numFmtId="2" fontId="15" fillId="0" borderId="1" xfId="1" applyNumberFormat="1" applyFont="1" applyBorder="1" applyAlignment="1">
      <alignment horizontal="center" vertical="center"/>
    </xf>
    <xf numFmtId="43" fontId="10" fillId="0" borderId="0" xfId="0" applyNumberFormat="1" applyFont="1" applyAlignment="1">
      <alignment horizontal="center"/>
    </xf>
    <xf numFmtId="0" fontId="10" fillId="0" borderId="0" xfId="0" applyFont="1" applyAlignment="1">
      <alignment horizontal="center"/>
    </xf>
    <xf numFmtId="0" fontId="3" fillId="0" borderId="0" xfId="0" applyFont="1" applyAlignment="1">
      <alignment horizontal="center"/>
    </xf>
    <xf numFmtId="0" fontId="8" fillId="0" borderId="0" xfId="0" applyFont="1" applyAlignment="1">
      <alignment horizontal="center"/>
    </xf>
    <xf numFmtId="0" fontId="9" fillId="0" borderId="0" xfId="0" applyFont="1" applyAlignment="1">
      <alignment horizont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0" fillId="0" borderId="0" xfId="0" applyAlignment="1">
      <alignment horizontal="center"/>
    </xf>
    <xf numFmtId="0" fontId="0" fillId="0" borderId="0" xfId="0" applyAlignment="1">
      <alignment horizontal="right" vertical="center"/>
    </xf>
    <xf numFmtId="0" fontId="0" fillId="0" borderId="0" xfId="0" applyAlignment="1">
      <alignment horizontal="right"/>
    </xf>
    <xf numFmtId="0" fontId="0" fillId="0" borderId="0" xfId="0" applyAlignment="1">
      <alignment horizontal="left"/>
    </xf>
    <xf numFmtId="0" fontId="0" fillId="2" borderId="1" xfId="0" applyFill="1" applyBorder="1" applyAlignment="1">
      <alignment horizontal="center"/>
    </xf>
  </cellXfs>
  <cellStyles count="2">
    <cellStyle name="Comma" xfId="1" builtinId="3"/>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4.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3.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externalLink" Target="externalLinks/externalLink2.xml"/><Relationship Id="rId11" Type="http://schemas.openxmlformats.org/officeDocument/2006/relationships/styles" Target="styles.xml"/><Relationship Id="rId5" Type="http://schemas.openxmlformats.org/officeDocument/2006/relationships/externalLink" Target="externalLinks/externalLink1.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5.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H:\079-080\Rate%20Analysis\Road-rate-analysis-079-80-shankharapur-as-per-dor-norms-nnnn.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C:\Users\Dell\Desktop\Ward%209\RATE%20ANALYSIS\Road-rate-analysis-078-79-shankharapur.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H:\081_082\ofc\ofc\For-all-Road-rate-analysis-81-82-shankharapur-as-per-dor-norms.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081-082/ofc/For-all-Road-rate-analysis-81-82-shankharapur-as-per-dor-norms.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081-082/ofc/Rate%20analysis/For-all-Road-rate-analysis-81-82-shankharapur-as-per-dor-norm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16">
          <cell r="B16" t="str">
            <v>Clearing and Grubbing Road Land ., Clearing and grubbing road land including uprooting rank vegetation, grass, bushes, shrubs, saplings and trees girth up to 300 mm, removal of stumps of trees cut earlier and disposal of unserviceable materials and stacking of serviceable Material to be used or auctioned, up to a lead of 30 meters including removal and disposal of top organic soil not exceeding 150 mm in thickness., By Mechanical Means, In area of light jungle (less than 15 number per 100 sqm )</v>
          </cell>
        </row>
        <row r="22">
          <cell r="B22" t="str">
            <v>Providing and Laying Reinforced cement concrete NP3 Flush jointed pipe for culverts including fixing with cement mortar 1:2 as per Drawing and Technical Specifications., 450 mm  internal dia.</v>
          </cell>
        </row>
        <row r="23">
          <cell r="B23" t="str">
            <v>Providing and Laying Reinforced cement concrete NP3 Flush jointed pipe for culverts including fixing with cement mortar 1:2 as per Drawing and Technical Specifications., 600 mm  internal dia.</v>
          </cell>
        </row>
        <row r="34">
          <cell r="B34" t="str">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ell>
        </row>
        <row r="169">
          <cell r="B169" t="str">
            <v>Providing and laying of Plain/Reinforced Cement Concrete in Foundation complete as per Drawing and Technical Specifications, PCC Grade M 15</v>
          </cell>
        </row>
        <row r="171">
          <cell r="B171" t="str">
            <v>Providing and laying of Plain/Reinforced Cement Concrete in Foundation complete as per Drawing and Technical Specifications, PCC Grade M 20</v>
          </cell>
        </row>
        <row r="278">
          <cell r="B278" t="str">
            <v>Providing and laying Brick Masonry Work in Cement mortar  in Foundation / structure complete excluding Pointing and Plastering, as per Drawing and Technical Specifications., Cement sand mortar (1:6)</v>
          </cell>
        </row>
        <row r="301">
          <cell r="B301" t="str">
            <v>Random Rubble Masonry, Providing and laying of Stone Masonry Work in Cement Mortar 1:6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33">
          <cell r="B33" t="str">
            <v>Earthwork Excavation in Cutting., Roadway Excavation in all types of Soil by Manual Means ., Roadway Excavation in all types of soil as per drawing and technical specification, including removal of stumps and other deleterious matter, with all lifts and lead as per Drawing and instruction of the Engineer.</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efreshError="1">
        <row r="60">
          <cell r="B60" t="str">
            <v>Providing and laying of hand pack Stone soling with 150 to 200 mm thick stones and packing with smaller stone on prepared surface as per Drawing and Technical Specifications.</v>
          </cell>
        </row>
        <row r="172">
          <cell r="B172" t="str">
            <v>Providing and laying of Plain/Reinforced Cement Concrete in Foundation complete as per Drawing and Technical Specifications., RCC Grade M 20</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sheetData sheetId="1">
        <row r="61">
          <cell r="B61" t="str">
            <v>Providing and laying  granular sub-base   on prepared surface, mixing  at OMC, and compacting  to achieve the desired density, complete as per Drawing and Technical Specifications., By Mechanical means</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Set>
  </externalBook>
</externalLink>
</file>

<file path=xl/externalLinks/externalLink5.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atasheet"/>
      <sheetName val="Abstract"/>
      <sheetName val="Quantity_Sheet"/>
      <sheetName val="District_Rate"/>
      <sheetName val="Equipment_Rate"/>
      <sheetName val="Summary_of_Rates"/>
      <sheetName val="rate (roadway)"/>
      <sheetName val="manhole"/>
      <sheetName val="bistar"/>
      <sheetName val="Rate_Analysis"/>
      <sheetName val="DWC pipe Rate-analysis"/>
      <sheetName val="Sheet1"/>
      <sheetName val="Sheet2"/>
      <sheetName val="Sheet3"/>
      <sheetName val="Sheet4"/>
      <sheetName val="Loading_Unloading"/>
      <sheetName val="Collection"/>
      <sheetName val="Transportation"/>
      <sheetName val="References"/>
      <sheetName val="BOQ"/>
      <sheetName val="PPMO_BOQ"/>
    </sheetNames>
    <sheetDataSet>
      <sheetData sheetId="0" refreshError="1"/>
      <sheetData sheetId="1">
        <row r="299">
          <cell r="B299" t="str">
            <v>Random Rubble Masonry, Providing and laying of Stone Masonry Work in Cement Mortar 1:4 in Foundation complete as per Drawing and Technical Specifications.</v>
          </cell>
        </row>
      </sheetData>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efreshError="1"/>
      <sheetData sheetId="13" refreshError="1"/>
      <sheetData sheetId="14" refreshError="1"/>
      <sheetData sheetId="15" refreshError="1"/>
      <sheetData sheetId="16" refreshError="1"/>
      <sheetData sheetId="17" refreshError="1"/>
      <sheetData sheetId="18" refreshError="1"/>
      <sheetData sheetId="19" refreshError="1"/>
      <sheetData sheetId="2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99"/>
  <sheetViews>
    <sheetView topLeftCell="A7" zoomScaleNormal="100" workbookViewId="0">
      <selection activeCell="J31" sqref="J31"/>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9" s="1" customFormat="1" x14ac:dyDescent="0.25">
      <c r="A1" s="72" t="s">
        <v>0</v>
      </c>
      <c r="B1" s="72"/>
      <c r="C1" s="72"/>
      <c r="D1" s="72"/>
      <c r="E1" s="72"/>
      <c r="F1" s="72"/>
      <c r="G1" s="72"/>
      <c r="H1" s="72"/>
      <c r="I1" s="72"/>
      <c r="J1" s="72"/>
      <c r="K1" s="72"/>
    </row>
    <row r="2" spans="1:19" s="1" customFormat="1" ht="22.5" x14ac:dyDescent="0.25">
      <c r="A2" s="73" t="s">
        <v>1</v>
      </c>
      <c r="B2" s="73"/>
      <c r="C2" s="73"/>
      <c r="D2" s="73"/>
      <c r="E2" s="73"/>
      <c r="F2" s="73"/>
      <c r="G2" s="73"/>
      <c r="H2" s="73"/>
      <c r="I2" s="73"/>
      <c r="J2" s="73"/>
      <c r="K2" s="73"/>
    </row>
    <row r="3" spans="1:19" s="1" customFormat="1" x14ac:dyDescent="0.25">
      <c r="A3" s="74" t="s">
        <v>2</v>
      </c>
      <c r="B3" s="74"/>
      <c r="C3" s="74"/>
      <c r="D3" s="74"/>
      <c r="E3" s="74"/>
      <c r="F3" s="74"/>
      <c r="G3" s="74"/>
      <c r="H3" s="74"/>
      <c r="I3" s="74"/>
      <c r="J3" s="74"/>
      <c r="K3" s="74"/>
    </row>
    <row r="4" spans="1:19" s="1" customFormat="1" x14ac:dyDescent="0.25">
      <c r="A4" s="74" t="s">
        <v>3</v>
      </c>
      <c r="B4" s="74"/>
      <c r="C4" s="74"/>
      <c r="D4" s="74"/>
      <c r="E4" s="74"/>
      <c r="F4" s="74"/>
      <c r="G4" s="74"/>
      <c r="H4" s="74"/>
      <c r="I4" s="74"/>
      <c r="J4" s="74"/>
      <c r="K4" s="74"/>
    </row>
    <row r="5" spans="1:19" ht="18.75" x14ac:dyDescent="0.3">
      <c r="A5" s="75" t="s">
        <v>4</v>
      </c>
      <c r="B5" s="75"/>
      <c r="C5" s="75"/>
      <c r="D5" s="75"/>
      <c r="E5" s="75"/>
      <c r="F5" s="75"/>
      <c r="G5" s="75"/>
      <c r="H5" s="75"/>
      <c r="I5" s="75"/>
      <c r="J5" s="75"/>
      <c r="K5" s="75"/>
    </row>
    <row r="6" spans="1:19" ht="15.75" x14ac:dyDescent="0.25">
      <c r="A6" s="70" t="s">
        <v>53</v>
      </c>
      <c r="B6" s="70"/>
      <c r="C6" s="70"/>
      <c r="D6" s="70"/>
      <c r="E6" s="70"/>
      <c r="F6" s="70"/>
      <c r="G6" s="2"/>
      <c r="H6" s="71" t="s">
        <v>45</v>
      </c>
      <c r="I6" s="71"/>
      <c r="J6" s="71"/>
      <c r="K6" s="71"/>
    </row>
    <row r="7" spans="1:19" ht="15.75" x14ac:dyDescent="0.25">
      <c r="A7" s="77" t="s">
        <v>28</v>
      </c>
      <c r="B7" s="77"/>
      <c r="C7" s="77"/>
      <c r="D7" s="77"/>
      <c r="E7" s="77"/>
      <c r="F7" s="77"/>
      <c r="G7" s="3"/>
      <c r="H7" s="78" t="s">
        <v>52</v>
      </c>
      <c r="I7" s="78"/>
      <c r="J7" s="78"/>
      <c r="K7" s="78"/>
    </row>
    <row r="8" spans="1:19" ht="15" customHeight="1" x14ac:dyDescent="0.25">
      <c r="A8" s="4" t="s">
        <v>5</v>
      </c>
      <c r="B8" s="15" t="s">
        <v>6</v>
      </c>
      <c r="C8" s="4" t="s">
        <v>7</v>
      </c>
      <c r="D8" s="16" t="s">
        <v>8</v>
      </c>
      <c r="E8" s="16" t="s">
        <v>9</v>
      </c>
      <c r="F8" s="16" t="s">
        <v>10</v>
      </c>
      <c r="G8" s="16" t="s">
        <v>11</v>
      </c>
      <c r="H8" s="4" t="s">
        <v>12</v>
      </c>
      <c r="I8" s="16" t="s">
        <v>13</v>
      </c>
      <c r="J8" s="16" t="s">
        <v>14</v>
      </c>
      <c r="K8" s="17" t="s">
        <v>15</v>
      </c>
      <c r="N8" t="s">
        <v>46</v>
      </c>
    </row>
    <row r="9" spans="1:19" ht="150" x14ac:dyDescent="0.25">
      <c r="A9" s="63">
        <v>1</v>
      </c>
      <c r="B9" s="30" t="s">
        <v>44</v>
      </c>
      <c r="C9" s="36"/>
      <c r="D9" s="36"/>
      <c r="E9" s="36"/>
      <c r="F9" s="36"/>
      <c r="G9" s="36"/>
      <c r="H9" s="36"/>
      <c r="I9" s="36"/>
      <c r="J9" s="36"/>
      <c r="K9" s="36"/>
      <c r="N9" t="s">
        <v>47</v>
      </c>
      <c r="O9" t="s">
        <v>48</v>
      </c>
    </row>
    <row r="10" spans="1:19" ht="15" customHeight="1" x14ac:dyDescent="0.25">
      <c r="A10" s="18"/>
      <c r="B10" s="37" t="s">
        <v>49</v>
      </c>
      <c r="C10" s="64">
        <v>0.5</v>
      </c>
      <c r="D10" s="38">
        <f>D19</f>
        <v>5.6</v>
      </c>
      <c r="E10" s="38">
        <f>E19</f>
        <v>1.875</v>
      </c>
      <c r="F10" s="38">
        <f>3.5</f>
        <v>3.5</v>
      </c>
      <c r="G10" s="39">
        <f>PRODUCT(C10:F10)</f>
        <v>18.375</v>
      </c>
      <c r="H10" s="40"/>
      <c r="I10" s="40"/>
      <c r="J10" s="40"/>
      <c r="K10" s="21"/>
      <c r="M10" s="25"/>
      <c r="N10" s="1"/>
      <c r="O10" s="1"/>
      <c r="P10" s="1"/>
      <c r="Q10" s="1"/>
      <c r="R10" s="25"/>
      <c r="S10" s="25"/>
    </row>
    <row r="11" spans="1:19" ht="15" customHeight="1" x14ac:dyDescent="0.25">
      <c r="A11" s="18"/>
      <c r="B11" s="37" t="s">
        <v>40</v>
      </c>
      <c r="C11" s="19"/>
      <c r="D11" s="20"/>
      <c r="E11" s="21"/>
      <c r="F11" s="21"/>
      <c r="G11" s="23">
        <f>SUM(G10:G10)</f>
        <v>18.375</v>
      </c>
      <c r="H11" s="22" t="s">
        <v>39</v>
      </c>
      <c r="I11" s="23">
        <v>64.63</v>
      </c>
      <c r="J11" s="41">
        <f>G11*I11</f>
        <v>1187.5762499999998</v>
      </c>
      <c r="K11" s="21"/>
      <c r="M11" s="25"/>
      <c r="N11" s="1"/>
      <c r="O11" s="1"/>
      <c r="P11" s="1"/>
      <c r="Q11" s="1"/>
      <c r="R11" s="25"/>
      <c r="S11" s="25"/>
    </row>
    <row r="12" spans="1:19" ht="15" customHeight="1" x14ac:dyDescent="0.25">
      <c r="A12" s="18"/>
      <c r="B12" s="37" t="s">
        <v>38</v>
      </c>
      <c r="C12" s="19"/>
      <c r="D12" s="20"/>
      <c r="E12" s="21"/>
      <c r="F12" s="21"/>
      <c r="G12" s="23"/>
      <c r="H12" s="22"/>
      <c r="I12" s="23"/>
      <c r="J12" s="41">
        <f>0.13*G11*19284/360</f>
        <v>127.957375</v>
      </c>
      <c r="K12" s="21"/>
      <c r="M12" s="25"/>
      <c r="N12" s="1"/>
      <c r="O12" s="1"/>
      <c r="P12" s="1"/>
      <c r="Q12" s="1"/>
      <c r="R12" s="25"/>
      <c r="S12" s="25"/>
    </row>
    <row r="13" spans="1:19" ht="15" customHeight="1" x14ac:dyDescent="0.25">
      <c r="A13" s="18"/>
      <c r="B13" s="37"/>
      <c r="C13" s="19"/>
      <c r="D13" s="20"/>
      <c r="E13" s="21"/>
      <c r="F13" s="21"/>
      <c r="G13" s="23"/>
      <c r="H13" s="22"/>
      <c r="I13" s="23"/>
      <c r="J13" s="41"/>
      <c r="K13" s="21"/>
      <c r="M13" s="25"/>
      <c r="N13" s="1"/>
      <c r="O13" s="1"/>
      <c r="P13" s="1"/>
      <c r="Q13" s="1"/>
      <c r="R13" s="25"/>
      <c r="S13" s="25"/>
    </row>
    <row r="14" spans="1:19" ht="105" x14ac:dyDescent="0.25">
      <c r="A14" s="18">
        <v>2</v>
      </c>
      <c r="B14" s="30" t="s">
        <v>50</v>
      </c>
      <c r="C14" s="19"/>
      <c r="D14" s="20"/>
      <c r="E14" s="21"/>
      <c r="F14" s="21"/>
      <c r="G14" s="23"/>
      <c r="H14" s="22"/>
      <c r="I14" s="23"/>
      <c r="J14" s="41"/>
      <c r="K14" s="21"/>
      <c r="M14" s="25"/>
      <c r="N14" s="1"/>
      <c r="O14" s="1"/>
      <c r="P14" s="1"/>
      <c r="Q14" s="1"/>
      <c r="R14" s="25"/>
      <c r="S14" s="25"/>
    </row>
    <row r="15" spans="1:19" ht="15" customHeight="1" x14ac:dyDescent="0.25">
      <c r="A15" s="18"/>
      <c r="B15" s="37" t="s">
        <v>42</v>
      </c>
      <c r="C15" s="64">
        <v>0.5</v>
      </c>
      <c r="D15" s="38">
        <f>D19</f>
        <v>5.6</v>
      </c>
      <c r="E15" s="38">
        <f>0.75*E19</f>
        <v>1.40625</v>
      </c>
      <c r="F15" s="38">
        <f>F10/2</f>
        <v>1.75</v>
      </c>
      <c r="G15" s="39">
        <f>PRODUCT(C15:F15)</f>
        <v>6.8906249999999991</v>
      </c>
      <c r="H15" s="40"/>
      <c r="I15" s="40"/>
      <c r="J15" s="40"/>
      <c r="K15" s="21"/>
      <c r="M15" s="25"/>
      <c r="N15" s="1"/>
      <c r="O15" s="1"/>
      <c r="P15" s="1"/>
      <c r="Q15" s="1"/>
      <c r="R15" s="25"/>
      <c r="S15" s="25"/>
    </row>
    <row r="16" spans="1:19" ht="15" customHeight="1" x14ac:dyDescent="0.25">
      <c r="A16" s="18"/>
      <c r="B16" s="37" t="s">
        <v>40</v>
      </c>
      <c r="C16" s="19"/>
      <c r="D16" s="20"/>
      <c r="E16" s="21"/>
      <c r="F16" s="21"/>
      <c r="G16" s="23">
        <f>SUM(G15:G15)</f>
        <v>6.8906249999999991</v>
      </c>
      <c r="H16" s="22" t="s">
        <v>39</v>
      </c>
      <c r="I16" s="23">
        <v>404.28</v>
      </c>
      <c r="J16" s="41">
        <f>G16*I16</f>
        <v>2785.7418749999993</v>
      </c>
      <c r="K16" s="21"/>
      <c r="M16" s="25"/>
      <c r="N16" s="1"/>
      <c r="O16" s="1"/>
      <c r="P16" s="1"/>
      <c r="Q16" s="1"/>
      <c r="R16" s="25"/>
      <c r="S16" s="25"/>
    </row>
    <row r="17" spans="1:19" ht="15" customHeight="1" x14ac:dyDescent="0.25">
      <c r="A17" s="18"/>
      <c r="B17" s="37"/>
      <c r="C17" s="19"/>
      <c r="D17" s="20"/>
      <c r="E17" s="21"/>
      <c r="F17" s="21"/>
      <c r="G17" s="23"/>
      <c r="H17" s="22"/>
      <c r="I17" s="23"/>
      <c r="J17" s="41"/>
      <c r="K17" s="21"/>
      <c r="M17" s="25"/>
      <c r="N17" s="1"/>
      <c r="O17" s="1"/>
      <c r="P17" s="1"/>
      <c r="Q17" s="1"/>
      <c r="R17" s="25"/>
      <c r="S17" s="25"/>
    </row>
    <row r="18" spans="1:19" ht="90" x14ac:dyDescent="0.25">
      <c r="A18" s="18">
        <v>3</v>
      </c>
      <c r="B18" s="30" t="s">
        <v>41</v>
      </c>
      <c r="C18" s="19"/>
      <c r="D18" s="20"/>
      <c r="E18" s="21"/>
      <c r="F18" s="21"/>
      <c r="G18" s="23"/>
      <c r="H18" s="22"/>
      <c r="I18" s="23"/>
      <c r="J18" s="41"/>
      <c r="K18" s="21"/>
      <c r="M18" s="25"/>
      <c r="N18" s="1"/>
      <c r="O18" s="1"/>
      <c r="P18" s="1"/>
      <c r="Q18" s="1"/>
      <c r="R18" s="25"/>
      <c r="S18" s="25"/>
    </row>
    <row r="19" spans="1:19" ht="15" customHeight="1" x14ac:dyDescent="0.25">
      <c r="A19" s="18"/>
      <c r="B19" s="37" t="str">
        <f>B15</f>
        <v>-Road</v>
      </c>
      <c r="C19" s="36">
        <v>1</v>
      </c>
      <c r="D19" s="38">
        <f>D24</f>
        <v>5.6</v>
      </c>
      <c r="E19" s="38">
        <f>E24</f>
        <v>1.875</v>
      </c>
      <c r="F19" s="38">
        <v>0.15</v>
      </c>
      <c r="G19" s="39">
        <f>PRODUCT(C19:F19)</f>
        <v>1.575</v>
      </c>
      <c r="H19" s="40"/>
      <c r="I19" s="40"/>
      <c r="J19" s="40"/>
      <c r="K19" s="21"/>
      <c r="M19" s="25"/>
      <c r="N19" s="1"/>
      <c r="O19" s="1"/>
      <c r="P19" s="1"/>
      <c r="Q19" s="1"/>
      <c r="R19" s="25"/>
      <c r="S19" s="25"/>
    </row>
    <row r="20" spans="1:19" ht="15" customHeight="1" x14ac:dyDescent="0.25">
      <c r="A20" s="40"/>
      <c r="B20" s="37" t="s">
        <v>40</v>
      </c>
      <c r="C20" s="42"/>
      <c r="D20" s="43"/>
      <c r="E20" s="43"/>
      <c r="F20" s="43"/>
      <c r="G20" s="33">
        <f>SUM(G19:G19)</f>
        <v>1.575</v>
      </c>
      <c r="H20" s="33" t="s">
        <v>39</v>
      </c>
      <c r="I20" s="33">
        <v>4434.5200000000004</v>
      </c>
      <c r="J20" s="44">
        <f>G20*I20</f>
        <v>6984.3690000000006</v>
      </c>
      <c r="K20" s="36"/>
    </row>
    <row r="21" spans="1:19" x14ac:dyDescent="0.25">
      <c r="A21" s="40"/>
      <c r="B21" s="37" t="s">
        <v>38</v>
      </c>
      <c r="C21" s="42"/>
      <c r="D21" s="43"/>
      <c r="E21" s="43"/>
      <c r="F21" s="43"/>
      <c r="G21" s="43"/>
      <c r="H21" s="43"/>
      <c r="I21" s="43"/>
      <c r="J21" s="45">
        <f>0.13*G20*(14817.6/5)</f>
        <v>606.78071999999997</v>
      </c>
      <c r="K21" s="36"/>
    </row>
    <row r="22" spans="1:19" x14ac:dyDescent="0.25">
      <c r="A22" s="40"/>
      <c r="B22" s="37"/>
      <c r="C22" s="42"/>
      <c r="D22" s="43"/>
      <c r="E22" s="43"/>
      <c r="F22" s="43"/>
      <c r="G22" s="43"/>
      <c r="H22" s="43"/>
      <c r="I22" s="43"/>
      <c r="J22" s="45"/>
      <c r="K22" s="36"/>
    </row>
    <row r="23" spans="1:19" ht="75" x14ac:dyDescent="0.25">
      <c r="A23" s="18">
        <v>4</v>
      </c>
      <c r="B23" s="30" t="s">
        <v>43</v>
      </c>
      <c r="C23" s="19"/>
      <c r="D23" s="20"/>
      <c r="E23" s="21"/>
      <c r="F23" s="21"/>
      <c r="G23" s="23"/>
      <c r="H23" s="22"/>
      <c r="I23" s="23"/>
      <c r="J23" s="41"/>
      <c r="K23" s="21"/>
      <c r="M23" s="25"/>
      <c r="N23" s="1"/>
      <c r="O23" s="1"/>
      <c r="P23" s="1"/>
      <c r="Q23" s="1"/>
      <c r="R23" s="25"/>
      <c r="S23" s="25"/>
    </row>
    <row r="24" spans="1:19" ht="15" customHeight="1" x14ac:dyDescent="0.25">
      <c r="A24" s="18"/>
      <c r="B24" s="37" t="str">
        <f>B10</f>
        <v>-For wall</v>
      </c>
      <c r="C24" s="36">
        <v>1</v>
      </c>
      <c r="D24" s="38">
        <f>D29</f>
        <v>5.6</v>
      </c>
      <c r="E24" s="38">
        <f>F29/2</f>
        <v>1.875</v>
      </c>
      <c r="F24" s="38">
        <v>7.4999999999999997E-2</v>
      </c>
      <c r="G24" s="39">
        <f>PRODUCT(C24:F24)</f>
        <v>0.78749999999999998</v>
      </c>
      <c r="H24" s="40"/>
      <c r="I24" s="40"/>
      <c r="J24" s="40"/>
      <c r="K24" s="21"/>
      <c r="M24" s="25"/>
      <c r="N24" s="1"/>
      <c r="O24" s="1"/>
      <c r="P24" s="1"/>
      <c r="Q24" s="1"/>
      <c r="R24" s="25"/>
      <c r="S24" s="25"/>
    </row>
    <row r="25" spans="1:19" ht="15" customHeight="1" x14ac:dyDescent="0.25">
      <c r="A25" s="40"/>
      <c r="B25" s="37" t="s">
        <v>40</v>
      </c>
      <c r="C25" s="42"/>
      <c r="D25" s="43"/>
      <c r="E25" s="43"/>
      <c r="F25" s="43"/>
      <c r="G25" s="33">
        <f>SUM(G24:G24)</f>
        <v>0.78749999999999998</v>
      </c>
      <c r="H25" s="33" t="s">
        <v>39</v>
      </c>
      <c r="I25" s="33">
        <v>10634.5</v>
      </c>
      <c r="J25" s="44">
        <f>G25*I25</f>
        <v>8374.6687499999989</v>
      </c>
      <c r="K25" s="36"/>
    </row>
    <row r="26" spans="1:19" ht="15" customHeight="1" x14ac:dyDescent="0.25">
      <c r="A26" s="40"/>
      <c r="B26" s="37" t="s">
        <v>38</v>
      </c>
      <c r="C26" s="42"/>
      <c r="D26" s="43"/>
      <c r="E26" s="43"/>
      <c r="F26" s="43"/>
      <c r="G26" s="43"/>
      <c r="H26" s="43"/>
      <c r="I26" s="43"/>
      <c r="J26" s="45">
        <f>0.13*G25*((114907.3+6135.3)/15)</f>
        <v>826.11574499999995</v>
      </c>
      <c r="K26" s="36"/>
    </row>
    <row r="27" spans="1:19" ht="15" customHeight="1" x14ac:dyDescent="0.25">
      <c r="A27" s="40"/>
      <c r="B27" s="37"/>
      <c r="C27" s="42"/>
      <c r="D27" s="43"/>
      <c r="E27" s="43"/>
      <c r="F27" s="43"/>
      <c r="G27" s="43"/>
      <c r="H27" s="43"/>
      <c r="I27" s="43"/>
      <c r="J27" s="45"/>
      <c r="K27" s="36"/>
    </row>
    <row r="28" spans="1:19" ht="135" x14ac:dyDescent="0.25">
      <c r="A28" s="18">
        <v>5</v>
      </c>
      <c r="B28" s="30" t="s">
        <v>51</v>
      </c>
      <c r="C28" s="19"/>
      <c r="D28" s="20"/>
      <c r="E28" s="21"/>
      <c r="F28" s="21"/>
      <c r="G28" s="23"/>
      <c r="H28" s="22"/>
      <c r="I28" s="23"/>
      <c r="J28" s="41"/>
      <c r="K28" s="21"/>
      <c r="M28" s="25"/>
      <c r="N28" s="1"/>
      <c r="O28" s="1"/>
      <c r="P28" s="1"/>
      <c r="Q28" s="1"/>
      <c r="R28" s="25"/>
      <c r="S28" s="25"/>
    </row>
    <row r="29" spans="1:19" ht="15" customHeight="1" x14ac:dyDescent="0.25">
      <c r="A29" s="18"/>
      <c r="B29" s="37" t="s">
        <v>49</v>
      </c>
      <c r="C29" s="36">
        <v>1</v>
      </c>
      <c r="D29" s="38">
        <v>5.6</v>
      </c>
      <c r="E29" s="38">
        <f>((F29/2+0.5)/2)</f>
        <v>1.1875</v>
      </c>
      <c r="F29" s="38">
        <v>3.75</v>
      </c>
      <c r="G29" s="39">
        <f>PRODUCT(C29:F29)</f>
        <v>24.937499999999996</v>
      </c>
      <c r="H29" s="40"/>
      <c r="I29" s="40"/>
      <c r="J29" s="40"/>
      <c r="K29" s="21"/>
      <c r="M29" s="25"/>
      <c r="N29" s="1"/>
      <c r="O29" s="1"/>
      <c r="P29" s="1"/>
      <c r="Q29" s="1"/>
      <c r="R29" s="25"/>
      <c r="S29" s="25"/>
    </row>
    <row r="30" spans="1:19" ht="15" customHeight="1" x14ac:dyDescent="0.25">
      <c r="A30" s="40"/>
      <c r="B30" s="37" t="s">
        <v>40</v>
      </c>
      <c r="C30" s="42"/>
      <c r="D30" s="43"/>
      <c r="E30" s="43"/>
      <c r="F30" s="43"/>
      <c r="G30" s="33">
        <f>SUM(G29:G29)</f>
        <v>24.937499999999996</v>
      </c>
      <c r="H30" s="33" t="s">
        <v>39</v>
      </c>
      <c r="I30" s="33">
        <v>9623.4699999999993</v>
      </c>
      <c r="J30" s="44">
        <f>G30*I30</f>
        <v>239985.28312499996</v>
      </c>
      <c r="K30" s="36"/>
    </row>
    <row r="31" spans="1:19" ht="15" customHeight="1" x14ac:dyDescent="0.25">
      <c r="A31" s="40"/>
      <c r="B31" s="37" t="s">
        <v>38</v>
      </c>
      <c r="C31" s="42"/>
      <c r="D31" s="43"/>
      <c r="E31" s="43"/>
      <c r="F31" s="43"/>
      <c r="G31" s="43"/>
      <c r="H31" s="43"/>
      <c r="I31" s="43"/>
      <c r="J31" s="45">
        <f>0.13*G30*((59609.3+3478.36)/10)</f>
        <v>20452.230776250002</v>
      </c>
      <c r="K31" s="36"/>
    </row>
    <row r="32" spans="1:19" ht="15" customHeight="1" x14ac:dyDescent="0.25">
      <c r="A32" s="40"/>
      <c r="B32" s="37"/>
      <c r="C32" s="42"/>
      <c r="D32" s="43"/>
      <c r="E32" s="43"/>
      <c r="F32" s="43"/>
      <c r="G32" s="43"/>
      <c r="H32" s="43"/>
      <c r="I32" s="43"/>
      <c r="J32" s="45"/>
      <c r="K32" s="36"/>
    </row>
    <row r="33" spans="1:19" ht="15" customHeight="1" x14ac:dyDescent="0.25">
      <c r="A33" s="18">
        <v>6</v>
      </c>
      <c r="B33" s="30" t="s">
        <v>30</v>
      </c>
      <c r="C33" s="19">
        <v>1</v>
      </c>
      <c r="D33" s="20"/>
      <c r="E33" s="21"/>
      <c r="F33" s="21"/>
      <c r="G33" s="34">
        <f t="shared" ref="G33" si="0">PRODUCT(C33:F33)</f>
        <v>1</v>
      </c>
      <c r="H33" s="22" t="s">
        <v>31</v>
      </c>
      <c r="I33" s="23">
        <v>500</v>
      </c>
      <c r="J33" s="34">
        <f>G33*I33</f>
        <v>500</v>
      </c>
      <c r="K33" s="21"/>
      <c r="M33" s="25"/>
    </row>
    <row r="34" spans="1:19" ht="15" customHeight="1" x14ac:dyDescent="0.25">
      <c r="A34" s="18"/>
      <c r="B34" s="24"/>
      <c r="C34" s="19"/>
      <c r="D34" s="20"/>
      <c r="E34" s="21"/>
      <c r="F34" s="21"/>
      <c r="G34" s="23"/>
      <c r="H34" s="22"/>
      <c r="I34" s="23"/>
      <c r="J34" s="41"/>
      <c r="K34" s="21"/>
      <c r="M34" s="25"/>
      <c r="N34" s="1"/>
      <c r="O34" s="1"/>
      <c r="P34" s="1"/>
      <c r="Q34" s="1"/>
      <c r="R34" s="25"/>
      <c r="S34" s="25"/>
    </row>
    <row r="35" spans="1:19" x14ac:dyDescent="0.25">
      <c r="A35" s="40"/>
      <c r="B35" s="46" t="s">
        <v>17</v>
      </c>
      <c r="C35" s="47"/>
      <c r="D35" s="38"/>
      <c r="E35" s="38"/>
      <c r="F35" s="38"/>
      <c r="G35" s="41"/>
      <c r="H35" s="41"/>
      <c r="I35" s="41"/>
      <c r="J35" s="41">
        <f>SUM(J10:J33)</f>
        <v>281830.72361624998</v>
      </c>
      <c r="K35" s="36"/>
    </row>
    <row r="36" spans="1:19" x14ac:dyDescent="0.25">
      <c r="A36" s="58"/>
      <c r="B36" s="61"/>
      <c r="C36" s="62"/>
      <c r="D36" s="59"/>
      <c r="E36" s="59"/>
      <c r="F36" s="59"/>
      <c r="G36" s="60"/>
      <c r="H36" s="60"/>
      <c r="I36" s="60"/>
      <c r="J36" s="60"/>
      <c r="K36" s="57"/>
    </row>
    <row r="37" spans="1:19" s="1" customFormat="1" x14ac:dyDescent="0.25">
      <c r="A37" s="50"/>
      <c r="B37" s="29" t="s">
        <v>27</v>
      </c>
      <c r="C37" s="76">
        <f>J35</f>
        <v>281830.72361624998</v>
      </c>
      <c r="D37" s="76"/>
      <c r="E37" s="39">
        <v>100</v>
      </c>
      <c r="F37" s="51"/>
      <c r="G37" s="52"/>
      <c r="H37" s="51"/>
      <c r="I37" s="53"/>
      <c r="J37" s="54"/>
      <c r="K37" s="55"/>
    </row>
    <row r="38" spans="1:19" x14ac:dyDescent="0.25">
      <c r="A38" s="56"/>
      <c r="B38" s="29" t="s">
        <v>32</v>
      </c>
      <c r="C38" s="79">
        <v>250000</v>
      </c>
      <c r="D38" s="79"/>
      <c r="E38" s="39"/>
      <c r="F38" s="49"/>
      <c r="G38" s="48"/>
      <c r="H38" s="48"/>
      <c r="I38" s="48"/>
      <c r="J38" s="48"/>
      <c r="K38" s="49"/>
    </row>
    <row r="39" spans="1:19" x14ac:dyDescent="0.25">
      <c r="A39" s="56"/>
      <c r="B39" s="29" t="s">
        <v>33</v>
      </c>
      <c r="C39" s="79">
        <f>C38-C41-C42</f>
        <v>237500</v>
      </c>
      <c r="D39" s="79"/>
      <c r="E39" s="39">
        <f>C39/C37*100</f>
        <v>84.270443247836909</v>
      </c>
      <c r="F39" s="49"/>
      <c r="G39" s="48"/>
      <c r="H39" s="48"/>
      <c r="I39" s="48"/>
      <c r="J39" s="48"/>
      <c r="K39" s="49"/>
    </row>
    <row r="40" spans="1:19" x14ac:dyDescent="0.25">
      <c r="A40" s="56"/>
      <c r="B40" s="29" t="s">
        <v>34</v>
      </c>
      <c r="C40" s="76">
        <f>C37-C39</f>
        <v>44330.723616249976</v>
      </c>
      <c r="D40" s="76"/>
      <c r="E40" s="39">
        <f>100-E39</f>
        <v>15.729556752163091</v>
      </c>
      <c r="F40" s="49"/>
      <c r="G40" s="48"/>
      <c r="H40" s="48"/>
      <c r="I40" s="48"/>
      <c r="J40" s="48"/>
      <c r="K40" s="49"/>
    </row>
    <row r="41" spans="1:19" x14ac:dyDescent="0.25">
      <c r="A41" s="56"/>
      <c r="B41" s="29" t="s">
        <v>35</v>
      </c>
      <c r="C41" s="76">
        <f>C38*0.03</f>
        <v>7500</v>
      </c>
      <c r="D41" s="76"/>
      <c r="E41" s="39">
        <v>3</v>
      </c>
      <c r="F41" s="49"/>
      <c r="G41" s="48"/>
      <c r="H41" s="48"/>
      <c r="I41" s="48"/>
      <c r="J41" s="48"/>
      <c r="K41" s="49"/>
    </row>
    <row r="42" spans="1:19" x14ac:dyDescent="0.25">
      <c r="A42" s="56"/>
      <c r="B42" s="29" t="s">
        <v>36</v>
      </c>
      <c r="C42" s="76">
        <f>C38*0.02</f>
        <v>5000</v>
      </c>
      <c r="D42" s="76"/>
      <c r="E42" s="39">
        <v>2</v>
      </c>
      <c r="F42" s="49"/>
      <c r="G42" s="48"/>
      <c r="H42" s="48"/>
      <c r="I42" s="48"/>
      <c r="J42" s="48"/>
      <c r="K42" s="49"/>
    </row>
    <row r="43" spans="1:19" s="35" customFormat="1" x14ac:dyDescent="0.25">
      <c r="A43" s="57"/>
      <c r="B43" s="57"/>
      <c r="C43" s="57"/>
      <c r="D43" s="57"/>
      <c r="E43" s="57"/>
      <c r="F43" s="57"/>
      <c r="G43" s="57"/>
      <c r="H43" s="57"/>
      <c r="I43" s="57"/>
      <c r="J43" s="57"/>
      <c r="K43" s="57"/>
    </row>
    <row r="44" spans="1:19" s="35" customFormat="1" x14ac:dyDescent="0.25"/>
    <row r="45" spans="1:19" s="35" customFormat="1" x14ac:dyDescent="0.25"/>
    <row r="46" spans="1:19" s="35" customFormat="1" x14ac:dyDescent="0.25"/>
    <row r="47" spans="1:19" s="35" customFormat="1" x14ac:dyDescent="0.25"/>
    <row r="48" spans="1:19" s="35" customFormat="1" x14ac:dyDescent="0.25"/>
    <row r="49" s="35" customFormat="1" x14ac:dyDescent="0.25"/>
    <row r="50" s="35" customFormat="1" x14ac:dyDescent="0.25"/>
    <row r="51" s="35" customFormat="1" x14ac:dyDescent="0.25"/>
    <row r="52" s="35" customFormat="1" x14ac:dyDescent="0.25"/>
    <row r="53" s="35" customFormat="1" x14ac:dyDescent="0.25"/>
    <row r="54" s="35" customFormat="1" x14ac:dyDescent="0.25"/>
    <row r="55" s="35" customFormat="1" x14ac:dyDescent="0.25"/>
    <row r="56" s="35" customFormat="1" x14ac:dyDescent="0.25"/>
    <row r="57" s="35" customFormat="1" x14ac:dyDescent="0.25"/>
    <row r="58" s="35" customFormat="1" x14ac:dyDescent="0.25"/>
    <row r="59" s="35" customFormat="1" x14ac:dyDescent="0.25"/>
    <row r="60" s="35" customFormat="1" x14ac:dyDescent="0.25"/>
    <row r="61" s="35" customFormat="1" x14ac:dyDescent="0.25"/>
    <row r="62" s="35" customFormat="1" x14ac:dyDescent="0.25"/>
    <row r="63" s="35" customFormat="1" x14ac:dyDescent="0.25"/>
    <row r="64"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sheetData>
  <mergeCells count="15">
    <mergeCell ref="C41:D41"/>
    <mergeCell ref="C42:D42"/>
    <mergeCell ref="A7:F7"/>
    <mergeCell ref="H7:K7"/>
    <mergeCell ref="C37:D37"/>
    <mergeCell ref="C38:D38"/>
    <mergeCell ref="C39:D39"/>
    <mergeCell ref="C40:D40"/>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rowBreaks count="1" manualBreakCount="1">
    <brk id="27" max="10"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9"/>
  <sheetViews>
    <sheetView zoomScaleNormal="100" workbookViewId="0">
      <selection activeCell="F18" sqref="F18"/>
    </sheetView>
  </sheetViews>
  <sheetFormatPr defaultRowHeight="15" x14ac:dyDescent="0.25"/>
  <cols>
    <col min="1" max="1" width="6.28515625" customWidth="1"/>
    <col min="2" max="2" width="36.7109375" customWidth="1"/>
    <col min="3" max="3" width="8.85546875" customWidth="1"/>
    <col min="4" max="4" width="9.28515625" bestFit="1" customWidth="1"/>
    <col min="5" max="5" width="11.5703125" bestFit="1" customWidth="1"/>
    <col min="6" max="6" width="12.28515625" bestFit="1" customWidth="1"/>
    <col min="7" max="7" width="9.5703125" bestFit="1" customWidth="1"/>
    <col min="8" max="8" width="11.140625" bestFit="1" customWidth="1"/>
    <col min="9" max="9" width="11.85546875" bestFit="1" customWidth="1"/>
    <col min="10" max="10" width="12.28515625" bestFit="1" customWidth="1"/>
    <col min="11" max="11" width="11" customWidth="1"/>
  </cols>
  <sheetData>
    <row r="1" spans="1:13" x14ac:dyDescent="0.25">
      <c r="A1" s="82" t="s">
        <v>0</v>
      </c>
      <c r="B1" s="82"/>
      <c r="C1" s="82"/>
      <c r="D1" s="82"/>
      <c r="E1" s="82"/>
      <c r="F1" s="82"/>
      <c r="G1" s="82"/>
      <c r="H1" s="82"/>
      <c r="I1" s="82"/>
      <c r="J1" s="82"/>
      <c r="K1" s="82"/>
    </row>
    <row r="2" spans="1:13" ht="25.5" x14ac:dyDescent="0.35">
      <c r="A2" s="83" t="s">
        <v>1</v>
      </c>
      <c r="B2" s="83"/>
      <c r="C2" s="83"/>
      <c r="D2" s="83"/>
      <c r="E2" s="83"/>
      <c r="F2" s="83"/>
      <c r="G2" s="83"/>
      <c r="H2" s="83"/>
      <c r="I2" s="83"/>
      <c r="J2" s="83"/>
      <c r="K2" s="83"/>
    </row>
    <row r="3" spans="1:13" s="1" customFormat="1" x14ac:dyDescent="0.25">
      <c r="A3" s="74" t="s">
        <v>2</v>
      </c>
      <c r="B3" s="74"/>
      <c r="C3" s="74"/>
      <c r="D3" s="74"/>
      <c r="E3" s="74"/>
      <c r="F3" s="74"/>
      <c r="G3" s="74"/>
      <c r="H3" s="74"/>
      <c r="I3" s="74"/>
      <c r="J3" s="74"/>
      <c r="K3" s="74"/>
    </row>
    <row r="4" spans="1:13" s="1" customFormat="1" x14ac:dyDescent="0.25">
      <c r="A4" s="74" t="s">
        <v>3</v>
      </c>
      <c r="B4" s="74"/>
      <c r="C4" s="74"/>
      <c r="D4" s="74"/>
      <c r="E4" s="74"/>
      <c r="F4" s="74"/>
      <c r="G4" s="74"/>
      <c r="H4" s="74"/>
      <c r="I4" s="74"/>
      <c r="J4" s="74"/>
      <c r="K4" s="74"/>
    </row>
    <row r="5" spans="1:13" ht="18.75" x14ac:dyDescent="0.3">
      <c r="A5" s="84" t="s">
        <v>18</v>
      </c>
      <c r="B5" s="84"/>
      <c r="C5" s="84"/>
      <c r="D5" s="84"/>
      <c r="E5" s="84"/>
      <c r="F5" s="84"/>
      <c r="G5" s="84"/>
      <c r="H5" s="84"/>
      <c r="I5" s="84"/>
      <c r="J5" s="84"/>
      <c r="K5" s="84"/>
    </row>
    <row r="6" spans="1:13" ht="18.75" x14ac:dyDescent="0.3">
      <c r="A6" s="8" t="s">
        <v>19</v>
      </c>
      <c r="B6" s="8"/>
      <c r="C6" s="80">
        <f>F29</f>
        <v>281830.72361624998</v>
      </c>
      <c r="D6" s="81"/>
      <c r="E6" s="9"/>
      <c r="F6" s="8"/>
      <c r="G6" s="8"/>
      <c r="H6" s="8" t="s">
        <v>20</v>
      </c>
      <c r="I6" s="8"/>
      <c r="J6" s="80">
        <f>I29</f>
        <v>245642.31404482681</v>
      </c>
      <c r="K6" s="81"/>
    </row>
    <row r="7" spans="1:13" x14ac:dyDescent="0.25">
      <c r="A7" s="26" t="s">
        <v>29</v>
      </c>
      <c r="B7" s="10"/>
      <c r="C7" s="10"/>
      <c r="D7" s="10"/>
      <c r="F7" s="87"/>
      <c r="G7" s="87"/>
      <c r="I7" s="88" t="s">
        <v>37</v>
      </c>
      <c r="J7" s="88"/>
      <c r="K7" s="88"/>
    </row>
    <row r="8" spans="1:13" ht="15.75" x14ac:dyDescent="0.25">
      <c r="A8" s="70" t="str">
        <f>'200k'!A6:F6</f>
        <v>Project:-  कुर्थली च्यानेपाखा माझगाउँ जोड्ने सडक</v>
      </c>
      <c r="B8" s="70"/>
      <c r="C8" s="70"/>
      <c r="D8" s="70"/>
      <c r="E8" s="70"/>
      <c r="F8" s="70"/>
      <c r="I8" s="89" t="s">
        <v>58</v>
      </c>
      <c r="J8" s="89"/>
      <c r="K8" s="89"/>
    </row>
    <row r="9" spans="1:13" x14ac:dyDescent="0.25">
      <c r="A9" s="90" t="str">
        <f>'200k'!A7:F7</f>
        <v>Location:- Shankharapur Municipality 9</v>
      </c>
      <c r="B9" s="90"/>
      <c r="C9" s="90"/>
      <c r="D9" s="90"/>
      <c r="E9" s="90"/>
      <c r="F9" s="90"/>
      <c r="I9" s="89" t="s">
        <v>57</v>
      </c>
      <c r="J9" s="89"/>
      <c r="K9" s="89"/>
    </row>
    <row r="11" spans="1:13" x14ac:dyDescent="0.25">
      <c r="A11" s="85" t="s">
        <v>21</v>
      </c>
      <c r="B11" s="85" t="s">
        <v>22</v>
      </c>
      <c r="C11" s="85" t="s">
        <v>12</v>
      </c>
      <c r="D11" s="91" t="s">
        <v>23</v>
      </c>
      <c r="E11" s="91"/>
      <c r="F11" s="91"/>
      <c r="G11" s="91" t="s">
        <v>24</v>
      </c>
      <c r="H11" s="91"/>
      <c r="I11" s="91"/>
      <c r="J11" s="85" t="s">
        <v>25</v>
      </c>
      <c r="K11" s="86" t="s">
        <v>15</v>
      </c>
    </row>
    <row r="12" spans="1:13" x14ac:dyDescent="0.25">
      <c r="A12" s="85"/>
      <c r="B12" s="85"/>
      <c r="C12" s="85"/>
      <c r="D12" s="11" t="s">
        <v>26</v>
      </c>
      <c r="E12" s="11" t="s">
        <v>13</v>
      </c>
      <c r="F12" s="11" t="s">
        <v>14</v>
      </c>
      <c r="G12" s="11" t="s">
        <v>26</v>
      </c>
      <c r="H12" s="11" t="s">
        <v>13</v>
      </c>
      <c r="I12" s="11" t="s">
        <v>14</v>
      </c>
      <c r="J12" s="85"/>
      <c r="K12" s="86"/>
    </row>
    <row r="13" spans="1:13" s="1" customFormat="1" ht="141.75" x14ac:dyDescent="0.25">
      <c r="A13" s="27">
        <f>'200k'!A9</f>
        <v>1</v>
      </c>
      <c r="B13" s="32" t="str">
        <f>'200k'!B9</f>
        <v>Earthwork Excavation in Cutting., Roadway Excavation in all types of Soil by Mechanical  Means ., Road way Excavation in  all types of soil as per Drawing and technical specifications  including  removal of stumps and other deleterious matter, all lifts and lead as per Drawing and instruction of the Engineer.</v>
      </c>
      <c r="C13" s="12" t="str">
        <f>'200k'!H11</f>
        <v>m3</v>
      </c>
      <c r="D13" s="12">
        <f>'200k'!G11</f>
        <v>18.375</v>
      </c>
      <c r="E13" s="12">
        <f>'200k'!I11</f>
        <v>64.63</v>
      </c>
      <c r="F13" s="12">
        <f>D13*E13</f>
        <v>1187.5762499999998</v>
      </c>
      <c r="G13" s="12">
        <f>V!G12</f>
        <v>22.082887499999998</v>
      </c>
      <c r="H13" s="12">
        <f>V!I12</f>
        <v>64.63</v>
      </c>
      <c r="I13" s="12">
        <f>G13*H13</f>
        <v>1427.2170191249998</v>
      </c>
      <c r="J13" s="28">
        <f>I13-F13</f>
        <v>239.64076912499991</v>
      </c>
      <c r="K13" s="14"/>
      <c r="M13" s="1">
        <f>1.25*F13</f>
        <v>1484.4703124999999</v>
      </c>
    </row>
    <row r="14" spans="1:13" s="1" customFormat="1" ht="15.75" x14ac:dyDescent="0.25">
      <c r="A14" s="27"/>
      <c r="B14" s="65" t="str">
        <f>'200k'!B12</f>
        <v>VAT calculation</v>
      </c>
      <c r="C14" s="12"/>
      <c r="D14" s="12"/>
      <c r="E14" s="12"/>
      <c r="F14" s="12">
        <f>'200k'!J12</f>
        <v>127.957375</v>
      </c>
      <c r="G14" s="12"/>
      <c r="H14" s="12"/>
      <c r="I14" s="12">
        <f>V!J13</f>
        <v>153.7778675875</v>
      </c>
      <c r="J14" s="28">
        <f>I14-F14</f>
        <v>25.820492587499999</v>
      </c>
      <c r="K14" s="14"/>
      <c r="M14" s="1">
        <f>1.25*F14</f>
        <v>159.94671875</v>
      </c>
    </row>
    <row r="15" spans="1:13" s="1" customFormat="1" x14ac:dyDescent="0.25">
      <c r="A15" s="29"/>
      <c r="B15" s="29"/>
      <c r="C15" s="12"/>
      <c r="D15" s="12"/>
      <c r="E15" s="12"/>
      <c r="F15" s="12"/>
      <c r="G15" s="12"/>
      <c r="H15" s="12"/>
      <c r="I15" s="12"/>
      <c r="J15" s="28"/>
      <c r="K15" s="14"/>
    </row>
    <row r="16" spans="1:13" s="1" customFormat="1" ht="94.5" x14ac:dyDescent="0.25">
      <c r="A16" s="27">
        <f>'200k'!A14</f>
        <v>2</v>
      </c>
      <c r="B16" s="32" t="str">
        <f>'200k'!B14</f>
        <v>Providing suitable material and Back filling behind abutment, wing wall and return wall complete as per Drawing and Technical Specifications., locally available material including compaction by tamping rod</v>
      </c>
      <c r="C16" s="12" t="str">
        <f>'200k'!H20</f>
        <v>m3</v>
      </c>
      <c r="D16" s="12">
        <f>'200k'!G16</f>
        <v>6.8906249999999991</v>
      </c>
      <c r="E16" s="12">
        <f>'200k'!I16</f>
        <v>404.28</v>
      </c>
      <c r="F16" s="12">
        <f>D16*E16</f>
        <v>2785.7418749999993</v>
      </c>
      <c r="G16" s="12">
        <f>V!G17</f>
        <v>0</v>
      </c>
      <c r="H16" s="12">
        <f>V!I17</f>
        <v>404.28</v>
      </c>
      <c r="I16" s="12">
        <f>G16*H16</f>
        <v>0</v>
      </c>
      <c r="J16" s="28">
        <f>I16-F16</f>
        <v>-2785.7418749999993</v>
      </c>
      <c r="K16" s="14"/>
      <c r="M16" s="1">
        <f>1.25*F16</f>
        <v>3482.1773437499992</v>
      </c>
    </row>
    <row r="17" spans="1:13" s="1" customFormat="1" ht="15.75" x14ac:dyDescent="0.25">
      <c r="A17" s="27"/>
      <c r="B17" s="32"/>
      <c r="C17" s="12"/>
      <c r="D17" s="12"/>
      <c r="E17" s="12"/>
      <c r="F17" s="12"/>
      <c r="G17" s="12"/>
      <c r="H17" s="12"/>
      <c r="I17" s="12"/>
      <c r="J17" s="28"/>
      <c r="K17" s="14"/>
    </row>
    <row r="18" spans="1:13" s="1" customFormat="1" ht="94.5" x14ac:dyDescent="0.25">
      <c r="A18" s="27">
        <f>'200k'!A18</f>
        <v>3</v>
      </c>
      <c r="B18" s="32" t="str">
        <f>'200k'!B18</f>
        <v>Providing and laying of hand pack locally available Stone soling with 150 to 200 mm thick stones and packing with smaller stone on prepared surface as per Drawing and Technical Specifications.</v>
      </c>
      <c r="C18" s="12" t="str">
        <f>'200k'!H20</f>
        <v>m3</v>
      </c>
      <c r="D18" s="12">
        <f>'200k'!G20</f>
        <v>1.575</v>
      </c>
      <c r="E18" s="12">
        <f>'200k'!I20</f>
        <v>4434.5200000000004</v>
      </c>
      <c r="F18" s="12">
        <f>D18*E18</f>
        <v>6984.3690000000006</v>
      </c>
      <c r="G18" s="12">
        <f>V!G26</f>
        <v>1.9254374999999999</v>
      </c>
      <c r="H18" s="12">
        <f>V!I26</f>
        <v>4434.5200000000004</v>
      </c>
      <c r="I18" s="12">
        <f>G18*H18</f>
        <v>8538.3911024999998</v>
      </c>
      <c r="J18" s="28">
        <f>I18-F18</f>
        <v>1554.0221024999992</v>
      </c>
      <c r="K18" s="14"/>
      <c r="M18" s="1">
        <f>1.25*F18</f>
        <v>8730.4612500000003</v>
      </c>
    </row>
    <row r="19" spans="1:13" s="1" customFormat="1" ht="15.75" x14ac:dyDescent="0.25">
      <c r="A19" s="27"/>
      <c r="B19" s="65" t="str">
        <f>'200k'!B21</f>
        <v>VAT calculation</v>
      </c>
      <c r="C19" s="12"/>
      <c r="D19" s="12"/>
      <c r="E19" s="12"/>
      <c r="F19" s="12">
        <f>'200k'!J21</f>
        <v>606.78071999999997</v>
      </c>
      <c r="G19" s="12"/>
      <c r="H19" s="12"/>
      <c r="I19" s="12">
        <f>V!J27</f>
        <v>741.78943019999997</v>
      </c>
      <c r="J19" s="28">
        <f>I19-F19</f>
        <v>135.0087102</v>
      </c>
      <c r="K19" s="14"/>
      <c r="M19" s="1">
        <f>1.25*F19</f>
        <v>758.47589999999991</v>
      </c>
    </row>
    <row r="20" spans="1:13" s="1" customFormat="1" ht="15.75" x14ac:dyDescent="0.25">
      <c r="A20" s="27"/>
      <c r="B20" s="32"/>
      <c r="C20" s="12"/>
      <c r="D20" s="12"/>
      <c r="E20" s="12"/>
      <c r="F20" s="12"/>
      <c r="G20" s="12"/>
      <c r="H20" s="12"/>
      <c r="I20" s="12"/>
      <c r="J20" s="28"/>
      <c r="K20" s="14"/>
    </row>
    <row r="21" spans="1:13" s="1" customFormat="1" ht="63" x14ac:dyDescent="0.25">
      <c r="A21" s="27">
        <f>'200k'!A23</f>
        <v>4</v>
      </c>
      <c r="B21" s="32" t="str">
        <f>'200k'!B23</f>
        <v>Providing and laying of Plain/Reinforced Cement Concrete in Foundation complete as per Drawing and Technical Specifications, PCC Grade M 15</v>
      </c>
      <c r="C21" s="12" t="str">
        <f>'200k'!H25</f>
        <v>m3</v>
      </c>
      <c r="D21" s="12">
        <f>'200k'!G25</f>
        <v>0.78749999999999998</v>
      </c>
      <c r="E21" s="12">
        <f>'200k'!I25</f>
        <v>10634.5</v>
      </c>
      <c r="F21" s="12">
        <f>D21*E21</f>
        <v>8374.6687499999989</v>
      </c>
      <c r="G21" s="12">
        <f>V!G31</f>
        <v>0</v>
      </c>
      <c r="H21" s="12">
        <f>V!I31</f>
        <v>10634.5</v>
      </c>
      <c r="I21" s="12">
        <f>G21*H21</f>
        <v>0</v>
      </c>
      <c r="J21" s="28">
        <f>I21-F21</f>
        <v>-8374.6687499999989</v>
      </c>
      <c r="K21" s="14"/>
      <c r="M21" s="1">
        <f>1.25*F21</f>
        <v>10468.335937499998</v>
      </c>
    </row>
    <row r="22" spans="1:13" s="1" customFormat="1" ht="15.75" x14ac:dyDescent="0.25">
      <c r="A22" s="27"/>
      <c r="B22" s="65" t="str">
        <f>'200k'!B26</f>
        <v>VAT calculation</v>
      </c>
      <c r="C22" s="12"/>
      <c r="D22" s="12"/>
      <c r="E22" s="12"/>
      <c r="F22" s="12">
        <f>'200k'!J26</f>
        <v>826.11574499999995</v>
      </c>
      <c r="G22" s="12"/>
      <c r="H22" s="12"/>
      <c r="I22" s="12">
        <f>V!J32</f>
        <v>0</v>
      </c>
      <c r="J22" s="28">
        <f>I22-F22</f>
        <v>-826.11574499999995</v>
      </c>
      <c r="K22" s="14"/>
      <c r="M22" s="1">
        <f>1.25*F22</f>
        <v>1032.6446812499998</v>
      </c>
    </row>
    <row r="23" spans="1:13" s="1" customFormat="1" ht="15.75" x14ac:dyDescent="0.25">
      <c r="A23" s="27"/>
      <c r="B23" s="32"/>
      <c r="C23" s="12"/>
      <c r="D23" s="12"/>
      <c r="E23" s="12"/>
      <c r="F23" s="12"/>
      <c r="G23" s="12"/>
      <c r="H23" s="12"/>
      <c r="I23" s="12"/>
      <c r="J23" s="28"/>
      <c r="K23" s="14"/>
    </row>
    <row r="24" spans="1:13" s="1" customFormat="1" ht="110.25" x14ac:dyDescent="0.25">
      <c r="A24" s="27">
        <f>'200k'!A28</f>
        <v>5</v>
      </c>
      <c r="B24" s="32" t="str">
        <f>'200k'!B28</f>
        <v>Providing and laying Plum concrete ( Boulder mixed concrete) including form work and 110mm dia PN6 HDPE pipe for Weep hole as per Drawing and Specifications, 60% M 15  concrete and 40% boulders/stones, using Mechanical Aids</v>
      </c>
      <c r="C24" s="12" t="str">
        <f>'200k'!H30</f>
        <v>m3</v>
      </c>
      <c r="D24" s="12">
        <f>'200k'!G30</f>
        <v>24.937499999999996</v>
      </c>
      <c r="E24" s="12">
        <f>'200k'!I30</f>
        <v>9623.4699999999993</v>
      </c>
      <c r="F24" s="12">
        <f>D24*E24</f>
        <v>239985.28312499996</v>
      </c>
      <c r="G24" s="12">
        <f>V!G41</f>
        <v>22.432966000000004</v>
      </c>
      <c r="H24" s="12">
        <f>V!I41</f>
        <v>9623.4699999999993</v>
      </c>
      <c r="I24" s="12">
        <f>G24*H24</f>
        <v>215882.97531202002</v>
      </c>
      <c r="J24" s="28">
        <f>I24-F24</f>
        <v>-24102.30781297994</v>
      </c>
      <c r="K24" s="14"/>
      <c r="M24" s="1">
        <f>1.25*F24</f>
        <v>299981.60390624998</v>
      </c>
    </row>
    <row r="25" spans="1:13" s="1" customFormat="1" ht="15.75" x14ac:dyDescent="0.25">
      <c r="A25" s="27"/>
      <c r="B25" s="65" t="str">
        <f>'200k'!B31</f>
        <v>VAT calculation</v>
      </c>
      <c r="C25" s="12"/>
      <c r="D25" s="12"/>
      <c r="E25" s="12"/>
      <c r="F25" s="12">
        <f>'200k'!J31</f>
        <v>20452.230776250002</v>
      </c>
      <c r="G25" s="12"/>
      <c r="H25" s="12"/>
      <c r="I25" s="12">
        <f>V!J42</f>
        <v>18398.163313394285</v>
      </c>
      <c r="J25" s="28">
        <f>I25-F25</f>
        <v>-2054.0674628557172</v>
      </c>
      <c r="K25" s="14"/>
      <c r="M25" s="1">
        <f>1.25*F25</f>
        <v>25565.288470312502</v>
      </c>
    </row>
    <row r="26" spans="1:13" s="1" customFormat="1" ht="15.75" x14ac:dyDescent="0.25">
      <c r="A26" s="27"/>
      <c r="B26" s="32"/>
      <c r="C26" s="12"/>
      <c r="D26" s="12"/>
      <c r="E26" s="12"/>
      <c r="F26" s="12"/>
      <c r="G26" s="12"/>
      <c r="H26" s="12"/>
      <c r="I26" s="12"/>
      <c r="J26" s="28"/>
      <c r="K26" s="14"/>
    </row>
    <row r="27" spans="1:13" s="1" customFormat="1" x14ac:dyDescent="0.25">
      <c r="A27" s="27">
        <f>'200k'!A33</f>
        <v>6</v>
      </c>
      <c r="B27" s="31" t="str">
        <f>'200k'!B33</f>
        <v>Information board (सुचना पाटि)</v>
      </c>
      <c r="C27" s="12" t="str">
        <f>'200k'!H33</f>
        <v>no.</v>
      </c>
      <c r="D27" s="12">
        <f>'200k'!G33</f>
        <v>1</v>
      </c>
      <c r="E27" s="12">
        <f>'200k'!I33</f>
        <v>500</v>
      </c>
      <c r="F27" s="12">
        <f>D27*E27</f>
        <v>500</v>
      </c>
      <c r="G27" s="12">
        <f>V!G44</f>
        <v>1</v>
      </c>
      <c r="H27" s="12">
        <f>V!I44</f>
        <v>500</v>
      </c>
      <c r="I27" s="12">
        <f>G27*H27</f>
        <v>500</v>
      </c>
      <c r="J27" s="28">
        <f>I27-F27</f>
        <v>0</v>
      </c>
      <c r="K27" s="14"/>
      <c r="M27" s="1">
        <f>1.25*F27</f>
        <v>625</v>
      </c>
    </row>
    <row r="28" spans="1:13" s="1" customFormat="1" x14ac:dyDescent="0.25">
      <c r="A28" s="29"/>
      <c r="B28" s="29"/>
      <c r="C28" s="12"/>
      <c r="D28" s="12"/>
      <c r="E28" s="12"/>
      <c r="F28" s="12"/>
      <c r="G28" s="12"/>
      <c r="H28" s="12"/>
      <c r="I28" s="12"/>
      <c r="J28" s="28"/>
      <c r="K28" s="14"/>
    </row>
    <row r="29" spans="1:13" x14ac:dyDescent="0.25">
      <c r="A29" s="5"/>
      <c r="B29" s="6" t="s">
        <v>16</v>
      </c>
      <c r="C29" s="6"/>
      <c r="D29" s="7"/>
      <c r="E29" s="7"/>
      <c r="F29" s="7">
        <f>SUM(F13:F27)</f>
        <v>281830.72361624998</v>
      </c>
      <c r="G29" s="7"/>
      <c r="H29" s="7"/>
      <c r="I29" s="7">
        <f>SUM(I13:I27)</f>
        <v>245642.31404482681</v>
      </c>
      <c r="J29" s="13">
        <f>I29-F29</f>
        <v>-36188.409571423166</v>
      </c>
      <c r="K29" s="5"/>
    </row>
  </sheetData>
  <mergeCells count="20">
    <mergeCell ref="J11:J12"/>
    <mergeCell ref="K11:K12"/>
    <mergeCell ref="A8:F8"/>
    <mergeCell ref="F7:G7"/>
    <mergeCell ref="I7:K7"/>
    <mergeCell ref="I8:K8"/>
    <mergeCell ref="A9:F9"/>
    <mergeCell ref="I9:K9"/>
    <mergeCell ref="A11:A12"/>
    <mergeCell ref="B11:B12"/>
    <mergeCell ref="C11:C12"/>
    <mergeCell ref="D11:F11"/>
    <mergeCell ref="G11:I11"/>
    <mergeCell ref="C6:D6"/>
    <mergeCell ref="J6:K6"/>
    <mergeCell ref="A1:K1"/>
    <mergeCell ref="A2:K2"/>
    <mergeCell ref="A3:K3"/>
    <mergeCell ref="A4:K4"/>
    <mergeCell ref="A5:K5"/>
  </mergeCells>
  <printOptions horizontalCentered="1"/>
  <pageMargins left="0.7" right="0.7" top="0.75" bottom="0.75" header="0.3" footer="0.3"/>
  <pageSetup scale="85" orientation="landscape" horizontalDpi="300" verticalDpi="300" r:id="rId1"/>
  <headerFooter>
    <oddFooter xml:space="preserve">&amp;LPrepared By:
&amp;CChecked By:
&amp;RApproved By:
</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zoomScaleNormal="100" workbookViewId="0">
      <selection activeCell="H8" sqref="H8"/>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customWidth="1"/>
    <col min="10" max="10" width="10.7109375" bestFit="1" customWidth="1"/>
  </cols>
  <sheetData>
    <row r="1" spans="1:11" s="1" customFormat="1" x14ac:dyDescent="0.25">
      <c r="A1" s="72" t="s">
        <v>0</v>
      </c>
      <c r="B1" s="72"/>
      <c r="C1" s="72"/>
      <c r="D1" s="72"/>
      <c r="E1" s="72"/>
      <c r="F1" s="72"/>
      <c r="G1" s="72"/>
      <c r="H1" s="72"/>
      <c r="I1" s="72"/>
      <c r="J1" s="72"/>
      <c r="K1" s="72"/>
    </row>
    <row r="2" spans="1:11" s="1" customFormat="1" ht="22.5" x14ac:dyDescent="0.2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55</v>
      </c>
      <c r="B5" s="75"/>
      <c r="C5" s="75"/>
      <c r="D5" s="75"/>
      <c r="E5" s="75"/>
      <c r="F5" s="75"/>
      <c r="G5" s="75"/>
      <c r="H5" s="75"/>
      <c r="I5" s="75"/>
      <c r="J5" s="75"/>
      <c r="K5" s="75"/>
    </row>
    <row r="6" spans="1:11" ht="15.75" x14ac:dyDescent="0.25">
      <c r="A6" s="70" t="s">
        <v>53</v>
      </c>
      <c r="B6" s="70"/>
      <c r="C6" s="70"/>
      <c r="D6" s="70"/>
      <c r="E6" s="70"/>
      <c r="F6" s="70"/>
      <c r="G6" s="2"/>
      <c r="H6" s="71" t="s">
        <v>45</v>
      </c>
      <c r="I6" s="71"/>
      <c r="J6" s="71"/>
      <c r="K6" s="71"/>
    </row>
    <row r="7" spans="1:11" ht="15.75" x14ac:dyDescent="0.25">
      <c r="A7" s="77" t="s">
        <v>28</v>
      </c>
      <c r="B7" s="77"/>
      <c r="C7" s="77"/>
      <c r="D7" s="77"/>
      <c r="E7" s="77"/>
      <c r="F7" s="77"/>
      <c r="G7" s="3"/>
      <c r="H7" s="78" t="s">
        <v>60</v>
      </c>
      <c r="I7" s="78"/>
      <c r="J7" s="78"/>
      <c r="K7" s="78"/>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3">
        <v>1</v>
      </c>
      <c r="B9" s="30" t="s">
        <v>44</v>
      </c>
      <c r="C9" s="36"/>
      <c r="D9" s="36"/>
      <c r="E9" s="36"/>
      <c r="F9" s="36"/>
      <c r="G9" s="36"/>
      <c r="H9" s="36"/>
      <c r="I9" s="36"/>
      <c r="J9" s="36"/>
      <c r="K9" s="36"/>
    </row>
    <row r="10" spans="1:11" ht="15" customHeight="1" x14ac:dyDescent="0.25">
      <c r="A10" s="18"/>
      <c r="B10" s="37" t="s">
        <v>49</v>
      </c>
      <c r="C10" s="64">
        <v>0.5</v>
      </c>
      <c r="D10" s="38">
        <f>2.48+2.48+2.42+2.44+2.45+2.4</f>
        <v>14.67</v>
      </c>
      <c r="E10" s="38">
        <f>E20</f>
        <v>1.05</v>
      </c>
      <c r="F10" s="38">
        <f>1.5+0.15</f>
        <v>1.65</v>
      </c>
      <c r="G10" s="39">
        <f>PRODUCT(C10:F10)</f>
        <v>12.7078875</v>
      </c>
      <c r="H10" s="40"/>
      <c r="I10" s="40"/>
      <c r="J10" s="40"/>
      <c r="K10" s="21"/>
    </row>
    <row r="11" spans="1:11" ht="15" customHeight="1" x14ac:dyDescent="0.25">
      <c r="A11" s="18"/>
      <c r="B11" s="37" t="s">
        <v>56</v>
      </c>
      <c r="C11" s="64">
        <v>1</v>
      </c>
      <c r="D11" s="38">
        <v>15</v>
      </c>
      <c r="E11" s="38">
        <v>2.5</v>
      </c>
      <c r="F11" s="38">
        <v>0.25</v>
      </c>
      <c r="G11" s="39">
        <f>PRODUCT(C11:F11)</f>
        <v>9.375</v>
      </c>
      <c r="H11" s="40"/>
      <c r="I11" s="40"/>
      <c r="J11" s="40"/>
      <c r="K11" s="21"/>
    </row>
    <row r="12" spans="1:11" ht="15" customHeight="1" x14ac:dyDescent="0.25">
      <c r="A12" s="18"/>
      <c r="B12" s="37" t="s">
        <v>40</v>
      </c>
      <c r="C12" s="19"/>
      <c r="D12" s="20"/>
      <c r="E12" s="21"/>
      <c r="F12" s="21"/>
      <c r="G12" s="23">
        <f>SUM(G10:G11)</f>
        <v>22.082887499999998</v>
      </c>
      <c r="H12" s="22" t="s">
        <v>39</v>
      </c>
      <c r="I12" s="23">
        <v>64.63</v>
      </c>
      <c r="J12" s="41">
        <f>G12*I12</f>
        <v>1427.2170191249998</v>
      </c>
      <c r="K12" s="21"/>
    </row>
    <row r="13" spans="1:11" ht="15" customHeight="1" x14ac:dyDescent="0.25">
      <c r="A13" s="18"/>
      <c r="B13" s="37" t="s">
        <v>38</v>
      </c>
      <c r="C13" s="19"/>
      <c r="D13" s="20"/>
      <c r="E13" s="21"/>
      <c r="F13" s="21"/>
      <c r="G13" s="23"/>
      <c r="H13" s="22"/>
      <c r="I13" s="23"/>
      <c r="J13" s="41">
        <f>0.13*G12*19284/360</f>
        <v>153.7778675875</v>
      </c>
      <c r="K13" s="21"/>
    </row>
    <row r="14" spans="1:11" ht="15" customHeight="1" x14ac:dyDescent="0.25">
      <c r="A14" s="18"/>
      <c r="B14" s="37"/>
      <c r="C14" s="19"/>
      <c r="D14" s="20"/>
      <c r="E14" s="21"/>
      <c r="F14" s="21"/>
      <c r="G14" s="23"/>
      <c r="H14" s="22"/>
      <c r="I14" s="23"/>
      <c r="J14" s="41"/>
      <c r="K14" s="21"/>
    </row>
    <row r="15" spans="1:11" ht="105" x14ac:dyDescent="0.25">
      <c r="A15" s="18">
        <v>2</v>
      </c>
      <c r="B15" s="30" t="s">
        <v>50</v>
      </c>
      <c r="C15" s="19"/>
      <c r="D15" s="20"/>
      <c r="E15" s="21"/>
      <c r="F15" s="21"/>
      <c r="G15" s="23"/>
      <c r="H15" s="22"/>
      <c r="I15" s="23"/>
      <c r="J15" s="41"/>
      <c r="K15" s="21"/>
    </row>
    <row r="16" spans="1:11" ht="15" customHeight="1" x14ac:dyDescent="0.25">
      <c r="A16" s="18"/>
      <c r="B16" s="37" t="s">
        <v>42</v>
      </c>
      <c r="C16" s="64">
        <v>0</v>
      </c>
      <c r="D16" s="38">
        <f>D20</f>
        <v>2.48</v>
      </c>
      <c r="E16" s="38">
        <f>0.75*E20</f>
        <v>0.78750000000000009</v>
      </c>
      <c r="F16" s="38">
        <f>F10/2</f>
        <v>0.82499999999999996</v>
      </c>
      <c r="G16" s="39">
        <f>PRODUCT(C16:F16)</f>
        <v>0</v>
      </c>
      <c r="H16" s="40"/>
      <c r="I16" s="40"/>
      <c r="J16" s="40"/>
      <c r="K16" s="21"/>
    </row>
    <row r="17" spans="1:11" ht="15" customHeight="1" x14ac:dyDescent="0.25">
      <c r="A17" s="18"/>
      <c r="B17" s="37" t="s">
        <v>40</v>
      </c>
      <c r="C17" s="19"/>
      <c r="D17" s="20"/>
      <c r="E17" s="21"/>
      <c r="F17" s="21"/>
      <c r="G17" s="23">
        <f>SUM(G16:G16)</f>
        <v>0</v>
      </c>
      <c r="H17" s="22" t="s">
        <v>39</v>
      </c>
      <c r="I17" s="23">
        <v>404.28</v>
      </c>
      <c r="J17" s="41">
        <f>G17*I17</f>
        <v>0</v>
      </c>
      <c r="K17" s="21"/>
    </row>
    <row r="18" spans="1:11" ht="15" customHeight="1" x14ac:dyDescent="0.25">
      <c r="A18" s="18"/>
      <c r="B18" s="37"/>
      <c r="C18" s="19"/>
      <c r="D18" s="20"/>
      <c r="E18" s="21"/>
      <c r="F18" s="21"/>
      <c r="G18" s="23"/>
      <c r="H18" s="22"/>
      <c r="I18" s="23"/>
      <c r="J18" s="41"/>
      <c r="K18" s="21"/>
    </row>
    <row r="19" spans="1:11" ht="90" x14ac:dyDescent="0.25">
      <c r="A19" s="18">
        <v>3</v>
      </c>
      <c r="B19" s="30" t="s">
        <v>41</v>
      </c>
      <c r="C19" s="19"/>
      <c r="D19" s="20"/>
      <c r="E19" s="21"/>
      <c r="F19" s="21"/>
      <c r="G19" s="23"/>
      <c r="H19" s="22"/>
      <c r="I19" s="23"/>
      <c r="J19" s="41"/>
      <c r="K19" s="21"/>
    </row>
    <row r="20" spans="1:11" ht="15" customHeight="1" x14ac:dyDescent="0.25">
      <c r="A20" s="18"/>
      <c r="B20" s="37" t="str">
        <f>B16</f>
        <v>-Road</v>
      </c>
      <c r="C20" s="36">
        <v>1</v>
      </c>
      <c r="D20" s="38">
        <f>(2.48)</f>
        <v>2.48</v>
      </c>
      <c r="E20" s="38">
        <v>1.05</v>
      </c>
      <c r="F20" s="38">
        <v>0.125</v>
      </c>
      <c r="G20" s="39">
        <f>PRODUCT(C20:F20)</f>
        <v>0.32550000000000001</v>
      </c>
      <c r="H20" s="40"/>
      <c r="I20" s="40"/>
      <c r="J20" s="40"/>
      <c r="K20" s="21"/>
    </row>
    <row r="21" spans="1:11" ht="15" customHeight="1" x14ac:dyDescent="0.25">
      <c r="A21" s="18"/>
      <c r="B21" s="37"/>
      <c r="C21" s="36"/>
      <c r="D21" s="38">
        <v>2.48</v>
      </c>
      <c r="E21" s="38">
        <v>1.05</v>
      </c>
      <c r="F21" s="38">
        <v>0.125</v>
      </c>
      <c r="G21" s="39">
        <f t="shared" ref="G21:G25" si="0">PRODUCT(C21:F21)</f>
        <v>0.32550000000000001</v>
      </c>
      <c r="H21" s="40"/>
      <c r="I21" s="40"/>
      <c r="J21" s="40"/>
      <c r="K21" s="21"/>
    </row>
    <row r="22" spans="1:11" ht="15" customHeight="1" x14ac:dyDescent="0.25">
      <c r="A22" s="18"/>
      <c r="B22" s="37"/>
      <c r="C22" s="36"/>
      <c r="D22" s="38">
        <v>2.42</v>
      </c>
      <c r="E22" s="38">
        <v>1.05</v>
      </c>
      <c r="F22" s="38">
        <v>0.125</v>
      </c>
      <c r="G22" s="39">
        <f t="shared" si="0"/>
        <v>0.31762499999999999</v>
      </c>
      <c r="H22" s="40"/>
      <c r="I22" s="40"/>
      <c r="J22" s="40"/>
      <c r="K22" s="21"/>
    </row>
    <row r="23" spans="1:11" ht="15" customHeight="1" x14ac:dyDescent="0.25">
      <c r="A23" s="18"/>
      <c r="B23" s="37"/>
      <c r="C23" s="36"/>
      <c r="D23" s="38">
        <v>2.44</v>
      </c>
      <c r="E23" s="38">
        <v>1.05</v>
      </c>
      <c r="F23" s="38">
        <v>0.125</v>
      </c>
      <c r="G23" s="39">
        <f t="shared" si="0"/>
        <v>0.32024999999999998</v>
      </c>
      <c r="H23" s="40"/>
      <c r="I23" s="40"/>
      <c r="J23" s="40"/>
      <c r="K23" s="21"/>
    </row>
    <row r="24" spans="1:11" ht="15" customHeight="1" x14ac:dyDescent="0.25">
      <c r="A24" s="18"/>
      <c r="B24" s="37"/>
      <c r="C24" s="36"/>
      <c r="D24" s="38">
        <v>2.4500000000000002</v>
      </c>
      <c r="E24" s="38">
        <v>1.05</v>
      </c>
      <c r="F24" s="38">
        <v>0.125</v>
      </c>
      <c r="G24" s="39">
        <f t="shared" si="0"/>
        <v>0.32156250000000003</v>
      </c>
      <c r="H24" s="40"/>
      <c r="I24" s="40"/>
      <c r="J24" s="40"/>
      <c r="K24" s="21"/>
    </row>
    <row r="25" spans="1:11" ht="15" customHeight="1" x14ac:dyDescent="0.25">
      <c r="A25" s="18"/>
      <c r="B25" s="37"/>
      <c r="C25" s="36"/>
      <c r="D25" s="38">
        <v>2.4</v>
      </c>
      <c r="E25" s="38">
        <v>1.05</v>
      </c>
      <c r="F25" s="38">
        <v>0.125</v>
      </c>
      <c r="G25" s="39">
        <f t="shared" si="0"/>
        <v>0.315</v>
      </c>
      <c r="H25" s="40"/>
      <c r="I25" s="40"/>
      <c r="J25" s="40"/>
      <c r="K25" s="21"/>
    </row>
    <row r="26" spans="1:11" ht="15" customHeight="1" x14ac:dyDescent="0.25">
      <c r="A26" s="40"/>
      <c r="B26" s="37" t="s">
        <v>40</v>
      </c>
      <c r="C26" s="42"/>
      <c r="D26" s="43"/>
      <c r="E26" s="43"/>
      <c r="F26" s="43"/>
      <c r="G26" s="33">
        <f>SUM(G20:G25)</f>
        <v>1.9254374999999999</v>
      </c>
      <c r="H26" s="33" t="s">
        <v>39</v>
      </c>
      <c r="I26" s="33">
        <v>4434.5200000000004</v>
      </c>
      <c r="J26" s="44">
        <f>G26*I26</f>
        <v>8538.3911024999998</v>
      </c>
      <c r="K26" s="36"/>
    </row>
    <row r="27" spans="1:11" x14ac:dyDescent="0.25">
      <c r="A27" s="40"/>
      <c r="B27" s="37" t="s">
        <v>38</v>
      </c>
      <c r="C27" s="42"/>
      <c r="D27" s="43"/>
      <c r="E27" s="43"/>
      <c r="F27" s="43"/>
      <c r="G27" s="43"/>
      <c r="H27" s="43"/>
      <c r="I27" s="43"/>
      <c r="J27" s="45">
        <f>0.13*G26*(14817.6/5)</f>
        <v>741.78943019999997</v>
      </c>
      <c r="K27" s="36"/>
    </row>
    <row r="28" spans="1:11" x14ac:dyDescent="0.25">
      <c r="A28" s="40"/>
      <c r="B28" s="37"/>
      <c r="C28" s="42"/>
      <c r="D28" s="43"/>
      <c r="E28" s="43"/>
      <c r="F28" s="43"/>
      <c r="G28" s="43"/>
      <c r="H28" s="43"/>
      <c r="I28" s="43"/>
      <c r="J28" s="45"/>
      <c r="K28" s="36"/>
    </row>
    <row r="29" spans="1:11" ht="75" x14ac:dyDescent="0.25">
      <c r="A29" s="18">
        <v>4</v>
      </c>
      <c r="B29" s="30" t="s">
        <v>43</v>
      </c>
      <c r="C29" s="19"/>
      <c r="D29" s="20"/>
      <c r="E29" s="21"/>
      <c r="F29" s="21"/>
      <c r="G29" s="23"/>
      <c r="H29" s="22"/>
      <c r="I29" s="23"/>
      <c r="J29" s="41"/>
      <c r="K29" s="21"/>
    </row>
    <row r="30" spans="1:11" ht="15" customHeight="1" x14ac:dyDescent="0.25">
      <c r="A30" s="18"/>
      <c r="B30" s="37" t="str">
        <f>B10</f>
        <v>-For wall</v>
      </c>
      <c r="C30" s="36">
        <v>0</v>
      </c>
      <c r="D30" s="38">
        <v>0</v>
      </c>
      <c r="E30" s="38">
        <v>0</v>
      </c>
      <c r="F30" s="38">
        <v>0</v>
      </c>
      <c r="G30" s="39">
        <f>PRODUCT(C30:F30)</f>
        <v>0</v>
      </c>
      <c r="H30" s="40"/>
      <c r="I30" s="40"/>
      <c r="J30" s="40"/>
      <c r="K30" s="21"/>
    </row>
    <row r="31" spans="1:11" ht="15" customHeight="1" x14ac:dyDescent="0.25">
      <c r="A31" s="40"/>
      <c r="B31" s="37" t="s">
        <v>40</v>
      </c>
      <c r="C31" s="42"/>
      <c r="D31" s="43"/>
      <c r="E31" s="43"/>
      <c r="F31" s="43"/>
      <c r="G31" s="33">
        <f>SUM(G30:G30)</f>
        <v>0</v>
      </c>
      <c r="H31" s="33" t="s">
        <v>39</v>
      </c>
      <c r="I31" s="33">
        <v>10634.5</v>
      </c>
      <c r="J31" s="44">
        <f>G31*I31</f>
        <v>0</v>
      </c>
      <c r="K31" s="36"/>
    </row>
    <row r="32" spans="1:11" ht="15" customHeight="1" x14ac:dyDescent="0.25">
      <c r="A32" s="40"/>
      <c r="B32" s="37" t="s">
        <v>38</v>
      </c>
      <c r="C32" s="42"/>
      <c r="D32" s="43"/>
      <c r="E32" s="43"/>
      <c r="F32" s="43"/>
      <c r="G32" s="43"/>
      <c r="H32" s="43"/>
      <c r="I32" s="43"/>
      <c r="J32" s="45">
        <f>0.13*G31*((114907.3+6135.3)/15)</f>
        <v>0</v>
      </c>
      <c r="K32" s="36"/>
    </row>
    <row r="33" spans="1:13" ht="15" customHeight="1" x14ac:dyDescent="0.25">
      <c r="A33" s="40"/>
      <c r="B33" s="37"/>
      <c r="C33" s="42"/>
      <c r="D33" s="43"/>
      <c r="E33" s="43"/>
      <c r="F33" s="43"/>
      <c r="G33" s="43"/>
      <c r="H33" s="43"/>
      <c r="I33" s="43"/>
      <c r="J33" s="45"/>
      <c r="K33" s="36"/>
    </row>
    <row r="34" spans="1:13" ht="135" x14ac:dyDescent="0.25">
      <c r="A34" s="18">
        <v>5</v>
      </c>
      <c r="B34" s="30" t="s">
        <v>51</v>
      </c>
      <c r="C34" s="19"/>
      <c r="D34" s="20"/>
      <c r="E34" s="21"/>
      <c r="F34" s="21"/>
      <c r="G34" s="23"/>
      <c r="H34" s="22"/>
      <c r="I34" s="23"/>
      <c r="J34" s="41"/>
      <c r="K34" s="21"/>
    </row>
    <row r="35" spans="1:13" ht="15" customHeight="1" x14ac:dyDescent="0.25">
      <c r="A35" s="18"/>
      <c r="B35" s="37" t="s">
        <v>49</v>
      </c>
      <c r="C35" s="36">
        <v>1</v>
      </c>
      <c r="D35" s="38">
        <f>(2.48)</f>
        <v>2.48</v>
      </c>
      <c r="E35" s="38">
        <f>((0.95+1.13)/2+(1.1))/2</f>
        <v>1.07</v>
      </c>
      <c r="F35" s="38">
        <v>1.54</v>
      </c>
      <c r="G35" s="39">
        <f>PRODUCT(C35:F35)</f>
        <v>4.086544</v>
      </c>
      <c r="H35" s="40"/>
      <c r="I35" s="40"/>
      <c r="J35" s="40"/>
      <c r="K35" s="21"/>
      <c r="M35">
        <f>1.04+0.52</f>
        <v>1.56</v>
      </c>
    </row>
    <row r="36" spans="1:13" ht="15" customHeight="1" x14ac:dyDescent="0.25">
      <c r="A36" s="18"/>
      <c r="B36" s="37"/>
      <c r="C36" s="36"/>
      <c r="D36" s="38">
        <v>2.48</v>
      </c>
      <c r="E36" s="38">
        <f>((1.06+1.13)/2+(1.1))/2</f>
        <v>1.0975000000000001</v>
      </c>
      <c r="F36" s="38">
        <v>1.54</v>
      </c>
      <c r="G36" s="39">
        <f t="shared" ref="G36:G40" si="1">PRODUCT(C36:F36)</f>
        <v>4.1915720000000007</v>
      </c>
      <c r="H36" s="40"/>
      <c r="I36" s="40"/>
      <c r="J36" s="40"/>
      <c r="K36" s="21"/>
    </row>
    <row r="37" spans="1:13" ht="15" customHeight="1" x14ac:dyDescent="0.25">
      <c r="A37" s="18"/>
      <c r="B37" s="37"/>
      <c r="C37" s="36"/>
      <c r="D37" s="38">
        <v>2.42</v>
      </c>
      <c r="E37" s="38">
        <f>((1.06+0.95)/2+(1.1))/2</f>
        <v>1.0525</v>
      </c>
      <c r="F37" s="38">
        <v>1.54</v>
      </c>
      <c r="G37" s="39">
        <f t="shared" si="1"/>
        <v>3.9224570000000001</v>
      </c>
      <c r="H37" s="40"/>
      <c r="I37" s="40"/>
      <c r="J37" s="40"/>
      <c r="K37" s="21"/>
    </row>
    <row r="38" spans="1:13" ht="15" customHeight="1" x14ac:dyDescent="0.25">
      <c r="A38" s="18"/>
      <c r="B38" s="37"/>
      <c r="C38" s="36"/>
      <c r="D38" s="38">
        <v>2.44</v>
      </c>
      <c r="E38" s="38">
        <f>((0.95+0.92)/2+(1.1))/2</f>
        <v>1.0175000000000001</v>
      </c>
      <c r="F38" s="38">
        <v>1.54</v>
      </c>
      <c r="G38" s="39">
        <f t="shared" si="1"/>
        <v>3.8233579999999998</v>
      </c>
      <c r="H38" s="40"/>
      <c r="I38" s="40"/>
      <c r="J38" s="40"/>
      <c r="K38" s="21"/>
    </row>
    <row r="39" spans="1:13" ht="15" customHeight="1" x14ac:dyDescent="0.25">
      <c r="A39" s="18"/>
      <c r="B39" s="37"/>
      <c r="C39" s="36"/>
      <c r="D39" s="38">
        <v>2.4500000000000002</v>
      </c>
      <c r="E39" s="38">
        <f>((0.92+0.78)/2+(1.1))/2</f>
        <v>0.97500000000000009</v>
      </c>
      <c r="F39" s="38">
        <v>1.54</v>
      </c>
      <c r="G39" s="39">
        <f t="shared" si="1"/>
        <v>3.6786750000000006</v>
      </c>
      <c r="H39" s="40"/>
      <c r="I39" s="40"/>
      <c r="J39" s="40"/>
      <c r="K39" s="21"/>
    </row>
    <row r="40" spans="1:13" ht="15" customHeight="1" x14ac:dyDescent="0.25">
      <c r="A40" s="18"/>
      <c r="B40" s="37"/>
      <c r="C40" s="36"/>
      <c r="D40" s="38">
        <v>2.4</v>
      </c>
      <c r="E40" s="38">
        <f>((0.78+0.75)/2+(1.1))/2</f>
        <v>0.93250000000000011</v>
      </c>
      <c r="F40" s="38">
        <v>1.22</v>
      </c>
      <c r="G40" s="39">
        <f t="shared" si="1"/>
        <v>2.7303600000000001</v>
      </c>
      <c r="H40" s="40"/>
      <c r="I40" s="40"/>
      <c r="J40" s="40"/>
      <c r="K40" s="21"/>
    </row>
    <row r="41" spans="1:13" ht="15" customHeight="1" x14ac:dyDescent="0.25">
      <c r="A41" s="40"/>
      <c r="B41" s="37" t="s">
        <v>40</v>
      </c>
      <c r="C41" s="42"/>
      <c r="D41" s="43"/>
      <c r="E41" s="43"/>
      <c r="F41" s="43"/>
      <c r="G41" s="33">
        <f>SUM(G35:G40)</f>
        <v>22.432966000000004</v>
      </c>
      <c r="H41" s="33" t="s">
        <v>39</v>
      </c>
      <c r="I41" s="33">
        <v>9623.4699999999993</v>
      </c>
      <c r="J41" s="44">
        <f>G41*I41</f>
        <v>215882.97531202002</v>
      </c>
      <c r="K41" s="36"/>
    </row>
    <row r="42" spans="1:13" ht="15" customHeight="1" x14ac:dyDescent="0.25">
      <c r="A42" s="40"/>
      <c r="B42" s="37" t="s">
        <v>38</v>
      </c>
      <c r="C42" s="42"/>
      <c r="D42" s="43"/>
      <c r="E42" s="43"/>
      <c r="F42" s="43"/>
      <c r="G42" s="43"/>
      <c r="H42" s="43"/>
      <c r="I42" s="43"/>
      <c r="J42" s="45">
        <f>0.13*G41*((59609.3+3478.36)/10)</f>
        <v>18398.163313394285</v>
      </c>
      <c r="K42" s="36"/>
    </row>
    <row r="43" spans="1:13" ht="15" customHeight="1" x14ac:dyDescent="0.25">
      <c r="A43" s="40"/>
      <c r="B43" s="37"/>
      <c r="C43" s="42"/>
      <c r="D43" s="43"/>
      <c r="E43" s="43"/>
      <c r="F43" s="43"/>
      <c r="G43" s="43"/>
      <c r="H43" s="43"/>
      <c r="I43" s="43"/>
      <c r="J43" s="45"/>
      <c r="K43" s="36"/>
    </row>
    <row r="44" spans="1:13" ht="15" customHeight="1" x14ac:dyDescent="0.25">
      <c r="A44" s="18">
        <v>6</v>
      </c>
      <c r="B44" s="30" t="s">
        <v>30</v>
      </c>
      <c r="C44" s="19">
        <v>1</v>
      </c>
      <c r="D44" s="20"/>
      <c r="E44" s="21"/>
      <c r="F44" s="21"/>
      <c r="G44" s="34">
        <f t="shared" ref="G44" si="2">PRODUCT(C44:F44)</f>
        <v>1</v>
      </c>
      <c r="H44" s="22" t="s">
        <v>31</v>
      </c>
      <c r="I44" s="23">
        <v>500</v>
      </c>
      <c r="J44" s="34">
        <f>G44*I44</f>
        <v>500</v>
      </c>
      <c r="K44" s="21"/>
    </row>
    <row r="45" spans="1:13" ht="15" customHeight="1" x14ac:dyDescent="0.25">
      <c r="A45" s="18"/>
      <c r="B45" s="24"/>
      <c r="C45" s="19"/>
      <c r="D45" s="20"/>
      <c r="E45" s="21"/>
      <c r="F45" s="21"/>
      <c r="G45" s="23"/>
      <c r="H45" s="22"/>
      <c r="I45" s="23"/>
      <c r="J45" s="41"/>
      <c r="K45" s="21"/>
    </row>
    <row r="46" spans="1:13" x14ac:dyDescent="0.25">
      <c r="A46" s="40"/>
      <c r="B46" s="46" t="s">
        <v>17</v>
      </c>
      <c r="C46" s="47"/>
      <c r="D46" s="38"/>
      <c r="E46" s="38"/>
      <c r="F46" s="38"/>
      <c r="G46" s="41"/>
      <c r="H46" s="41"/>
      <c r="I46" s="41"/>
      <c r="J46" s="41">
        <f>SUM(J10:J44)</f>
        <v>245642.31404482681</v>
      </c>
      <c r="K46" s="36"/>
    </row>
    <row r="47" spans="1:13" x14ac:dyDescent="0.25">
      <c r="A47" s="58"/>
      <c r="B47" s="61"/>
      <c r="C47" s="62"/>
      <c r="D47" s="59"/>
      <c r="E47" s="59"/>
      <c r="F47" s="59"/>
      <c r="G47" s="60"/>
      <c r="H47" s="60"/>
      <c r="I47" s="60"/>
      <c r="J47" s="60"/>
      <c r="K47" s="57"/>
    </row>
    <row r="48" spans="1:13" s="1" customFormat="1" x14ac:dyDescent="0.25">
      <c r="A48" s="50"/>
      <c r="B48" s="29" t="s">
        <v>54</v>
      </c>
      <c r="C48" s="76">
        <f>J46</f>
        <v>245642.31404482681</v>
      </c>
      <c r="D48" s="76"/>
      <c r="E48" s="39">
        <v>100</v>
      </c>
      <c r="F48" s="51"/>
      <c r="G48" s="52"/>
      <c r="H48" s="51"/>
      <c r="I48" s="53"/>
      <c r="J48" s="54"/>
      <c r="K48" s="55"/>
    </row>
    <row r="49" spans="1:11" x14ac:dyDescent="0.25">
      <c r="A49" s="56"/>
      <c r="B49" s="29" t="s">
        <v>32</v>
      </c>
      <c r="C49" s="79">
        <v>250000</v>
      </c>
      <c r="D49" s="79"/>
      <c r="E49" s="39"/>
      <c r="F49" s="49"/>
      <c r="G49" s="48"/>
      <c r="H49" s="48"/>
      <c r="I49" s="48"/>
      <c r="J49" s="48"/>
      <c r="K49" s="49"/>
    </row>
    <row r="50" spans="1:11" x14ac:dyDescent="0.25">
      <c r="A50" s="56"/>
      <c r="B50" s="29" t="s">
        <v>33</v>
      </c>
      <c r="C50" s="79">
        <f>84.27%*C48</f>
        <v>207002.77804557554</v>
      </c>
      <c r="D50" s="79"/>
      <c r="E50" s="39">
        <f>C50/C48*100</f>
        <v>84.27</v>
      </c>
      <c r="F50" s="49"/>
      <c r="G50" s="48"/>
      <c r="H50" s="48"/>
      <c r="I50" s="48"/>
      <c r="J50" s="48"/>
      <c r="K50" s="49"/>
    </row>
    <row r="51" spans="1:11" x14ac:dyDescent="0.25">
      <c r="A51" s="56"/>
      <c r="B51" s="29" t="s">
        <v>34</v>
      </c>
      <c r="C51" s="76">
        <f>C48-C50</f>
        <v>38639.535999251268</v>
      </c>
      <c r="D51" s="76"/>
      <c r="E51" s="39">
        <f>100-E50</f>
        <v>15.730000000000004</v>
      </c>
      <c r="F51" s="49"/>
      <c r="G51" s="48"/>
      <c r="H51" s="48"/>
      <c r="I51" s="48"/>
      <c r="J51" s="48"/>
      <c r="K51" s="49"/>
    </row>
    <row r="52" spans="1:11" x14ac:dyDescent="0.25">
      <c r="A52" s="56"/>
      <c r="B52" s="29" t="s">
        <v>35</v>
      </c>
      <c r="C52" s="76">
        <f>C49*0.03</f>
        <v>7500</v>
      </c>
      <c r="D52" s="76"/>
      <c r="E52" s="39">
        <v>3</v>
      </c>
      <c r="F52" s="49"/>
      <c r="G52" s="48"/>
      <c r="H52" s="48"/>
      <c r="I52" s="48"/>
      <c r="J52" s="48"/>
      <c r="K52" s="49"/>
    </row>
    <row r="53" spans="1:11" x14ac:dyDescent="0.25">
      <c r="A53" s="56"/>
      <c r="B53" s="29" t="s">
        <v>36</v>
      </c>
      <c r="C53" s="76">
        <f>C49*0.02</f>
        <v>5000</v>
      </c>
      <c r="D53" s="76"/>
      <c r="E53" s="39">
        <v>2</v>
      </c>
      <c r="F53" s="49"/>
      <c r="G53" s="48"/>
      <c r="H53" s="48"/>
      <c r="I53" s="48"/>
      <c r="J53" s="48"/>
      <c r="K53" s="49"/>
    </row>
    <row r="54" spans="1:11" s="35" customFormat="1" x14ac:dyDescent="0.25">
      <c r="A54" s="57"/>
      <c r="B54" s="57"/>
      <c r="C54" s="57"/>
      <c r="D54" s="57"/>
      <c r="E54" s="57"/>
      <c r="F54" s="57"/>
      <c r="G54" s="57"/>
      <c r="H54" s="57"/>
      <c r="I54" s="57"/>
      <c r="J54" s="57"/>
      <c r="K54" s="57"/>
    </row>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sheetData>
  <mergeCells count="15">
    <mergeCell ref="C52:D52"/>
    <mergeCell ref="C53:D53"/>
    <mergeCell ref="A7:F7"/>
    <mergeCell ref="H7:K7"/>
    <mergeCell ref="C48:D48"/>
    <mergeCell ref="C49:D49"/>
    <mergeCell ref="C50:D50"/>
    <mergeCell ref="C51:D51"/>
    <mergeCell ref="A6:F6"/>
    <mergeCell ref="H6:K6"/>
    <mergeCell ref="A1:K1"/>
    <mergeCell ref="A2:K2"/>
    <mergeCell ref="A3:K3"/>
    <mergeCell ref="A4:K4"/>
    <mergeCell ref="A5:K5"/>
  </mergeCells>
  <pageMargins left="0.70866141732283472" right="0.70866141732283472" top="0.74803149606299213" bottom="0.74803149606299213" header="0.31496062992125984" footer="0.31496062992125984"/>
  <pageSetup paperSize="9" scale="80" orientation="portrait" r:id="rId1"/>
  <headerFooter>
    <oddFooter xml:space="preserve">&amp;LPrepared By:
&amp;CChecked By:
&amp;RApproved By:
</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10"/>
  <sheetViews>
    <sheetView tabSelected="1" view="pageBreakPreview" topLeftCell="A15" zoomScale="60" zoomScaleNormal="100" workbookViewId="0">
      <selection activeCell="A6" sqref="A6:F6"/>
    </sheetView>
  </sheetViews>
  <sheetFormatPr defaultRowHeight="15" x14ac:dyDescent="0.25"/>
  <cols>
    <col min="1" max="1" width="4.7109375" customWidth="1"/>
    <col min="2" max="2" width="31.28515625" customWidth="1"/>
    <col min="3" max="3" width="4.5703125" bestFit="1" customWidth="1"/>
    <col min="4" max="4" width="7.5703125" customWidth="1"/>
    <col min="5" max="5" width="8.5703125" customWidth="1"/>
    <col min="6" max="6" width="8" customWidth="1"/>
    <col min="7" max="7" width="8.5703125" customWidth="1"/>
    <col min="8" max="8" width="5" bestFit="1" customWidth="1"/>
    <col min="9" max="9" width="10.85546875" hidden="1" customWidth="1"/>
    <col min="10" max="10" width="10.7109375" hidden="1" customWidth="1"/>
  </cols>
  <sheetData>
    <row r="1" spans="1:11" s="1" customFormat="1" x14ac:dyDescent="0.25">
      <c r="A1" s="72" t="s">
        <v>0</v>
      </c>
      <c r="B1" s="72"/>
      <c r="C1" s="72"/>
      <c r="D1" s="72"/>
      <c r="E1" s="72"/>
      <c r="F1" s="72"/>
      <c r="G1" s="72"/>
      <c r="H1" s="72"/>
      <c r="I1" s="72"/>
      <c r="J1" s="72"/>
      <c r="K1" s="72"/>
    </row>
    <row r="2" spans="1:11" s="1" customFormat="1" ht="22.5" x14ac:dyDescent="0.25">
      <c r="A2" s="73" t="s">
        <v>1</v>
      </c>
      <c r="B2" s="73"/>
      <c r="C2" s="73"/>
      <c r="D2" s="73"/>
      <c r="E2" s="73"/>
      <c r="F2" s="73"/>
      <c r="G2" s="73"/>
      <c r="H2" s="73"/>
      <c r="I2" s="73"/>
      <c r="J2" s="73"/>
      <c r="K2" s="73"/>
    </row>
    <row r="3" spans="1:11" s="1" customFormat="1" x14ac:dyDescent="0.25">
      <c r="A3" s="74" t="s">
        <v>2</v>
      </c>
      <c r="B3" s="74"/>
      <c r="C3" s="74"/>
      <c r="D3" s="74"/>
      <c r="E3" s="74"/>
      <c r="F3" s="74"/>
      <c r="G3" s="74"/>
      <c r="H3" s="74"/>
      <c r="I3" s="74"/>
      <c r="J3" s="74"/>
      <c r="K3" s="74"/>
    </row>
    <row r="4" spans="1:11" s="1" customFormat="1" x14ac:dyDescent="0.25">
      <c r="A4" s="74" t="s">
        <v>3</v>
      </c>
      <c r="B4" s="74"/>
      <c r="C4" s="74"/>
      <c r="D4" s="74"/>
      <c r="E4" s="74"/>
      <c r="F4" s="74"/>
      <c r="G4" s="74"/>
      <c r="H4" s="74"/>
      <c r="I4" s="74"/>
      <c r="J4" s="74"/>
      <c r="K4" s="74"/>
    </row>
    <row r="5" spans="1:11" ht="18.75" x14ac:dyDescent="0.3">
      <c r="A5" s="75" t="s">
        <v>59</v>
      </c>
      <c r="B5" s="75"/>
      <c r="C5" s="75"/>
      <c r="D5" s="75"/>
      <c r="E5" s="75"/>
      <c r="F5" s="75"/>
      <c r="G5" s="75"/>
      <c r="H5" s="75"/>
      <c r="I5" s="75"/>
      <c r="J5" s="75"/>
      <c r="K5" s="75"/>
    </row>
    <row r="6" spans="1:11" ht="15.75" x14ac:dyDescent="0.25">
      <c r="A6" s="70" t="s">
        <v>53</v>
      </c>
      <c r="B6" s="70"/>
      <c r="C6" s="70"/>
      <c r="D6" s="70"/>
      <c r="E6" s="70"/>
      <c r="F6" s="70"/>
      <c r="G6" s="2"/>
      <c r="I6" s="68"/>
      <c r="J6" s="68"/>
      <c r="K6" s="67" t="s">
        <v>45</v>
      </c>
    </row>
    <row r="7" spans="1:11" ht="15.75" x14ac:dyDescent="0.25">
      <c r="A7" s="77" t="s">
        <v>28</v>
      </c>
      <c r="B7" s="77"/>
      <c r="C7" s="77"/>
      <c r="D7" s="77"/>
      <c r="E7" s="77"/>
      <c r="F7" s="77"/>
      <c r="G7" s="3"/>
      <c r="I7" s="69"/>
      <c r="J7" s="69"/>
      <c r="K7" s="66" t="s">
        <v>60</v>
      </c>
    </row>
    <row r="8" spans="1:11" ht="15" customHeight="1" x14ac:dyDescent="0.25">
      <c r="A8" s="4" t="s">
        <v>5</v>
      </c>
      <c r="B8" s="15" t="s">
        <v>6</v>
      </c>
      <c r="C8" s="4" t="s">
        <v>7</v>
      </c>
      <c r="D8" s="16" t="s">
        <v>8</v>
      </c>
      <c r="E8" s="16" t="s">
        <v>9</v>
      </c>
      <c r="F8" s="16" t="s">
        <v>10</v>
      </c>
      <c r="G8" s="16" t="s">
        <v>11</v>
      </c>
      <c r="H8" s="4" t="s">
        <v>12</v>
      </c>
      <c r="I8" s="16" t="s">
        <v>13</v>
      </c>
      <c r="J8" s="16" t="s">
        <v>14</v>
      </c>
      <c r="K8" s="17" t="s">
        <v>15</v>
      </c>
    </row>
    <row r="9" spans="1:11" ht="150" x14ac:dyDescent="0.25">
      <c r="A9" s="63">
        <v>1</v>
      </c>
      <c r="B9" s="30" t="s">
        <v>44</v>
      </c>
      <c r="C9" s="36"/>
      <c r="D9" s="36"/>
      <c r="E9" s="36"/>
      <c r="F9" s="36"/>
      <c r="G9" s="36"/>
      <c r="H9" s="36"/>
      <c r="I9" s="36"/>
      <c r="J9" s="36"/>
      <c r="K9" s="36"/>
    </row>
    <row r="10" spans="1:11" ht="15" customHeight="1" x14ac:dyDescent="0.25">
      <c r="A10" s="18"/>
      <c r="B10" s="37" t="s">
        <v>49</v>
      </c>
      <c r="C10" s="64">
        <v>0.5</v>
      </c>
      <c r="D10" s="38">
        <f>2.48+2.48+2.42+2.44+2.45+2.4</f>
        <v>14.67</v>
      </c>
      <c r="E10" s="38">
        <f>E20</f>
        <v>1.05</v>
      </c>
      <c r="F10" s="38">
        <f>1.5+0.15</f>
        <v>1.65</v>
      </c>
      <c r="G10" s="39">
        <f>PRODUCT(C10:F10)</f>
        <v>12.7078875</v>
      </c>
      <c r="H10" s="40"/>
      <c r="I10" s="40"/>
      <c r="J10" s="40"/>
      <c r="K10" s="21"/>
    </row>
    <row r="11" spans="1:11" ht="15" customHeight="1" x14ac:dyDescent="0.25">
      <c r="A11" s="18"/>
      <c r="B11" s="37" t="s">
        <v>56</v>
      </c>
      <c r="C11" s="64">
        <v>1</v>
      </c>
      <c r="D11" s="38">
        <v>15</v>
      </c>
      <c r="E11" s="38">
        <v>2.5</v>
      </c>
      <c r="F11" s="38">
        <v>0.25</v>
      </c>
      <c r="G11" s="39">
        <f>PRODUCT(C11:F11)</f>
        <v>9.375</v>
      </c>
      <c r="H11" s="40"/>
      <c r="I11" s="40"/>
      <c r="J11" s="40"/>
      <c r="K11" s="21"/>
    </row>
    <row r="12" spans="1:11" ht="15" customHeight="1" x14ac:dyDescent="0.25">
      <c r="A12" s="18"/>
      <c r="B12" s="37" t="s">
        <v>40</v>
      </c>
      <c r="C12" s="19"/>
      <c r="D12" s="20"/>
      <c r="E12" s="21"/>
      <c r="F12" s="21"/>
      <c r="G12" s="23">
        <f>SUM(G10:G11)</f>
        <v>22.082887499999998</v>
      </c>
      <c r="H12" s="22" t="s">
        <v>39</v>
      </c>
      <c r="I12" s="23">
        <v>64.63</v>
      </c>
      <c r="J12" s="41">
        <f>G12*I12</f>
        <v>1427.2170191249998</v>
      </c>
      <c r="K12" s="21"/>
    </row>
    <row r="13" spans="1:11" ht="15" hidden="1" customHeight="1" x14ac:dyDescent="0.25">
      <c r="A13" s="18"/>
      <c r="B13" s="37" t="s">
        <v>38</v>
      </c>
      <c r="C13" s="19"/>
      <c r="D13" s="20"/>
      <c r="E13" s="21"/>
      <c r="F13" s="21"/>
      <c r="G13" s="23"/>
      <c r="H13" s="22"/>
      <c r="I13" s="23"/>
      <c r="J13" s="41">
        <f>0.13*G12*19284/360</f>
        <v>153.7778675875</v>
      </c>
      <c r="K13" s="21"/>
    </row>
    <row r="14" spans="1:11" ht="15" customHeight="1" x14ac:dyDescent="0.25">
      <c r="A14" s="18"/>
      <c r="B14" s="37"/>
      <c r="C14" s="19"/>
      <c r="D14" s="20"/>
      <c r="E14" s="21"/>
      <c r="F14" s="21"/>
      <c r="G14" s="23"/>
      <c r="H14" s="22"/>
      <c r="I14" s="23"/>
      <c r="J14" s="41"/>
      <c r="K14" s="21"/>
    </row>
    <row r="15" spans="1:11" ht="105" x14ac:dyDescent="0.25">
      <c r="A15" s="18">
        <v>2</v>
      </c>
      <c r="B15" s="30" t="s">
        <v>50</v>
      </c>
      <c r="C15" s="19"/>
      <c r="D15" s="20"/>
      <c r="E15" s="21"/>
      <c r="F15" s="21"/>
      <c r="G15" s="23"/>
      <c r="H15" s="22"/>
      <c r="I15" s="23"/>
      <c r="J15" s="41"/>
      <c r="K15" s="21"/>
    </row>
    <row r="16" spans="1:11" ht="15" customHeight="1" x14ac:dyDescent="0.25">
      <c r="A16" s="18"/>
      <c r="B16" s="37" t="s">
        <v>42</v>
      </c>
      <c r="C16" s="64">
        <v>0</v>
      </c>
      <c r="D16" s="38">
        <f>D20</f>
        <v>2.48</v>
      </c>
      <c r="E16" s="38">
        <f>0.75*E20</f>
        <v>0.78750000000000009</v>
      </c>
      <c r="F16" s="38">
        <f>F10/2</f>
        <v>0.82499999999999996</v>
      </c>
      <c r="G16" s="39">
        <f>PRODUCT(C16:F16)</f>
        <v>0</v>
      </c>
      <c r="H16" s="40"/>
      <c r="I16" s="40"/>
      <c r="J16" s="40"/>
      <c r="K16" s="21"/>
    </row>
    <row r="17" spans="1:11" ht="15" customHeight="1" x14ac:dyDescent="0.25">
      <c r="A17" s="18"/>
      <c r="B17" s="37" t="s">
        <v>40</v>
      </c>
      <c r="C17" s="19"/>
      <c r="D17" s="20"/>
      <c r="E17" s="21"/>
      <c r="F17" s="21"/>
      <c r="G17" s="23">
        <f>SUM(G16:G16)</f>
        <v>0</v>
      </c>
      <c r="H17" s="22" t="s">
        <v>39</v>
      </c>
      <c r="I17" s="23">
        <v>404.28</v>
      </c>
      <c r="J17" s="41">
        <f>G17*I17</f>
        <v>0</v>
      </c>
      <c r="K17" s="21"/>
    </row>
    <row r="18" spans="1:11" ht="15" customHeight="1" x14ac:dyDescent="0.25">
      <c r="A18" s="18"/>
      <c r="B18" s="37"/>
      <c r="C18" s="19"/>
      <c r="D18" s="20"/>
      <c r="E18" s="21"/>
      <c r="F18" s="21"/>
      <c r="G18" s="23"/>
      <c r="H18" s="22"/>
      <c r="I18" s="23"/>
      <c r="J18" s="41"/>
      <c r="K18" s="21"/>
    </row>
    <row r="19" spans="1:11" ht="90" x14ac:dyDescent="0.25">
      <c r="A19" s="18">
        <v>3</v>
      </c>
      <c r="B19" s="30" t="s">
        <v>41</v>
      </c>
      <c r="C19" s="19"/>
      <c r="D19" s="20"/>
      <c r="E19" s="21"/>
      <c r="F19" s="21"/>
      <c r="G19" s="23"/>
      <c r="H19" s="22"/>
      <c r="I19" s="23"/>
      <c r="J19" s="41"/>
      <c r="K19" s="21"/>
    </row>
    <row r="20" spans="1:11" ht="15" customHeight="1" x14ac:dyDescent="0.25">
      <c r="A20" s="18"/>
      <c r="B20" s="37" t="str">
        <f>B16</f>
        <v>-Road</v>
      </c>
      <c r="C20" s="36">
        <v>1</v>
      </c>
      <c r="D20" s="38">
        <f>(2.48)</f>
        <v>2.48</v>
      </c>
      <c r="E20" s="38">
        <v>1.05</v>
      </c>
      <c r="F20" s="38">
        <v>0.125</v>
      </c>
      <c r="G20" s="39">
        <f>PRODUCT(C20:F20)</f>
        <v>0.32550000000000001</v>
      </c>
      <c r="H20" s="40"/>
      <c r="I20" s="40"/>
      <c r="J20" s="40"/>
      <c r="K20" s="21"/>
    </row>
    <row r="21" spans="1:11" ht="15" customHeight="1" x14ac:dyDescent="0.25">
      <c r="A21" s="18"/>
      <c r="B21" s="37"/>
      <c r="C21" s="36"/>
      <c r="D21" s="38">
        <v>2.48</v>
      </c>
      <c r="E21" s="38">
        <v>1.05</v>
      </c>
      <c r="F21" s="38">
        <v>0.125</v>
      </c>
      <c r="G21" s="39">
        <f t="shared" ref="G21:G25" si="0">PRODUCT(C21:F21)</f>
        <v>0.32550000000000001</v>
      </c>
      <c r="H21" s="40"/>
      <c r="I21" s="40"/>
      <c r="J21" s="40"/>
      <c r="K21" s="21"/>
    </row>
    <row r="22" spans="1:11" ht="15" customHeight="1" x14ac:dyDescent="0.25">
      <c r="A22" s="18"/>
      <c r="B22" s="37"/>
      <c r="C22" s="36"/>
      <c r="D22" s="38">
        <v>2.42</v>
      </c>
      <c r="E22" s="38">
        <v>1.05</v>
      </c>
      <c r="F22" s="38">
        <v>0.125</v>
      </c>
      <c r="G22" s="39">
        <f t="shared" si="0"/>
        <v>0.31762499999999999</v>
      </c>
      <c r="H22" s="40"/>
      <c r="I22" s="40"/>
      <c r="J22" s="40"/>
      <c r="K22" s="21"/>
    </row>
    <row r="23" spans="1:11" ht="15" customHeight="1" x14ac:dyDescent="0.25">
      <c r="A23" s="18"/>
      <c r="B23" s="37"/>
      <c r="C23" s="36"/>
      <c r="D23" s="38">
        <v>2.44</v>
      </c>
      <c r="E23" s="38">
        <v>1.05</v>
      </c>
      <c r="F23" s="38">
        <v>0.125</v>
      </c>
      <c r="G23" s="39">
        <f t="shared" si="0"/>
        <v>0.32024999999999998</v>
      </c>
      <c r="H23" s="40"/>
      <c r="I23" s="40"/>
      <c r="J23" s="40"/>
      <c r="K23" s="21"/>
    </row>
    <row r="24" spans="1:11" ht="15" customHeight="1" x14ac:dyDescent="0.25">
      <c r="A24" s="18"/>
      <c r="B24" s="37"/>
      <c r="C24" s="36"/>
      <c r="D24" s="38">
        <v>2.4500000000000002</v>
      </c>
      <c r="E24" s="38">
        <v>1.05</v>
      </c>
      <c r="F24" s="38">
        <v>0.125</v>
      </c>
      <c r="G24" s="39">
        <f t="shared" si="0"/>
        <v>0.32156250000000003</v>
      </c>
      <c r="H24" s="40"/>
      <c r="I24" s="40"/>
      <c r="J24" s="40"/>
      <c r="K24" s="21"/>
    </row>
    <row r="25" spans="1:11" ht="15" customHeight="1" x14ac:dyDescent="0.25">
      <c r="A25" s="18"/>
      <c r="B25" s="37"/>
      <c r="C25" s="36"/>
      <c r="D25" s="38">
        <v>2.4</v>
      </c>
      <c r="E25" s="38">
        <v>1.05</v>
      </c>
      <c r="F25" s="38">
        <v>0.125</v>
      </c>
      <c r="G25" s="39">
        <f t="shared" si="0"/>
        <v>0.315</v>
      </c>
      <c r="H25" s="40"/>
      <c r="I25" s="40"/>
      <c r="J25" s="40"/>
      <c r="K25" s="21"/>
    </row>
    <row r="26" spans="1:11" ht="15" customHeight="1" x14ac:dyDescent="0.25">
      <c r="A26" s="40"/>
      <c r="B26" s="37" t="s">
        <v>40</v>
      </c>
      <c r="C26" s="42"/>
      <c r="D26" s="43"/>
      <c r="E26" s="43"/>
      <c r="F26" s="43"/>
      <c r="G26" s="33">
        <f>SUM(G20:G25)</f>
        <v>1.9254374999999999</v>
      </c>
      <c r="H26" s="33" t="s">
        <v>39</v>
      </c>
      <c r="I26" s="33">
        <v>4434.5200000000004</v>
      </c>
      <c r="J26" s="44">
        <f>G26*I26</f>
        <v>8538.3911024999998</v>
      </c>
      <c r="K26" s="36"/>
    </row>
    <row r="27" spans="1:11" hidden="1" x14ac:dyDescent="0.25">
      <c r="A27" s="40"/>
      <c r="B27" s="37" t="s">
        <v>38</v>
      </c>
      <c r="C27" s="42"/>
      <c r="D27" s="43"/>
      <c r="E27" s="43"/>
      <c r="F27" s="43"/>
      <c r="G27" s="43"/>
      <c r="H27" s="43"/>
      <c r="I27" s="43"/>
      <c r="J27" s="45">
        <f>0.13*G26*(14817.6/5)</f>
        <v>741.78943019999997</v>
      </c>
      <c r="K27" s="36"/>
    </row>
    <row r="28" spans="1:11" x14ac:dyDescent="0.25">
      <c r="A28" s="40"/>
      <c r="B28" s="37"/>
      <c r="C28" s="42"/>
      <c r="D28" s="43"/>
      <c r="E28" s="43"/>
      <c r="F28" s="43"/>
      <c r="G28" s="43"/>
      <c r="H28" s="43"/>
      <c r="I28" s="43"/>
      <c r="J28" s="45"/>
      <c r="K28" s="36"/>
    </row>
    <row r="29" spans="1:11" ht="75" x14ac:dyDescent="0.25">
      <c r="A29" s="18">
        <v>4</v>
      </c>
      <c r="B29" s="30" t="s">
        <v>43</v>
      </c>
      <c r="C29" s="19"/>
      <c r="D29" s="20"/>
      <c r="E29" s="21"/>
      <c r="F29" s="21"/>
      <c r="G29" s="23"/>
      <c r="H29" s="22"/>
      <c r="I29" s="23"/>
      <c r="J29" s="41"/>
      <c r="K29" s="21"/>
    </row>
    <row r="30" spans="1:11" ht="15" customHeight="1" x14ac:dyDescent="0.25">
      <c r="A30" s="18"/>
      <c r="B30" s="37" t="str">
        <f>B10</f>
        <v>-For wall</v>
      </c>
      <c r="C30" s="36">
        <v>0</v>
      </c>
      <c r="D30" s="38">
        <v>0</v>
      </c>
      <c r="E30" s="38">
        <v>0</v>
      </c>
      <c r="F30" s="38">
        <v>0</v>
      </c>
      <c r="G30" s="39">
        <f>PRODUCT(C30:F30)</f>
        <v>0</v>
      </c>
      <c r="H30" s="40"/>
      <c r="I30" s="40"/>
      <c r="J30" s="40"/>
      <c r="K30" s="21"/>
    </row>
    <row r="31" spans="1:11" ht="15" customHeight="1" x14ac:dyDescent="0.25">
      <c r="A31" s="40"/>
      <c r="B31" s="37" t="s">
        <v>40</v>
      </c>
      <c r="C31" s="42"/>
      <c r="D31" s="43"/>
      <c r="E31" s="43"/>
      <c r="F31" s="43"/>
      <c r="G31" s="33">
        <f>SUM(G30:G30)</f>
        <v>0</v>
      </c>
      <c r="H31" s="33" t="s">
        <v>39</v>
      </c>
      <c r="I31" s="33">
        <v>10634.5</v>
      </c>
      <c r="J31" s="44">
        <f>G31*I31</f>
        <v>0</v>
      </c>
      <c r="K31" s="36"/>
    </row>
    <row r="32" spans="1:11" ht="15" hidden="1" customHeight="1" x14ac:dyDescent="0.25">
      <c r="A32" s="40"/>
      <c r="B32" s="37" t="s">
        <v>38</v>
      </c>
      <c r="C32" s="42"/>
      <c r="D32" s="43"/>
      <c r="E32" s="43"/>
      <c r="F32" s="43"/>
      <c r="G32" s="43"/>
      <c r="H32" s="43"/>
      <c r="I32" s="43"/>
      <c r="J32" s="45">
        <f>0.13*G31*((114907.3+6135.3)/15)</f>
        <v>0</v>
      </c>
      <c r="K32" s="36"/>
    </row>
    <row r="33" spans="1:13" ht="15" customHeight="1" x14ac:dyDescent="0.25">
      <c r="A33" s="40"/>
      <c r="B33" s="37"/>
      <c r="C33" s="42"/>
      <c r="D33" s="43"/>
      <c r="E33" s="43"/>
      <c r="F33" s="43"/>
      <c r="G33" s="43"/>
      <c r="H33" s="43"/>
      <c r="I33" s="43"/>
      <c r="J33" s="45"/>
      <c r="K33" s="36"/>
    </row>
    <row r="34" spans="1:13" ht="135" x14ac:dyDescent="0.25">
      <c r="A34" s="18">
        <v>5</v>
      </c>
      <c r="B34" s="30" t="s">
        <v>51</v>
      </c>
      <c r="C34" s="19"/>
      <c r="D34" s="20"/>
      <c r="E34" s="21"/>
      <c r="F34" s="21"/>
      <c r="G34" s="23"/>
      <c r="H34" s="22"/>
      <c r="I34" s="23"/>
      <c r="J34" s="41"/>
      <c r="K34" s="21"/>
    </row>
    <row r="35" spans="1:13" ht="15" customHeight="1" x14ac:dyDescent="0.25">
      <c r="A35" s="18"/>
      <c r="B35" s="37" t="s">
        <v>49</v>
      </c>
      <c r="C35" s="36">
        <v>1</v>
      </c>
      <c r="D35" s="38">
        <f>(2.48)</f>
        <v>2.48</v>
      </c>
      <c r="E35" s="38">
        <f>((0.95+1.13)/2+(1.1))/2</f>
        <v>1.07</v>
      </c>
      <c r="F35" s="38">
        <v>1.54</v>
      </c>
      <c r="G35" s="39">
        <f>PRODUCT(C35:F35)</f>
        <v>4.086544</v>
      </c>
      <c r="H35" s="40"/>
      <c r="I35" s="40"/>
      <c r="J35" s="40"/>
      <c r="K35" s="21"/>
      <c r="M35">
        <f>1.04+0.52</f>
        <v>1.56</v>
      </c>
    </row>
    <row r="36" spans="1:13" ht="15" customHeight="1" x14ac:dyDescent="0.25">
      <c r="A36" s="18"/>
      <c r="B36" s="37"/>
      <c r="C36" s="36"/>
      <c r="D36" s="38">
        <v>2.48</v>
      </c>
      <c r="E36" s="38">
        <f>((1.06+1.13)/2+(1.1))/2</f>
        <v>1.0975000000000001</v>
      </c>
      <c r="F36" s="38">
        <v>1.54</v>
      </c>
      <c r="G36" s="39">
        <f t="shared" ref="G36:G40" si="1">PRODUCT(C36:F36)</f>
        <v>4.1915720000000007</v>
      </c>
      <c r="H36" s="40"/>
      <c r="I36" s="40"/>
      <c r="J36" s="40"/>
      <c r="K36" s="21"/>
    </row>
    <row r="37" spans="1:13" ht="15" customHeight="1" x14ac:dyDescent="0.25">
      <c r="A37" s="18"/>
      <c r="B37" s="37"/>
      <c r="C37" s="36"/>
      <c r="D37" s="38">
        <v>2.42</v>
      </c>
      <c r="E37" s="38">
        <f>((1.06+0.95)/2+(1.1))/2</f>
        <v>1.0525</v>
      </c>
      <c r="F37" s="38">
        <v>1.54</v>
      </c>
      <c r="G37" s="39">
        <f t="shared" si="1"/>
        <v>3.9224570000000001</v>
      </c>
      <c r="H37" s="40"/>
      <c r="I37" s="40"/>
      <c r="J37" s="40"/>
      <c r="K37" s="21"/>
    </row>
    <row r="38" spans="1:13" ht="15" customHeight="1" x14ac:dyDescent="0.25">
      <c r="A38" s="18"/>
      <c r="B38" s="37"/>
      <c r="C38" s="36"/>
      <c r="D38" s="38">
        <v>2.44</v>
      </c>
      <c r="E38" s="38">
        <f>((0.95+0.92)/2+(1.1))/2</f>
        <v>1.0175000000000001</v>
      </c>
      <c r="F38" s="38">
        <v>1.54</v>
      </c>
      <c r="G38" s="39">
        <f t="shared" si="1"/>
        <v>3.8233579999999998</v>
      </c>
      <c r="H38" s="40"/>
      <c r="I38" s="40"/>
      <c r="J38" s="40"/>
      <c r="K38" s="21"/>
    </row>
    <row r="39" spans="1:13" ht="15" customHeight="1" x14ac:dyDescent="0.25">
      <c r="A39" s="18"/>
      <c r="B39" s="37"/>
      <c r="C39" s="36"/>
      <c r="D39" s="38">
        <v>2.4500000000000002</v>
      </c>
      <c r="E39" s="38">
        <f>((0.92+0.78)/2+(1.1))/2</f>
        <v>0.97500000000000009</v>
      </c>
      <c r="F39" s="38">
        <v>1.54</v>
      </c>
      <c r="G39" s="39">
        <f t="shared" si="1"/>
        <v>3.6786750000000006</v>
      </c>
      <c r="H39" s="40"/>
      <c r="I39" s="40"/>
      <c r="J39" s="40"/>
      <c r="K39" s="21"/>
    </row>
    <row r="40" spans="1:13" ht="15" customHeight="1" x14ac:dyDescent="0.25">
      <c r="A40" s="18"/>
      <c r="B40" s="37"/>
      <c r="C40" s="36"/>
      <c r="D40" s="38">
        <v>2.4</v>
      </c>
      <c r="E40" s="38">
        <f>((0.78+0.75)/2+(1.1))/2</f>
        <v>0.93250000000000011</v>
      </c>
      <c r="F40" s="38">
        <v>1.22</v>
      </c>
      <c r="G40" s="39">
        <f t="shared" si="1"/>
        <v>2.7303600000000001</v>
      </c>
      <c r="H40" s="40"/>
      <c r="I40" s="40"/>
      <c r="J40" s="40"/>
      <c r="K40" s="21"/>
    </row>
    <row r="41" spans="1:13" ht="15" customHeight="1" x14ac:dyDescent="0.25">
      <c r="A41" s="40"/>
      <c r="B41" s="37" t="s">
        <v>40</v>
      </c>
      <c r="C41" s="42"/>
      <c r="D41" s="43"/>
      <c r="E41" s="43"/>
      <c r="F41" s="43"/>
      <c r="G41" s="33">
        <f>SUM(G35:G40)</f>
        <v>22.432966000000004</v>
      </c>
      <c r="H41" s="33" t="s">
        <v>39</v>
      </c>
      <c r="I41" s="33">
        <v>9623.4699999999993</v>
      </c>
      <c r="J41" s="44">
        <f>G41*I41</f>
        <v>215882.97531202002</v>
      </c>
      <c r="K41" s="36"/>
    </row>
    <row r="42" spans="1:13" ht="15" hidden="1" customHeight="1" x14ac:dyDescent="0.25">
      <c r="A42" s="40"/>
      <c r="B42" s="37" t="s">
        <v>38</v>
      </c>
      <c r="C42" s="42"/>
      <c r="D42" s="43"/>
      <c r="E42" s="43"/>
      <c r="F42" s="43"/>
      <c r="G42" s="43"/>
      <c r="H42" s="43"/>
      <c r="I42" s="43"/>
      <c r="J42" s="45">
        <f>0.13*G41*((59609.3+3478.36)/10)</f>
        <v>18398.163313394285</v>
      </c>
      <c r="K42" s="36"/>
    </row>
    <row r="43" spans="1:13" ht="15" customHeight="1" x14ac:dyDescent="0.25">
      <c r="A43" s="40"/>
      <c r="B43" s="37"/>
      <c r="C43" s="42"/>
      <c r="D43" s="43"/>
      <c r="E43" s="43"/>
      <c r="F43" s="43"/>
      <c r="G43" s="43"/>
      <c r="H43" s="43"/>
      <c r="I43" s="43"/>
      <c r="J43" s="45"/>
      <c r="K43" s="36"/>
    </row>
    <row r="44" spans="1:13" ht="15" customHeight="1" x14ac:dyDescent="0.25">
      <c r="A44" s="18">
        <v>6</v>
      </c>
      <c r="B44" s="30" t="s">
        <v>30</v>
      </c>
      <c r="C44" s="19">
        <v>1</v>
      </c>
      <c r="D44" s="20"/>
      <c r="E44" s="21"/>
      <c r="F44" s="21"/>
      <c r="G44" s="34">
        <f t="shared" ref="G44" si="2">PRODUCT(C44:F44)</f>
        <v>1</v>
      </c>
      <c r="H44" s="22" t="s">
        <v>31</v>
      </c>
      <c r="I44" s="23">
        <v>500</v>
      </c>
      <c r="J44" s="34">
        <f>G44*I44</f>
        <v>500</v>
      </c>
      <c r="K44" s="21"/>
    </row>
    <row r="45" spans="1:13" ht="15" customHeight="1" x14ac:dyDescent="0.25">
      <c r="A45" s="18"/>
      <c r="B45" s="24"/>
      <c r="C45" s="19"/>
      <c r="D45" s="20"/>
      <c r="E45" s="21"/>
      <c r="F45" s="21"/>
      <c r="G45" s="23"/>
      <c r="H45" s="22"/>
      <c r="I45" s="23"/>
      <c r="J45" s="41"/>
      <c r="K45" s="21"/>
    </row>
    <row r="46" spans="1:13" x14ac:dyDescent="0.25">
      <c r="A46" s="40"/>
      <c r="B46" s="46" t="s">
        <v>17</v>
      </c>
      <c r="C46" s="47"/>
      <c r="D46" s="38"/>
      <c r="E46" s="38"/>
      <c r="F46" s="38"/>
      <c r="G46" s="41"/>
      <c r="H46" s="41"/>
      <c r="I46" s="41"/>
      <c r="J46" s="41">
        <f>SUM(J10:J44)</f>
        <v>245642.31404482681</v>
      </c>
      <c r="K46" s="36"/>
    </row>
    <row r="47" spans="1:13" x14ac:dyDescent="0.25">
      <c r="A47" s="58"/>
      <c r="B47" s="61"/>
      <c r="C47" s="62"/>
      <c r="D47" s="59"/>
      <c r="E47" s="59"/>
      <c r="F47" s="59"/>
      <c r="G47" s="60"/>
      <c r="H47" s="60"/>
      <c r="I47" s="60"/>
      <c r="J47" s="60"/>
      <c r="K47" s="57"/>
    </row>
    <row r="48" spans="1:13" s="1" customFormat="1" hidden="1" x14ac:dyDescent="0.25">
      <c r="A48" s="50"/>
      <c r="B48" s="29" t="s">
        <v>54</v>
      </c>
      <c r="C48" s="76">
        <f>J46</f>
        <v>245642.31404482681</v>
      </c>
      <c r="D48" s="76"/>
      <c r="E48" s="39">
        <v>100</v>
      </c>
      <c r="F48" s="51"/>
      <c r="G48" s="52"/>
      <c r="H48" s="51"/>
      <c r="I48" s="53"/>
      <c r="J48" s="54"/>
      <c r="K48" s="55"/>
    </row>
    <row r="49" spans="1:11" hidden="1" x14ac:dyDescent="0.25">
      <c r="A49" s="56"/>
      <c r="B49" s="29" t="s">
        <v>32</v>
      </c>
      <c r="C49" s="79">
        <v>250000</v>
      </c>
      <c r="D49" s="79"/>
      <c r="E49" s="39"/>
      <c r="F49" s="49"/>
      <c r="G49" s="48"/>
      <c r="H49" s="48"/>
      <c r="I49" s="48"/>
      <c r="J49" s="48"/>
      <c r="K49" s="49"/>
    </row>
    <row r="50" spans="1:11" hidden="1" x14ac:dyDescent="0.25">
      <c r="A50" s="56"/>
      <c r="B50" s="29" t="s">
        <v>33</v>
      </c>
      <c r="C50" s="79">
        <f>84.27%*C48</f>
        <v>207002.77804557554</v>
      </c>
      <c r="D50" s="79"/>
      <c r="E50" s="39">
        <f>C50/C48*100</f>
        <v>84.27</v>
      </c>
      <c r="F50" s="49"/>
      <c r="G50" s="48"/>
      <c r="H50" s="48"/>
      <c r="I50" s="48"/>
      <c r="J50" s="48"/>
      <c r="K50" s="49"/>
    </row>
    <row r="51" spans="1:11" hidden="1" x14ac:dyDescent="0.25">
      <c r="A51" s="56"/>
      <c r="B51" s="29" t="s">
        <v>34</v>
      </c>
      <c r="C51" s="76">
        <f>C48-C50</f>
        <v>38639.535999251268</v>
      </c>
      <c r="D51" s="76"/>
      <c r="E51" s="39">
        <f>100-E50</f>
        <v>15.730000000000004</v>
      </c>
      <c r="F51" s="49"/>
      <c r="G51" s="48"/>
      <c r="H51" s="48"/>
      <c r="I51" s="48"/>
      <c r="J51" s="48"/>
      <c r="K51" s="49"/>
    </row>
    <row r="52" spans="1:11" hidden="1" x14ac:dyDescent="0.25">
      <c r="A52" s="56"/>
      <c r="B52" s="29" t="s">
        <v>35</v>
      </c>
      <c r="C52" s="76">
        <f>C49*0.03</f>
        <v>7500</v>
      </c>
      <c r="D52" s="76"/>
      <c r="E52" s="39">
        <v>3</v>
      </c>
      <c r="F52" s="49"/>
      <c r="G52" s="48"/>
      <c r="H52" s="48"/>
      <c r="I52" s="48"/>
      <c r="J52" s="48"/>
      <c r="K52" s="49"/>
    </row>
    <row r="53" spans="1:11" hidden="1" x14ac:dyDescent="0.25">
      <c r="A53" s="56"/>
      <c r="B53" s="29" t="s">
        <v>36</v>
      </c>
      <c r="C53" s="76">
        <f>C49*0.02</f>
        <v>5000</v>
      </c>
      <c r="D53" s="76"/>
      <c r="E53" s="39">
        <v>2</v>
      </c>
      <c r="F53" s="49"/>
      <c r="G53" s="48"/>
      <c r="H53" s="48"/>
      <c r="I53" s="48"/>
      <c r="J53" s="48"/>
      <c r="K53" s="49"/>
    </row>
    <row r="54" spans="1:11" s="35" customFormat="1" x14ac:dyDescent="0.25">
      <c r="A54" s="57"/>
      <c r="B54" s="57"/>
      <c r="C54" s="57"/>
      <c r="D54" s="57"/>
      <c r="E54" s="57"/>
      <c r="F54" s="57"/>
      <c r="G54" s="57"/>
      <c r="H54" s="57"/>
      <c r="I54" s="57"/>
      <c r="J54" s="57"/>
      <c r="K54" s="57"/>
    </row>
    <row r="55" spans="1:11" s="35" customFormat="1" x14ac:dyDescent="0.25"/>
    <row r="56" spans="1:11" s="35" customFormat="1" x14ac:dyDescent="0.25"/>
    <row r="57" spans="1:11" s="35" customFormat="1" x14ac:dyDescent="0.25"/>
    <row r="58" spans="1:11" s="35" customFormat="1" x14ac:dyDescent="0.25"/>
    <row r="59" spans="1:11" s="35" customFormat="1" x14ac:dyDescent="0.25"/>
    <row r="60" spans="1:11" s="35" customFormat="1" x14ac:dyDescent="0.25"/>
    <row r="61" spans="1:11" s="35" customFormat="1" x14ac:dyDescent="0.25"/>
    <row r="62" spans="1:11" s="35" customFormat="1" x14ac:dyDescent="0.25"/>
    <row r="63" spans="1:11" s="35" customFormat="1" x14ac:dyDescent="0.25"/>
    <row r="64" spans="1:11" s="35" customFormat="1" x14ac:dyDescent="0.25"/>
    <row r="65" s="35" customFormat="1" x14ac:dyDescent="0.25"/>
    <row r="66" s="35" customFormat="1" x14ac:dyDescent="0.25"/>
    <row r="67" s="35" customFormat="1" x14ac:dyDescent="0.25"/>
    <row r="68" s="35" customFormat="1" x14ac:dyDescent="0.25"/>
    <row r="69" s="35" customFormat="1" x14ac:dyDescent="0.25"/>
    <row r="70" s="35" customFormat="1" x14ac:dyDescent="0.25"/>
    <row r="71" s="35" customFormat="1" x14ac:dyDescent="0.25"/>
    <row r="72" s="35" customFormat="1" x14ac:dyDescent="0.25"/>
    <row r="73" s="35" customFormat="1" x14ac:dyDescent="0.25"/>
    <row r="74" s="35" customFormat="1" x14ac:dyDescent="0.25"/>
    <row r="75" s="35" customFormat="1" x14ac:dyDescent="0.25"/>
    <row r="76" s="35" customFormat="1" x14ac:dyDescent="0.25"/>
    <row r="77" s="35" customFormat="1" x14ac:dyDescent="0.25"/>
    <row r="78" s="35" customFormat="1" x14ac:dyDescent="0.25"/>
    <row r="79" s="35" customFormat="1" x14ac:dyDescent="0.25"/>
    <row r="80" s="35" customFormat="1" x14ac:dyDescent="0.25"/>
    <row r="81" s="35" customFormat="1" x14ac:dyDescent="0.25"/>
    <row r="82" s="35" customFormat="1" x14ac:dyDescent="0.25"/>
    <row r="83" s="35" customFormat="1" x14ac:dyDescent="0.25"/>
    <row r="84" s="35" customFormat="1" x14ac:dyDescent="0.25"/>
    <row r="85" s="35" customFormat="1" x14ac:dyDescent="0.25"/>
    <row r="86" s="35" customFormat="1" x14ac:dyDescent="0.25"/>
    <row r="87" s="35" customFormat="1" x14ac:dyDescent="0.25"/>
    <row r="88" s="35" customFormat="1" x14ac:dyDescent="0.25"/>
    <row r="89" s="35" customFormat="1" x14ac:dyDescent="0.25"/>
    <row r="90" s="35" customFormat="1" x14ac:dyDescent="0.25"/>
    <row r="91" s="35" customFormat="1" x14ac:dyDescent="0.25"/>
    <row r="92" s="35" customFormat="1" x14ac:dyDescent="0.25"/>
    <row r="93" s="35" customFormat="1" x14ac:dyDescent="0.25"/>
    <row r="94" s="35" customFormat="1" x14ac:dyDescent="0.25"/>
    <row r="95" s="35" customFormat="1" x14ac:dyDescent="0.25"/>
    <row r="96" s="35" customFormat="1" x14ac:dyDescent="0.25"/>
    <row r="97" s="35" customFormat="1" x14ac:dyDescent="0.25"/>
    <row r="98" s="35" customFormat="1" x14ac:dyDescent="0.25"/>
    <row r="99" s="35" customFormat="1" x14ac:dyDescent="0.25"/>
    <row r="100" s="35" customFormat="1" x14ac:dyDescent="0.25"/>
    <row r="101" s="35" customFormat="1" x14ac:dyDescent="0.25"/>
    <row r="102" s="35" customFormat="1" x14ac:dyDescent="0.25"/>
    <row r="103" s="35" customFormat="1" x14ac:dyDescent="0.25"/>
    <row r="104" s="35" customFormat="1" x14ac:dyDescent="0.25"/>
    <row r="105" s="35" customFormat="1" x14ac:dyDescent="0.25"/>
    <row r="106" s="35" customFormat="1" x14ac:dyDescent="0.25"/>
    <row r="107" s="35" customFormat="1" x14ac:dyDescent="0.25"/>
    <row r="108" s="35" customFormat="1" x14ac:dyDescent="0.25"/>
    <row r="109" s="35" customFormat="1" x14ac:dyDescent="0.25"/>
    <row r="110" s="35" customFormat="1" x14ac:dyDescent="0.25"/>
  </sheetData>
  <mergeCells count="13">
    <mergeCell ref="C52:D52"/>
    <mergeCell ref="C53:D53"/>
    <mergeCell ref="A7:F7"/>
    <mergeCell ref="C48:D48"/>
    <mergeCell ref="C49:D49"/>
    <mergeCell ref="C50:D50"/>
    <mergeCell ref="C51:D51"/>
    <mergeCell ref="A1:K1"/>
    <mergeCell ref="A2:K2"/>
    <mergeCell ref="A3:K3"/>
    <mergeCell ref="A4:K4"/>
    <mergeCell ref="A5:K5"/>
    <mergeCell ref="A6:F6"/>
  </mergeCells>
  <pageMargins left="0.70866141732283472" right="0.70866141732283472" top="0.74803149606299213" bottom="0.74803149606299213" header="0.31496062992125984" footer="0.31496062992125984"/>
  <pageSetup paperSize="9" scale="95" orientation="portrait" r:id="rId1"/>
  <headerFooter>
    <oddFooter xml:space="preserve">&amp;LPrepared By:
&amp;CChecked By:
&amp;RApproved By:
</oddFooter>
  </headerFooter>
  <rowBreaks count="1" manualBreakCount="1">
    <brk id="28" max="10" man="1"/>
  </rowBreak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8</vt:i4>
      </vt:variant>
    </vt:vector>
  </HeadingPairs>
  <TitlesOfParts>
    <vt:vector size="12" baseType="lpstr">
      <vt:lpstr>200k</vt:lpstr>
      <vt:lpstr>WCR</vt:lpstr>
      <vt:lpstr>V</vt:lpstr>
      <vt:lpstr>V (2)</vt:lpstr>
      <vt:lpstr>'200k'!Print_Area</vt:lpstr>
      <vt:lpstr>V!Print_Area</vt:lpstr>
      <vt:lpstr>'V (2)'!Print_Area</vt:lpstr>
      <vt:lpstr>WCR!Print_Area</vt:lpstr>
      <vt:lpstr>'200k'!Print_Titles</vt:lpstr>
      <vt:lpstr>V!Print_Titles</vt:lpstr>
      <vt:lpstr>'V (2)'!Print_Titles</vt:lpstr>
      <vt:lpstr>WCR!Print_Titles</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Info Hub</dc:creator>
  <cp:lastModifiedBy>Windows User</cp:lastModifiedBy>
  <cp:lastPrinted>2025-06-29T10:52:32Z</cp:lastPrinted>
  <dcterms:created xsi:type="dcterms:W3CDTF">2015-06-05T18:17:20Z</dcterms:created>
  <dcterms:modified xsi:type="dcterms:W3CDTF">2025-06-29T10:55:01Z</dcterms:modified>
</cp:coreProperties>
</file>