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pashikhel park\"/>
    </mc:Choice>
  </mc:AlternateContent>
  <bookViews>
    <workbookView xWindow="-120" yWindow="-120" windowWidth="20730" windowHeight="11160" activeTab="5"/>
  </bookViews>
  <sheets>
    <sheet name="finalized" sheetId="19" r:id="rId1"/>
    <sheet name="WCR" sheetId="6" r:id="rId2"/>
    <sheet name="Estimate" sheetId="17" state="hidden" r:id="rId3"/>
    <sheet name="Estimate (2)" sheetId="18" state="hidden" r:id="rId4"/>
    <sheet name="V" sheetId="20" r:id="rId5"/>
    <sheet name="M" sheetId="22" r:id="rId6"/>
  </sheets>
  <externalReferences>
    <externalReference r:id="rId7"/>
    <externalReference r:id="rId8"/>
    <externalReference r:id="rId9"/>
    <externalReference r:id="rId10"/>
    <externalReference r:id="rId11"/>
    <externalReference r:id="rId12"/>
  </externalReferences>
  <definedNames>
    <definedName name="description_103">[1]Abstract!$B$16</definedName>
    <definedName name="description_124" localSheetId="2">#REF!</definedName>
    <definedName name="description_124" localSheetId="3">#REF!</definedName>
    <definedName name="description_124" localSheetId="0">#REF!</definedName>
    <definedName name="description_124" localSheetId="5">#REF!</definedName>
    <definedName name="description_124" localSheetId="4">#REF!</definedName>
    <definedName name="description_124">#REF!</definedName>
    <definedName name="description_246">[6]Abstract!$B$21</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Estimate!$A$1:$K$71</definedName>
    <definedName name="_xlnm.Print_Area" localSheetId="3">'Estimate (2)'!$A$1:$K$90</definedName>
    <definedName name="_xlnm.Print_Area" localSheetId="0">finalized!$A$1:$K$88</definedName>
    <definedName name="_xlnm.Print_Area" localSheetId="5">M!$A$1:$K$59</definedName>
    <definedName name="_xlnm.Print_Area" localSheetId="4">V!$A$1:$K$59</definedName>
    <definedName name="_xlnm.Print_Area" localSheetId="1">WCR!$A$1:$K$35</definedName>
    <definedName name="_xlnm.Print_Titles" localSheetId="2">Estimate!$1:$8</definedName>
    <definedName name="_xlnm.Print_Titles" localSheetId="3">'Estimate (2)'!$1:$8</definedName>
    <definedName name="_xlnm.Print_Titles" localSheetId="0">finalized!$1:$8</definedName>
    <definedName name="_xlnm.Print_Titles" localSheetId="5">M!$1:$8</definedName>
    <definedName name="_xlnm.Print_Titles" localSheetId="4">V!$1:$8</definedName>
    <definedName name="_xlnm.Print_Titles" localSheetId="1">WCR!$1:$11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5" i="22" l="1"/>
  <c r="C59" i="22" s="1"/>
  <c r="N51" i="22"/>
  <c r="G50" i="22"/>
  <c r="J50" i="22" s="1"/>
  <c r="G46" i="22"/>
  <c r="G47" i="22" s="1"/>
  <c r="G42" i="22"/>
  <c r="E42" i="22"/>
  <c r="G41" i="22"/>
  <c r="E41" i="22"/>
  <c r="G40" i="22"/>
  <c r="E40" i="22"/>
  <c r="G39" i="22"/>
  <c r="G43" i="22" s="1"/>
  <c r="E39" i="22"/>
  <c r="F34" i="22"/>
  <c r="G34" i="22" s="1"/>
  <c r="E34" i="22"/>
  <c r="D34" i="22"/>
  <c r="C34" i="22"/>
  <c r="E33" i="22"/>
  <c r="C33" i="22"/>
  <c r="F33" i="22" s="1"/>
  <c r="G33" i="22" s="1"/>
  <c r="G35" i="22" s="1"/>
  <c r="B33" i="22"/>
  <c r="G28" i="22"/>
  <c r="G29" i="22" s="1"/>
  <c r="F28" i="22"/>
  <c r="E28" i="22"/>
  <c r="D23" i="22"/>
  <c r="G23" i="22" s="1"/>
  <c r="G22" i="22"/>
  <c r="G24" i="22" s="1"/>
  <c r="E22" i="22"/>
  <c r="D22" i="22"/>
  <c r="D17" i="22"/>
  <c r="G17" i="22" s="1"/>
  <c r="G16" i="22"/>
  <c r="G18" i="22" s="1"/>
  <c r="E16" i="22"/>
  <c r="D16" i="22"/>
  <c r="B16" i="22"/>
  <c r="G11" i="22"/>
  <c r="G10" i="22"/>
  <c r="G12" i="22" s="1"/>
  <c r="E10" i="22"/>
  <c r="D10" i="22"/>
  <c r="C56" i="20"/>
  <c r="F28" i="20"/>
  <c r="G47" i="20"/>
  <c r="G43" i="20"/>
  <c r="G35" i="20"/>
  <c r="G24" i="20"/>
  <c r="G18" i="20"/>
  <c r="E37" i="19"/>
  <c r="D17" i="20"/>
  <c r="B16" i="20"/>
  <c r="D34" i="20"/>
  <c r="C33" i="20" s="1"/>
  <c r="E42" i="20"/>
  <c r="G42" i="20" s="1"/>
  <c r="E41" i="20"/>
  <c r="G41" i="20" s="1"/>
  <c r="E40" i="20"/>
  <c r="G40" i="20" s="1"/>
  <c r="E39" i="20"/>
  <c r="G39" i="20" s="1"/>
  <c r="G46" i="20"/>
  <c r="F37" i="19"/>
  <c r="D43" i="19"/>
  <c r="J25" i="22" l="1"/>
  <c r="J24" i="22"/>
  <c r="J48" i="22"/>
  <c r="J47" i="22"/>
  <c r="J35" i="22"/>
  <c r="J36" i="22"/>
  <c r="J19" i="22"/>
  <c r="J18" i="22"/>
  <c r="J30" i="22"/>
  <c r="J29" i="22"/>
  <c r="J44" i="22"/>
  <c r="J43" i="22"/>
  <c r="J12" i="22"/>
  <c r="J13" i="22"/>
  <c r="C58" i="22"/>
  <c r="J48" i="20"/>
  <c r="J47" i="20"/>
  <c r="J52" i="22" l="1"/>
  <c r="C54" i="22" s="1"/>
  <c r="C56" i="22" l="1"/>
  <c r="E56" i="22" s="1"/>
  <c r="E57" i="22" s="1"/>
  <c r="C57" i="22" l="1"/>
  <c r="A9" i="6" l="1"/>
  <c r="A8" i="6"/>
  <c r="H33" i="6"/>
  <c r="E33" i="6"/>
  <c r="C33" i="6"/>
  <c r="B33" i="6"/>
  <c r="A33" i="6"/>
  <c r="H30" i="6"/>
  <c r="E30" i="6"/>
  <c r="C30" i="6"/>
  <c r="B31" i="6"/>
  <c r="B30" i="6"/>
  <c r="A30" i="6"/>
  <c r="H27" i="6"/>
  <c r="E27" i="6"/>
  <c r="C27" i="6"/>
  <c r="B28" i="6"/>
  <c r="B27" i="6"/>
  <c r="A27" i="6"/>
  <c r="H24" i="6"/>
  <c r="E24" i="6"/>
  <c r="C24" i="6"/>
  <c r="B25" i="6"/>
  <c r="B24" i="6"/>
  <c r="A24" i="6"/>
  <c r="H21" i="6"/>
  <c r="E21" i="6"/>
  <c r="C21" i="6"/>
  <c r="B22" i="6"/>
  <c r="B21" i="6"/>
  <c r="A21" i="6"/>
  <c r="H18" i="6"/>
  <c r="E18" i="6"/>
  <c r="C18" i="6"/>
  <c r="B19" i="6"/>
  <c r="B18" i="6"/>
  <c r="A18" i="6"/>
  <c r="H15" i="6"/>
  <c r="E15" i="6"/>
  <c r="C15" i="6"/>
  <c r="B16" i="6"/>
  <c r="B15" i="6"/>
  <c r="A15" i="6"/>
  <c r="H12" i="6"/>
  <c r="E12" i="6"/>
  <c r="C12" i="6"/>
  <c r="B13" i="6"/>
  <c r="B12" i="6"/>
  <c r="A12" i="6"/>
  <c r="E22" i="20"/>
  <c r="E28" i="20"/>
  <c r="C55" i="20"/>
  <c r="C58" i="20" s="1"/>
  <c r="N51" i="20"/>
  <c r="G50" i="20"/>
  <c r="J50" i="20" s="1"/>
  <c r="G30" i="6"/>
  <c r="G27" i="6"/>
  <c r="E34" i="20"/>
  <c r="E33" i="20"/>
  <c r="C34" i="20"/>
  <c r="B33" i="20"/>
  <c r="D22" i="20"/>
  <c r="D23" i="20" s="1"/>
  <c r="G23" i="20" s="1"/>
  <c r="G17" i="20"/>
  <c r="G11" i="20"/>
  <c r="D10" i="20"/>
  <c r="F33" i="20" l="1"/>
  <c r="G33" i="20" s="1"/>
  <c r="C59" i="20"/>
  <c r="F34" i="20"/>
  <c r="G34" i="20" s="1"/>
  <c r="D16" i="20"/>
  <c r="G33" i="6"/>
  <c r="I30" i="6"/>
  <c r="I27" i="6"/>
  <c r="G22" i="20"/>
  <c r="E16" i="20"/>
  <c r="J44" i="20"/>
  <c r="I28" i="6" s="1"/>
  <c r="J43" i="20"/>
  <c r="I31" i="6"/>
  <c r="E10" i="20"/>
  <c r="G10" i="20" s="1"/>
  <c r="G28" i="20"/>
  <c r="N80" i="19"/>
  <c r="G29" i="20" l="1"/>
  <c r="G21" i="6" s="1"/>
  <c r="I21" i="6" s="1"/>
  <c r="G12" i="20"/>
  <c r="G12" i="6" s="1"/>
  <c r="G24" i="6"/>
  <c r="I24" i="6" s="1"/>
  <c r="G16" i="20"/>
  <c r="G18" i="6"/>
  <c r="I18" i="6" s="1"/>
  <c r="J29" i="20"/>
  <c r="E29" i="19"/>
  <c r="E22" i="19" s="1"/>
  <c r="C84" i="19"/>
  <c r="C87" i="19" s="1"/>
  <c r="G79" i="19"/>
  <c r="G76" i="19"/>
  <c r="J76" i="19" s="1"/>
  <c r="I74" i="19"/>
  <c r="E73" i="19"/>
  <c r="D73" i="19"/>
  <c r="G73" i="19" s="1"/>
  <c r="E72" i="19"/>
  <c r="D72" i="19"/>
  <c r="D71" i="19"/>
  <c r="G71" i="19" s="1"/>
  <c r="I67" i="19"/>
  <c r="E66" i="19"/>
  <c r="D66" i="19"/>
  <c r="G66" i="19" s="1"/>
  <c r="E65" i="19"/>
  <c r="D65" i="19"/>
  <c r="D64" i="19"/>
  <c r="G64" i="19" s="1"/>
  <c r="D59" i="19"/>
  <c r="D32" i="19" s="1"/>
  <c r="G32" i="19" s="1"/>
  <c r="D58" i="19"/>
  <c r="C58" i="19"/>
  <c r="D57" i="19"/>
  <c r="G57" i="19" s="1"/>
  <c r="G52" i="19"/>
  <c r="G53" i="19" s="1"/>
  <c r="J54" i="19" s="1"/>
  <c r="C48" i="19"/>
  <c r="G48" i="19" s="1"/>
  <c r="G49" i="19" s="1"/>
  <c r="D27" i="6" s="1"/>
  <c r="F27" i="6" s="1"/>
  <c r="B48" i="19"/>
  <c r="E43" i="19"/>
  <c r="C42" i="19"/>
  <c r="E42" i="19"/>
  <c r="C43" i="19"/>
  <c r="F43" i="19" s="1"/>
  <c r="G43" i="19" s="1"/>
  <c r="B42" i="19"/>
  <c r="D29" i="19"/>
  <c r="C31" i="19"/>
  <c r="E24" i="19"/>
  <c r="E31" i="19" s="1"/>
  <c r="G23" i="19"/>
  <c r="D13" i="19"/>
  <c r="D24" i="19" s="1"/>
  <c r="D12" i="19"/>
  <c r="G12" i="19" s="1"/>
  <c r="G11" i="19"/>
  <c r="D10" i="19"/>
  <c r="J12" i="20" l="1"/>
  <c r="J13" i="20"/>
  <c r="I13" i="6" s="1"/>
  <c r="J30" i="20"/>
  <c r="I22" i="6" s="1"/>
  <c r="J27" i="6"/>
  <c r="M27" i="6"/>
  <c r="J35" i="20"/>
  <c r="J36" i="20"/>
  <c r="I25" i="6" s="1"/>
  <c r="J79" i="19"/>
  <c r="D33" i="6"/>
  <c r="G72" i="19"/>
  <c r="G74" i="19" s="1"/>
  <c r="J74" i="19" s="1"/>
  <c r="G37" i="19"/>
  <c r="G38" i="19" s="1"/>
  <c r="D21" i="6" s="1"/>
  <c r="F21" i="6" s="1"/>
  <c r="F31" i="6"/>
  <c r="D30" i="6"/>
  <c r="F30" i="6" s="1"/>
  <c r="G15" i="6"/>
  <c r="I15" i="6" s="1"/>
  <c r="J25" i="20"/>
  <c r="I19" i="6" s="1"/>
  <c r="J24" i="20"/>
  <c r="G65" i="19"/>
  <c r="G67" i="19" s="1"/>
  <c r="J67" i="19" s="1"/>
  <c r="J68" i="19" s="1"/>
  <c r="F42" i="19"/>
  <c r="G42" i="19" s="1"/>
  <c r="G44" i="19" s="1"/>
  <c r="G58" i="19"/>
  <c r="C88" i="19"/>
  <c r="C85" i="19" s="1"/>
  <c r="E10" i="19"/>
  <c r="D30" i="19"/>
  <c r="G30" i="19" s="1"/>
  <c r="D22" i="19"/>
  <c r="G29" i="19"/>
  <c r="G24" i="19"/>
  <c r="D31" i="19"/>
  <c r="G31" i="19" s="1"/>
  <c r="J50" i="19"/>
  <c r="F28" i="6" s="1"/>
  <c r="J49" i="19"/>
  <c r="J53" i="19"/>
  <c r="G59" i="19"/>
  <c r="G60" i="19" s="1"/>
  <c r="F10" i="19"/>
  <c r="G10" i="19" s="1"/>
  <c r="G14" i="19" s="1"/>
  <c r="D12" i="6" s="1"/>
  <c r="G13" i="19"/>
  <c r="F38" i="18"/>
  <c r="F39" i="18"/>
  <c r="C86" i="18"/>
  <c r="D45" i="18"/>
  <c r="G54" i="18"/>
  <c r="G55" i="18" s="1"/>
  <c r="C50" i="18"/>
  <c r="B50" i="18"/>
  <c r="E45" i="18"/>
  <c r="E44" i="18"/>
  <c r="D44" i="18"/>
  <c r="C45" i="18" s="1"/>
  <c r="B44" i="18"/>
  <c r="G23" i="18"/>
  <c r="G24" i="18"/>
  <c r="G11" i="18"/>
  <c r="M31" i="6" l="1"/>
  <c r="J31" i="6"/>
  <c r="J30" i="6"/>
  <c r="M30" i="6"/>
  <c r="J21" i="6"/>
  <c r="M21" i="6"/>
  <c r="J28" i="6"/>
  <c r="M28" i="6"/>
  <c r="J44" i="19"/>
  <c r="D24" i="6"/>
  <c r="F24" i="6" s="1"/>
  <c r="J18" i="20"/>
  <c r="J19" i="20"/>
  <c r="I16" i="6" s="1"/>
  <c r="J45" i="19"/>
  <c r="F25" i="6" s="1"/>
  <c r="J15" i="19"/>
  <c r="F13" i="6" s="1"/>
  <c r="M13" i="6" s="1"/>
  <c r="J14" i="19"/>
  <c r="J61" i="19"/>
  <c r="J60" i="19"/>
  <c r="J38" i="19"/>
  <c r="J39" i="19"/>
  <c r="F22" i="6" s="1"/>
  <c r="G33" i="19"/>
  <c r="D18" i="6" s="1"/>
  <c r="F18" i="6" s="1"/>
  <c r="D18" i="19"/>
  <c r="G18" i="19" s="1"/>
  <c r="G19" i="19" s="1"/>
  <c r="J19" i="19" s="1"/>
  <c r="G22" i="19"/>
  <c r="G25" i="19" s="1"/>
  <c r="D15" i="6" s="1"/>
  <c r="F15" i="6" s="1"/>
  <c r="J56" i="18"/>
  <c r="J55" i="18"/>
  <c r="E39" i="18"/>
  <c r="G39" i="18" s="1"/>
  <c r="E38" i="18"/>
  <c r="D38" i="18"/>
  <c r="G78" i="18"/>
  <c r="J78" i="18" s="1"/>
  <c r="C90" i="18"/>
  <c r="C89" i="18"/>
  <c r="C87" i="18" s="1"/>
  <c r="G81" i="18"/>
  <c r="J81" i="18" s="1"/>
  <c r="I76" i="18"/>
  <c r="E75" i="18"/>
  <c r="D75" i="18"/>
  <c r="E74" i="18"/>
  <c r="D74" i="18"/>
  <c r="D73" i="18"/>
  <c r="G73" i="18" s="1"/>
  <c r="I69" i="18"/>
  <c r="E68" i="18"/>
  <c r="D68" i="18"/>
  <c r="G68" i="18" s="1"/>
  <c r="E67" i="18"/>
  <c r="D67" i="18"/>
  <c r="D66" i="18"/>
  <c r="G66" i="18" s="1"/>
  <c r="D61" i="18"/>
  <c r="G61" i="18" s="1"/>
  <c r="D60" i="18"/>
  <c r="C60" i="18"/>
  <c r="D59" i="18"/>
  <c r="G59" i="18" s="1"/>
  <c r="C32" i="18"/>
  <c r="E25" i="18"/>
  <c r="E32" i="18" s="1"/>
  <c r="D13" i="18"/>
  <c r="D12" i="18"/>
  <c r="G12" i="18" s="1"/>
  <c r="J15" i="6" l="1"/>
  <c r="M15" i="6"/>
  <c r="J13" i="6"/>
  <c r="J18" i="6"/>
  <c r="M18" i="6"/>
  <c r="M22" i="6"/>
  <c r="J22" i="6"/>
  <c r="J24" i="6"/>
  <c r="M24" i="6"/>
  <c r="M25" i="6"/>
  <c r="J25" i="6"/>
  <c r="J52" i="20"/>
  <c r="C54" i="20" s="1"/>
  <c r="E56" i="20" s="1"/>
  <c r="E57" i="20" s="1"/>
  <c r="J25" i="19"/>
  <c r="J26" i="19"/>
  <c r="F16" i="6" s="1"/>
  <c r="M16" i="6" s="1"/>
  <c r="J33" i="19"/>
  <c r="J34" i="19"/>
  <c r="F19" i="6" s="1"/>
  <c r="D10" i="18"/>
  <c r="G50" i="18"/>
  <c r="G51" i="18" s="1"/>
  <c r="G74" i="18"/>
  <c r="G75" i="18"/>
  <c r="G76" i="18" s="1"/>
  <c r="J76" i="18" s="1"/>
  <c r="G67" i="18"/>
  <c r="D33" i="18"/>
  <c r="G33" i="18" s="1"/>
  <c r="G60" i="18"/>
  <c r="G62" i="18" s="1"/>
  <c r="G69" i="18"/>
  <c r="J69" i="18" s="1"/>
  <c r="J70" i="18" s="1"/>
  <c r="D25" i="18"/>
  <c r="D32" i="18" s="1"/>
  <c r="G32" i="18" s="1"/>
  <c r="G13" i="18"/>
  <c r="E30" i="18"/>
  <c r="E22" i="18" s="1"/>
  <c r="F10" i="18"/>
  <c r="E10" i="18"/>
  <c r="G10" i="18" s="1"/>
  <c r="G14" i="18" s="1"/>
  <c r="G38" i="18"/>
  <c r="D30" i="18"/>
  <c r="G59" i="17"/>
  <c r="J59" i="17" s="1"/>
  <c r="G57" i="17"/>
  <c r="G50" i="17"/>
  <c r="G43" i="17"/>
  <c r="G36" i="17"/>
  <c r="G31" i="17"/>
  <c r="G23" i="17"/>
  <c r="G30" i="17"/>
  <c r="D30" i="17"/>
  <c r="D42" i="17"/>
  <c r="G42" i="17" s="1"/>
  <c r="I57" i="17"/>
  <c r="E56" i="17"/>
  <c r="D56" i="17"/>
  <c r="E55" i="17"/>
  <c r="D55" i="17"/>
  <c r="D54" i="17"/>
  <c r="G54" i="17" s="1"/>
  <c r="E49" i="17"/>
  <c r="D49" i="17"/>
  <c r="E48" i="17"/>
  <c r="D48" i="17"/>
  <c r="I50" i="17"/>
  <c r="D47" i="17"/>
  <c r="G47" i="17" s="1"/>
  <c r="D41" i="17"/>
  <c r="C41" i="17"/>
  <c r="D40" i="17"/>
  <c r="G40" i="17" s="1"/>
  <c r="J16" i="6" l="1"/>
  <c r="M19" i="6"/>
  <c r="J19" i="6"/>
  <c r="C57" i="20"/>
  <c r="J81" i="19"/>
  <c r="C83" i="19" s="1"/>
  <c r="C86" i="19" s="1"/>
  <c r="J52" i="18"/>
  <c r="J51" i="18"/>
  <c r="C44" i="18"/>
  <c r="F44" i="18" s="1"/>
  <c r="G44" i="18" s="1"/>
  <c r="F45" i="18"/>
  <c r="G45" i="18" s="1"/>
  <c r="G25" i="18"/>
  <c r="G40" i="18"/>
  <c r="J41" i="18" s="1"/>
  <c r="J15" i="18"/>
  <c r="J14" i="18"/>
  <c r="D22" i="18"/>
  <c r="D31" i="18"/>
  <c r="G31" i="18" s="1"/>
  <c r="G30" i="18"/>
  <c r="J63" i="18"/>
  <c r="J62" i="18"/>
  <c r="G49" i="17"/>
  <c r="G55" i="17"/>
  <c r="G41" i="17"/>
  <c r="G48" i="17"/>
  <c r="J50" i="17" s="1"/>
  <c r="G56" i="17"/>
  <c r="E85" i="19" l="1"/>
  <c r="E86" i="19" s="1"/>
  <c r="G34" i="18"/>
  <c r="J35" i="18" s="1"/>
  <c r="G46" i="18"/>
  <c r="J40" i="18"/>
  <c r="G22" i="18"/>
  <c r="G26" i="18" s="1"/>
  <c r="D18" i="18"/>
  <c r="J44" i="17"/>
  <c r="J57" i="17"/>
  <c r="J51" i="17"/>
  <c r="J47" i="18" l="1"/>
  <c r="J46" i="18"/>
  <c r="J34" i="18"/>
  <c r="G18" i="18"/>
  <c r="G19" i="18" s="1"/>
  <c r="J19" i="18" s="1"/>
  <c r="J27" i="18"/>
  <c r="J26" i="18"/>
  <c r="J43" i="17"/>
  <c r="J83" i="18" l="1"/>
  <c r="C85" i="18" s="1"/>
  <c r="C88" i="18" s="1"/>
  <c r="D12" i="17"/>
  <c r="E87" i="18" l="1"/>
  <c r="E88" i="18" s="1"/>
  <c r="C29" i="17"/>
  <c r="E22" i="17"/>
  <c r="E29" i="17" s="1"/>
  <c r="D22" i="17"/>
  <c r="D29" i="17" s="1"/>
  <c r="B22" i="17"/>
  <c r="B29" i="17" s="1"/>
  <c r="G12" i="17"/>
  <c r="G11" i="17"/>
  <c r="D11" i="17"/>
  <c r="E10" i="17"/>
  <c r="E27" i="17"/>
  <c r="E21" i="17" s="1"/>
  <c r="D35" i="17"/>
  <c r="D27" i="17" s="1"/>
  <c r="D21" i="17" s="1"/>
  <c r="D17" i="17" s="1"/>
  <c r="E35" i="17"/>
  <c r="G22" i="17" l="1"/>
  <c r="D10" i="17"/>
  <c r="G29" i="17"/>
  <c r="F10" i="17"/>
  <c r="D28" i="17"/>
  <c r="G28" i="17"/>
  <c r="C21" i="17" l="1"/>
  <c r="B21" i="17"/>
  <c r="G35" i="17" l="1"/>
  <c r="J37" i="17" l="1"/>
  <c r="J36" i="17" l="1"/>
  <c r="C27" i="17"/>
  <c r="B27" i="17"/>
  <c r="G17" i="17" l="1"/>
  <c r="G27" i="17"/>
  <c r="G18" i="17" l="1"/>
  <c r="J18" i="17" s="1"/>
  <c r="C71" i="17"/>
  <c r="C70" i="17"/>
  <c r="G62" i="17"/>
  <c r="J62" i="17" s="1"/>
  <c r="G10" i="17"/>
  <c r="G13" i="17" s="1"/>
  <c r="G21" i="17" l="1"/>
  <c r="J14" i="17"/>
  <c r="C68" i="17"/>
  <c r="J23" i="17" l="1"/>
  <c r="J31" i="17"/>
  <c r="J13" i="17"/>
  <c r="J24" i="17" l="1"/>
  <c r="J32" i="17"/>
  <c r="J64" i="17" l="1"/>
  <c r="C66" i="17" s="1"/>
  <c r="E68" i="17" l="1"/>
  <c r="E69" i="17" s="1"/>
  <c r="C69" i="17"/>
  <c r="I33" i="6" l="1"/>
  <c r="F33" i="6"/>
  <c r="M33" i="6" s="1"/>
  <c r="J33" i="6" l="1"/>
  <c r="I12" i="6"/>
  <c r="I35" i="6" s="1"/>
  <c r="F12" i="6" l="1"/>
  <c r="J12" i="6" l="1"/>
  <c r="M12" i="6"/>
  <c r="F35" i="6"/>
  <c r="J6" i="6" l="1"/>
  <c r="J35" i="6" l="1"/>
  <c r="C6" i="6" l="1"/>
</calcChain>
</file>

<file path=xl/sharedStrings.xml><?xml version="1.0" encoding="utf-8"?>
<sst xmlns="http://schemas.openxmlformats.org/spreadsheetml/2006/main" count="439" uniqueCount="87">
  <si>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</si>
  <si>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</si>
  <si>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</si>
  <si>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</si>
  <si>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</si>
  <si>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</si>
  <si>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</si>
  <si>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</si>
  <si>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</si>
  <si>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</si>
  <si>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</si>
  <si>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</si>
  <si>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</si>
  <si>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</si>
  <si>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</si>
  <si>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</si>
  <si>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</si>
  <si>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</si>
  <si>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</si>
  <si>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</si>
  <si>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</si>
  <si>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</si>
  <si>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</si>
  <si>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</si>
  <si>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</si>
  <si>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</si>
  <si>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</si>
  <si>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</si>
  <si>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</si>
  <si>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</si>
  <si>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</si>
  <si>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</si>
  <si>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</si>
  <si>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</si>
  <si>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</si>
  <si>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</si>
  <si>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</si>
  <si>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</si>
  <si>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</si>
  <si>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</si>
  <si>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</si>
  <si>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</si>
  <si>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</si>
  <si>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</si>
  <si>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</si>
  <si>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</si>
  <si>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</si>
  <si>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</si>
  <si>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</si>
  <si>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</si>
  <si>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</si>
  <si>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</si>
  <si>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</si>
  <si>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</si>
  <si>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</si>
  <si>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</si>
  <si>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</si>
  <si>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</si>
  <si>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</si>
  <si>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</si>
  <si>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</si>
  <si>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</si>
  <si>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</si>
  <si>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</si>
  <si>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</si>
  <si>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</si>
  <si>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</si>
  <si>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hume pipe</t>
  </si>
  <si>
    <t>-For hume pipe base &amp; road dhalaan</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</si>
  <si>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</si>
  <si>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</si>
  <si>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</si>
  <si>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</si>
  <si>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</si>
  <si>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</si>
  <si>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Providing and Laying Reinforced cement concrete NP3 Flush jointed pipe for culverts including fixing with cement mortar 1:2 as per Drawing and Technical Specifications., 450 mm  internal dia.</t>
  </si>
  <si>
    <t>rm</t>
  </si>
  <si>
    <t>Date:2081/09/16</t>
  </si>
  <si>
    <t xml:space="preserve">Project:- पासीखेलमा भएको पाटी संरक्षण </t>
  </si>
  <si>
    <t>Detail Valuated Sheet</t>
  </si>
  <si>
    <t>Total Valuated</t>
  </si>
  <si>
    <t xml:space="preserve">F.Y:2081/2082            </t>
  </si>
  <si>
    <t>Providing and Laying Reinforced cement concrete NP3 Flush jointed pipe for culverts including fixing with cement mortar 1:2 as per Drawing and Technical Specifications., 300 mm  internal dia.</t>
  </si>
  <si>
    <t>-300mm hume pipe</t>
  </si>
  <si>
    <t>Detail Quantity Measurement Sheet</t>
  </si>
  <si>
    <t>Date:2082/03/12</t>
  </si>
  <si>
    <t xml:space="preserve">Date:2082/03/12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</si>
</sst>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16" fillId="0" borderId="1" xfId="0" quotePrefix="1" applyFont="1" applyBorder="1" applyAlignment="1">
      <alignment wrapText="1"/>
    </xf>
    <xf numFmtId="0" fontId="3" fillId="0" borderId="1" xfId="0" quotePrefix="1" applyFont="1" applyBorder="1" applyAlignment="1">
      <alignment wrapText="1"/>
    </xf>
    <xf numFmtId="2" fontId="15" fillId="0" borderId="1" xfId="0" applyNumberFormat="1" applyFont="1" applyBorder="1" applyAlignment="1">
      <alignment vertical="center" wrapText="1"/>
    </xf>
    <xf numFmtId="2" fontId="0" fillId="0" borderId="1" xfId="0" applyNumberFormat="1" applyBorder="1"/>
    <xf numFmtId="165" fontId="0" fillId="0" borderId="0" xfId="0" applyNumberFormat="1"/>
    <xf numFmtId="1" fontId="6" fillId="0" borderId="1" xfId="0" applyNumberFormat="1" applyFont="1" applyFill="1" applyBorder="1" applyAlignment="1">
      <alignment horizontal="right" vertical="center" wrapText="1"/>
    </xf>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 fontId="13" fillId="0" borderId="1" xfId="0" quotePrefix="1" applyNumberFormat="1" applyFont="1" applyFill="1" applyBorder="1" applyAlignment="1">
      <alignment horizontal="right" vertical="center" wrapText="1"/>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ew%20folder/081-082/ofc/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1">
          <cell r="B21" t="str">
            <v>Providing and Laying Reinforced cement concrete NP3 Flush jointed pipe for culverts including fixing with cement mortar 1:2 as per Drawing and Technical Specifications., 300 mm  internal dia.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5"/>
  <sheetViews>
    <sheetView topLeftCell="A51" zoomScaleNormal="100" workbookViewId="0">
      <selection activeCell="E38" sqref="E3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4</v>
      </c>
      <c r="B5" s="78"/>
      <c r="C5" s="78"/>
      <c r="D5" s="78"/>
      <c r="E5" s="78"/>
      <c r="F5" s="78"/>
      <c r="G5" s="78"/>
      <c r="H5" s="78"/>
      <c r="I5" s="78"/>
      <c r="J5" s="78"/>
      <c r="K5" s="78"/>
    </row>
    <row r="6" spans="1:19" ht="15.75" x14ac:dyDescent="0.25">
      <c r="A6" s="73" t="s">
        <v>78</v>
      </c>
      <c r="B6" s="73"/>
      <c r="C6" s="73"/>
      <c r="D6" s="73"/>
      <c r="E6" s="73"/>
      <c r="F6" s="73"/>
      <c r="G6" s="2"/>
      <c r="H6" s="74" t="s">
        <v>45</v>
      </c>
      <c r="I6" s="74"/>
      <c r="J6" s="74"/>
      <c r="K6" s="74"/>
      <c r="O6" t="s">
        <v>57</v>
      </c>
    </row>
    <row r="7" spans="1:19" ht="15.75" x14ac:dyDescent="0.25">
      <c r="A7" s="80" t="s">
        <v>28</v>
      </c>
      <c r="B7" s="80"/>
      <c r="C7" s="80"/>
      <c r="D7" s="80"/>
      <c r="E7" s="80"/>
      <c r="F7" s="80"/>
      <c r="G7" s="3"/>
      <c r="H7" s="81" t="s">
        <v>77</v>
      </c>
      <c r="I7" s="81"/>
      <c r="J7" s="81"/>
      <c r="K7" s="81"/>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66</v>
      </c>
      <c r="C9" s="36"/>
      <c r="D9" s="36"/>
      <c r="E9" s="36"/>
      <c r="F9" s="36"/>
      <c r="G9" s="36"/>
      <c r="H9" s="36"/>
      <c r="I9" s="36"/>
      <c r="J9" s="36"/>
      <c r="K9" s="36"/>
      <c r="N9" t="s">
        <v>48</v>
      </c>
      <c r="O9" t="s">
        <v>49</v>
      </c>
    </row>
    <row r="10" spans="1:19" ht="15" customHeight="1" x14ac:dyDescent="0.25">
      <c r="A10" s="18"/>
      <c r="B10" s="37" t="s">
        <v>50</v>
      </c>
      <c r="C10" s="36">
        <v>0.5</v>
      </c>
      <c r="D10" s="38">
        <f>D37</f>
        <v>13.6</v>
      </c>
      <c r="E10" s="38">
        <f>F37/2</f>
        <v>1.7050000000000001</v>
      </c>
      <c r="F10" s="38">
        <f>F37</f>
        <v>3.41</v>
      </c>
      <c r="G10" s="39">
        <f>PRODUCT(C10:F10)</f>
        <v>39.535539999999997</v>
      </c>
      <c r="H10" s="40"/>
      <c r="I10" s="40"/>
      <c r="J10" s="40"/>
      <c r="K10" s="21"/>
      <c r="M10" s="25"/>
      <c r="N10" s="1"/>
      <c r="O10" s="1"/>
      <c r="P10" s="1"/>
      <c r="Q10" s="1"/>
      <c r="R10" s="25"/>
      <c r="S10" s="25"/>
    </row>
    <row r="11" spans="1:19" ht="15" customHeight="1" x14ac:dyDescent="0.25">
      <c r="A11" s="18"/>
      <c r="B11" s="37" t="s">
        <v>67</v>
      </c>
      <c r="C11" s="36">
        <v>5</v>
      </c>
      <c r="D11" s="38">
        <v>2.5</v>
      </c>
      <c r="E11" s="38">
        <v>0.6</v>
      </c>
      <c r="F11" s="38">
        <v>0.6</v>
      </c>
      <c r="G11" s="39">
        <f t="shared" ref="G11" si="0">PRODUCT(C11:F11)</f>
        <v>4.5</v>
      </c>
      <c r="H11" s="40"/>
      <c r="I11" s="40"/>
      <c r="J11" s="40"/>
      <c r="K11" s="21"/>
      <c r="M11" s="25"/>
      <c r="N11" s="1"/>
      <c r="O11" s="1"/>
      <c r="P11" s="1"/>
      <c r="Q11" s="1"/>
      <c r="R11" s="25"/>
      <c r="S11" s="25"/>
    </row>
    <row r="12" spans="1:19" ht="15" hidden="1" customHeight="1" x14ac:dyDescent="0.25">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25">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25">
      <c r="A14" s="18"/>
      <c r="B14" s="37" t="s">
        <v>40</v>
      </c>
      <c r="C14" s="19"/>
      <c r="D14" s="20"/>
      <c r="E14" s="21"/>
      <c r="F14" s="21"/>
      <c r="G14" s="23">
        <f>SUM(G10:G11)</f>
        <v>44.035539999999997</v>
      </c>
      <c r="H14" s="22" t="s">
        <v>39</v>
      </c>
      <c r="I14" s="23">
        <v>64.63</v>
      </c>
      <c r="J14" s="41">
        <f>G14*I14</f>
        <v>2846.0169501999994</v>
      </c>
      <c r="K14" s="21"/>
      <c r="M14" s="25"/>
      <c r="N14" s="1"/>
      <c r="O14" s="1"/>
      <c r="P14" s="1"/>
      <c r="Q14" s="1"/>
      <c r="R14" s="25"/>
      <c r="S14" s="25"/>
    </row>
    <row r="15" spans="1:19" ht="15" customHeight="1" x14ac:dyDescent="0.25">
      <c r="A15" s="18"/>
      <c r="B15" s="37" t="s">
        <v>38</v>
      </c>
      <c r="C15" s="19"/>
      <c r="D15" s="20"/>
      <c r="E15" s="21"/>
      <c r="F15" s="21"/>
      <c r="G15" s="23"/>
      <c r="H15" s="22"/>
      <c r="I15" s="23"/>
      <c r="J15" s="41">
        <f>0.13*G14*19284/360</f>
        <v>306.64882204666662</v>
      </c>
      <c r="K15" s="21"/>
      <c r="M15" s="25"/>
      <c r="N15" s="1"/>
      <c r="O15" s="1"/>
      <c r="P15" s="1"/>
      <c r="Q15" s="1"/>
      <c r="R15" s="25"/>
      <c r="S15" s="25"/>
    </row>
    <row r="16" spans="1:19" ht="15" customHeight="1" x14ac:dyDescent="0.25">
      <c r="A16" s="18"/>
      <c r="B16" s="37"/>
      <c r="C16" s="19"/>
      <c r="D16" s="20"/>
      <c r="E16" s="21"/>
      <c r="F16" s="21"/>
      <c r="G16" s="23"/>
      <c r="H16" s="22"/>
      <c r="I16" s="23"/>
      <c r="J16" s="41"/>
      <c r="K16" s="21"/>
      <c r="M16" s="25"/>
      <c r="N16" s="1"/>
      <c r="O16" s="1"/>
      <c r="P16" s="1"/>
      <c r="Q16" s="1"/>
      <c r="R16" s="25"/>
      <c r="S16" s="25"/>
    </row>
    <row r="17" spans="1:19" ht="105" hidden="1" x14ac:dyDescent="0.25">
      <c r="A17" s="18">
        <v>2</v>
      </c>
      <c r="B17" s="30" t="s">
        <v>51</v>
      </c>
      <c r="C17" s="19"/>
      <c r="D17" s="20"/>
      <c r="E17" s="21"/>
      <c r="F17" s="21"/>
      <c r="G17" s="23"/>
      <c r="H17" s="22"/>
      <c r="I17" s="23"/>
      <c r="J17" s="41"/>
      <c r="K17" s="21"/>
      <c r="M17" s="25"/>
      <c r="N17" s="1"/>
      <c r="O17" s="1"/>
      <c r="P17" s="1"/>
      <c r="Q17" s="1"/>
      <c r="R17" s="25"/>
      <c r="S17" s="25"/>
    </row>
    <row r="18" spans="1:19" ht="15" hidden="1" customHeight="1" x14ac:dyDescent="0.25">
      <c r="A18" s="18"/>
      <c r="B18" s="37" t="s">
        <v>41</v>
      </c>
      <c r="C18" s="36">
        <v>0.5</v>
      </c>
      <c r="D18" s="38">
        <f>D22</f>
        <v>13.6</v>
      </c>
      <c r="E18" s="38">
        <v>0.6</v>
      </c>
      <c r="F18" s="38">
        <v>1</v>
      </c>
      <c r="G18" s="39">
        <f>0*PRODUCT(C18:F18)</f>
        <v>0</v>
      </c>
      <c r="H18" s="40"/>
      <c r="I18" s="40"/>
      <c r="J18" s="40"/>
      <c r="K18" s="21"/>
      <c r="M18" s="25"/>
      <c r="N18" s="1"/>
      <c r="O18" s="1"/>
      <c r="P18" s="1"/>
      <c r="Q18" s="1"/>
      <c r="R18" s="25"/>
      <c r="S18" s="25"/>
    </row>
    <row r="19" spans="1:19" ht="15" hidden="1" customHeight="1" x14ac:dyDescent="0.25">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25">
      <c r="A20" s="18"/>
      <c r="B20" s="37"/>
      <c r="C20" s="19"/>
      <c r="D20" s="20"/>
      <c r="E20" s="21"/>
      <c r="F20" s="21"/>
      <c r="G20" s="23"/>
      <c r="H20" s="22"/>
      <c r="I20" s="23"/>
      <c r="J20" s="41"/>
      <c r="K20" s="21"/>
      <c r="M20" s="25"/>
      <c r="N20" s="1"/>
      <c r="O20" s="1"/>
      <c r="P20" s="1"/>
      <c r="Q20" s="1"/>
      <c r="R20" s="25"/>
      <c r="S20" s="25"/>
    </row>
    <row r="21" spans="1:19" ht="90" x14ac:dyDescent="0.25">
      <c r="A21" s="18">
        <v>2</v>
      </c>
      <c r="B21" s="30" t="s">
        <v>43</v>
      </c>
      <c r="C21" s="19"/>
      <c r="D21" s="20"/>
      <c r="E21" s="21"/>
      <c r="F21" s="21"/>
      <c r="G21" s="23"/>
      <c r="H21" s="22"/>
      <c r="I21" s="23"/>
      <c r="J21" s="41"/>
      <c r="K21" s="21"/>
      <c r="M21" s="25"/>
      <c r="N21" s="1"/>
      <c r="O21" s="1"/>
      <c r="P21" s="1"/>
      <c r="Q21" s="1"/>
      <c r="R21" s="25"/>
      <c r="S21" s="25"/>
    </row>
    <row r="22" spans="1:19" ht="15" customHeight="1" x14ac:dyDescent="0.25">
      <c r="A22" s="18"/>
      <c r="B22" s="37" t="s">
        <v>41</v>
      </c>
      <c r="C22" s="36">
        <v>1</v>
      </c>
      <c r="D22" s="38">
        <f>D29</f>
        <v>13.6</v>
      </c>
      <c r="E22" s="38">
        <f>E29</f>
        <v>1.7050000000000001</v>
      </c>
      <c r="F22" s="38">
        <v>0.15</v>
      </c>
      <c r="G22" s="39">
        <f>PRODUCT(C22:F22)</f>
        <v>3.4781999999999997</v>
      </c>
      <c r="H22" s="40"/>
      <c r="I22" s="40"/>
      <c r="J22" s="40"/>
      <c r="K22" s="21"/>
      <c r="M22" s="25"/>
      <c r="N22" s="1"/>
      <c r="O22" s="1"/>
      <c r="P22" s="1"/>
      <c r="Q22" s="1"/>
      <c r="R22" s="25"/>
      <c r="S22" s="25"/>
    </row>
    <row r="23" spans="1:19" ht="15" customHeight="1" x14ac:dyDescent="0.25">
      <c r="A23" s="18"/>
      <c r="B23" s="37" t="s">
        <v>68</v>
      </c>
      <c r="C23" s="36">
        <v>1</v>
      </c>
      <c r="D23" s="38">
        <v>12.5</v>
      </c>
      <c r="E23" s="38">
        <v>0.6</v>
      </c>
      <c r="F23" s="38">
        <v>0.15</v>
      </c>
      <c r="G23" s="39">
        <f>PRODUCT(C23:F23)</f>
        <v>1.125</v>
      </c>
      <c r="H23" s="40"/>
      <c r="I23" s="40"/>
      <c r="J23" s="40"/>
      <c r="K23" s="21"/>
      <c r="M23" s="25"/>
      <c r="N23" s="1"/>
      <c r="O23" s="1"/>
      <c r="P23" s="1"/>
      <c r="Q23" s="1"/>
      <c r="R23" s="25"/>
      <c r="S23" s="25"/>
    </row>
    <row r="24" spans="1:19" ht="15" hidden="1" customHeight="1" x14ac:dyDescent="0.25">
      <c r="A24" s="18"/>
      <c r="B24" s="37" t="s">
        <v>55</v>
      </c>
      <c r="C24" s="36">
        <v>0</v>
      </c>
      <c r="D24" s="38">
        <f>D13</f>
        <v>11.889667784212129</v>
      </c>
      <c r="E24" s="38">
        <f>E13</f>
        <v>1.3</v>
      </c>
      <c r="F24" s="38">
        <v>0.15</v>
      </c>
      <c r="G24" s="39">
        <f>PRODUCT(C24:F24)</f>
        <v>0</v>
      </c>
      <c r="H24" s="40"/>
      <c r="I24" s="40"/>
      <c r="J24" s="40"/>
      <c r="K24" s="21"/>
      <c r="M24" s="25"/>
      <c r="N24" s="1"/>
      <c r="O24" s="1"/>
      <c r="P24" s="1"/>
      <c r="Q24" s="1"/>
      <c r="R24" s="25"/>
      <c r="S24" s="25"/>
    </row>
    <row r="25" spans="1:19" ht="15" customHeight="1" x14ac:dyDescent="0.25">
      <c r="A25" s="40"/>
      <c r="B25" s="37" t="s">
        <v>40</v>
      </c>
      <c r="C25" s="42"/>
      <c r="D25" s="43"/>
      <c r="E25" s="43"/>
      <c r="F25" s="43"/>
      <c r="G25" s="33">
        <f>SUM(G22:G24)</f>
        <v>4.6031999999999993</v>
      </c>
      <c r="H25" s="33" t="s">
        <v>39</v>
      </c>
      <c r="I25" s="33">
        <v>4561.53</v>
      </c>
      <c r="J25" s="44">
        <f>G25*I25</f>
        <v>20997.634895999996</v>
      </c>
      <c r="K25" s="36"/>
    </row>
    <row r="26" spans="1:19" x14ac:dyDescent="0.25">
      <c r="A26" s="40"/>
      <c r="B26" s="37" t="s">
        <v>38</v>
      </c>
      <c r="C26" s="42"/>
      <c r="D26" s="43"/>
      <c r="E26" s="43"/>
      <c r="F26" s="43"/>
      <c r="G26" s="43"/>
      <c r="H26" s="43"/>
      <c r="I26" s="43"/>
      <c r="J26" s="45">
        <f>0.13*G25*(15452.6/5)</f>
        <v>1849.4166163199998</v>
      </c>
      <c r="K26" s="36"/>
    </row>
    <row r="27" spans="1:19" x14ac:dyDescent="0.25">
      <c r="A27" s="40"/>
      <c r="B27" s="37"/>
      <c r="C27" s="42"/>
      <c r="D27" s="43"/>
      <c r="E27" s="43"/>
      <c r="F27" s="43"/>
      <c r="G27" s="43"/>
      <c r="H27" s="43"/>
      <c r="I27" s="43"/>
      <c r="J27" s="45"/>
      <c r="K27" s="36"/>
    </row>
    <row r="28" spans="1:19" ht="75" x14ac:dyDescent="0.25">
      <c r="A28" s="18">
        <v>3</v>
      </c>
      <c r="B28" s="30" t="s">
        <v>42</v>
      </c>
      <c r="C28" s="19"/>
      <c r="D28" s="20"/>
      <c r="E28" s="21"/>
      <c r="F28" s="21"/>
      <c r="G28" s="23"/>
      <c r="H28" s="22"/>
      <c r="I28" s="23"/>
      <c r="J28" s="41"/>
      <c r="K28" s="21"/>
      <c r="M28" s="25"/>
      <c r="N28" s="1"/>
      <c r="O28" s="1"/>
      <c r="P28" s="1"/>
      <c r="Q28" s="1"/>
      <c r="R28" s="25"/>
      <c r="S28" s="25"/>
    </row>
    <row r="29" spans="1:19" ht="15" customHeight="1" x14ac:dyDescent="0.25">
      <c r="A29" s="18"/>
      <c r="B29" s="37" t="s">
        <v>50</v>
      </c>
      <c r="C29" s="36">
        <v>1</v>
      </c>
      <c r="D29" s="38">
        <f>D37</f>
        <v>13.6</v>
      </c>
      <c r="E29" s="38">
        <f>F37/2</f>
        <v>1.7050000000000001</v>
      </c>
      <c r="F29" s="38">
        <v>7.4999999999999997E-2</v>
      </c>
      <c r="G29" s="39">
        <f>PRODUCT(C29:F29)</f>
        <v>1.7390999999999999</v>
      </c>
      <c r="H29" s="40"/>
      <c r="I29" s="40"/>
      <c r="J29" s="40"/>
      <c r="K29" s="21"/>
      <c r="M29" s="25"/>
      <c r="N29" s="1"/>
      <c r="O29" s="1"/>
      <c r="P29" s="1"/>
      <c r="Q29" s="1"/>
      <c r="R29" s="25"/>
      <c r="S29" s="25"/>
    </row>
    <row r="30" spans="1:19" ht="15" customHeight="1" x14ac:dyDescent="0.25">
      <c r="A30" s="18"/>
      <c r="B30" s="37"/>
      <c r="C30" s="36">
        <v>1</v>
      </c>
      <c r="D30" s="38">
        <f>D29</f>
        <v>13.6</v>
      </c>
      <c r="E30" s="38">
        <v>0.5</v>
      </c>
      <c r="F30" s="38">
        <v>0.05</v>
      </c>
      <c r="G30" s="39">
        <f>PRODUCT(C30:F30)</f>
        <v>0.34</v>
      </c>
      <c r="H30" s="40"/>
      <c r="I30" s="40"/>
      <c r="J30" s="40"/>
      <c r="K30" s="21"/>
      <c r="M30" s="25"/>
      <c r="N30" s="1"/>
      <c r="O30" s="1"/>
      <c r="P30" s="1"/>
      <c r="Q30" s="1"/>
      <c r="R30" s="25"/>
      <c r="S30" s="25"/>
    </row>
    <row r="31" spans="1:19" ht="15" hidden="1" customHeight="1" x14ac:dyDescent="0.25">
      <c r="A31" s="18"/>
      <c r="B31" s="37" t="s">
        <v>55</v>
      </c>
      <c r="C31" s="36">
        <f>C24</f>
        <v>0</v>
      </c>
      <c r="D31" s="38">
        <f>D24</f>
        <v>11.889667784212129</v>
      </c>
      <c r="E31" s="38">
        <f>E24</f>
        <v>1.3</v>
      </c>
      <c r="F31" s="38">
        <v>0.05</v>
      </c>
      <c r="G31" s="39">
        <f>0*PRODUCT(C31:F31)</f>
        <v>0</v>
      </c>
      <c r="H31" s="40"/>
      <c r="I31" s="40"/>
      <c r="J31" s="40"/>
      <c r="K31" s="21"/>
      <c r="M31" s="25"/>
      <c r="N31" s="1"/>
      <c r="O31" s="1"/>
      <c r="P31" s="1"/>
      <c r="Q31" s="1"/>
      <c r="R31" s="25"/>
      <c r="S31" s="25"/>
    </row>
    <row r="32" spans="1:19" ht="15" hidden="1" customHeight="1" x14ac:dyDescent="0.25">
      <c r="A32" s="18"/>
      <c r="B32" s="37" t="s">
        <v>63</v>
      </c>
      <c r="C32" s="36">
        <v>1</v>
      </c>
      <c r="D32" s="38">
        <f>D59</f>
        <v>3.8860103626943006</v>
      </c>
      <c r="E32" s="38">
        <v>0.23</v>
      </c>
      <c r="F32" s="38">
        <v>0.05</v>
      </c>
      <c r="G32" s="39">
        <f>0*PRODUCT(C32:F32)</f>
        <v>0</v>
      </c>
      <c r="H32" s="40"/>
      <c r="I32" s="40"/>
      <c r="J32" s="40"/>
      <c r="K32" s="21"/>
      <c r="M32" s="25"/>
      <c r="N32" s="1"/>
      <c r="O32" s="1"/>
      <c r="P32" s="1"/>
      <c r="Q32" s="1"/>
      <c r="R32" s="25"/>
      <c r="S32" s="25"/>
    </row>
    <row r="33" spans="1:19" ht="15" customHeight="1" x14ac:dyDescent="0.25">
      <c r="A33" s="40"/>
      <c r="B33" s="37" t="s">
        <v>40</v>
      </c>
      <c r="C33" s="42"/>
      <c r="D33" s="43"/>
      <c r="E33" s="43"/>
      <c r="F33" s="43"/>
      <c r="G33" s="33">
        <f>SUM(G29:G32)</f>
        <v>2.0790999999999999</v>
      </c>
      <c r="H33" s="33" t="s">
        <v>39</v>
      </c>
      <c r="I33" s="33">
        <v>10634.5</v>
      </c>
      <c r="J33" s="44">
        <f>G33*I33</f>
        <v>22110.18895</v>
      </c>
      <c r="K33" s="36"/>
    </row>
    <row r="34" spans="1:19" ht="15" customHeight="1" x14ac:dyDescent="0.25">
      <c r="A34" s="40"/>
      <c r="B34" s="37" t="s">
        <v>38</v>
      </c>
      <c r="C34" s="42"/>
      <c r="D34" s="43"/>
      <c r="E34" s="43"/>
      <c r="F34" s="43"/>
      <c r="G34" s="43"/>
      <c r="H34" s="43"/>
      <c r="I34" s="43"/>
      <c r="J34" s="45">
        <f>0.13*G33*((114907.3+6135.3)/15)</f>
        <v>2181.0504703866668</v>
      </c>
      <c r="K34" s="36"/>
    </row>
    <row r="35" spans="1:19" ht="15" customHeight="1" x14ac:dyDescent="0.25">
      <c r="A35" s="40"/>
      <c r="B35" s="37"/>
      <c r="C35" s="42"/>
      <c r="D35" s="43"/>
      <c r="E35" s="43"/>
      <c r="F35" s="43"/>
      <c r="G35" s="43"/>
      <c r="H35" s="43"/>
      <c r="I35" s="43"/>
      <c r="J35" s="45"/>
      <c r="K35" s="36"/>
    </row>
    <row r="36" spans="1:19" s="1" customFormat="1" ht="90" x14ac:dyDescent="0.25">
      <c r="A36" s="63">
        <v>4</v>
      </c>
      <c r="B36" s="30" t="s">
        <v>53</v>
      </c>
      <c r="C36" s="64"/>
      <c r="D36" s="39"/>
      <c r="E36" s="39"/>
      <c r="F36" s="39"/>
      <c r="G36" s="39"/>
      <c r="H36" s="39"/>
      <c r="I36" s="39"/>
      <c r="J36" s="45"/>
      <c r="K36" s="29"/>
    </row>
    <row r="37" spans="1:19" ht="15" customHeight="1" x14ac:dyDescent="0.25">
      <c r="A37" s="18"/>
      <c r="B37" s="37" t="s">
        <v>50</v>
      </c>
      <c r="C37" s="36">
        <v>1</v>
      </c>
      <c r="D37" s="38">
        <v>13.6</v>
      </c>
      <c r="E37" s="38">
        <f>((F37/2+0.5)/2)*0.9754587</f>
        <v>1.0754432167500001</v>
      </c>
      <c r="F37" s="38">
        <f>2.5+0.91</f>
        <v>3.41</v>
      </c>
      <c r="G37" s="39">
        <f>PRODUCT(C37:F37)</f>
        <v>49.874754619998001</v>
      </c>
      <c r="H37" s="40"/>
      <c r="I37" s="40"/>
      <c r="J37" s="40"/>
      <c r="K37" s="21"/>
      <c r="M37" s="25"/>
      <c r="N37" s="1"/>
      <c r="O37" s="1"/>
      <c r="P37" s="1"/>
      <c r="Q37" s="1"/>
      <c r="R37" s="25"/>
      <c r="S37" s="25"/>
    </row>
    <row r="38" spans="1:19" ht="15" customHeight="1" x14ac:dyDescent="0.25">
      <c r="A38" s="40"/>
      <c r="B38" s="37" t="s">
        <v>40</v>
      </c>
      <c r="C38" s="42"/>
      <c r="D38" s="43"/>
      <c r="E38" s="43"/>
      <c r="F38" s="43"/>
      <c r="G38" s="33">
        <f>SUM(G37:G37)</f>
        <v>49.874754619998001</v>
      </c>
      <c r="H38" s="33" t="s">
        <v>39</v>
      </c>
      <c r="I38" s="33">
        <v>9709.43</v>
      </c>
      <c r="J38" s="44">
        <f>G38*I38</f>
        <v>484255.43875004718</v>
      </c>
      <c r="K38" s="36"/>
    </row>
    <row r="39" spans="1:19" ht="15" customHeight="1" x14ac:dyDescent="0.25">
      <c r="A39" s="40"/>
      <c r="B39" s="37" t="s">
        <v>38</v>
      </c>
      <c r="C39" s="42"/>
      <c r="D39" s="43"/>
      <c r="E39" s="43"/>
      <c r="F39" s="43"/>
      <c r="G39" s="43"/>
      <c r="H39" s="43"/>
      <c r="I39" s="43"/>
      <c r="J39" s="45">
        <f>0.13*G38*((27092.1)/5)</f>
        <v>35131.507830651644</v>
      </c>
      <c r="K39" s="36"/>
    </row>
    <row r="40" spans="1:19" ht="15" customHeight="1" x14ac:dyDescent="0.25">
      <c r="A40" s="40"/>
      <c r="B40" s="37"/>
      <c r="C40" s="42"/>
      <c r="D40" s="43"/>
      <c r="E40" s="43"/>
      <c r="F40" s="43"/>
      <c r="G40" s="43"/>
      <c r="H40" s="43"/>
      <c r="I40" s="43"/>
      <c r="J40" s="45"/>
      <c r="K40" s="36"/>
    </row>
    <row r="41" spans="1:19" s="1" customFormat="1" ht="75" x14ac:dyDescent="0.25">
      <c r="A41" s="63">
        <v>5</v>
      </c>
      <c r="B41" s="30" t="s">
        <v>69</v>
      </c>
      <c r="C41" s="64" t="s">
        <v>7</v>
      </c>
      <c r="D41" s="67" t="s">
        <v>70</v>
      </c>
      <c r="E41" s="67" t="s">
        <v>71</v>
      </c>
      <c r="F41" s="67" t="s">
        <v>72</v>
      </c>
      <c r="G41" s="39"/>
      <c r="H41" s="39"/>
      <c r="I41" s="39"/>
      <c r="J41" s="45"/>
      <c r="K41" s="29"/>
    </row>
    <row r="42" spans="1:19" ht="15" customHeight="1" x14ac:dyDescent="0.25">
      <c r="A42" s="40"/>
      <c r="B42" s="37" t="str">
        <f>B38</f>
        <v>Sub-total</v>
      </c>
      <c r="C42" s="42">
        <f>TRUNC(D43/0.15,0)</f>
        <v>79</v>
      </c>
      <c r="D42" s="43">
        <v>0.9</v>
      </c>
      <c r="E42" s="43">
        <f>10*10/162</f>
        <v>0.61728395061728392</v>
      </c>
      <c r="F42" s="43">
        <f>PRODUCT(C42:E42)</f>
        <v>43.888888888888893</v>
      </c>
      <c r="G42" s="43">
        <f>F42/1000</f>
        <v>4.3888888888888894E-2</v>
      </c>
      <c r="H42" s="43"/>
      <c r="I42" s="43"/>
      <c r="J42" s="45"/>
      <c r="K42" s="36"/>
    </row>
    <row r="43" spans="1:19" x14ac:dyDescent="0.25">
      <c r="A43" s="5"/>
      <c r="B43" s="5"/>
      <c r="C43" s="42">
        <f>TRUNC(D42/0.15,0)+1</f>
        <v>7</v>
      </c>
      <c r="D43" s="68">
        <f>12.5-0.6</f>
        <v>11.9</v>
      </c>
      <c r="E43" s="43">
        <f>10*10/162</f>
        <v>0.61728395061728392</v>
      </c>
      <c r="F43" s="43">
        <f>PRODUCT(C43:E43)</f>
        <v>51.419753086419746</v>
      </c>
      <c r="G43" s="43">
        <f>F43/1000</f>
        <v>5.1419753086419745E-2</v>
      </c>
      <c r="H43" s="5"/>
      <c r="I43" s="5"/>
      <c r="J43" s="5"/>
      <c r="K43" s="5"/>
      <c r="M43" s="69"/>
      <c r="N43" s="69"/>
    </row>
    <row r="44" spans="1:19" ht="15" customHeight="1" x14ac:dyDescent="0.25">
      <c r="A44" s="40"/>
      <c r="B44" s="37" t="s">
        <v>40</v>
      </c>
      <c r="C44" s="42"/>
      <c r="D44" s="43"/>
      <c r="E44" s="43"/>
      <c r="F44" s="43"/>
      <c r="G44" s="33">
        <f>SUM(G42:G43)</f>
        <v>9.5308641975308639E-2</v>
      </c>
      <c r="H44" s="33" t="s">
        <v>73</v>
      </c>
      <c r="I44" s="33">
        <v>124140</v>
      </c>
      <c r="J44" s="44">
        <f>G44*I44</f>
        <v>11831.614814814815</v>
      </c>
      <c r="K44" s="36"/>
    </row>
    <row r="45" spans="1:19" ht="15" customHeight="1" x14ac:dyDescent="0.25">
      <c r="A45" s="40"/>
      <c r="B45" s="37" t="s">
        <v>38</v>
      </c>
      <c r="C45" s="42"/>
      <c r="D45" s="43"/>
      <c r="E45" s="43"/>
      <c r="F45" s="43"/>
      <c r="G45" s="43"/>
      <c r="H45" s="43"/>
      <c r="I45" s="43"/>
      <c r="J45" s="45">
        <f>0.13*G44*110960</f>
        <v>1374.8080987654321</v>
      </c>
      <c r="K45" s="36"/>
    </row>
    <row r="46" spans="1:19" ht="11.25" customHeight="1" x14ac:dyDescent="0.25">
      <c r="A46" s="5"/>
      <c r="B46" s="5"/>
      <c r="C46" s="5"/>
      <c r="D46" s="5"/>
      <c r="E46" s="5"/>
      <c r="F46" s="5"/>
      <c r="G46" s="5"/>
      <c r="H46" s="5"/>
      <c r="I46" s="5"/>
      <c r="J46" s="5"/>
      <c r="K46" s="5"/>
    </row>
    <row r="47" spans="1:19" s="1" customFormat="1" ht="75" x14ac:dyDescent="0.25">
      <c r="A47" s="63">
        <v>6</v>
      </c>
      <c r="B47" s="30" t="s">
        <v>74</v>
      </c>
      <c r="C47" s="64"/>
      <c r="D47" s="39"/>
      <c r="E47" s="39"/>
      <c r="F47" s="39"/>
      <c r="G47" s="39"/>
      <c r="H47" s="39"/>
      <c r="I47" s="39"/>
      <c r="J47" s="45"/>
      <c r="K47" s="29"/>
    </row>
    <row r="48" spans="1:19" x14ac:dyDescent="0.25">
      <c r="A48" s="40"/>
      <c r="B48" s="24" t="str">
        <f>B38</f>
        <v>Sub-total</v>
      </c>
      <c r="C48" s="42">
        <f>1</f>
        <v>1</v>
      </c>
      <c r="D48" s="43">
        <v>12.5</v>
      </c>
      <c r="E48" s="43">
        <v>1</v>
      </c>
      <c r="F48" s="43">
        <v>0.15</v>
      </c>
      <c r="G48" s="39">
        <f>PRODUCT(C48:F48)</f>
        <v>1.875</v>
      </c>
      <c r="H48" s="43"/>
      <c r="I48" s="43"/>
      <c r="J48" s="45"/>
      <c r="K48" s="36"/>
    </row>
    <row r="49" spans="1:19" ht="15" customHeight="1" x14ac:dyDescent="0.25">
      <c r="A49" s="40"/>
      <c r="B49" s="37" t="s">
        <v>40</v>
      </c>
      <c r="C49" s="42"/>
      <c r="D49" s="43"/>
      <c r="E49" s="43"/>
      <c r="F49" s="43"/>
      <c r="G49" s="33">
        <f>SUM(G48:G48)</f>
        <v>1.875</v>
      </c>
      <c r="H49" s="33" t="s">
        <v>39</v>
      </c>
      <c r="I49" s="33">
        <v>11588.17</v>
      </c>
      <c r="J49" s="44">
        <f>G49*I49</f>
        <v>21727.818749999999</v>
      </c>
      <c r="K49" s="36"/>
    </row>
    <row r="50" spans="1:19" ht="15" customHeight="1" x14ac:dyDescent="0.25">
      <c r="A50" s="40"/>
      <c r="B50" s="37" t="s">
        <v>38</v>
      </c>
      <c r="C50" s="42"/>
      <c r="D50" s="43"/>
      <c r="E50" s="43"/>
      <c r="F50" s="43"/>
      <c r="G50" s="43"/>
      <c r="H50" s="43"/>
      <c r="I50" s="43"/>
      <c r="J50" s="45">
        <f>0.13*G49*((128662.2+6685.5)/15)</f>
        <v>2199.4001250000001</v>
      </c>
      <c r="K50" s="36"/>
    </row>
    <row r="51" spans="1:19" ht="15" customHeight="1" x14ac:dyDescent="0.25">
      <c r="A51" s="40"/>
      <c r="B51" s="37"/>
      <c r="C51" s="42"/>
      <c r="D51" s="43"/>
      <c r="E51" s="43"/>
      <c r="F51" s="43"/>
      <c r="G51" s="43"/>
      <c r="H51" s="43"/>
      <c r="I51" s="43"/>
      <c r="J51" s="45"/>
      <c r="K51" s="36"/>
    </row>
    <row r="52" spans="1:19" ht="105" x14ac:dyDescent="0.25">
      <c r="A52" s="18">
        <v>7</v>
      </c>
      <c r="B52" s="30" t="s">
        <v>82</v>
      </c>
      <c r="C52" s="19">
        <v>5</v>
      </c>
      <c r="D52" s="20">
        <v>2.5</v>
      </c>
      <c r="E52" s="21"/>
      <c r="F52" s="21"/>
      <c r="G52" s="34">
        <f>PRODUCT(C52:F52)</f>
        <v>12.5</v>
      </c>
      <c r="H52" s="5"/>
      <c r="I52" s="5"/>
      <c r="J52" s="5"/>
      <c r="K52" s="21"/>
      <c r="M52" s="25"/>
      <c r="N52" s="1"/>
      <c r="O52" s="1"/>
      <c r="P52" s="1"/>
      <c r="Q52" s="1"/>
      <c r="R52" s="25"/>
      <c r="S52" s="25"/>
    </row>
    <row r="53" spans="1:19" ht="15" customHeight="1" x14ac:dyDescent="0.25">
      <c r="A53" s="18"/>
      <c r="B53" s="37" t="s">
        <v>40</v>
      </c>
      <c r="C53" s="36"/>
      <c r="D53" s="38"/>
      <c r="E53" s="38"/>
      <c r="F53" s="38"/>
      <c r="G53" s="34">
        <f>SUM(G52)</f>
        <v>12.5</v>
      </c>
      <c r="H53" s="22" t="s">
        <v>76</v>
      </c>
      <c r="I53" s="23">
        <v>3697.12</v>
      </c>
      <c r="J53" s="34">
        <f>G53*I53</f>
        <v>46214</v>
      </c>
      <c r="K53" s="21"/>
      <c r="M53" s="25"/>
      <c r="N53" s="1"/>
      <c r="O53" s="1"/>
      <c r="P53" s="1"/>
      <c r="Q53" s="1"/>
      <c r="R53" s="25"/>
      <c r="S53" s="25"/>
    </row>
    <row r="54" spans="1:19" ht="15" customHeight="1" x14ac:dyDescent="0.25">
      <c r="A54" s="18"/>
      <c r="B54" s="37" t="s">
        <v>38</v>
      </c>
      <c r="C54" s="36"/>
      <c r="D54" s="38"/>
      <c r="E54" s="38"/>
      <c r="F54" s="38"/>
      <c r="G54" s="39"/>
      <c r="H54" s="40"/>
      <c r="I54" s="40"/>
      <c r="J54" s="45">
        <f>0.13*G53*40214.2/12.5</f>
        <v>5227.8459999999995</v>
      </c>
      <c r="K54" s="21"/>
      <c r="M54" s="25"/>
      <c r="N54" s="1"/>
      <c r="O54" s="1"/>
      <c r="P54" s="1"/>
      <c r="Q54" s="1"/>
      <c r="R54" s="25"/>
      <c r="S54" s="25"/>
    </row>
    <row r="55" spans="1:19" ht="15" customHeight="1" x14ac:dyDescent="0.25">
      <c r="A55" s="40"/>
      <c r="B55" s="37"/>
      <c r="C55" s="42"/>
      <c r="D55" s="43"/>
      <c r="E55" s="43"/>
      <c r="F55" s="43"/>
      <c r="G55" s="43"/>
      <c r="H55" s="43"/>
      <c r="I55" s="43"/>
      <c r="J55" s="45"/>
      <c r="K55" s="36"/>
    </row>
    <row r="56" spans="1:19" ht="30.75" hidden="1" x14ac:dyDescent="0.25">
      <c r="A56" s="40">
        <v>6</v>
      </c>
      <c r="B56" s="65" t="s">
        <v>56</v>
      </c>
      <c r="C56" s="42"/>
      <c r="D56" s="43"/>
      <c r="E56" s="43"/>
      <c r="F56" s="43"/>
      <c r="G56" s="43"/>
      <c r="H56" s="43"/>
      <c r="I56" s="43"/>
      <c r="J56" s="45"/>
      <c r="K56" s="36"/>
    </row>
    <row r="57" spans="1:19" ht="15" hidden="1" customHeight="1" x14ac:dyDescent="0.25">
      <c r="A57" s="18"/>
      <c r="B57" s="37" t="s">
        <v>50</v>
      </c>
      <c r="C57" s="36">
        <v>1</v>
      </c>
      <c r="D57" s="38">
        <f>(11.17+11.17+12.333+4.42)/3.281</f>
        <v>11.914964949710455</v>
      </c>
      <c r="E57" s="38">
        <v>0.23</v>
      </c>
      <c r="F57" s="38">
        <v>0.45</v>
      </c>
      <c r="G57" s="39">
        <f>PRODUCT(C57:F57)</f>
        <v>1.2331988722950322</v>
      </c>
      <c r="H57" s="40"/>
      <c r="I57" s="40"/>
      <c r="J57" s="40"/>
      <c r="K57" s="21"/>
      <c r="M57" s="25"/>
      <c r="N57" s="1"/>
      <c r="O57" s="1"/>
      <c r="P57" s="1"/>
      <c r="Q57" s="1"/>
      <c r="R57" s="25"/>
      <c r="S57" s="25"/>
    </row>
    <row r="58" spans="1:19" ht="15" hidden="1" customHeight="1" x14ac:dyDescent="0.25">
      <c r="A58" s="18"/>
      <c r="B58" s="37" t="s">
        <v>55</v>
      </c>
      <c r="C58" s="36">
        <f>31</f>
        <v>31</v>
      </c>
      <c r="D58" s="38">
        <f>1.3-0.23</f>
        <v>1.07</v>
      </c>
      <c r="E58" s="38">
        <v>0.15</v>
      </c>
      <c r="F58" s="38">
        <v>0.15</v>
      </c>
      <c r="G58" s="39">
        <f>PRODUCT(C58:F58)</f>
        <v>0.74632500000000002</v>
      </c>
      <c r="H58" s="40"/>
      <c r="I58" s="40"/>
      <c r="J58" s="40"/>
      <c r="K58" s="21"/>
      <c r="M58" s="25"/>
      <c r="N58" s="1"/>
      <c r="O58" s="1"/>
      <c r="P58" s="1"/>
      <c r="Q58" s="1"/>
      <c r="R58" s="25"/>
      <c r="S58" s="25"/>
    </row>
    <row r="59" spans="1:19" ht="15" hidden="1" customHeight="1" x14ac:dyDescent="0.25">
      <c r="A59" s="18"/>
      <c r="B59" s="37" t="s">
        <v>62</v>
      </c>
      <c r="C59" s="36">
        <v>1</v>
      </c>
      <c r="D59" s="38">
        <f>12.75/3.281</f>
        <v>3.8860103626943006</v>
      </c>
      <c r="E59" s="38">
        <v>0.23</v>
      </c>
      <c r="F59" s="38">
        <v>0.6</v>
      </c>
      <c r="G59" s="39">
        <f>PRODUCT(C59:F59)</f>
        <v>0.53626943005181349</v>
      </c>
      <c r="H59" s="40"/>
      <c r="I59" s="40"/>
      <c r="J59" s="40"/>
      <c r="K59" s="21"/>
      <c r="M59" s="25"/>
      <c r="N59" s="1"/>
      <c r="O59" s="1"/>
      <c r="P59" s="1"/>
      <c r="Q59" s="1"/>
      <c r="R59" s="25"/>
      <c r="S59" s="25"/>
    </row>
    <row r="60" spans="1:19" ht="15" hidden="1" customHeight="1" x14ac:dyDescent="0.25">
      <c r="A60" s="40"/>
      <c r="B60" s="37" t="s">
        <v>40</v>
      </c>
      <c r="C60" s="42"/>
      <c r="D60" s="43"/>
      <c r="E60" s="43"/>
      <c r="F60" s="43"/>
      <c r="G60" s="33">
        <f>0*SUM(G57:G59)</f>
        <v>0</v>
      </c>
      <c r="H60" s="33" t="s">
        <v>39</v>
      </c>
      <c r="I60" s="33">
        <v>14362.76</v>
      </c>
      <c r="J60" s="44">
        <f>G60*I60</f>
        <v>0</v>
      </c>
      <c r="K60" s="36"/>
    </row>
    <row r="61" spans="1:19" ht="15" hidden="1" customHeight="1" x14ac:dyDescent="0.25">
      <c r="A61" s="40"/>
      <c r="B61" s="37" t="s">
        <v>38</v>
      </c>
      <c r="C61" s="42"/>
      <c r="D61" s="43"/>
      <c r="E61" s="43"/>
      <c r="F61" s="43"/>
      <c r="G61" s="43"/>
      <c r="H61" s="43"/>
      <c r="I61" s="43"/>
      <c r="J61" s="45">
        <f>0.13*G60*10311.74</f>
        <v>0</v>
      </c>
      <c r="K61" s="36"/>
    </row>
    <row r="62" spans="1:19" ht="15" hidden="1" customHeight="1" x14ac:dyDescent="0.25">
      <c r="A62" s="40"/>
      <c r="B62" s="37"/>
      <c r="C62" s="42"/>
      <c r="D62" s="43"/>
      <c r="E62" s="43"/>
      <c r="F62" s="43"/>
      <c r="G62" s="43"/>
      <c r="H62" s="43"/>
      <c r="I62" s="43"/>
      <c r="J62" s="45"/>
      <c r="K62" s="36"/>
    </row>
    <row r="63" spans="1:19" ht="15.75" hidden="1" x14ac:dyDescent="0.25">
      <c r="A63" s="40">
        <v>7</v>
      </c>
      <c r="B63" s="65" t="s">
        <v>58</v>
      </c>
      <c r="C63" s="42"/>
      <c r="D63" s="43"/>
      <c r="E63" s="43"/>
      <c r="F63" s="43"/>
      <c r="G63" s="43"/>
      <c r="H63" s="43"/>
      <c r="I63" s="43"/>
      <c r="J63" s="45"/>
      <c r="K63" s="36"/>
    </row>
    <row r="64" spans="1:19" ht="15" hidden="1" customHeight="1" x14ac:dyDescent="0.25">
      <c r="A64" s="18"/>
      <c r="B64" s="37" t="s">
        <v>60</v>
      </c>
      <c r="C64" s="36">
        <v>1</v>
      </c>
      <c r="D64" s="38">
        <f>21.9+3.04</f>
        <v>24.939999999999998</v>
      </c>
      <c r="E64" s="38">
        <v>0.3</v>
      </c>
      <c r="F64" s="38"/>
      <c r="G64" s="39">
        <f>PRODUCT(C64:F64)</f>
        <v>7.4819999999999993</v>
      </c>
      <c r="H64" s="40"/>
      <c r="I64" s="40"/>
      <c r="J64" s="40"/>
      <c r="K64" s="21"/>
      <c r="M64" s="25"/>
      <c r="N64" s="1"/>
      <c r="O64" s="1"/>
      <c r="P64" s="1"/>
      <c r="Q64" s="1"/>
      <c r="R64" s="25"/>
      <c r="S64" s="25"/>
    </row>
    <row r="65" spans="1:19" ht="15" hidden="1" customHeight="1" x14ac:dyDescent="0.25">
      <c r="A65" s="18"/>
      <c r="B65" s="37"/>
      <c r="C65" s="36">
        <v>1</v>
      </c>
      <c r="D65" s="38">
        <f>13.917/3.281</f>
        <v>4.2416946053032607</v>
      </c>
      <c r="E65" s="38">
        <f>51.083/3.281</f>
        <v>15.569338616275525</v>
      </c>
      <c r="F65" s="38"/>
      <c r="G65" s="39">
        <f>PRODUCT(C65:F65)</f>
        <v>66.040379616795633</v>
      </c>
      <c r="H65" s="40"/>
      <c r="I65" s="40"/>
      <c r="J65" s="40"/>
      <c r="K65" s="21"/>
      <c r="M65" s="25"/>
      <c r="N65" s="1"/>
      <c r="O65" s="1"/>
      <c r="P65" s="1"/>
      <c r="Q65" s="1"/>
      <c r="R65" s="25"/>
      <c r="S65" s="25"/>
    </row>
    <row r="66" spans="1:19" ht="15" hidden="1" customHeight="1" x14ac:dyDescent="0.25">
      <c r="A66" s="18"/>
      <c r="B66" s="37"/>
      <c r="C66" s="36">
        <v>1</v>
      </c>
      <c r="D66" s="38">
        <f>22.17/3.281</f>
        <v>6.7570862541907957</v>
      </c>
      <c r="E66" s="38">
        <f>12.5/3.281</f>
        <v>3.8098140810728434</v>
      </c>
      <c r="F66" s="38"/>
      <c r="G66" s="39">
        <f>PRODUCT(C66:F66)</f>
        <v>25.743242358239847</v>
      </c>
      <c r="H66" s="40"/>
      <c r="I66" s="40"/>
      <c r="J66" s="40"/>
      <c r="K66" s="21"/>
      <c r="M66" s="25"/>
      <c r="N66" s="1"/>
      <c r="O66" s="1"/>
      <c r="P66" s="1"/>
      <c r="Q66" s="1"/>
      <c r="R66" s="25"/>
      <c r="S66" s="25"/>
    </row>
    <row r="67" spans="1:19" ht="15" hidden="1" customHeight="1" x14ac:dyDescent="0.25">
      <c r="A67" s="40"/>
      <c r="B67" s="37" t="s">
        <v>40</v>
      </c>
      <c r="C67" s="42"/>
      <c r="D67" s="43"/>
      <c r="E67" s="43"/>
      <c r="F67" s="43"/>
      <c r="G67" s="33">
        <f>0*SUM(G64:G66)</f>
        <v>0</v>
      </c>
      <c r="H67" s="33" t="s">
        <v>59</v>
      </c>
      <c r="I67" s="33">
        <f>35*10.7639</f>
        <v>376.73649999999998</v>
      </c>
      <c r="J67" s="44">
        <f>G67*I67</f>
        <v>0</v>
      </c>
      <c r="K67" s="36"/>
    </row>
    <row r="68" spans="1:19" ht="15" hidden="1" customHeight="1" x14ac:dyDescent="0.25">
      <c r="A68" s="40"/>
      <c r="B68" s="37" t="s">
        <v>38</v>
      </c>
      <c r="C68" s="42"/>
      <c r="D68" s="43"/>
      <c r="E68" s="43"/>
      <c r="F68" s="43"/>
      <c r="G68" s="43"/>
      <c r="H68" s="43"/>
      <c r="I68" s="43"/>
      <c r="J68" s="45">
        <f>0.13*J67</f>
        <v>0</v>
      </c>
      <c r="K68" s="36"/>
    </row>
    <row r="69" spans="1:19" ht="15" hidden="1" customHeight="1" x14ac:dyDescent="0.25">
      <c r="A69" s="40"/>
      <c r="B69" s="37"/>
      <c r="C69" s="42"/>
      <c r="D69" s="43"/>
      <c r="E69" s="43"/>
      <c r="F69" s="43"/>
      <c r="G69" s="43"/>
      <c r="H69" s="43"/>
      <c r="I69" s="43"/>
      <c r="J69" s="45"/>
      <c r="K69" s="36"/>
    </row>
    <row r="70" spans="1:19" ht="15.75" hidden="1" x14ac:dyDescent="0.25">
      <c r="A70" s="40">
        <v>8</v>
      </c>
      <c r="B70" s="65" t="s">
        <v>61</v>
      </c>
      <c r="C70" s="42"/>
      <c r="D70" s="43"/>
      <c r="E70" s="43"/>
      <c r="F70" s="43"/>
      <c r="G70" s="43"/>
      <c r="H70" s="43"/>
      <c r="I70" s="43"/>
      <c r="J70" s="45"/>
      <c r="K70" s="36"/>
    </row>
    <row r="71" spans="1:19" ht="15" hidden="1" customHeight="1" x14ac:dyDescent="0.25">
      <c r="A71" s="18"/>
      <c r="B71" s="37" t="s">
        <v>60</v>
      </c>
      <c r="C71" s="36">
        <v>1</v>
      </c>
      <c r="D71" s="38">
        <f>21.9+3.04</f>
        <v>24.939999999999998</v>
      </c>
      <c r="E71" s="38">
        <v>0.3</v>
      </c>
      <c r="F71" s="38"/>
      <c r="G71" s="39">
        <f>PRODUCT(C71:F71)</f>
        <v>7.4819999999999993</v>
      </c>
      <c r="H71" s="40"/>
      <c r="I71" s="40"/>
      <c r="J71" s="40"/>
      <c r="K71" s="21"/>
      <c r="M71" s="25"/>
      <c r="N71" s="1"/>
      <c r="O71" s="1"/>
      <c r="P71" s="1"/>
      <c r="Q71" s="1"/>
      <c r="R71" s="25"/>
      <c r="S71" s="25"/>
    </row>
    <row r="72" spans="1:19" ht="15" hidden="1" customHeight="1" x14ac:dyDescent="0.25">
      <c r="A72" s="18"/>
      <c r="B72" s="37"/>
      <c r="C72" s="36">
        <v>1</v>
      </c>
      <c r="D72" s="38">
        <f>13.917/3.281</f>
        <v>4.2416946053032607</v>
      </c>
      <c r="E72" s="38">
        <f>51.083/3.281</f>
        <v>15.569338616275525</v>
      </c>
      <c r="F72" s="38"/>
      <c r="G72" s="39">
        <f>PRODUCT(C72:F72)</f>
        <v>66.040379616795633</v>
      </c>
      <c r="H72" s="40"/>
      <c r="I72" s="40"/>
      <c r="J72" s="40"/>
      <c r="K72" s="21"/>
      <c r="M72" s="25"/>
      <c r="N72" s="1"/>
      <c r="O72" s="1"/>
      <c r="P72" s="1"/>
      <c r="Q72" s="1"/>
      <c r="R72" s="25"/>
      <c r="S72" s="25"/>
    </row>
    <row r="73" spans="1:19" ht="15" hidden="1" customHeight="1" x14ac:dyDescent="0.25">
      <c r="A73" s="18"/>
      <c r="B73" s="37"/>
      <c r="C73" s="36">
        <v>1</v>
      </c>
      <c r="D73" s="38">
        <f>22.17/3.281</f>
        <v>6.7570862541907957</v>
      </c>
      <c r="E73" s="38">
        <f>12.5/3.281</f>
        <v>3.8098140810728434</v>
      </c>
      <c r="F73" s="38"/>
      <c r="G73" s="39">
        <f>PRODUCT(C73:F73)</f>
        <v>25.743242358239847</v>
      </c>
      <c r="H73" s="40"/>
      <c r="I73" s="40"/>
      <c r="J73" s="40"/>
      <c r="K73" s="21"/>
      <c r="M73" s="25"/>
      <c r="N73" s="1"/>
      <c r="O73" s="1"/>
      <c r="P73" s="1"/>
      <c r="Q73" s="1"/>
      <c r="R73" s="25"/>
      <c r="S73" s="25"/>
    </row>
    <row r="74" spans="1:19" ht="15" hidden="1" customHeight="1" x14ac:dyDescent="0.25">
      <c r="A74" s="40"/>
      <c r="B74" s="37" t="s">
        <v>40</v>
      </c>
      <c r="C74" s="42"/>
      <c r="D74" s="43"/>
      <c r="E74" s="43"/>
      <c r="F74" s="43"/>
      <c r="G74" s="33">
        <f>0*SUM(G71:G73)</f>
        <v>0</v>
      </c>
      <c r="H74" s="33" t="s">
        <v>59</v>
      </c>
      <c r="I74" s="33">
        <f>23*10.7639</f>
        <v>247.56969999999998</v>
      </c>
      <c r="J74" s="44">
        <f>G74*I74</f>
        <v>0</v>
      </c>
      <c r="K74" s="36"/>
    </row>
    <row r="75" spans="1:19" ht="15" hidden="1" customHeight="1" x14ac:dyDescent="0.25">
      <c r="A75" s="40"/>
      <c r="B75" s="37"/>
      <c r="C75" s="42"/>
      <c r="D75" s="43"/>
      <c r="E75" s="43"/>
      <c r="F75" s="43"/>
      <c r="G75" s="33"/>
      <c r="H75" s="33"/>
      <c r="I75" s="33"/>
      <c r="J75" s="44"/>
      <c r="K75" s="36"/>
    </row>
    <row r="76" spans="1:19" ht="43.5" hidden="1" x14ac:dyDescent="0.25">
      <c r="A76" s="40">
        <v>9</v>
      </c>
      <c r="B76" s="66" t="s">
        <v>64</v>
      </c>
      <c r="C76" s="19">
        <v>1</v>
      </c>
      <c r="D76" s="20"/>
      <c r="E76" s="21"/>
      <c r="F76" s="21"/>
      <c r="G76" s="34">
        <f>0*PRODUCT(C76:F76)</f>
        <v>0</v>
      </c>
      <c r="H76" s="22" t="s">
        <v>65</v>
      </c>
      <c r="I76" s="23">
        <v>20000</v>
      </c>
      <c r="J76" s="34">
        <f>G76*I76</f>
        <v>0</v>
      </c>
      <c r="K76" s="36"/>
    </row>
    <row r="77" spans="1:19" ht="15" hidden="1" customHeight="1" x14ac:dyDescent="0.25">
      <c r="A77" s="40"/>
      <c r="B77" s="37"/>
      <c r="C77" s="42"/>
      <c r="D77" s="43"/>
      <c r="E77" s="43"/>
      <c r="F77" s="43"/>
      <c r="G77" s="33"/>
      <c r="H77" s="33"/>
      <c r="I77" s="33"/>
      <c r="J77" s="44"/>
      <c r="K77" s="36"/>
    </row>
    <row r="78" spans="1:19" ht="15" hidden="1" customHeight="1" x14ac:dyDescent="0.25">
      <c r="A78" s="40"/>
      <c r="B78" s="37"/>
      <c r="C78" s="42"/>
      <c r="D78" s="43"/>
      <c r="E78" s="43"/>
      <c r="F78" s="43"/>
      <c r="G78" s="33"/>
      <c r="H78" s="33"/>
      <c r="I78" s="33"/>
      <c r="J78" s="44"/>
      <c r="K78" s="36"/>
    </row>
    <row r="79" spans="1:19" ht="15" customHeight="1" x14ac:dyDescent="0.25">
      <c r="A79" s="18">
        <v>8</v>
      </c>
      <c r="B79" s="30" t="s">
        <v>30</v>
      </c>
      <c r="C79" s="19">
        <v>1</v>
      </c>
      <c r="D79" s="20"/>
      <c r="E79" s="21"/>
      <c r="F79" s="21"/>
      <c r="G79" s="34">
        <f t="shared" ref="G79" si="1">PRODUCT(C79:F79)</f>
        <v>1</v>
      </c>
      <c r="H79" s="22" t="s">
        <v>31</v>
      </c>
      <c r="I79" s="23">
        <v>500</v>
      </c>
      <c r="J79" s="34">
        <f>G79*I79</f>
        <v>500</v>
      </c>
      <c r="K79" s="21"/>
      <c r="M79" s="25"/>
      <c r="N79" s="1"/>
      <c r="O79" s="1"/>
      <c r="P79" s="1"/>
      <c r="Q79" s="1"/>
      <c r="R79" s="25"/>
      <c r="S79" s="25"/>
    </row>
    <row r="80" spans="1:19" ht="15" customHeight="1" x14ac:dyDescent="0.25">
      <c r="A80" s="18"/>
      <c r="B80" s="24"/>
      <c r="C80" s="19"/>
      <c r="D80" s="20"/>
      <c r="E80" s="21"/>
      <c r="F80" s="21"/>
      <c r="G80" s="23"/>
      <c r="H80" s="22"/>
      <c r="I80" s="23"/>
      <c r="J80" s="41"/>
      <c r="K80" s="21"/>
      <c r="M80" s="25"/>
      <c r="N80" s="1">
        <f>2.4*3.281</f>
        <v>7.8743999999999996</v>
      </c>
      <c r="O80" s="1"/>
      <c r="P80" s="1"/>
      <c r="Q80" s="1"/>
      <c r="R80" s="25"/>
      <c r="S80" s="25"/>
    </row>
    <row r="81" spans="1:11" x14ac:dyDescent="0.25">
      <c r="A81" s="40"/>
      <c r="B81" s="46" t="s">
        <v>17</v>
      </c>
      <c r="C81" s="47"/>
      <c r="D81" s="38"/>
      <c r="E81" s="38"/>
      <c r="F81" s="38"/>
      <c r="G81" s="41"/>
      <c r="H81" s="41"/>
      <c r="I81" s="41"/>
      <c r="J81" s="41">
        <f>SUM(J10:J79)</f>
        <v>658753.39107423229</v>
      </c>
      <c r="K81" s="36"/>
    </row>
    <row r="82" spans="1:11" x14ac:dyDescent="0.25">
      <c r="A82" s="58"/>
      <c r="B82" s="61"/>
      <c r="C82" s="62"/>
      <c r="D82" s="59"/>
      <c r="E82" s="59"/>
      <c r="F82" s="59"/>
      <c r="G82" s="60"/>
      <c r="H82" s="60"/>
      <c r="I82" s="60"/>
      <c r="J82" s="60"/>
      <c r="K82" s="57"/>
    </row>
    <row r="83" spans="1:11" s="1" customFormat="1" x14ac:dyDescent="0.25">
      <c r="A83" s="50"/>
      <c r="B83" s="29" t="s">
        <v>27</v>
      </c>
      <c r="C83" s="79">
        <f>J81</f>
        <v>658753.39107423229</v>
      </c>
      <c r="D83" s="79"/>
      <c r="E83" s="39">
        <v>100</v>
      </c>
      <c r="F83" s="51"/>
      <c r="G83" s="52"/>
      <c r="H83" s="51"/>
      <c r="I83" s="53"/>
      <c r="J83" s="54"/>
      <c r="K83" s="55"/>
    </row>
    <row r="84" spans="1:11" x14ac:dyDescent="0.25">
      <c r="A84" s="56"/>
      <c r="B84" s="29" t="s">
        <v>32</v>
      </c>
      <c r="C84" s="82">
        <f>500000+86000</f>
        <v>586000</v>
      </c>
      <c r="D84" s="82"/>
      <c r="E84" s="39"/>
      <c r="F84" s="49"/>
      <c r="G84" s="48"/>
      <c r="H84" s="48"/>
      <c r="I84" s="48"/>
      <c r="J84" s="48"/>
      <c r="K84" s="49"/>
    </row>
    <row r="85" spans="1:11" x14ac:dyDescent="0.25">
      <c r="A85" s="56"/>
      <c r="B85" s="29" t="s">
        <v>33</v>
      </c>
      <c r="C85" s="82">
        <f>C84-C87-C88</f>
        <v>556700</v>
      </c>
      <c r="D85" s="82"/>
      <c r="E85" s="39">
        <f>C85/C83*100</f>
        <v>84.508103873619021</v>
      </c>
      <c r="F85" s="49"/>
      <c r="G85" s="48"/>
      <c r="H85" s="48"/>
      <c r="I85" s="48"/>
      <c r="J85" s="48"/>
      <c r="K85" s="49"/>
    </row>
    <row r="86" spans="1:11" x14ac:dyDescent="0.25">
      <c r="A86" s="56"/>
      <c r="B86" s="29" t="s">
        <v>34</v>
      </c>
      <c r="C86" s="79">
        <f>C83-C85</f>
        <v>102053.39107423229</v>
      </c>
      <c r="D86" s="79"/>
      <c r="E86" s="39">
        <f>100-E85</f>
        <v>15.491896126380979</v>
      </c>
      <c r="F86" s="49"/>
      <c r="G86" s="48"/>
      <c r="H86" s="48"/>
      <c r="I86" s="48"/>
      <c r="J86" s="48"/>
      <c r="K86" s="49"/>
    </row>
    <row r="87" spans="1:11" x14ac:dyDescent="0.25">
      <c r="A87" s="56"/>
      <c r="B87" s="29" t="s">
        <v>35</v>
      </c>
      <c r="C87" s="79">
        <f>C84*0.03</f>
        <v>17580</v>
      </c>
      <c r="D87" s="79"/>
      <c r="E87" s="39">
        <v>3</v>
      </c>
      <c r="F87" s="49"/>
      <c r="G87" s="48"/>
      <c r="H87" s="48"/>
      <c r="I87" s="48"/>
      <c r="J87" s="48"/>
      <c r="K87" s="49"/>
    </row>
    <row r="88" spans="1:11" x14ac:dyDescent="0.25">
      <c r="A88" s="56"/>
      <c r="B88" s="29" t="s">
        <v>36</v>
      </c>
      <c r="C88" s="79">
        <f>C84*0.02</f>
        <v>11720</v>
      </c>
      <c r="D88" s="79"/>
      <c r="E88" s="39">
        <v>2</v>
      </c>
      <c r="F88" s="49"/>
      <c r="G88" s="48"/>
      <c r="H88" s="48"/>
      <c r="I88" s="48"/>
      <c r="J88" s="48"/>
      <c r="K88" s="49"/>
    </row>
    <row r="89" spans="1:11" s="35" customFormat="1" x14ac:dyDescent="0.25">
      <c r="A89" s="57"/>
      <c r="B89" s="57"/>
      <c r="C89" s="57"/>
      <c r="D89" s="57"/>
      <c r="E89" s="57"/>
      <c r="F89" s="57"/>
      <c r="G89" s="57"/>
      <c r="H89" s="57"/>
      <c r="I89" s="57"/>
      <c r="J89" s="57"/>
      <c r="K89" s="57"/>
    </row>
    <row r="90" spans="1:11" s="35" customFormat="1" x14ac:dyDescent="0.25"/>
    <row r="91" spans="1:11" s="35" customFormat="1" x14ac:dyDescent="0.25"/>
    <row r="92" spans="1:11" s="35" customFormat="1" x14ac:dyDescent="0.25"/>
    <row r="93" spans="1:11" s="35" customFormat="1" x14ac:dyDescent="0.25"/>
    <row r="94" spans="1:11" s="35" customFormat="1" x14ac:dyDescent="0.25"/>
    <row r="95" spans="1:11" s="35" customFormat="1" x14ac:dyDescent="0.25"/>
    <row r="96" spans="1:11"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sheetData>
  <mergeCells count="15">
    <mergeCell ref="C87:D87"/>
    <mergeCell ref="C88:D88"/>
    <mergeCell ref="A7:F7"/>
    <mergeCell ref="H7:K7"/>
    <mergeCell ref="C83:D83"/>
    <mergeCell ref="C84:D84"/>
    <mergeCell ref="C85:D85"/>
    <mergeCell ref="C86:D86"/>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4" zoomScaleNormal="100" workbookViewId="0">
      <selection activeCell="B14" sqref="B14"/>
    </sheetView>
  </sheetViews>
  <sheetFormatPr defaultRowHeight="15" x14ac:dyDescent="0.25"/>
  <cols>
    <col min="1" max="1" width="6.28515625" customWidth="1"/>
    <col min="2" max="2" width="37.140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5" t="s">
        <v>0</v>
      </c>
      <c r="B1" s="85"/>
      <c r="C1" s="85"/>
      <c r="D1" s="85"/>
      <c r="E1" s="85"/>
      <c r="F1" s="85"/>
      <c r="G1" s="85"/>
      <c r="H1" s="85"/>
      <c r="I1" s="85"/>
      <c r="J1" s="85"/>
      <c r="K1" s="85"/>
    </row>
    <row r="2" spans="1:13" ht="25.5" x14ac:dyDescent="0.35">
      <c r="A2" s="86" t="s">
        <v>1</v>
      </c>
      <c r="B2" s="86"/>
      <c r="C2" s="86"/>
      <c r="D2" s="86"/>
      <c r="E2" s="86"/>
      <c r="F2" s="86"/>
      <c r="G2" s="86"/>
      <c r="H2" s="86"/>
      <c r="I2" s="86"/>
      <c r="J2" s="86"/>
      <c r="K2" s="86"/>
    </row>
    <row r="3" spans="1:13" s="1" customFormat="1" x14ac:dyDescent="0.25">
      <c r="A3" s="77" t="s">
        <v>2</v>
      </c>
      <c r="B3" s="77"/>
      <c r="C3" s="77"/>
      <c r="D3" s="77"/>
      <c r="E3" s="77"/>
      <c r="F3" s="77"/>
      <c r="G3" s="77"/>
      <c r="H3" s="77"/>
      <c r="I3" s="77"/>
      <c r="J3" s="77"/>
      <c r="K3" s="77"/>
    </row>
    <row r="4" spans="1:13" s="1" customFormat="1" x14ac:dyDescent="0.25">
      <c r="A4" s="77" t="s">
        <v>3</v>
      </c>
      <c r="B4" s="77"/>
      <c r="C4" s="77"/>
      <c r="D4" s="77"/>
      <c r="E4" s="77"/>
      <c r="F4" s="77"/>
      <c r="G4" s="77"/>
      <c r="H4" s="77"/>
      <c r="I4" s="77"/>
      <c r="J4" s="77"/>
      <c r="K4" s="77"/>
    </row>
    <row r="5" spans="1:13" ht="18.75" x14ac:dyDescent="0.3">
      <c r="A5" s="87" t="s">
        <v>18</v>
      </c>
      <c r="B5" s="87"/>
      <c r="C5" s="87"/>
      <c r="D5" s="87"/>
      <c r="E5" s="87"/>
      <c r="F5" s="87"/>
      <c r="G5" s="87"/>
      <c r="H5" s="87"/>
      <c r="I5" s="87"/>
      <c r="J5" s="87"/>
      <c r="K5" s="87"/>
    </row>
    <row r="6" spans="1:13" ht="18.75" x14ac:dyDescent="0.3">
      <c r="A6" s="8" t="s">
        <v>19</v>
      </c>
      <c r="B6" s="8"/>
      <c r="C6" s="83">
        <f>F35</f>
        <v>658753.39107423229</v>
      </c>
      <c r="D6" s="84"/>
      <c r="E6" s="9"/>
      <c r="F6" s="8"/>
      <c r="G6" s="8"/>
      <c r="H6" s="8" t="s">
        <v>20</v>
      </c>
      <c r="I6" s="8"/>
      <c r="J6" s="83">
        <f>I35</f>
        <v>630250.94622753467</v>
      </c>
      <c r="K6" s="84"/>
    </row>
    <row r="7" spans="1:13" x14ac:dyDescent="0.25">
      <c r="A7" s="26" t="s">
        <v>29</v>
      </c>
      <c r="B7" s="10"/>
      <c r="C7" s="10"/>
      <c r="D7" s="10"/>
      <c r="F7" s="90"/>
      <c r="G7" s="90"/>
      <c r="I7" s="91" t="s">
        <v>37</v>
      </c>
      <c r="J7" s="91"/>
      <c r="K7" s="91"/>
    </row>
    <row r="8" spans="1:13" ht="15.75" x14ac:dyDescent="0.25">
      <c r="A8" s="73" t="str">
        <f>finalized!A6</f>
        <v xml:space="preserve">Project:- पासीखेलमा भएको पाटी संरक्षण </v>
      </c>
      <c r="B8" s="73"/>
      <c r="C8" s="73"/>
      <c r="D8" s="73"/>
      <c r="E8" s="73"/>
      <c r="F8" s="73"/>
      <c r="I8" s="92" t="s">
        <v>81</v>
      </c>
      <c r="J8" s="92"/>
      <c r="K8" s="92"/>
    </row>
    <row r="9" spans="1:13" x14ac:dyDescent="0.25">
      <c r="A9" s="93" t="str">
        <f>finalized!A7</f>
        <v>Location:- Shankharapur Municipality 9</v>
      </c>
      <c r="B9" s="93"/>
      <c r="C9" s="93"/>
      <c r="D9" s="93"/>
      <c r="E9" s="93"/>
      <c r="F9" s="93"/>
      <c r="I9" s="92" t="s">
        <v>86</v>
      </c>
      <c r="J9" s="92"/>
      <c r="K9" s="92"/>
    </row>
    <row r="10" spans="1:13" x14ac:dyDescent="0.25">
      <c r="A10" s="88" t="s">
        <v>21</v>
      </c>
      <c r="B10" s="88" t="s">
        <v>22</v>
      </c>
      <c r="C10" s="88" t="s">
        <v>12</v>
      </c>
      <c r="D10" s="94" t="s">
        <v>23</v>
      </c>
      <c r="E10" s="94"/>
      <c r="F10" s="94"/>
      <c r="G10" s="94" t="s">
        <v>24</v>
      </c>
      <c r="H10" s="94"/>
      <c r="I10" s="94"/>
      <c r="J10" s="88" t="s">
        <v>25</v>
      </c>
      <c r="K10" s="89" t="s">
        <v>15</v>
      </c>
    </row>
    <row r="11" spans="1:13" x14ac:dyDescent="0.25">
      <c r="A11" s="88"/>
      <c r="B11" s="88"/>
      <c r="C11" s="88"/>
      <c r="D11" s="11" t="s">
        <v>26</v>
      </c>
      <c r="E11" s="11" t="s">
        <v>13</v>
      </c>
      <c r="F11" s="11" t="s">
        <v>14</v>
      </c>
      <c r="G11" s="11" t="s">
        <v>26</v>
      </c>
      <c r="H11" s="11" t="s">
        <v>13</v>
      </c>
      <c r="I11" s="11" t="s">
        <v>14</v>
      </c>
      <c r="J11" s="88"/>
      <c r="K11" s="89"/>
    </row>
    <row r="12" spans="1:13" s="1" customFormat="1" ht="143.25" customHeight="1" x14ac:dyDescent="0.25">
      <c r="A12" s="27">
        <f>finalized!A9</f>
        <v>1</v>
      </c>
      <c r="B12" s="32" t="str">
        <f>finalized!B9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2" s="12" t="str">
        <f>finalized!H14</f>
        <v>m3</v>
      </c>
      <c r="D12" s="12">
        <f>finalized!G14</f>
        <v>44.035539999999997</v>
      </c>
      <c r="E12" s="12">
        <f>finalized!I14</f>
        <v>64.63</v>
      </c>
      <c r="F12" s="12">
        <f>D12*E12</f>
        <v>2846.0169501999994</v>
      </c>
      <c r="G12" s="12">
        <f>V!G12</f>
        <v>24.821250000000003</v>
      </c>
      <c r="H12" s="12">
        <f>V!I12</f>
        <v>64.63</v>
      </c>
      <c r="I12" s="12">
        <f>G12*H12</f>
        <v>1604.1973875000001</v>
      </c>
      <c r="J12" s="28">
        <f>I12-F12</f>
        <v>-1241.8195626999993</v>
      </c>
      <c r="K12" s="14"/>
      <c r="M12" s="1">
        <f>1.25*F12</f>
        <v>3557.5211877499992</v>
      </c>
    </row>
    <row r="13" spans="1:13" s="1" customFormat="1" ht="15.75" x14ac:dyDescent="0.25">
      <c r="A13" s="27"/>
      <c r="B13" s="70" t="str">
        <f>finalized!B15</f>
        <v>VAT calculation</v>
      </c>
      <c r="C13" s="12"/>
      <c r="D13" s="12"/>
      <c r="E13" s="12"/>
      <c r="F13" s="12">
        <f>finalized!J15</f>
        <v>306.64882204666662</v>
      </c>
      <c r="G13" s="12"/>
      <c r="H13" s="12"/>
      <c r="I13" s="12">
        <f>V!J13</f>
        <v>172.84691125000003</v>
      </c>
      <c r="J13" s="28">
        <f>I13-F13</f>
        <v>-133.80191079666659</v>
      </c>
      <c r="K13" s="14"/>
      <c r="M13" s="1">
        <f t="shared" ref="M13:M33" si="0">1.25*F13</f>
        <v>383.31102755833331</v>
      </c>
    </row>
    <row r="14" spans="1:13" s="1" customFormat="1" ht="15.75" x14ac:dyDescent="0.25">
      <c r="A14" s="27"/>
      <c r="B14" s="32"/>
      <c r="C14" s="12"/>
      <c r="D14" s="12"/>
      <c r="E14" s="12"/>
      <c r="F14" s="12"/>
      <c r="G14" s="12"/>
      <c r="H14" s="12"/>
      <c r="I14" s="12"/>
      <c r="J14" s="28"/>
      <c r="K14" s="14"/>
    </row>
    <row r="15" spans="1:13" s="1" customFormat="1" ht="78.75" x14ac:dyDescent="0.25">
      <c r="A15" s="27">
        <f>finalized!A21</f>
        <v>2</v>
      </c>
      <c r="B15" s="32" t="str">
        <f>finalized!B21</f>
        <v>Providing and laying of hand pack Stone soling with 150 to 200 mm thick stones and packing with smaller stone on prepared surface as per Drawing and Technical Specifications.</v>
      </c>
      <c r="C15" s="12" t="str">
        <f>finalized!H25</f>
        <v>m3</v>
      </c>
      <c r="D15" s="12">
        <f>finalized!G25</f>
        <v>4.6031999999999993</v>
      </c>
      <c r="E15" s="12">
        <f>finalized!I25</f>
        <v>4561.53</v>
      </c>
      <c r="F15" s="12">
        <f>D15*E15</f>
        <v>20997.634895999996</v>
      </c>
      <c r="G15" s="12">
        <f>V!G18</f>
        <v>4.3544999999999998</v>
      </c>
      <c r="H15" s="12">
        <f>V!I18</f>
        <v>4561.53</v>
      </c>
      <c r="I15" s="12">
        <f>G15*H15</f>
        <v>19863.182384999996</v>
      </c>
      <c r="J15" s="28">
        <f>I15-F15</f>
        <v>-1134.4525109999995</v>
      </c>
      <c r="K15" s="14"/>
      <c r="M15" s="1">
        <f t="shared" si="0"/>
        <v>26247.043619999997</v>
      </c>
    </row>
    <row r="16" spans="1:13" s="1" customFormat="1" ht="15.75" x14ac:dyDescent="0.25">
      <c r="A16" s="27"/>
      <c r="B16" s="70" t="str">
        <f>finalized!B34</f>
        <v>VAT calculation</v>
      </c>
      <c r="C16" s="12"/>
      <c r="D16" s="12"/>
      <c r="E16" s="12"/>
      <c r="F16" s="12">
        <f>finalized!J26</f>
        <v>1849.4166163199998</v>
      </c>
      <c r="G16" s="12"/>
      <c r="H16" s="12"/>
      <c r="I16" s="12">
        <f>V!J19</f>
        <v>1749.4970141999997</v>
      </c>
      <c r="J16" s="28">
        <f>I16-F16</f>
        <v>-99.919602120000036</v>
      </c>
      <c r="K16" s="14"/>
      <c r="M16" s="1">
        <f t="shared" si="0"/>
        <v>2311.7707703999995</v>
      </c>
    </row>
    <row r="17" spans="1:13" s="1" customFormat="1" ht="15.75" x14ac:dyDescent="0.25">
      <c r="A17" s="27"/>
      <c r="B17" s="32"/>
      <c r="C17" s="12"/>
      <c r="D17" s="12"/>
      <c r="E17" s="12"/>
      <c r="F17" s="12"/>
      <c r="G17" s="12"/>
      <c r="H17" s="12"/>
      <c r="I17" s="12"/>
      <c r="J17" s="28"/>
      <c r="K17" s="14"/>
    </row>
    <row r="18" spans="1:13" s="1" customFormat="1" ht="63" x14ac:dyDescent="0.25">
      <c r="A18" s="27">
        <f>finalized!A28</f>
        <v>3</v>
      </c>
      <c r="B18" s="32" t="str">
        <f>finalized!B28</f>
        <v>Providing and laying of Plain/Reinforced Cement Concrete in Foundation complete as per Drawing and Technical Specifications, PCC Grade M 15</v>
      </c>
      <c r="C18" s="12" t="str">
        <f>finalized!H33</f>
        <v>m3</v>
      </c>
      <c r="D18" s="12">
        <f>finalized!G33</f>
        <v>2.0790999999999999</v>
      </c>
      <c r="E18" s="12">
        <f>finalized!I33</f>
        <v>10634.5</v>
      </c>
      <c r="F18" s="12">
        <f>D18*E18</f>
        <v>22110.18895</v>
      </c>
      <c r="G18" s="12">
        <f>V!G24</f>
        <v>2.0282499999999999</v>
      </c>
      <c r="H18" s="12">
        <f>V!I24</f>
        <v>10634.5</v>
      </c>
      <c r="I18" s="12">
        <f>G18*H18</f>
        <v>21569.424625</v>
      </c>
      <c r="J18" s="28">
        <f>I18-F18</f>
        <v>-540.7643250000001</v>
      </c>
      <c r="K18" s="14"/>
      <c r="M18" s="1">
        <f t="shared" si="0"/>
        <v>27637.736187499999</v>
      </c>
    </row>
    <row r="19" spans="1:13" s="1" customFormat="1" ht="15.75" x14ac:dyDescent="0.25">
      <c r="A19" s="27"/>
      <c r="B19" s="70" t="str">
        <f>finalized!B34</f>
        <v>VAT calculation</v>
      </c>
      <c r="C19" s="12"/>
      <c r="D19" s="12"/>
      <c r="E19" s="12"/>
      <c r="F19" s="12">
        <f>finalized!J34</f>
        <v>2181.0504703866668</v>
      </c>
      <c r="G19" s="12"/>
      <c r="H19" s="12"/>
      <c r="I19" s="12">
        <f>V!J25</f>
        <v>2127.7069965666665</v>
      </c>
      <c r="J19" s="28">
        <f>I19-F19</f>
        <v>-53.343473820000327</v>
      </c>
      <c r="K19" s="14"/>
      <c r="M19" s="1">
        <f t="shared" si="0"/>
        <v>2726.3130879833334</v>
      </c>
    </row>
    <row r="20" spans="1:13" s="1" customFormat="1" ht="15.75" x14ac:dyDescent="0.25">
      <c r="A20" s="27"/>
      <c r="B20" s="32"/>
      <c r="C20" s="12"/>
      <c r="D20" s="12"/>
      <c r="E20" s="12"/>
      <c r="F20" s="12"/>
      <c r="G20" s="12"/>
      <c r="H20" s="12"/>
      <c r="I20" s="12"/>
      <c r="J20" s="28"/>
      <c r="K20" s="14"/>
    </row>
    <row r="21" spans="1:13" s="1" customFormat="1" ht="78.75" x14ac:dyDescent="0.25">
      <c r="A21" s="27">
        <f>finalized!A36</f>
        <v>4</v>
      </c>
      <c r="B21" s="32" t="str">
        <f>finalized!B36</f>
        <v>Random Rubble Masonry, Providing and laying of Stone Masonry Work in Cement Mortar 1:6 in Foundation complete as per Drawing and Technical Specifications.</v>
      </c>
      <c r="C21" s="12" t="str">
        <f>finalized!H38</f>
        <v>m3</v>
      </c>
      <c r="D21" s="12">
        <f>finalized!G38</f>
        <v>49.874754619998001</v>
      </c>
      <c r="E21" s="12">
        <f>finalized!I38</f>
        <v>9709.43</v>
      </c>
      <c r="F21" s="12">
        <f>D21*E21</f>
        <v>484255.43875004718</v>
      </c>
      <c r="G21" s="12">
        <f>V!G29</f>
        <v>47.181750000000008</v>
      </c>
      <c r="H21" s="12">
        <f>V!I29</f>
        <v>9709.43</v>
      </c>
      <c r="I21" s="12">
        <f>G21*H21</f>
        <v>458107.89890250011</v>
      </c>
      <c r="J21" s="28">
        <f>I21-F21</f>
        <v>-26147.539847547072</v>
      </c>
      <c r="K21" s="14"/>
      <c r="M21" s="1">
        <f t="shared" si="0"/>
        <v>605319.29843755893</v>
      </c>
    </row>
    <row r="22" spans="1:13" s="1" customFormat="1" ht="15.75" x14ac:dyDescent="0.25">
      <c r="A22" s="27"/>
      <c r="B22" s="70" t="str">
        <f>finalized!B39</f>
        <v>VAT calculation</v>
      </c>
      <c r="C22" s="12"/>
      <c r="D22" s="12"/>
      <c r="E22" s="12"/>
      <c r="F22" s="12">
        <f>finalized!J39</f>
        <v>35131.507830651644</v>
      </c>
      <c r="G22" s="12"/>
      <c r="H22" s="12"/>
      <c r="I22" s="12">
        <f>V!J30</f>
        <v>33234.569918550005</v>
      </c>
      <c r="J22" s="28">
        <f>I22-F22</f>
        <v>-1896.9379121016391</v>
      </c>
      <c r="K22" s="14"/>
      <c r="M22" s="1">
        <f t="shared" si="0"/>
        <v>43914.384788314557</v>
      </c>
    </row>
    <row r="23" spans="1:13" s="1" customFormat="1" x14ac:dyDescent="0.25">
      <c r="A23" s="29"/>
      <c r="B23" s="29"/>
      <c r="C23" s="12"/>
      <c r="D23" s="12"/>
      <c r="E23" s="12"/>
      <c r="F23" s="12"/>
      <c r="G23" s="12"/>
      <c r="H23" s="12"/>
      <c r="I23" s="12"/>
      <c r="J23" s="28"/>
      <c r="K23" s="14"/>
    </row>
    <row r="24" spans="1:13" s="1" customFormat="1" ht="63" x14ac:dyDescent="0.25">
      <c r="A24" s="27">
        <f>finalized!A41</f>
        <v>5</v>
      </c>
      <c r="B24" s="32" t="str">
        <f>finalized!B41</f>
        <v>Providing and laying , fitting and placing HYSD bar reinforcement in sub-structure complete as per Drawing and Technical Specifications</v>
      </c>
      <c r="C24" s="12" t="str">
        <f>finalized!H44</f>
        <v>MT</v>
      </c>
      <c r="D24" s="12">
        <f>finalized!G44</f>
        <v>9.5308641975308639E-2</v>
      </c>
      <c r="E24" s="12">
        <f>finalized!I44</f>
        <v>124140</v>
      </c>
      <c r="F24" s="12">
        <f>D24*E24</f>
        <v>11831.614814814815</v>
      </c>
      <c r="G24" s="12">
        <f>V!G35</f>
        <v>8.0740740740740738E-2</v>
      </c>
      <c r="H24" s="12">
        <f>V!I35</f>
        <v>124140</v>
      </c>
      <c r="I24" s="12">
        <f>G24*H24</f>
        <v>10023.155555555555</v>
      </c>
      <c r="J24" s="28">
        <f>I24-F24</f>
        <v>-1808.4592592592599</v>
      </c>
      <c r="K24" s="14"/>
      <c r="M24" s="1">
        <f t="shared" si="0"/>
        <v>14789.518518518518</v>
      </c>
    </row>
    <row r="25" spans="1:13" s="1" customFormat="1" ht="15.75" x14ac:dyDescent="0.25">
      <c r="A25" s="27"/>
      <c r="B25" s="70" t="str">
        <f>finalized!B45</f>
        <v>VAT calculation</v>
      </c>
      <c r="C25" s="12"/>
      <c r="D25" s="12"/>
      <c r="E25" s="12"/>
      <c r="F25" s="12">
        <f>finalized!J45</f>
        <v>1374.8080987654321</v>
      </c>
      <c r="G25" s="12"/>
      <c r="H25" s="12"/>
      <c r="I25" s="12">
        <f>V!J36</f>
        <v>1164.669037037037</v>
      </c>
      <c r="J25" s="28">
        <f>I25-F25</f>
        <v>-210.13906172839506</v>
      </c>
      <c r="K25" s="14"/>
      <c r="M25" s="1">
        <f t="shared" si="0"/>
        <v>1718.5101234567901</v>
      </c>
    </row>
    <row r="26" spans="1:13" s="1" customFormat="1" x14ac:dyDescent="0.25">
      <c r="A26" s="29"/>
      <c r="B26" s="29"/>
      <c r="C26" s="12"/>
      <c r="D26" s="12"/>
      <c r="E26" s="12"/>
      <c r="F26" s="12"/>
      <c r="G26" s="12"/>
      <c r="H26" s="12"/>
      <c r="I26" s="12"/>
      <c r="J26" s="28"/>
      <c r="K26" s="14"/>
    </row>
    <row r="27" spans="1:13" s="1" customFormat="1" ht="63" x14ac:dyDescent="0.25">
      <c r="A27" s="27">
        <f>finalized!A47</f>
        <v>6</v>
      </c>
      <c r="B27" s="32" t="str">
        <f>finalized!B47</f>
        <v>Providing and laying of Plain/Reinforced Cement Concrete in Foundation complete as per Drawing and Technical Specifications., RCC Grade M 20</v>
      </c>
      <c r="C27" s="12" t="str">
        <f>finalized!H49</f>
        <v>m3</v>
      </c>
      <c r="D27" s="12">
        <f>finalized!G49</f>
        <v>1.875</v>
      </c>
      <c r="E27" s="12">
        <f>finalized!I49</f>
        <v>11588.17</v>
      </c>
      <c r="F27" s="12">
        <f>D27*E27</f>
        <v>21727.818749999999</v>
      </c>
      <c r="G27" s="12">
        <f>V!G43</f>
        <v>2.2483770192014627</v>
      </c>
      <c r="H27" s="12">
        <f>V!I43</f>
        <v>11588.17</v>
      </c>
      <c r="I27" s="12">
        <f>G27*H27</f>
        <v>26054.575122599814</v>
      </c>
      <c r="J27" s="28">
        <f>I27-F27</f>
        <v>4326.7563725998152</v>
      </c>
      <c r="K27" s="14"/>
      <c r="M27" s="1">
        <f t="shared" si="0"/>
        <v>27159.7734375</v>
      </c>
    </row>
    <row r="28" spans="1:13" s="1" customFormat="1" ht="15.75" x14ac:dyDescent="0.25">
      <c r="A28" s="27"/>
      <c r="B28" s="70" t="str">
        <f>finalized!B50</f>
        <v>VAT calculation</v>
      </c>
      <c r="C28" s="12"/>
      <c r="D28" s="12"/>
      <c r="E28" s="12"/>
      <c r="F28" s="12">
        <f>finalized!J50</f>
        <v>2199.4001250000001</v>
      </c>
      <c r="G28" s="12"/>
      <c r="H28" s="12"/>
      <c r="I28" s="12">
        <f>V!J44</f>
        <v>2637.3763717753732</v>
      </c>
      <c r="J28" s="28">
        <f>I28-F28</f>
        <v>437.97624677537306</v>
      </c>
      <c r="K28" s="14"/>
      <c r="M28" s="1">
        <f t="shared" si="0"/>
        <v>2749.2501562500001</v>
      </c>
    </row>
    <row r="29" spans="1:13" s="1" customFormat="1" x14ac:dyDescent="0.25">
      <c r="A29" s="29"/>
      <c r="B29" s="29"/>
      <c r="C29" s="12"/>
      <c r="D29" s="12"/>
      <c r="E29" s="12"/>
      <c r="F29" s="12"/>
      <c r="G29" s="12"/>
      <c r="H29" s="12"/>
      <c r="I29" s="12"/>
      <c r="J29" s="28"/>
      <c r="K29" s="14"/>
    </row>
    <row r="30" spans="1:13" s="1" customFormat="1" ht="78.75" customHeight="1" x14ac:dyDescent="0.25">
      <c r="A30" s="27">
        <f>finalized!A52</f>
        <v>7</v>
      </c>
      <c r="B30" s="32" t="str">
        <f>finalized!B52</f>
        <v>Providing and Laying Reinforced cement concrete NP3 Flush jointed pipe for culverts including fixing with cement mortar 1:2 as per Drawing and Technical Specifications., 300 mm  internal dia.</v>
      </c>
      <c r="C30" s="12" t="str">
        <f>finalized!H53</f>
        <v>rm</v>
      </c>
      <c r="D30" s="12">
        <f>finalized!G53</f>
        <v>12.5</v>
      </c>
      <c r="E30" s="12">
        <f>finalized!I53</f>
        <v>3697.12</v>
      </c>
      <c r="F30" s="12">
        <f>D30*E30</f>
        <v>46214</v>
      </c>
      <c r="G30" s="12">
        <f>V!G47</f>
        <v>12.5</v>
      </c>
      <c r="H30" s="12">
        <f>V!I47</f>
        <v>3697.12</v>
      </c>
      <c r="I30" s="12">
        <f>G30*H30</f>
        <v>46214</v>
      </c>
      <c r="J30" s="28">
        <f>I30-F30</f>
        <v>0</v>
      </c>
      <c r="K30" s="14"/>
      <c r="M30" s="1">
        <f t="shared" si="0"/>
        <v>57767.5</v>
      </c>
    </row>
    <row r="31" spans="1:13" s="1" customFormat="1" ht="15.75" x14ac:dyDescent="0.25">
      <c r="A31" s="27"/>
      <c r="B31" s="70" t="str">
        <f>finalized!B54</f>
        <v>VAT calculation</v>
      </c>
      <c r="C31" s="12"/>
      <c r="D31" s="12"/>
      <c r="E31" s="12"/>
      <c r="F31" s="12">
        <f>finalized!J54</f>
        <v>5227.8459999999995</v>
      </c>
      <c r="G31" s="12"/>
      <c r="H31" s="12"/>
      <c r="I31" s="12">
        <f>V!J48</f>
        <v>5227.8459999999995</v>
      </c>
      <c r="J31" s="28">
        <f>I31-F31</f>
        <v>0</v>
      </c>
      <c r="K31" s="14"/>
      <c r="M31" s="1">
        <f t="shared" si="0"/>
        <v>6534.807499999999</v>
      </c>
    </row>
    <row r="32" spans="1:13" s="1" customFormat="1" x14ac:dyDescent="0.25">
      <c r="A32" s="29"/>
      <c r="B32" s="29"/>
      <c r="C32" s="12"/>
      <c r="D32" s="12"/>
      <c r="E32" s="12"/>
      <c r="F32" s="12"/>
      <c r="G32" s="12"/>
      <c r="H32" s="12"/>
      <c r="I32" s="12"/>
      <c r="J32" s="28"/>
      <c r="K32" s="14"/>
    </row>
    <row r="33" spans="1:13" s="1" customFormat="1" x14ac:dyDescent="0.25">
      <c r="A33" s="27">
        <f>finalized!A79</f>
        <v>8</v>
      </c>
      <c r="B33" s="31" t="str">
        <f>finalized!B79</f>
        <v>Information board (सुचना पाटि)</v>
      </c>
      <c r="C33" s="12" t="str">
        <f>finalized!H79</f>
        <v>no.</v>
      </c>
      <c r="D33" s="12">
        <f>finalized!G79</f>
        <v>1</v>
      </c>
      <c r="E33" s="12">
        <f>finalized!I79</f>
        <v>500</v>
      </c>
      <c r="F33" s="12">
        <f>D33*E33</f>
        <v>500</v>
      </c>
      <c r="G33" s="12">
        <f>V!G50</f>
        <v>1</v>
      </c>
      <c r="H33" s="12">
        <f>V!I50</f>
        <v>500</v>
      </c>
      <c r="I33" s="12">
        <f>G33*H33</f>
        <v>500</v>
      </c>
      <c r="J33" s="28">
        <f>I33-F33</f>
        <v>0</v>
      </c>
      <c r="K33" s="14"/>
      <c r="M33" s="1">
        <f t="shared" si="0"/>
        <v>625</v>
      </c>
    </row>
    <row r="34" spans="1:13" s="1" customFormat="1" x14ac:dyDescent="0.25">
      <c r="A34" s="29"/>
      <c r="B34" s="29"/>
      <c r="C34" s="12"/>
      <c r="D34" s="12"/>
      <c r="E34" s="12"/>
      <c r="F34" s="12"/>
      <c r="G34" s="12"/>
      <c r="H34" s="12"/>
      <c r="I34" s="12"/>
      <c r="J34" s="28"/>
      <c r="K34" s="14"/>
    </row>
    <row r="35" spans="1:13" x14ac:dyDescent="0.25">
      <c r="A35" s="5"/>
      <c r="B35" s="6" t="s">
        <v>16</v>
      </c>
      <c r="C35" s="6"/>
      <c r="D35" s="7"/>
      <c r="E35" s="7"/>
      <c r="F35" s="7">
        <f>SUM(F12:F33)</f>
        <v>658753.39107423229</v>
      </c>
      <c r="G35" s="7"/>
      <c r="H35" s="7"/>
      <c r="I35" s="7">
        <f>SUM(I12:I33)</f>
        <v>630250.94622753467</v>
      </c>
      <c r="J35" s="13">
        <f>I35-F35</f>
        <v>-28502.444846697617</v>
      </c>
      <c r="K35" s="5"/>
    </row>
  </sheetData>
  <mergeCells count="20">
    <mergeCell ref="J10:J11"/>
    <mergeCell ref="K10:K11"/>
    <mergeCell ref="A8:F8"/>
    <mergeCell ref="F7:G7"/>
    <mergeCell ref="I7:K7"/>
    <mergeCell ref="I8:K8"/>
    <mergeCell ref="A9:F9"/>
    <mergeCell ref="I9:K9"/>
    <mergeCell ref="A10:A11"/>
    <mergeCell ref="B10:B11"/>
    <mergeCell ref="C10:C11"/>
    <mergeCell ref="D10:F10"/>
    <mergeCell ref="G10:I10"/>
    <mergeCell ref="C6:D6"/>
    <mergeCell ref="J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8"/>
  <sheetViews>
    <sheetView topLeftCell="A49" zoomScaleNormal="100" workbookViewId="0">
      <selection activeCell="E59" sqref="E5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4</v>
      </c>
      <c r="B5" s="78"/>
      <c r="C5" s="78"/>
      <c r="D5" s="78"/>
      <c r="E5" s="78"/>
      <c r="F5" s="78"/>
      <c r="G5" s="78"/>
      <c r="H5" s="78"/>
      <c r="I5" s="78"/>
      <c r="J5" s="78"/>
      <c r="K5" s="78"/>
    </row>
    <row r="6" spans="1:19" ht="15.75" x14ac:dyDescent="0.25">
      <c r="A6" s="73" t="s">
        <v>52</v>
      </c>
      <c r="B6" s="73"/>
      <c r="C6" s="73"/>
      <c r="D6" s="73"/>
      <c r="E6" s="73"/>
      <c r="F6" s="73"/>
      <c r="G6" s="2"/>
      <c r="H6" s="74" t="s">
        <v>45</v>
      </c>
      <c r="I6" s="74"/>
      <c r="J6" s="74"/>
      <c r="K6" s="74"/>
      <c r="O6" t="s">
        <v>57</v>
      </c>
    </row>
    <row r="7" spans="1:19" ht="15.75" x14ac:dyDescent="0.25">
      <c r="A7" s="80" t="s">
        <v>28</v>
      </c>
      <c r="B7" s="80"/>
      <c r="C7" s="80"/>
      <c r="D7" s="80"/>
      <c r="E7" s="80"/>
      <c r="F7" s="80"/>
      <c r="G7" s="3"/>
      <c r="H7" s="81" t="s">
        <v>46</v>
      </c>
      <c r="I7" s="81"/>
      <c r="J7" s="81"/>
      <c r="K7" s="81"/>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44</v>
      </c>
      <c r="C9" s="36"/>
      <c r="D9" s="36"/>
      <c r="E9" s="36"/>
      <c r="F9" s="36"/>
      <c r="G9" s="36"/>
      <c r="H9" s="36"/>
      <c r="I9" s="36"/>
      <c r="J9" s="36"/>
      <c r="K9" s="36"/>
      <c r="N9" t="s">
        <v>48</v>
      </c>
      <c r="O9" t="s">
        <v>49</v>
      </c>
    </row>
    <row r="10" spans="1:19" ht="15" customHeight="1" x14ac:dyDescent="0.25">
      <c r="A10" s="18"/>
      <c r="B10" s="37" t="s">
        <v>50</v>
      </c>
      <c r="C10" s="36">
        <v>0.5</v>
      </c>
      <c r="D10" s="38">
        <f>D35</f>
        <v>16.991770801584881</v>
      </c>
      <c r="E10" s="38">
        <f>F35/2</f>
        <v>1.25</v>
      </c>
      <c r="F10" s="38">
        <f>F35</f>
        <v>2.5</v>
      </c>
      <c r="G10" s="39">
        <f>PRODUCT(C10:F10)</f>
        <v>26.549641877476375</v>
      </c>
      <c r="H10" s="40"/>
      <c r="I10" s="40"/>
      <c r="J10" s="40"/>
      <c r="K10" s="21"/>
      <c r="M10" s="25"/>
      <c r="N10" s="1"/>
      <c r="O10" s="1"/>
      <c r="P10" s="1"/>
      <c r="Q10" s="1"/>
      <c r="R10" s="25"/>
      <c r="S10" s="25"/>
    </row>
    <row r="11" spans="1:19" ht="15" customHeight="1" x14ac:dyDescent="0.25">
      <c r="A11" s="18"/>
      <c r="B11" s="37" t="s">
        <v>54</v>
      </c>
      <c r="C11" s="36">
        <v>1</v>
      </c>
      <c r="D11" s="38">
        <f>21.93+3.04</f>
        <v>24.97</v>
      </c>
      <c r="E11" s="38">
        <v>2.9</v>
      </c>
      <c r="F11" s="38">
        <v>0.15</v>
      </c>
      <c r="G11" s="39">
        <f>PRODUCT(C11:F11)</f>
        <v>10.861949999999998</v>
      </c>
      <c r="H11" s="40"/>
      <c r="I11" s="40"/>
      <c r="J11" s="40"/>
      <c r="K11" s="21"/>
      <c r="M11" s="25"/>
      <c r="N11" s="1"/>
      <c r="O11" s="1"/>
      <c r="P11" s="1"/>
      <c r="Q11" s="1"/>
      <c r="R11" s="25"/>
      <c r="S11" s="25"/>
    </row>
    <row r="12" spans="1:19" ht="15" customHeight="1" x14ac:dyDescent="0.25">
      <c r="A12" s="18"/>
      <c r="B12" s="37" t="s">
        <v>55</v>
      </c>
      <c r="C12" s="36">
        <v>1</v>
      </c>
      <c r="D12" s="38">
        <f>(11.17*2+4.42+12.25)/3.281</f>
        <v>11.889667784212129</v>
      </c>
      <c r="E12" s="38">
        <v>1.3</v>
      </c>
      <c r="F12" s="38">
        <v>0.15</v>
      </c>
      <c r="G12" s="39">
        <f>PRODUCT(C12:F12)</f>
        <v>2.3184852179213653</v>
      </c>
      <c r="H12" s="40"/>
      <c r="I12" s="40"/>
      <c r="J12" s="40"/>
      <c r="K12" s="21"/>
      <c r="M12" s="25"/>
      <c r="N12" s="1"/>
      <c r="O12" s="1"/>
      <c r="P12" s="1"/>
      <c r="Q12" s="1"/>
      <c r="R12" s="25"/>
      <c r="S12" s="25"/>
    </row>
    <row r="13" spans="1:19" ht="15" customHeight="1" x14ac:dyDescent="0.25">
      <c r="A13" s="18"/>
      <c r="B13" s="37" t="s">
        <v>40</v>
      </c>
      <c r="C13" s="19"/>
      <c r="D13" s="20"/>
      <c r="E13" s="21"/>
      <c r="F13" s="21"/>
      <c r="G13" s="23">
        <f>SUM(G10:G12)</f>
        <v>39.730077095397739</v>
      </c>
      <c r="H13" s="22" t="s">
        <v>39</v>
      </c>
      <c r="I13" s="23">
        <v>64.63</v>
      </c>
      <c r="J13" s="41">
        <f>G13*I13</f>
        <v>2567.7548826755556</v>
      </c>
      <c r="K13" s="21"/>
      <c r="M13" s="25"/>
      <c r="N13" s="1"/>
      <c r="O13" s="1"/>
      <c r="P13" s="1"/>
      <c r="Q13" s="1"/>
      <c r="R13" s="25"/>
      <c r="S13" s="25"/>
    </row>
    <row r="14" spans="1:19" ht="15" customHeight="1" x14ac:dyDescent="0.25">
      <c r="A14" s="18"/>
      <c r="B14" s="37" t="s">
        <v>38</v>
      </c>
      <c r="C14" s="19"/>
      <c r="D14" s="20"/>
      <c r="E14" s="21"/>
      <c r="F14" s="21"/>
      <c r="G14" s="23"/>
      <c r="H14" s="22"/>
      <c r="I14" s="23"/>
      <c r="J14" s="41">
        <f>0.13*G13*19284/360</f>
        <v>276.66701353331803</v>
      </c>
      <c r="K14" s="21"/>
      <c r="M14" s="25"/>
      <c r="N14" s="1"/>
      <c r="O14" s="1"/>
      <c r="P14" s="1"/>
      <c r="Q14" s="1"/>
      <c r="R14" s="25"/>
      <c r="S14" s="25"/>
    </row>
    <row r="15" spans="1:19" ht="15" customHeight="1" x14ac:dyDescent="0.25">
      <c r="A15" s="18"/>
      <c r="B15" s="37"/>
      <c r="C15" s="19"/>
      <c r="D15" s="20"/>
      <c r="E15" s="21"/>
      <c r="F15" s="21"/>
      <c r="G15" s="23"/>
      <c r="H15" s="22"/>
      <c r="I15" s="23"/>
      <c r="J15" s="41"/>
      <c r="K15" s="21"/>
      <c r="M15" s="25"/>
      <c r="N15" s="1"/>
      <c r="O15" s="1"/>
      <c r="P15" s="1"/>
      <c r="Q15" s="1"/>
      <c r="R15" s="25"/>
      <c r="S15" s="25"/>
    </row>
    <row r="16" spans="1:19" ht="105" x14ac:dyDescent="0.25">
      <c r="A16" s="18">
        <v>2</v>
      </c>
      <c r="B16" s="30" t="s">
        <v>51</v>
      </c>
      <c r="C16" s="19"/>
      <c r="D16" s="20"/>
      <c r="E16" s="21"/>
      <c r="F16" s="21"/>
      <c r="G16" s="23"/>
      <c r="H16" s="22"/>
      <c r="I16" s="23"/>
      <c r="J16" s="41"/>
      <c r="K16" s="21"/>
      <c r="M16" s="25"/>
      <c r="N16" s="1"/>
      <c r="O16" s="1"/>
      <c r="P16" s="1"/>
      <c r="Q16" s="1"/>
      <c r="R16" s="25"/>
      <c r="S16" s="25"/>
    </row>
    <row r="17" spans="1:19" ht="15" customHeight="1" x14ac:dyDescent="0.25">
      <c r="A17" s="18"/>
      <c r="B17" s="37" t="s">
        <v>41</v>
      </c>
      <c r="C17" s="36">
        <v>0.5</v>
      </c>
      <c r="D17" s="38">
        <f>D21</f>
        <v>16.991770801584881</v>
      </c>
      <c r="E17" s="38">
        <v>0.6</v>
      </c>
      <c r="F17" s="38">
        <v>1</v>
      </c>
      <c r="G17" s="39">
        <f>PRODUCT(C17:F17)</f>
        <v>5.0975312404754645</v>
      </c>
      <c r="H17" s="40"/>
      <c r="I17" s="40"/>
      <c r="J17" s="40"/>
      <c r="K17" s="21"/>
      <c r="M17" s="25"/>
      <c r="N17" s="1"/>
      <c r="O17" s="1"/>
      <c r="P17" s="1"/>
      <c r="Q17" s="1"/>
      <c r="R17" s="25"/>
      <c r="S17" s="25"/>
    </row>
    <row r="18" spans="1:19" ht="15" customHeight="1" x14ac:dyDescent="0.25">
      <c r="A18" s="18"/>
      <c r="B18" s="37" t="s">
        <v>40</v>
      </c>
      <c r="C18" s="19"/>
      <c r="D18" s="20"/>
      <c r="E18" s="21"/>
      <c r="F18" s="21"/>
      <c r="G18" s="23">
        <f>SUM(G17:G17)</f>
        <v>5.0975312404754645</v>
      </c>
      <c r="H18" s="22" t="s">
        <v>39</v>
      </c>
      <c r="I18" s="23">
        <v>404.28</v>
      </c>
      <c r="J18" s="41">
        <f>G18*I18</f>
        <v>2060.8299298994207</v>
      </c>
      <c r="K18" s="21"/>
      <c r="M18" s="25"/>
      <c r="N18" s="1"/>
      <c r="O18" s="1"/>
      <c r="P18" s="1"/>
      <c r="Q18" s="1"/>
      <c r="R18" s="25"/>
      <c r="S18" s="25"/>
    </row>
    <row r="19" spans="1:19" ht="15" customHeight="1" x14ac:dyDescent="0.25">
      <c r="A19" s="18"/>
      <c r="B19" s="37"/>
      <c r="C19" s="19"/>
      <c r="D19" s="20"/>
      <c r="E19" s="21"/>
      <c r="F19" s="21"/>
      <c r="G19" s="23"/>
      <c r="H19" s="22"/>
      <c r="I19" s="23"/>
      <c r="J19" s="41"/>
      <c r="K19" s="21"/>
      <c r="M19" s="25"/>
      <c r="N19" s="1"/>
      <c r="O19" s="1"/>
      <c r="P19" s="1"/>
      <c r="Q19" s="1"/>
      <c r="R19" s="25"/>
      <c r="S19" s="25"/>
    </row>
    <row r="20" spans="1:19" ht="90" x14ac:dyDescent="0.25">
      <c r="A20" s="18">
        <v>3</v>
      </c>
      <c r="B20" s="30" t="s">
        <v>43</v>
      </c>
      <c r="C20" s="19"/>
      <c r="D20" s="20"/>
      <c r="E20" s="21"/>
      <c r="F20" s="21"/>
      <c r="G20" s="23"/>
      <c r="H20" s="22"/>
      <c r="I20" s="23"/>
      <c r="J20" s="41"/>
      <c r="K20" s="21"/>
      <c r="M20" s="25"/>
      <c r="N20" s="1"/>
      <c r="O20" s="1"/>
      <c r="P20" s="1"/>
      <c r="Q20" s="1"/>
      <c r="R20" s="25"/>
      <c r="S20" s="25"/>
    </row>
    <row r="21" spans="1:19" ht="15" customHeight="1" x14ac:dyDescent="0.25">
      <c r="A21" s="18"/>
      <c r="B21" s="37" t="str">
        <f>B17</f>
        <v>-Road</v>
      </c>
      <c r="C21" s="36">
        <f>C10</f>
        <v>0.5</v>
      </c>
      <c r="D21" s="38">
        <f>D27</f>
        <v>16.991770801584881</v>
      </c>
      <c r="E21" s="38">
        <f>E27</f>
        <v>1.25</v>
      </c>
      <c r="F21" s="38">
        <v>0.15</v>
      </c>
      <c r="G21" s="39">
        <f>PRODUCT(C21:F21)</f>
        <v>1.5929785126485825</v>
      </c>
      <c r="H21" s="40"/>
      <c r="I21" s="40"/>
      <c r="J21" s="40"/>
      <c r="K21" s="21"/>
      <c r="M21" s="25"/>
      <c r="N21" s="1"/>
      <c r="O21" s="1"/>
      <c r="P21" s="1"/>
      <c r="Q21" s="1"/>
      <c r="R21" s="25"/>
      <c r="S21" s="25"/>
    </row>
    <row r="22" spans="1:19" ht="15" customHeight="1" x14ac:dyDescent="0.25">
      <c r="A22" s="18"/>
      <c r="B22" s="37" t="str">
        <f>B12</f>
        <v>-for steps</v>
      </c>
      <c r="C22" s="36">
        <v>1</v>
      </c>
      <c r="D22" s="38">
        <f>D12</f>
        <v>11.889667784212129</v>
      </c>
      <c r="E22" s="38">
        <f>E12</f>
        <v>1.3</v>
      </c>
      <c r="F22" s="38">
        <v>0.15</v>
      </c>
      <c r="G22" s="39">
        <f>PRODUCT(C22:F22)</f>
        <v>2.3184852179213653</v>
      </c>
      <c r="H22" s="40"/>
      <c r="I22" s="40"/>
      <c r="J22" s="40"/>
      <c r="K22" s="21"/>
      <c r="M22" s="25"/>
      <c r="N22" s="1"/>
      <c r="O22" s="1"/>
      <c r="P22" s="1"/>
      <c r="Q22" s="1"/>
      <c r="R22" s="25"/>
      <c r="S22" s="25"/>
    </row>
    <row r="23" spans="1:19" ht="15" customHeight="1" x14ac:dyDescent="0.25">
      <c r="A23" s="40"/>
      <c r="B23" s="37" t="s">
        <v>40</v>
      </c>
      <c r="C23" s="42"/>
      <c r="D23" s="43"/>
      <c r="E23" s="43"/>
      <c r="F23" s="43"/>
      <c r="G23" s="33">
        <f>SUM(G21:G22)</f>
        <v>3.911463730569948</v>
      </c>
      <c r="H23" s="33" t="s">
        <v>39</v>
      </c>
      <c r="I23" s="33">
        <v>4561.53</v>
      </c>
      <c r="J23" s="44">
        <f>G23*I23</f>
        <v>17842.259150906735</v>
      </c>
      <c r="K23" s="36"/>
    </row>
    <row r="24" spans="1:19" x14ac:dyDescent="0.25">
      <c r="A24" s="40"/>
      <c r="B24" s="37" t="s">
        <v>38</v>
      </c>
      <c r="C24" s="42"/>
      <c r="D24" s="43"/>
      <c r="E24" s="43"/>
      <c r="F24" s="43"/>
      <c r="G24" s="43"/>
      <c r="H24" s="43"/>
      <c r="I24" s="43"/>
      <c r="J24" s="45">
        <f>0.13*G23*(15452.6/5)</f>
        <v>1571.4993955181346</v>
      </c>
      <c r="K24" s="36"/>
    </row>
    <row r="25" spans="1:19" x14ac:dyDescent="0.25">
      <c r="A25" s="40"/>
      <c r="B25" s="37"/>
      <c r="C25" s="42"/>
      <c r="D25" s="43"/>
      <c r="E25" s="43"/>
      <c r="F25" s="43"/>
      <c r="G25" s="43"/>
      <c r="H25" s="43"/>
      <c r="I25" s="43"/>
      <c r="J25" s="45"/>
      <c r="K25" s="36"/>
    </row>
    <row r="26" spans="1:19" ht="75" x14ac:dyDescent="0.25">
      <c r="A26" s="18">
        <v>4</v>
      </c>
      <c r="B26" s="30" t="s">
        <v>42</v>
      </c>
      <c r="C26" s="19"/>
      <c r="D26" s="20"/>
      <c r="E26" s="21"/>
      <c r="F26" s="21"/>
      <c r="G26" s="23"/>
      <c r="H26" s="22"/>
      <c r="I26" s="23"/>
      <c r="J26" s="41"/>
      <c r="K26" s="21"/>
      <c r="M26" s="25"/>
      <c r="N26" s="1"/>
      <c r="O26" s="1"/>
      <c r="P26" s="1"/>
      <c r="Q26" s="1"/>
      <c r="R26" s="25"/>
      <c r="S26" s="25"/>
    </row>
    <row r="27" spans="1:19" ht="15" customHeight="1" x14ac:dyDescent="0.25">
      <c r="A27" s="18"/>
      <c r="B27" s="37" t="str">
        <f>B10</f>
        <v>-For wall</v>
      </c>
      <c r="C27" s="36">
        <f>C10</f>
        <v>0.5</v>
      </c>
      <c r="D27" s="38">
        <f>D35</f>
        <v>16.991770801584881</v>
      </c>
      <c r="E27" s="38">
        <f>F35/2</f>
        <v>1.25</v>
      </c>
      <c r="F27" s="38">
        <v>7.4999999999999997E-2</v>
      </c>
      <c r="G27" s="39">
        <f>PRODUCT(C27:F27)</f>
        <v>0.79648925632429124</v>
      </c>
      <c r="H27" s="40"/>
      <c r="I27" s="40"/>
      <c r="J27" s="40"/>
      <c r="K27" s="21"/>
      <c r="M27" s="25"/>
      <c r="N27" s="1"/>
      <c r="O27" s="1"/>
      <c r="P27" s="1"/>
      <c r="Q27" s="1"/>
      <c r="R27" s="25"/>
      <c r="S27" s="25"/>
    </row>
    <row r="28" spans="1:19" ht="15" customHeight="1" x14ac:dyDescent="0.25">
      <c r="A28" s="18"/>
      <c r="B28" s="37"/>
      <c r="C28" s="36">
        <v>1</v>
      </c>
      <c r="D28" s="38">
        <f>D27</f>
        <v>16.991770801584881</v>
      </c>
      <c r="E28" s="38">
        <v>0.5</v>
      </c>
      <c r="F28" s="38">
        <v>0.05</v>
      </c>
      <c r="G28" s="39">
        <f>PRODUCT(C28:F28)</f>
        <v>0.42479427003962206</v>
      </c>
      <c r="H28" s="40"/>
      <c r="I28" s="40"/>
      <c r="J28" s="40"/>
      <c r="K28" s="21"/>
      <c r="M28" s="25"/>
      <c r="N28" s="1"/>
      <c r="O28" s="1"/>
      <c r="P28" s="1"/>
      <c r="Q28" s="1"/>
      <c r="R28" s="25"/>
      <c r="S28" s="25"/>
    </row>
    <row r="29" spans="1:19" ht="15" customHeight="1" x14ac:dyDescent="0.25">
      <c r="A29" s="18"/>
      <c r="B29" s="37" t="str">
        <f>B22</f>
        <v>-for steps</v>
      </c>
      <c r="C29" s="36">
        <f>C22</f>
        <v>1</v>
      </c>
      <c r="D29" s="38">
        <f>D22</f>
        <v>11.889667784212129</v>
      </c>
      <c r="E29" s="38">
        <f>E22</f>
        <v>1.3</v>
      </c>
      <c r="F29" s="38">
        <v>0.05</v>
      </c>
      <c r="G29" s="39">
        <f>PRODUCT(C29:F29)</f>
        <v>0.77282840597378843</v>
      </c>
      <c r="H29" s="40"/>
      <c r="I29" s="40"/>
      <c r="J29" s="40"/>
      <c r="K29" s="21"/>
      <c r="M29" s="25"/>
      <c r="N29" s="1"/>
      <c r="O29" s="1"/>
      <c r="P29" s="1"/>
      <c r="Q29" s="1"/>
      <c r="R29" s="25"/>
      <c r="S29" s="25"/>
    </row>
    <row r="30" spans="1:19" ht="15" customHeight="1" x14ac:dyDescent="0.25">
      <c r="A30" s="18"/>
      <c r="B30" s="37" t="s">
        <v>63</v>
      </c>
      <c r="C30" s="36">
        <v>1</v>
      </c>
      <c r="D30" s="38">
        <f>D42</f>
        <v>3.8860103626943006</v>
      </c>
      <c r="E30" s="38">
        <v>0.23</v>
      </c>
      <c r="F30" s="38">
        <v>0.05</v>
      </c>
      <c r="G30" s="39">
        <f>PRODUCT(C30:F30)</f>
        <v>4.4689119170984462E-2</v>
      </c>
      <c r="H30" s="40"/>
      <c r="I30" s="40"/>
      <c r="J30" s="40"/>
      <c r="K30" s="21"/>
      <c r="M30" s="25"/>
      <c r="N30" s="1"/>
      <c r="O30" s="1"/>
      <c r="P30" s="1"/>
      <c r="Q30" s="1"/>
      <c r="R30" s="25"/>
      <c r="S30" s="25"/>
    </row>
    <row r="31" spans="1:19" ht="15" customHeight="1" x14ac:dyDescent="0.25">
      <c r="A31" s="40"/>
      <c r="B31" s="37" t="s">
        <v>40</v>
      </c>
      <c r="C31" s="42"/>
      <c r="D31" s="43"/>
      <c r="E31" s="43"/>
      <c r="F31" s="43"/>
      <c r="G31" s="33">
        <f>SUM(G27:G30)</f>
        <v>2.0388010515086861</v>
      </c>
      <c r="H31" s="33" t="s">
        <v>39</v>
      </c>
      <c r="I31" s="33">
        <v>10634.5</v>
      </c>
      <c r="J31" s="44">
        <f>G31*I31</f>
        <v>21681.629782269123</v>
      </c>
      <c r="K31" s="36"/>
    </row>
    <row r="32" spans="1:19" ht="15" customHeight="1" x14ac:dyDescent="0.25">
      <c r="A32" s="40"/>
      <c r="B32" s="37" t="s">
        <v>38</v>
      </c>
      <c r="C32" s="42"/>
      <c r="D32" s="43"/>
      <c r="E32" s="43"/>
      <c r="F32" s="43"/>
      <c r="G32" s="43"/>
      <c r="H32" s="43"/>
      <c r="I32" s="43"/>
      <c r="J32" s="45">
        <f>0.13*G31*((114907.3+6135.3)/15)</f>
        <v>2138.7754280303261</v>
      </c>
      <c r="K32" s="36"/>
    </row>
    <row r="33" spans="1:19" ht="15" customHeight="1" x14ac:dyDescent="0.25">
      <c r="A33" s="40"/>
      <c r="B33" s="37"/>
      <c r="C33" s="42"/>
      <c r="D33" s="43"/>
      <c r="E33" s="43"/>
      <c r="F33" s="43"/>
      <c r="G33" s="43"/>
      <c r="H33" s="43"/>
      <c r="I33" s="43"/>
      <c r="J33" s="45"/>
      <c r="K33" s="36"/>
    </row>
    <row r="34" spans="1:19" s="1" customFormat="1" ht="90" x14ac:dyDescent="0.25">
      <c r="A34" s="63">
        <v>5</v>
      </c>
      <c r="B34" s="30" t="s">
        <v>53</v>
      </c>
      <c r="C34" s="64"/>
      <c r="D34" s="39"/>
      <c r="E34" s="39"/>
      <c r="F34" s="39"/>
      <c r="G34" s="39"/>
      <c r="H34" s="39"/>
      <c r="I34" s="39"/>
      <c r="J34" s="45"/>
      <c r="K34" s="29"/>
    </row>
    <row r="35" spans="1:19" ht="15" customHeight="1" x14ac:dyDescent="0.25">
      <c r="A35" s="18"/>
      <c r="B35" s="37" t="s">
        <v>50</v>
      </c>
      <c r="C35" s="36">
        <v>1</v>
      </c>
      <c r="D35" s="38">
        <f>55.75/3.281</f>
        <v>16.991770801584881</v>
      </c>
      <c r="E35" s="38">
        <f>((F35/2+0.5)/2)</f>
        <v>0.875</v>
      </c>
      <c r="F35" s="38">
        <v>2.5</v>
      </c>
      <c r="G35" s="39">
        <f>PRODUCT(C35:F35)</f>
        <v>37.169498628466926</v>
      </c>
      <c r="H35" s="40"/>
      <c r="I35" s="40"/>
      <c r="J35" s="40"/>
      <c r="K35" s="21"/>
      <c r="M35" s="25"/>
      <c r="N35" s="1"/>
      <c r="O35" s="1"/>
      <c r="P35" s="1"/>
      <c r="Q35" s="1"/>
      <c r="R35" s="25"/>
      <c r="S35" s="25"/>
    </row>
    <row r="36" spans="1:19" ht="15" customHeight="1" x14ac:dyDescent="0.25">
      <c r="A36" s="40"/>
      <c r="B36" s="37" t="s">
        <v>40</v>
      </c>
      <c r="C36" s="42"/>
      <c r="D36" s="43"/>
      <c r="E36" s="43"/>
      <c r="F36" s="43"/>
      <c r="G36" s="33">
        <f>SUM(G35:G35)</f>
        <v>37.169498628466926</v>
      </c>
      <c r="H36" s="33" t="s">
        <v>39</v>
      </c>
      <c r="I36" s="33">
        <v>9709.43</v>
      </c>
      <c r="J36" s="44">
        <f>G36*I36</f>
        <v>360894.64506819565</v>
      </c>
      <c r="K36" s="36"/>
    </row>
    <row r="37" spans="1:19" ht="15" customHeight="1" x14ac:dyDescent="0.25">
      <c r="A37" s="40"/>
      <c r="B37" s="37" t="s">
        <v>38</v>
      </c>
      <c r="C37" s="42"/>
      <c r="D37" s="43"/>
      <c r="E37" s="43"/>
      <c r="F37" s="43"/>
      <c r="G37" s="43"/>
      <c r="H37" s="43"/>
      <c r="I37" s="43"/>
      <c r="J37" s="45">
        <f>0.13*G36*((27092.1)/5)</f>
        <v>26181.994118599509</v>
      </c>
      <c r="K37" s="36"/>
    </row>
    <row r="38" spans="1:19" ht="15" customHeight="1" x14ac:dyDescent="0.25">
      <c r="A38" s="40"/>
      <c r="B38" s="37"/>
      <c r="C38" s="42"/>
      <c r="D38" s="43"/>
      <c r="E38" s="43"/>
      <c r="F38" s="43"/>
      <c r="G38" s="43"/>
      <c r="H38" s="43"/>
      <c r="I38" s="43"/>
      <c r="J38" s="45"/>
      <c r="K38" s="36"/>
    </row>
    <row r="39" spans="1:19" ht="30.75" x14ac:dyDescent="0.25">
      <c r="A39" s="40">
        <v>6</v>
      </c>
      <c r="B39" s="65" t="s">
        <v>56</v>
      </c>
      <c r="C39" s="42"/>
      <c r="D39" s="43"/>
      <c r="E39" s="43"/>
      <c r="F39" s="43"/>
      <c r="G39" s="43"/>
      <c r="H39" s="43"/>
      <c r="I39" s="43"/>
      <c r="J39" s="45"/>
      <c r="K39" s="36"/>
    </row>
    <row r="40" spans="1:19" ht="15" customHeight="1" x14ac:dyDescent="0.25">
      <c r="A40" s="18"/>
      <c r="B40" s="37" t="s">
        <v>50</v>
      </c>
      <c r="C40" s="36">
        <v>1</v>
      </c>
      <c r="D40" s="38">
        <f>(11.17+11.17+12.333+4.42)/3.281</f>
        <v>11.914964949710455</v>
      </c>
      <c r="E40" s="38">
        <v>0.23</v>
      </c>
      <c r="F40" s="38">
        <v>0.45</v>
      </c>
      <c r="G40" s="39">
        <f>PRODUCT(C40:F40)</f>
        <v>1.2331988722950322</v>
      </c>
      <c r="H40" s="40"/>
      <c r="I40" s="40"/>
      <c r="J40" s="40"/>
      <c r="K40" s="21"/>
      <c r="M40" s="25"/>
      <c r="N40" s="1"/>
      <c r="O40" s="1"/>
      <c r="P40" s="1"/>
      <c r="Q40" s="1"/>
      <c r="R40" s="25"/>
      <c r="S40" s="25"/>
    </row>
    <row r="41" spans="1:19" ht="15" customHeight="1" x14ac:dyDescent="0.25">
      <c r="A41" s="18"/>
      <c r="B41" s="37" t="s">
        <v>55</v>
      </c>
      <c r="C41" s="36">
        <f>31</f>
        <v>31</v>
      </c>
      <c r="D41" s="38">
        <f>1.3-0.23</f>
        <v>1.07</v>
      </c>
      <c r="E41" s="38">
        <v>0.15</v>
      </c>
      <c r="F41" s="38">
        <v>0.15</v>
      </c>
      <c r="G41" s="39">
        <f>PRODUCT(C41:F41)</f>
        <v>0.74632500000000002</v>
      </c>
      <c r="H41" s="40"/>
      <c r="I41" s="40"/>
      <c r="J41" s="40"/>
      <c r="K41" s="21"/>
      <c r="M41" s="25"/>
      <c r="N41" s="1"/>
      <c r="O41" s="1"/>
      <c r="P41" s="1"/>
      <c r="Q41" s="1"/>
      <c r="R41" s="25"/>
      <c r="S41" s="25"/>
    </row>
    <row r="42" spans="1:19" ht="15" customHeight="1" x14ac:dyDescent="0.25">
      <c r="A42" s="18"/>
      <c r="B42" s="37" t="s">
        <v>62</v>
      </c>
      <c r="C42" s="36">
        <v>1</v>
      </c>
      <c r="D42" s="38">
        <f>12.75/3.281</f>
        <v>3.8860103626943006</v>
      </c>
      <c r="E42" s="38">
        <v>0.23</v>
      </c>
      <c r="F42" s="38">
        <v>0.6</v>
      </c>
      <c r="G42" s="39">
        <f>PRODUCT(C42:F42)</f>
        <v>0.53626943005181349</v>
      </c>
      <c r="H42" s="40"/>
      <c r="I42" s="40"/>
      <c r="J42" s="40"/>
      <c r="K42" s="21"/>
      <c r="M42" s="25"/>
      <c r="N42" s="1"/>
      <c r="O42" s="1"/>
      <c r="P42" s="1"/>
      <c r="Q42" s="1"/>
      <c r="R42" s="25"/>
      <c r="S42" s="25"/>
    </row>
    <row r="43" spans="1:19" ht="15" customHeight="1" x14ac:dyDescent="0.25">
      <c r="A43" s="40"/>
      <c r="B43" s="37" t="s">
        <v>40</v>
      </c>
      <c r="C43" s="42"/>
      <c r="D43" s="43"/>
      <c r="E43" s="43"/>
      <c r="F43" s="43"/>
      <c r="G43" s="33">
        <f>SUM(G40:G42)</f>
        <v>2.5157933023468457</v>
      </c>
      <c r="H43" s="33" t="s">
        <v>39</v>
      </c>
      <c r="I43" s="33">
        <v>14362.76</v>
      </c>
      <c r="J43" s="44">
        <f>G43*I43</f>
        <v>36133.735411215181</v>
      </c>
      <c r="K43" s="36"/>
    </row>
    <row r="44" spans="1:19" ht="15" customHeight="1" x14ac:dyDescent="0.25">
      <c r="A44" s="40"/>
      <c r="B44" s="37" t="s">
        <v>38</v>
      </c>
      <c r="C44" s="42"/>
      <c r="D44" s="43"/>
      <c r="E44" s="43"/>
      <c r="F44" s="43"/>
      <c r="G44" s="43"/>
      <c r="H44" s="43"/>
      <c r="I44" s="43"/>
      <c r="J44" s="45">
        <f>0.13*G43*10311.74</f>
        <v>3372.4868355804683</v>
      </c>
      <c r="K44" s="36"/>
    </row>
    <row r="45" spans="1:19" ht="15" customHeight="1" x14ac:dyDescent="0.25">
      <c r="A45" s="40"/>
      <c r="B45" s="37"/>
      <c r="C45" s="42"/>
      <c r="D45" s="43"/>
      <c r="E45" s="43"/>
      <c r="F45" s="43"/>
      <c r="G45" s="43"/>
      <c r="H45" s="43"/>
      <c r="I45" s="43"/>
      <c r="J45" s="45"/>
      <c r="K45" s="36"/>
    </row>
    <row r="46" spans="1:19" ht="15.75" x14ac:dyDescent="0.25">
      <c r="A46" s="40">
        <v>7</v>
      </c>
      <c r="B46" s="65" t="s">
        <v>58</v>
      </c>
      <c r="C46" s="42"/>
      <c r="D46" s="43"/>
      <c r="E46" s="43"/>
      <c r="F46" s="43"/>
      <c r="G46" s="43"/>
      <c r="H46" s="43"/>
      <c r="I46" s="43"/>
      <c r="J46" s="45"/>
      <c r="K46" s="36"/>
    </row>
    <row r="47" spans="1:19" ht="15" customHeight="1" x14ac:dyDescent="0.25">
      <c r="A47" s="18"/>
      <c r="B47" s="37" t="s">
        <v>60</v>
      </c>
      <c r="C47" s="36">
        <v>1</v>
      </c>
      <c r="D47" s="38">
        <f>21.9+3.04</f>
        <v>24.939999999999998</v>
      </c>
      <c r="E47" s="38">
        <v>0.3</v>
      </c>
      <c r="F47" s="38"/>
      <c r="G47" s="39">
        <f>PRODUCT(C47:F47)</f>
        <v>7.4819999999999993</v>
      </c>
      <c r="H47" s="40"/>
      <c r="I47" s="40"/>
      <c r="J47" s="40"/>
      <c r="K47" s="21"/>
      <c r="M47" s="25"/>
      <c r="N47" s="1"/>
      <c r="O47" s="1"/>
      <c r="P47" s="1"/>
      <c r="Q47" s="1"/>
      <c r="R47" s="25"/>
      <c r="S47" s="25"/>
    </row>
    <row r="48" spans="1:19" ht="15" customHeight="1" x14ac:dyDescent="0.25">
      <c r="A48" s="18"/>
      <c r="B48" s="37"/>
      <c r="C48" s="36">
        <v>1</v>
      </c>
      <c r="D48" s="38">
        <f>13.917/3.281</f>
        <v>4.2416946053032607</v>
      </c>
      <c r="E48" s="38">
        <f>51.083/3.281</f>
        <v>15.569338616275525</v>
      </c>
      <c r="F48" s="38"/>
      <c r="G48" s="39">
        <f>PRODUCT(C48:F48)</f>
        <v>66.040379616795633</v>
      </c>
      <c r="H48" s="40"/>
      <c r="I48" s="40"/>
      <c r="J48" s="40"/>
      <c r="K48" s="21"/>
      <c r="M48" s="25"/>
      <c r="N48" s="1"/>
      <c r="O48" s="1"/>
      <c r="P48" s="1"/>
      <c r="Q48" s="1"/>
      <c r="R48" s="25"/>
      <c r="S48" s="25"/>
    </row>
    <row r="49" spans="1:19" ht="15" customHeight="1" x14ac:dyDescent="0.25">
      <c r="A49" s="18"/>
      <c r="B49" s="37"/>
      <c r="C49" s="36">
        <v>1</v>
      </c>
      <c r="D49" s="38">
        <f>22.17/3.281</f>
        <v>6.7570862541907957</v>
      </c>
      <c r="E49" s="38">
        <f>12.5/3.281</f>
        <v>3.8098140810728434</v>
      </c>
      <c r="F49" s="38"/>
      <c r="G49" s="39">
        <f>PRODUCT(C49:F49)</f>
        <v>25.743242358239847</v>
      </c>
      <c r="H49" s="40"/>
      <c r="I49" s="40"/>
      <c r="J49" s="40"/>
      <c r="K49" s="21"/>
      <c r="M49" s="25"/>
      <c r="N49" s="1"/>
      <c r="O49" s="1"/>
      <c r="P49" s="1"/>
      <c r="Q49" s="1"/>
      <c r="R49" s="25"/>
      <c r="S49" s="25"/>
    </row>
    <row r="50" spans="1:19" ht="15" customHeight="1" x14ac:dyDescent="0.25">
      <c r="A50" s="40"/>
      <c r="B50" s="37" t="s">
        <v>40</v>
      </c>
      <c r="C50" s="42"/>
      <c r="D50" s="43"/>
      <c r="E50" s="43"/>
      <c r="F50" s="43"/>
      <c r="G50" s="33">
        <f>SUM(G47:G49)</f>
        <v>99.265621975035486</v>
      </c>
      <c r="H50" s="33" t="s">
        <v>59</v>
      </c>
      <c r="I50" s="33">
        <f>35*10.7639</f>
        <v>376.73649999999998</v>
      </c>
      <c r="J50" s="44">
        <f>G50*I50</f>
        <v>37396.982993197955</v>
      </c>
      <c r="K50" s="36"/>
    </row>
    <row r="51" spans="1:19" ht="15" customHeight="1" x14ac:dyDescent="0.25">
      <c r="A51" s="40"/>
      <c r="B51" s="37" t="s">
        <v>38</v>
      </c>
      <c r="C51" s="42"/>
      <c r="D51" s="43"/>
      <c r="E51" s="43"/>
      <c r="F51" s="43"/>
      <c r="G51" s="43"/>
      <c r="H51" s="43"/>
      <c r="I51" s="43"/>
      <c r="J51" s="45">
        <f>0.13*J50</f>
        <v>4861.6077891157347</v>
      </c>
      <c r="K51" s="36"/>
    </row>
    <row r="52" spans="1:19" ht="15" customHeight="1" x14ac:dyDescent="0.25">
      <c r="A52" s="40"/>
      <c r="B52" s="37"/>
      <c r="C52" s="42"/>
      <c r="D52" s="43"/>
      <c r="E52" s="43"/>
      <c r="F52" s="43"/>
      <c r="G52" s="43"/>
      <c r="H52" s="43"/>
      <c r="I52" s="43"/>
      <c r="J52" s="45"/>
      <c r="K52" s="36"/>
    </row>
    <row r="53" spans="1:19" ht="15.75" x14ac:dyDescent="0.25">
      <c r="A53" s="40">
        <v>8</v>
      </c>
      <c r="B53" s="65" t="s">
        <v>61</v>
      </c>
      <c r="C53" s="42"/>
      <c r="D53" s="43"/>
      <c r="E53" s="43"/>
      <c r="F53" s="43"/>
      <c r="G53" s="43"/>
      <c r="H53" s="43"/>
      <c r="I53" s="43"/>
      <c r="J53" s="45"/>
      <c r="K53" s="36"/>
    </row>
    <row r="54" spans="1:19" ht="15" customHeight="1" x14ac:dyDescent="0.25">
      <c r="A54" s="18"/>
      <c r="B54" s="37" t="s">
        <v>60</v>
      </c>
      <c r="C54" s="36">
        <v>1</v>
      </c>
      <c r="D54" s="38">
        <f>21.9+3.04</f>
        <v>24.939999999999998</v>
      </c>
      <c r="E54" s="38">
        <v>0.3</v>
      </c>
      <c r="F54" s="38"/>
      <c r="G54" s="39">
        <f>PRODUCT(C54:F54)</f>
        <v>7.4819999999999993</v>
      </c>
      <c r="H54" s="40"/>
      <c r="I54" s="40"/>
      <c r="J54" s="40"/>
      <c r="K54" s="21"/>
      <c r="M54" s="25"/>
      <c r="N54" s="1"/>
      <c r="O54" s="1"/>
      <c r="P54" s="1"/>
      <c r="Q54" s="1"/>
      <c r="R54" s="25"/>
      <c r="S54" s="25"/>
    </row>
    <row r="55" spans="1:19" ht="15" customHeight="1" x14ac:dyDescent="0.25">
      <c r="A55" s="18"/>
      <c r="B55" s="37"/>
      <c r="C55" s="36">
        <v>1</v>
      </c>
      <c r="D55" s="38">
        <f>13.917/3.281</f>
        <v>4.2416946053032607</v>
      </c>
      <c r="E55" s="38">
        <f>51.083/3.281</f>
        <v>15.569338616275525</v>
      </c>
      <c r="F55" s="38"/>
      <c r="G55" s="39">
        <f>PRODUCT(C55:F55)</f>
        <v>66.040379616795633</v>
      </c>
      <c r="H55" s="40"/>
      <c r="I55" s="40"/>
      <c r="J55" s="40"/>
      <c r="K55" s="21"/>
      <c r="M55" s="25"/>
      <c r="N55" s="1"/>
      <c r="O55" s="1"/>
      <c r="P55" s="1"/>
      <c r="Q55" s="1"/>
      <c r="R55" s="25"/>
      <c r="S55" s="25"/>
    </row>
    <row r="56" spans="1:19" ht="15" customHeight="1" x14ac:dyDescent="0.25">
      <c r="A56" s="18"/>
      <c r="B56" s="37"/>
      <c r="C56" s="36">
        <v>1</v>
      </c>
      <c r="D56" s="38">
        <f>22.17/3.281</f>
        <v>6.7570862541907957</v>
      </c>
      <c r="E56" s="38">
        <f>12.5/3.281</f>
        <v>3.8098140810728434</v>
      </c>
      <c r="F56" s="38"/>
      <c r="G56" s="39">
        <f>PRODUCT(C56:F56)</f>
        <v>25.743242358239847</v>
      </c>
      <c r="H56" s="40"/>
      <c r="I56" s="40"/>
      <c r="J56" s="40"/>
      <c r="K56" s="21"/>
      <c r="M56" s="25"/>
      <c r="N56" s="1"/>
      <c r="O56" s="1"/>
      <c r="P56" s="1"/>
      <c r="Q56" s="1"/>
      <c r="R56" s="25"/>
      <c r="S56" s="25"/>
    </row>
    <row r="57" spans="1:19" ht="15" customHeight="1" x14ac:dyDescent="0.25">
      <c r="A57" s="40"/>
      <c r="B57" s="37" t="s">
        <v>40</v>
      </c>
      <c r="C57" s="42"/>
      <c r="D57" s="43"/>
      <c r="E57" s="43"/>
      <c r="F57" s="43"/>
      <c r="G57" s="33">
        <f>SUM(G54:G56)</f>
        <v>99.265621975035486</v>
      </c>
      <c r="H57" s="33" t="s">
        <v>59</v>
      </c>
      <c r="I57" s="33">
        <f>23*10.7639</f>
        <v>247.56969999999998</v>
      </c>
      <c r="J57" s="44">
        <f>G57*I57</f>
        <v>24575.16025267294</v>
      </c>
      <c r="K57" s="36"/>
    </row>
    <row r="58" spans="1:19" ht="15" customHeight="1" x14ac:dyDescent="0.25">
      <c r="A58" s="40"/>
      <c r="B58" s="37"/>
      <c r="C58" s="42"/>
      <c r="D58" s="43"/>
      <c r="E58" s="43"/>
      <c r="F58" s="43"/>
      <c r="G58" s="33"/>
      <c r="H58" s="33"/>
      <c r="I58" s="33"/>
      <c r="J58" s="44"/>
      <c r="K58" s="36"/>
    </row>
    <row r="59" spans="1:19" ht="43.5" x14ac:dyDescent="0.25">
      <c r="A59" s="40">
        <v>9</v>
      </c>
      <c r="B59" s="66" t="s">
        <v>64</v>
      </c>
      <c r="C59" s="19">
        <v>1</v>
      </c>
      <c r="D59" s="20"/>
      <c r="E59" s="21"/>
      <c r="F59" s="21"/>
      <c r="G59" s="34">
        <f t="shared" ref="G59" si="0">PRODUCT(C59:F59)</f>
        <v>1</v>
      </c>
      <c r="H59" s="22" t="s">
        <v>65</v>
      </c>
      <c r="I59" s="23">
        <v>20000</v>
      </c>
      <c r="J59" s="34">
        <f>G59*I59</f>
        <v>20000</v>
      </c>
      <c r="K59" s="36"/>
    </row>
    <row r="60" spans="1:19" ht="15" customHeight="1" x14ac:dyDescent="0.25">
      <c r="A60" s="40"/>
      <c r="B60" s="37"/>
      <c r="C60" s="42"/>
      <c r="D60" s="43"/>
      <c r="E60" s="43"/>
      <c r="F60" s="43"/>
      <c r="G60" s="33"/>
      <c r="H60" s="33"/>
      <c r="I60" s="33"/>
      <c r="J60" s="44"/>
      <c r="K60" s="36"/>
    </row>
    <row r="61" spans="1:19" ht="15" customHeight="1" x14ac:dyDescent="0.25">
      <c r="A61" s="40"/>
      <c r="B61" s="37"/>
      <c r="C61" s="42"/>
      <c r="D61" s="43"/>
      <c r="E61" s="43"/>
      <c r="F61" s="43"/>
      <c r="G61" s="33"/>
      <c r="H61" s="33"/>
      <c r="I61" s="33"/>
      <c r="J61" s="44"/>
      <c r="K61" s="36"/>
    </row>
    <row r="62" spans="1:19" ht="15" customHeight="1" x14ac:dyDescent="0.25">
      <c r="A62" s="18">
        <v>10</v>
      </c>
      <c r="B62" s="30" t="s">
        <v>30</v>
      </c>
      <c r="C62" s="19">
        <v>1</v>
      </c>
      <c r="D62" s="20"/>
      <c r="E62" s="21"/>
      <c r="F62" s="21"/>
      <c r="G62" s="34">
        <f t="shared" ref="G62" si="1">PRODUCT(C62:F62)</f>
        <v>1</v>
      </c>
      <c r="H62" s="22" t="s">
        <v>31</v>
      </c>
      <c r="I62" s="23">
        <v>500</v>
      </c>
      <c r="J62" s="34">
        <f>G62*I62</f>
        <v>500</v>
      </c>
      <c r="K62" s="21"/>
      <c r="M62" s="25"/>
      <c r="N62" s="1"/>
      <c r="O62" s="1"/>
      <c r="P62" s="1"/>
      <c r="Q62" s="1"/>
      <c r="R62" s="25"/>
      <c r="S62" s="25"/>
    </row>
    <row r="63" spans="1:19" ht="15" customHeight="1" x14ac:dyDescent="0.25">
      <c r="A63" s="18"/>
      <c r="B63" s="24"/>
      <c r="C63" s="19"/>
      <c r="D63" s="20"/>
      <c r="E63" s="21"/>
      <c r="F63" s="21"/>
      <c r="G63" s="23"/>
      <c r="H63" s="22"/>
      <c r="I63" s="23"/>
      <c r="J63" s="41"/>
      <c r="K63" s="21"/>
      <c r="M63" s="25"/>
      <c r="N63" s="1"/>
      <c r="O63" s="1"/>
      <c r="P63" s="1"/>
      <c r="Q63" s="1"/>
      <c r="R63" s="25"/>
      <c r="S63" s="25"/>
    </row>
    <row r="64" spans="1:19" x14ac:dyDescent="0.25">
      <c r="A64" s="40"/>
      <c r="B64" s="46" t="s">
        <v>17</v>
      </c>
      <c r="C64" s="47"/>
      <c r="D64" s="38"/>
      <c r="E64" s="38"/>
      <c r="F64" s="38"/>
      <c r="G64" s="41"/>
      <c r="H64" s="41"/>
      <c r="I64" s="41"/>
      <c r="J64" s="41">
        <f>SUM(J10:J62)</f>
        <v>562056.0280514101</v>
      </c>
      <c r="K64" s="36"/>
    </row>
    <row r="65" spans="1:11" x14ac:dyDescent="0.25">
      <c r="A65" s="58"/>
      <c r="B65" s="61"/>
      <c r="C65" s="62"/>
      <c r="D65" s="59"/>
      <c r="E65" s="59"/>
      <c r="F65" s="59"/>
      <c r="G65" s="60"/>
      <c r="H65" s="60"/>
      <c r="I65" s="60"/>
      <c r="J65" s="60"/>
      <c r="K65" s="57"/>
    </row>
    <row r="66" spans="1:11" s="1" customFormat="1" x14ac:dyDescent="0.25">
      <c r="A66" s="50"/>
      <c r="B66" s="29" t="s">
        <v>27</v>
      </c>
      <c r="C66" s="79">
        <f>J64</f>
        <v>562056.0280514101</v>
      </c>
      <c r="D66" s="79"/>
      <c r="E66" s="39">
        <v>100</v>
      </c>
      <c r="F66" s="51"/>
      <c r="G66" s="52"/>
      <c r="H66" s="51"/>
      <c r="I66" s="53"/>
      <c r="J66" s="54"/>
      <c r="K66" s="55"/>
    </row>
    <row r="67" spans="1:11" x14ac:dyDescent="0.25">
      <c r="A67" s="56"/>
      <c r="B67" s="29" t="s">
        <v>32</v>
      </c>
      <c r="C67" s="82">
        <v>500000</v>
      </c>
      <c r="D67" s="82"/>
      <c r="E67" s="39"/>
      <c r="F67" s="49"/>
      <c r="G67" s="48"/>
      <c r="H67" s="48"/>
      <c r="I67" s="48"/>
      <c r="J67" s="48"/>
      <c r="K67" s="49"/>
    </row>
    <row r="68" spans="1:11" x14ac:dyDescent="0.25">
      <c r="A68" s="56"/>
      <c r="B68" s="29" t="s">
        <v>33</v>
      </c>
      <c r="C68" s="82">
        <f>C67-C70-C71</f>
        <v>475000</v>
      </c>
      <c r="D68" s="82"/>
      <c r="E68" s="39">
        <f>C68/C66*100</f>
        <v>84.511147695857957</v>
      </c>
      <c r="F68" s="49"/>
      <c r="G68" s="48"/>
      <c r="H68" s="48"/>
      <c r="I68" s="48"/>
      <c r="J68" s="48"/>
      <c r="K68" s="49"/>
    </row>
    <row r="69" spans="1:11" x14ac:dyDescent="0.25">
      <c r="A69" s="56"/>
      <c r="B69" s="29" t="s">
        <v>34</v>
      </c>
      <c r="C69" s="79">
        <f>C66-C68</f>
        <v>87056.028051410103</v>
      </c>
      <c r="D69" s="79"/>
      <c r="E69" s="39">
        <f>100-E68</f>
        <v>15.488852304142043</v>
      </c>
      <c r="F69" s="49"/>
      <c r="G69" s="48"/>
      <c r="H69" s="48"/>
      <c r="I69" s="48"/>
      <c r="J69" s="48"/>
      <c r="K69" s="49"/>
    </row>
    <row r="70" spans="1:11" x14ac:dyDescent="0.25">
      <c r="A70" s="56"/>
      <c r="B70" s="29" t="s">
        <v>35</v>
      </c>
      <c r="C70" s="79">
        <f>C67*0.03</f>
        <v>15000</v>
      </c>
      <c r="D70" s="79"/>
      <c r="E70" s="39">
        <v>3</v>
      </c>
      <c r="F70" s="49"/>
      <c r="G70" s="48"/>
      <c r="H70" s="48"/>
      <c r="I70" s="48"/>
      <c r="J70" s="48"/>
      <c r="K70" s="49"/>
    </row>
    <row r="71" spans="1:11" x14ac:dyDescent="0.25">
      <c r="A71" s="56"/>
      <c r="B71" s="29" t="s">
        <v>36</v>
      </c>
      <c r="C71" s="79">
        <f>C67*0.02</f>
        <v>10000</v>
      </c>
      <c r="D71" s="79"/>
      <c r="E71" s="39">
        <v>2</v>
      </c>
      <c r="F71" s="49"/>
      <c r="G71" s="48"/>
      <c r="H71" s="48"/>
      <c r="I71" s="48"/>
      <c r="J71" s="48"/>
      <c r="K71" s="49"/>
    </row>
    <row r="72" spans="1:11" s="35" customFormat="1" x14ac:dyDescent="0.25">
      <c r="A72" s="57"/>
      <c r="B72" s="57"/>
      <c r="C72" s="57"/>
      <c r="D72" s="57"/>
      <c r="E72" s="57"/>
      <c r="F72" s="57"/>
      <c r="G72" s="57"/>
      <c r="H72" s="57"/>
      <c r="I72" s="57"/>
      <c r="J72" s="57"/>
      <c r="K72" s="57"/>
    </row>
    <row r="73" spans="1:11" s="35" customFormat="1" x14ac:dyDescent="0.25"/>
    <row r="74" spans="1:11" s="35" customFormat="1" x14ac:dyDescent="0.25"/>
    <row r="75" spans="1:11" s="35" customFormat="1" x14ac:dyDescent="0.25"/>
    <row r="76" spans="1:11" s="35" customFormat="1" x14ac:dyDescent="0.25"/>
    <row r="77" spans="1:11" s="35" customFormat="1" x14ac:dyDescent="0.25"/>
    <row r="78" spans="1:11" s="35" customFormat="1" x14ac:dyDescent="0.25"/>
    <row r="79" spans="1:11" s="35" customFormat="1" x14ac:dyDescent="0.25"/>
    <row r="80" spans="1:11"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sheetData>
  <mergeCells count="15">
    <mergeCell ref="C70:D70"/>
    <mergeCell ref="C71:D71"/>
    <mergeCell ref="A7:F7"/>
    <mergeCell ref="H7:K7"/>
    <mergeCell ref="C66:D66"/>
    <mergeCell ref="C67:D67"/>
    <mergeCell ref="C68:D68"/>
    <mergeCell ref="C69:D69"/>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7"/>
  <sheetViews>
    <sheetView topLeftCell="A30" zoomScaleNormal="100" workbookViewId="0">
      <selection activeCell="E57" sqref="E5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4</v>
      </c>
      <c r="B5" s="78"/>
      <c r="C5" s="78"/>
      <c r="D5" s="78"/>
      <c r="E5" s="78"/>
      <c r="F5" s="78"/>
      <c r="G5" s="78"/>
      <c r="H5" s="78"/>
      <c r="I5" s="78"/>
      <c r="J5" s="78"/>
      <c r="K5" s="78"/>
    </row>
    <row r="6" spans="1:19" ht="15.75" x14ac:dyDescent="0.25">
      <c r="A6" s="73" t="s">
        <v>52</v>
      </c>
      <c r="B6" s="73"/>
      <c r="C6" s="73"/>
      <c r="D6" s="73"/>
      <c r="E6" s="73"/>
      <c r="F6" s="73"/>
      <c r="G6" s="2"/>
      <c r="H6" s="74" t="s">
        <v>45</v>
      </c>
      <c r="I6" s="74"/>
      <c r="J6" s="74"/>
      <c r="K6" s="74"/>
      <c r="O6" t="s">
        <v>57</v>
      </c>
    </row>
    <row r="7" spans="1:19" ht="15.75" x14ac:dyDescent="0.25">
      <c r="A7" s="80" t="s">
        <v>28</v>
      </c>
      <c r="B7" s="80"/>
      <c r="C7" s="80"/>
      <c r="D7" s="80"/>
      <c r="E7" s="80"/>
      <c r="F7" s="80"/>
      <c r="G7" s="3"/>
      <c r="H7" s="81" t="s">
        <v>46</v>
      </c>
      <c r="I7" s="81"/>
      <c r="J7" s="81"/>
      <c r="K7" s="81"/>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66</v>
      </c>
      <c r="C9" s="36"/>
      <c r="D9" s="36"/>
      <c r="E9" s="36"/>
      <c r="F9" s="36"/>
      <c r="G9" s="36"/>
      <c r="H9" s="36"/>
      <c r="I9" s="36"/>
      <c r="J9" s="36"/>
      <c r="K9" s="36"/>
      <c r="N9" t="s">
        <v>48</v>
      </c>
      <c r="O9" t="s">
        <v>49</v>
      </c>
    </row>
    <row r="10" spans="1:19" ht="15" customHeight="1" x14ac:dyDescent="0.25">
      <c r="A10" s="18"/>
      <c r="B10" s="37" t="s">
        <v>50</v>
      </c>
      <c r="C10" s="36">
        <v>0.5</v>
      </c>
      <c r="D10" s="38">
        <f>D38</f>
        <v>15.87</v>
      </c>
      <c r="E10" s="38">
        <f>F38/2</f>
        <v>1.4</v>
      </c>
      <c r="F10" s="38">
        <f>F38</f>
        <v>2.8</v>
      </c>
      <c r="G10" s="39">
        <f>PRODUCT(C10:F10)</f>
        <v>31.105199999999993</v>
      </c>
      <c r="H10" s="40"/>
      <c r="I10" s="40"/>
      <c r="J10" s="40"/>
      <c r="K10" s="21"/>
      <c r="M10" s="25"/>
      <c r="N10" s="1"/>
      <c r="O10" s="1"/>
      <c r="P10" s="1"/>
      <c r="Q10" s="1"/>
      <c r="R10" s="25"/>
      <c r="S10" s="25"/>
    </row>
    <row r="11" spans="1:19" ht="15" customHeight="1" x14ac:dyDescent="0.25">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hidden="1" customHeight="1" x14ac:dyDescent="0.25">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25">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25">
      <c r="A14" s="18"/>
      <c r="B14" s="37" t="s">
        <v>40</v>
      </c>
      <c r="C14" s="19"/>
      <c r="D14" s="20"/>
      <c r="E14" s="21"/>
      <c r="F14" s="21"/>
      <c r="G14" s="23">
        <f>SUM(G10:G11)</f>
        <v>36.505199999999995</v>
      </c>
      <c r="H14" s="22" t="s">
        <v>39</v>
      </c>
      <c r="I14" s="23">
        <v>64.63</v>
      </c>
      <c r="J14" s="41">
        <f>G14*I14</f>
        <v>2359.3310759999995</v>
      </c>
      <c r="K14" s="21"/>
      <c r="M14" s="25"/>
      <c r="N14" s="1"/>
      <c r="O14" s="1"/>
      <c r="P14" s="1"/>
      <c r="Q14" s="1"/>
      <c r="R14" s="25"/>
      <c r="S14" s="25"/>
    </row>
    <row r="15" spans="1:19" ht="15" customHeight="1" x14ac:dyDescent="0.25">
      <c r="A15" s="18"/>
      <c r="B15" s="37" t="s">
        <v>38</v>
      </c>
      <c r="C15" s="19"/>
      <c r="D15" s="20"/>
      <c r="E15" s="21"/>
      <c r="F15" s="21"/>
      <c r="G15" s="23"/>
      <c r="H15" s="22"/>
      <c r="I15" s="23"/>
      <c r="J15" s="41">
        <f>0.13*G14*19284/360</f>
        <v>254.21004439999996</v>
      </c>
      <c r="K15" s="21"/>
      <c r="M15" s="25"/>
      <c r="N15" s="1"/>
      <c r="O15" s="1"/>
      <c r="P15" s="1"/>
      <c r="Q15" s="1"/>
      <c r="R15" s="25"/>
      <c r="S15" s="25"/>
    </row>
    <row r="16" spans="1:19" ht="15" customHeight="1" x14ac:dyDescent="0.25">
      <c r="A16" s="18"/>
      <c r="B16" s="37"/>
      <c r="C16" s="19"/>
      <c r="D16" s="20"/>
      <c r="E16" s="21"/>
      <c r="F16" s="21"/>
      <c r="G16" s="23"/>
      <c r="H16" s="22"/>
      <c r="I16" s="23"/>
      <c r="J16" s="41"/>
      <c r="K16" s="21"/>
      <c r="M16" s="25"/>
      <c r="N16" s="1"/>
      <c r="O16" s="1"/>
      <c r="P16" s="1"/>
      <c r="Q16" s="1"/>
      <c r="R16" s="25"/>
      <c r="S16" s="25"/>
    </row>
    <row r="17" spans="1:19" ht="105" hidden="1" x14ac:dyDescent="0.25">
      <c r="A17" s="18">
        <v>2</v>
      </c>
      <c r="B17" s="30" t="s">
        <v>51</v>
      </c>
      <c r="C17" s="19"/>
      <c r="D17" s="20"/>
      <c r="E17" s="21"/>
      <c r="F17" s="21"/>
      <c r="G17" s="23"/>
      <c r="H17" s="22"/>
      <c r="I17" s="23"/>
      <c r="J17" s="41"/>
      <c r="K17" s="21"/>
      <c r="M17" s="25"/>
      <c r="N17" s="1"/>
      <c r="O17" s="1"/>
      <c r="P17" s="1"/>
      <c r="Q17" s="1"/>
      <c r="R17" s="25"/>
      <c r="S17" s="25"/>
    </row>
    <row r="18" spans="1:19" ht="15" hidden="1" customHeight="1" x14ac:dyDescent="0.25">
      <c r="A18" s="18"/>
      <c r="B18" s="37" t="s">
        <v>41</v>
      </c>
      <c r="C18" s="36">
        <v>0.5</v>
      </c>
      <c r="D18" s="38">
        <f>D22</f>
        <v>15.87</v>
      </c>
      <c r="E18" s="38">
        <v>0.6</v>
      </c>
      <c r="F18" s="38">
        <v>1</v>
      </c>
      <c r="G18" s="39">
        <f>0*PRODUCT(C18:F18)</f>
        <v>0</v>
      </c>
      <c r="H18" s="40"/>
      <c r="I18" s="40"/>
      <c r="J18" s="40"/>
      <c r="K18" s="21"/>
      <c r="M18" s="25"/>
      <c r="N18" s="1"/>
      <c r="O18" s="1"/>
      <c r="P18" s="1"/>
      <c r="Q18" s="1"/>
      <c r="R18" s="25"/>
      <c r="S18" s="25"/>
    </row>
    <row r="19" spans="1:19" ht="15" hidden="1" customHeight="1" x14ac:dyDescent="0.25">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25">
      <c r="A20" s="18"/>
      <c r="B20" s="37"/>
      <c r="C20" s="19"/>
      <c r="D20" s="20"/>
      <c r="E20" s="21"/>
      <c r="F20" s="21"/>
      <c r="G20" s="23"/>
      <c r="H20" s="22"/>
      <c r="I20" s="23"/>
      <c r="J20" s="41"/>
      <c r="K20" s="21"/>
      <c r="M20" s="25"/>
      <c r="N20" s="1"/>
      <c r="O20" s="1"/>
      <c r="P20" s="1"/>
      <c r="Q20" s="1"/>
      <c r="R20" s="25"/>
      <c r="S20" s="25"/>
    </row>
    <row r="21" spans="1:19" ht="90" x14ac:dyDescent="0.25">
      <c r="A21" s="18">
        <v>2</v>
      </c>
      <c r="B21" s="30" t="s">
        <v>43</v>
      </c>
      <c r="C21" s="19"/>
      <c r="D21" s="20"/>
      <c r="E21" s="21"/>
      <c r="F21" s="21"/>
      <c r="G21" s="23"/>
      <c r="H21" s="22"/>
      <c r="I21" s="23"/>
      <c r="J21" s="41"/>
      <c r="K21" s="21"/>
      <c r="M21" s="25"/>
      <c r="N21" s="1"/>
      <c r="O21" s="1"/>
      <c r="P21" s="1"/>
      <c r="Q21" s="1"/>
      <c r="R21" s="25"/>
      <c r="S21" s="25"/>
    </row>
    <row r="22" spans="1:19" ht="15" customHeight="1" x14ac:dyDescent="0.25">
      <c r="A22" s="18"/>
      <c r="B22" s="37" t="s">
        <v>41</v>
      </c>
      <c r="C22" s="36">
        <v>1</v>
      </c>
      <c r="D22" s="38">
        <f>D30</f>
        <v>15.87</v>
      </c>
      <c r="E22" s="38">
        <f>E30</f>
        <v>1.4</v>
      </c>
      <c r="F22" s="38">
        <v>0.15</v>
      </c>
      <c r="G22" s="39">
        <f>PRODUCT(C22:F22)</f>
        <v>3.3326999999999996</v>
      </c>
      <c r="H22" s="40"/>
      <c r="I22" s="40"/>
      <c r="J22" s="40"/>
      <c r="K22" s="21"/>
      <c r="M22" s="25"/>
      <c r="N22" s="1"/>
      <c r="O22" s="1"/>
      <c r="P22" s="1"/>
      <c r="Q22" s="1"/>
      <c r="R22" s="25"/>
      <c r="S22" s="25"/>
    </row>
    <row r="23" spans="1:19" ht="15" customHeight="1" x14ac:dyDescent="0.25">
      <c r="A23" s="18"/>
      <c r="B23" s="37" t="s">
        <v>68</v>
      </c>
      <c r="C23" s="36">
        <v>1</v>
      </c>
      <c r="D23" s="38">
        <v>10</v>
      </c>
      <c r="E23" s="38">
        <v>0.45</v>
      </c>
      <c r="F23" s="38">
        <v>0.15</v>
      </c>
      <c r="G23" s="39">
        <f t="shared" ref="G23:G24" si="1">PRODUCT(C23:F23)</f>
        <v>0.67499999999999993</v>
      </c>
      <c r="H23" s="40"/>
      <c r="I23" s="40"/>
      <c r="J23" s="40"/>
      <c r="K23" s="21"/>
      <c r="M23" s="25"/>
      <c r="N23" s="1"/>
      <c r="O23" s="1"/>
      <c r="P23" s="1"/>
      <c r="Q23" s="1"/>
      <c r="R23" s="25"/>
      <c r="S23" s="25"/>
    </row>
    <row r="24" spans="1:19" ht="15" customHeight="1" x14ac:dyDescent="0.25">
      <c r="A24" s="18"/>
      <c r="B24" s="37"/>
      <c r="C24" s="36">
        <v>1</v>
      </c>
      <c r="D24" s="38">
        <v>10</v>
      </c>
      <c r="E24" s="38">
        <v>0.6</v>
      </c>
      <c r="F24" s="38">
        <v>0.15</v>
      </c>
      <c r="G24" s="39">
        <f t="shared" si="1"/>
        <v>0.89999999999999991</v>
      </c>
      <c r="H24" s="40"/>
      <c r="I24" s="40"/>
      <c r="J24" s="40"/>
      <c r="K24" s="21"/>
      <c r="M24" s="25"/>
      <c r="N24" s="1"/>
      <c r="O24" s="1"/>
      <c r="P24" s="1"/>
      <c r="Q24" s="1"/>
      <c r="R24" s="25"/>
      <c r="S24" s="25"/>
    </row>
    <row r="25" spans="1:19" ht="15" hidden="1" customHeight="1" x14ac:dyDescent="0.25">
      <c r="A25" s="18"/>
      <c r="B25" s="37" t="s">
        <v>55</v>
      </c>
      <c r="C25" s="36">
        <v>0</v>
      </c>
      <c r="D25" s="38">
        <f>D13</f>
        <v>11.889667784212129</v>
      </c>
      <c r="E25" s="38">
        <f>E13</f>
        <v>1.3</v>
      </c>
      <c r="F25" s="38">
        <v>0.15</v>
      </c>
      <c r="G25" s="39">
        <f>PRODUCT(C25:F25)</f>
        <v>0</v>
      </c>
      <c r="H25" s="40"/>
      <c r="I25" s="40"/>
      <c r="J25" s="40"/>
      <c r="K25" s="21"/>
      <c r="M25" s="25"/>
      <c r="N25" s="1"/>
      <c r="O25" s="1"/>
      <c r="P25" s="1"/>
      <c r="Q25" s="1"/>
      <c r="R25" s="25"/>
      <c r="S25" s="25"/>
    </row>
    <row r="26" spans="1:19" ht="15" customHeight="1" x14ac:dyDescent="0.25">
      <c r="A26" s="40"/>
      <c r="B26" s="37" t="s">
        <v>40</v>
      </c>
      <c r="C26" s="42"/>
      <c r="D26" s="43"/>
      <c r="E26" s="43"/>
      <c r="F26" s="43"/>
      <c r="G26" s="33">
        <f>SUM(G22:G25)</f>
        <v>4.9077000000000002</v>
      </c>
      <c r="H26" s="33" t="s">
        <v>39</v>
      </c>
      <c r="I26" s="33">
        <v>4561.53</v>
      </c>
      <c r="J26" s="44">
        <f>G26*I26</f>
        <v>22386.620780999998</v>
      </c>
      <c r="K26" s="36"/>
    </row>
    <row r="27" spans="1:19" x14ac:dyDescent="0.25">
      <c r="A27" s="40"/>
      <c r="B27" s="37" t="s">
        <v>38</v>
      </c>
      <c r="C27" s="42"/>
      <c r="D27" s="43"/>
      <c r="E27" s="43"/>
      <c r="F27" s="43"/>
      <c r="G27" s="43"/>
      <c r="H27" s="43"/>
      <c r="I27" s="43"/>
      <c r="J27" s="45">
        <f>0.13*G26*(15452.6/5)</f>
        <v>1971.7548505200002</v>
      </c>
      <c r="K27" s="36"/>
    </row>
    <row r="28" spans="1:19" x14ac:dyDescent="0.25">
      <c r="A28" s="40"/>
      <c r="B28" s="37"/>
      <c r="C28" s="42"/>
      <c r="D28" s="43"/>
      <c r="E28" s="43"/>
      <c r="F28" s="43"/>
      <c r="G28" s="43"/>
      <c r="H28" s="43"/>
      <c r="I28" s="43"/>
      <c r="J28" s="45"/>
      <c r="K28" s="36"/>
    </row>
    <row r="29" spans="1:19" ht="75" x14ac:dyDescent="0.25">
      <c r="A29" s="18">
        <v>3</v>
      </c>
      <c r="B29" s="30" t="s">
        <v>42</v>
      </c>
      <c r="C29" s="19"/>
      <c r="D29" s="20"/>
      <c r="E29" s="21"/>
      <c r="F29" s="21"/>
      <c r="G29" s="23"/>
      <c r="H29" s="22"/>
      <c r="I29" s="23"/>
      <c r="J29" s="41"/>
      <c r="K29" s="21"/>
      <c r="M29" s="25"/>
      <c r="N29" s="1"/>
      <c r="O29" s="1"/>
      <c r="P29" s="1"/>
      <c r="Q29" s="1"/>
      <c r="R29" s="25"/>
      <c r="S29" s="25"/>
    </row>
    <row r="30" spans="1:19" ht="15" customHeight="1" x14ac:dyDescent="0.25">
      <c r="A30" s="18"/>
      <c r="B30" s="37" t="s">
        <v>50</v>
      </c>
      <c r="C30" s="36">
        <v>1</v>
      </c>
      <c r="D30" s="38">
        <f>D38</f>
        <v>15.87</v>
      </c>
      <c r="E30" s="38">
        <f>F38/2</f>
        <v>1.4</v>
      </c>
      <c r="F30" s="38">
        <v>7.4999999999999997E-2</v>
      </c>
      <c r="G30" s="39">
        <f>PRODUCT(C30:F30)</f>
        <v>1.6663499999999998</v>
      </c>
      <c r="H30" s="40"/>
      <c r="I30" s="40"/>
      <c r="J30" s="40"/>
      <c r="K30" s="21"/>
      <c r="M30" s="25"/>
      <c r="N30" s="1"/>
      <c r="O30" s="1"/>
      <c r="P30" s="1"/>
      <c r="Q30" s="1"/>
      <c r="R30" s="25"/>
      <c r="S30" s="25"/>
    </row>
    <row r="31" spans="1:19" ht="15" customHeight="1" x14ac:dyDescent="0.25">
      <c r="A31" s="18"/>
      <c r="B31" s="37"/>
      <c r="C31" s="36">
        <v>1</v>
      </c>
      <c r="D31" s="38">
        <f>D30</f>
        <v>15.87</v>
      </c>
      <c r="E31" s="38">
        <v>0.5</v>
      </c>
      <c r="F31" s="38">
        <v>0.05</v>
      </c>
      <c r="G31" s="39">
        <f>PRODUCT(C31:F31)</f>
        <v>0.39674999999999999</v>
      </c>
      <c r="H31" s="40"/>
      <c r="I31" s="40"/>
      <c r="J31" s="40"/>
      <c r="K31" s="21"/>
      <c r="M31" s="25"/>
      <c r="N31" s="1"/>
      <c r="O31" s="1"/>
      <c r="P31" s="1"/>
      <c r="Q31" s="1"/>
      <c r="R31" s="25"/>
      <c r="S31" s="25"/>
    </row>
    <row r="32" spans="1:19" ht="15" hidden="1" customHeight="1" x14ac:dyDescent="0.25">
      <c r="A32" s="18"/>
      <c r="B32" s="37" t="s">
        <v>55</v>
      </c>
      <c r="C32" s="36">
        <f>C25</f>
        <v>0</v>
      </c>
      <c r="D32" s="38">
        <f>D25</f>
        <v>11.889667784212129</v>
      </c>
      <c r="E32" s="38">
        <f>E25</f>
        <v>1.3</v>
      </c>
      <c r="F32" s="38">
        <v>0.05</v>
      </c>
      <c r="G32" s="39">
        <f>0*PRODUCT(C32:F32)</f>
        <v>0</v>
      </c>
      <c r="H32" s="40"/>
      <c r="I32" s="40"/>
      <c r="J32" s="40"/>
      <c r="K32" s="21"/>
      <c r="M32" s="25"/>
      <c r="N32" s="1"/>
      <c r="O32" s="1"/>
      <c r="P32" s="1"/>
      <c r="Q32" s="1"/>
      <c r="R32" s="25"/>
      <c r="S32" s="25"/>
    </row>
    <row r="33" spans="1:19" ht="15" hidden="1" customHeight="1" x14ac:dyDescent="0.25">
      <c r="A33" s="18"/>
      <c r="B33" s="37" t="s">
        <v>63</v>
      </c>
      <c r="C33" s="36">
        <v>1</v>
      </c>
      <c r="D33" s="38">
        <f>D61</f>
        <v>3.8860103626943006</v>
      </c>
      <c r="E33" s="38">
        <v>0.23</v>
      </c>
      <c r="F33" s="38">
        <v>0.05</v>
      </c>
      <c r="G33" s="39">
        <f>0*PRODUCT(C33:F33)</f>
        <v>0</v>
      </c>
      <c r="H33" s="40"/>
      <c r="I33" s="40"/>
      <c r="J33" s="40"/>
      <c r="K33" s="21"/>
      <c r="M33" s="25"/>
      <c r="N33" s="1"/>
      <c r="O33" s="1"/>
      <c r="P33" s="1"/>
      <c r="Q33" s="1"/>
      <c r="R33" s="25"/>
      <c r="S33" s="25"/>
    </row>
    <row r="34" spans="1:19" ht="15" customHeight="1" x14ac:dyDescent="0.25">
      <c r="A34" s="40"/>
      <c r="B34" s="37" t="s">
        <v>40</v>
      </c>
      <c r="C34" s="42"/>
      <c r="D34" s="43"/>
      <c r="E34" s="43"/>
      <c r="F34" s="43"/>
      <c r="G34" s="33">
        <f>SUM(G30:G33)</f>
        <v>2.0630999999999999</v>
      </c>
      <c r="H34" s="33" t="s">
        <v>39</v>
      </c>
      <c r="I34" s="33">
        <v>10634.5</v>
      </c>
      <c r="J34" s="44">
        <f>G34*I34</f>
        <v>21940.036949999998</v>
      </c>
      <c r="K34" s="36"/>
    </row>
    <row r="35" spans="1:19" ht="15" customHeight="1" x14ac:dyDescent="0.25">
      <c r="A35" s="40"/>
      <c r="B35" s="37" t="s">
        <v>38</v>
      </c>
      <c r="C35" s="42"/>
      <c r="D35" s="43"/>
      <c r="E35" s="43"/>
      <c r="F35" s="43"/>
      <c r="G35" s="43"/>
      <c r="H35" s="43"/>
      <c r="I35" s="43"/>
      <c r="J35" s="45">
        <f>0.13*G34*((114907.3+6135.3)/15)</f>
        <v>2164.2658965200003</v>
      </c>
      <c r="K35" s="36"/>
    </row>
    <row r="36" spans="1:19" ht="15" customHeight="1" x14ac:dyDescent="0.25">
      <c r="A36" s="40"/>
      <c r="B36" s="37"/>
      <c r="C36" s="42"/>
      <c r="D36" s="43"/>
      <c r="E36" s="43"/>
      <c r="F36" s="43"/>
      <c r="G36" s="43"/>
      <c r="H36" s="43"/>
      <c r="I36" s="43"/>
      <c r="J36" s="45"/>
      <c r="K36" s="36"/>
    </row>
    <row r="37" spans="1:19" s="1" customFormat="1" ht="90" x14ac:dyDescent="0.25">
      <c r="A37" s="63">
        <v>4</v>
      </c>
      <c r="B37" s="30" t="s">
        <v>53</v>
      </c>
      <c r="C37" s="64"/>
      <c r="D37" s="39"/>
      <c r="E37" s="39"/>
      <c r="F37" s="39"/>
      <c r="G37" s="39"/>
      <c r="H37" s="39"/>
      <c r="I37" s="39"/>
      <c r="J37" s="45"/>
      <c r="K37" s="29"/>
    </row>
    <row r="38" spans="1:19" ht="15" customHeight="1" x14ac:dyDescent="0.25">
      <c r="A38" s="18"/>
      <c r="B38" s="37" t="s">
        <v>50</v>
      </c>
      <c r="C38" s="36">
        <v>1</v>
      </c>
      <c r="D38" s="38">
        <f>13.77+2.1</f>
        <v>15.87</v>
      </c>
      <c r="E38" s="38">
        <f>((F38/2+0.5)/2)</f>
        <v>0.95</v>
      </c>
      <c r="F38" s="38">
        <f>2.5+0.3</f>
        <v>2.8</v>
      </c>
      <c r="G38" s="39">
        <f>PRODUCT(C38:F38)</f>
        <v>42.214199999999998</v>
      </c>
      <c r="H38" s="40"/>
      <c r="I38" s="40"/>
      <c r="J38" s="40"/>
      <c r="K38" s="21"/>
      <c r="M38" s="25"/>
      <c r="N38" s="1"/>
      <c r="O38" s="1"/>
      <c r="P38" s="1"/>
      <c r="Q38" s="1"/>
      <c r="R38" s="25"/>
      <c r="S38" s="25"/>
    </row>
    <row r="39" spans="1:19" ht="15" customHeight="1" x14ac:dyDescent="0.25">
      <c r="A39" s="18"/>
      <c r="B39" s="37"/>
      <c r="C39" s="36">
        <v>1</v>
      </c>
      <c r="D39" s="38">
        <v>5.4</v>
      </c>
      <c r="E39" s="38">
        <f>((F39/2+0.5)/2)</f>
        <v>0.76249999999999996</v>
      </c>
      <c r="F39" s="38">
        <f>2.5-0.75+0.3</f>
        <v>2.0499999999999998</v>
      </c>
      <c r="G39" s="39">
        <f>PRODUCT(C39:F39)</f>
        <v>8.4408749999999984</v>
      </c>
      <c r="H39" s="40"/>
      <c r="I39" s="40"/>
      <c r="J39" s="40"/>
      <c r="K39" s="21"/>
      <c r="M39" s="25"/>
      <c r="N39" s="1"/>
      <c r="O39" s="1"/>
      <c r="P39" s="1"/>
      <c r="Q39" s="1"/>
      <c r="R39" s="25"/>
      <c r="S39" s="25"/>
    </row>
    <row r="40" spans="1:19" ht="15" customHeight="1" x14ac:dyDescent="0.25">
      <c r="A40" s="40"/>
      <c r="B40" s="37" t="s">
        <v>40</v>
      </c>
      <c r="C40" s="42"/>
      <c r="D40" s="43"/>
      <c r="E40" s="43"/>
      <c r="F40" s="43"/>
      <c r="G40" s="33">
        <f>SUM(G38:G39)</f>
        <v>50.655074999999997</v>
      </c>
      <c r="H40" s="33" t="s">
        <v>39</v>
      </c>
      <c r="I40" s="33">
        <v>9709.43</v>
      </c>
      <c r="J40" s="44">
        <f>G40*I40</f>
        <v>491831.90485724999</v>
      </c>
      <c r="K40" s="36"/>
    </row>
    <row r="41" spans="1:19" ht="15" customHeight="1" x14ac:dyDescent="0.25">
      <c r="A41" s="40"/>
      <c r="B41" s="37" t="s">
        <v>38</v>
      </c>
      <c r="C41" s="42"/>
      <c r="D41" s="43"/>
      <c r="E41" s="43"/>
      <c r="F41" s="43"/>
      <c r="G41" s="43"/>
      <c r="H41" s="43"/>
      <c r="I41" s="43"/>
      <c r="J41" s="45">
        <f>0.13*G40*((27092.1)/5)</f>
        <v>35681.161292595003</v>
      </c>
      <c r="K41" s="36"/>
    </row>
    <row r="42" spans="1:19" ht="15" customHeight="1" x14ac:dyDescent="0.25">
      <c r="A42" s="40"/>
      <c r="B42" s="37"/>
      <c r="C42" s="42"/>
      <c r="D42" s="43"/>
      <c r="E42" s="43"/>
      <c r="F42" s="43"/>
      <c r="G42" s="43"/>
      <c r="H42" s="43"/>
      <c r="I42" s="43"/>
      <c r="J42" s="45"/>
      <c r="K42" s="36"/>
    </row>
    <row r="43" spans="1:19" s="1" customFormat="1" ht="75" x14ac:dyDescent="0.25">
      <c r="A43" s="63">
        <v>5</v>
      </c>
      <c r="B43" s="30" t="s">
        <v>69</v>
      </c>
      <c r="C43" s="64" t="s">
        <v>7</v>
      </c>
      <c r="D43" s="67" t="s">
        <v>70</v>
      </c>
      <c r="E43" s="67" t="s">
        <v>71</v>
      </c>
      <c r="F43" s="67" t="s">
        <v>72</v>
      </c>
      <c r="G43" s="39"/>
      <c r="H43" s="39"/>
      <c r="I43" s="39"/>
      <c r="J43" s="45"/>
      <c r="K43" s="29"/>
    </row>
    <row r="44" spans="1:19" ht="15" customHeight="1" x14ac:dyDescent="0.25">
      <c r="A44" s="40"/>
      <c r="B44" s="37" t="str">
        <f>B40</f>
        <v>Sub-total</v>
      </c>
      <c r="C44" s="42">
        <f>TRUNC(D45/0.15,0)</f>
        <v>62</v>
      </c>
      <c r="D44" s="43">
        <f>0.6</f>
        <v>0.6</v>
      </c>
      <c r="E44" s="43">
        <f>10*10/162</f>
        <v>0.61728395061728392</v>
      </c>
      <c r="F44" s="43">
        <f>PRODUCT(C44:E44)</f>
        <v>22.962962962962958</v>
      </c>
      <c r="G44" s="43">
        <f>F44/1000</f>
        <v>2.2962962962962959E-2</v>
      </c>
      <c r="H44" s="43"/>
      <c r="I44" s="43"/>
      <c r="J44" s="45"/>
      <c r="K44" s="36"/>
    </row>
    <row r="45" spans="1:19" x14ac:dyDescent="0.25">
      <c r="A45" s="5"/>
      <c r="B45" s="5"/>
      <c r="C45" s="42">
        <f>TRUNC(D44/0.15,0)+1</f>
        <v>5</v>
      </c>
      <c r="D45" s="68">
        <f>10-0.6</f>
        <v>9.4</v>
      </c>
      <c r="E45" s="43">
        <f>10*10/162</f>
        <v>0.61728395061728392</v>
      </c>
      <c r="F45" s="43">
        <f>PRODUCT(C45:E45)</f>
        <v>29.012345679012345</v>
      </c>
      <c r="G45" s="43">
        <f>F45/1000</f>
        <v>2.9012345679012345E-2</v>
      </c>
      <c r="H45" s="5"/>
      <c r="I45" s="5"/>
      <c r="J45" s="5"/>
      <c r="K45" s="5"/>
      <c r="M45" s="69"/>
      <c r="N45" s="69"/>
    </row>
    <row r="46" spans="1:19" ht="15" customHeight="1" x14ac:dyDescent="0.25">
      <c r="A46" s="40"/>
      <c r="B46" s="37" t="s">
        <v>40</v>
      </c>
      <c r="C46" s="42"/>
      <c r="D46" s="43"/>
      <c r="E46" s="43"/>
      <c r="F46" s="43"/>
      <c r="G46" s="33">
        <f>SUM(G44:G45)</f>
        <v>5.1975308641975304E-2</v>
      </c>
      <c r="H46" s="33" t="s">
        <v>73</v>
      </c>
      <c r="I46" s="33">
        <v>124140</v>
      </c>
      <c r="J46" s="44">
        <f>G46*I46</f>
        <v>6452.2148148148144</v>
      </c>
      <c r="K46" s="36"/>
    </row>
    <row r="47" spans="1:19" ht="15" customHeight="1" x14ac:dyDescent="0.25">
      <c r="A47" s="40"/>
      <c r="B47" s="37" t="s">
        <v>38</v>
      </c>
      <c r="C47" s="42"/>
      <c r="D47" s="43"/>
      <c r="E47" s="43"/>
      <c r="F47" s="43"/>
      <c r="G47" s="43"/>
      <c r="H47" s="43"/>
      <c r="I47" s="43"/>
      <c r="J47" s="45">
        <f>0.13*G46*110960</f>
        <v>749.73343209876532</v>
      </c>
      <c r="K47" s="36"/>
    </row>
    <row r="48" spans="1:19" ht="11.25" customHeight="1" x14ac:dyDescent="0.25">
      <c r="A48" s="5"/>
      <c r="B48" s="5"/>
      <c r="C48" s="5"/>
      <c r="D48" s="5"/>
      <c r="E48" s="5"/>
      <c r="F48" s="5"/>
      <c r="G48" s="5"/>
      <c r="H48" s="5"/>
      <c r="I48" s="5"/>
      <c r="J48" s="5"/>
      <c r="K48" s="5"/>
    </row>
    <row r="49" spans="1:19" s="1" customFormat="1" ht="75" x14ac:dyDescent="0.25">
      <c r="A49" s="63">
        <v>6</v>
      </c>
      <c r="B49" s="30" t="s">
        <v>74</v>
      </c>
      <c r="C49" s="64"/>
      <c r="D49" s="39"/>
      <c r="E49" s="39"/>
      <c r="F49" s="39"/>
      <c r="G49" s="39"/>
      <c r="H49" s="39"/>
      <c r="I49" s="39"/>
      <c r="J49" s="45"/>
      <c r="K49" s="29"/>
    </row>
    <row r="50" spans="1:19" x14ac:dyDescent="0.25">
      <c r="A50" s="40"/>
      <c r="B50" s="24" t="str">
        <f>B40</f>
        <v>Sub-total</v>
      </c>
      <c r="C50" s="42">
        <f>1</f>
        <v>1</v>
      </c>
      <c r="D50" s="43">
        <v>10</v>
      </c>
      <c r="E50" s="43">
        <v>0.6</v>
      </c>
      <c r="F50" s="43">
        <v>0.15</v>
      </c>
      <c r="G50" s="39">
        <f>PRODUCT(C50:F50)</f>
        <v>0.89999999999999991</v>
      </c>
      <c r="H50" s="43"/>
      <c r="I50" s="43"/>
      <c r="J50" s="45"/>
      <c r="K50" s="36"/>
    </row>
    <row r="51" spans="1:19" ht="15" customHeight="1" x14ac:dyDescent="0.25">
      <c r="A51" s="40"/>
      <c r="B51" s="37" t="s">
        <v>40</v>
      </c>
      <c r="C51" s="42"/>
      <c r="D51" s="43"/>
      <c r="E51" s="43"/>
      <c r="F51" s="43"/>
      <c r="G51" s="33">
        <f>SUM(G50:G50)</f>
        <v>0.89999999999999991</v>
      </c>
      <c r="H51" s="33" t="s">
        <v>39</v>
      </c>
      <c r="I51" s="33">
        <v>11588.17</v>
      </c>
      <c r="J51" s="44">
        <f>G51*I51</f>
        <v>10429.352999999999</v>
      </c>
      <c r="K51" s="36"/>
    </row>
    <row r="52" spans="1:19" ht="15" customHeight="1" x14ac:dyDescent="0.25">
      <c r="A52" s="40"/>
      <c r="B52" s="37" t="s">
        <v>38</v>
      </c>
      <c r="C52" s="42"/>
      <c r="D52" s="43"/>
      <c r="E52" s="43"/>
      <c r="F52" s="43"/>
      <c r="G52" s="43"/>
      <c r="H52" s="43"/>
      <c r="I52" s="43"/>
      <c r="J52" s="45">
        <f>0.13*G51*((128662.2+6685.5)/15)</f>
        <v>1055.7120600000001</v>
      </c>
      <c r="K52" s="36"/>
    </row>
    <row r="53" spans="1:19" ht="15" customHeight="1" x14ac:dyDescent="0.25">
      <c r="A53" s="40"/>
      <c r="B53" s="37"/>
      <c r="C53" s="42"/>
      <c r="D53" s="43"/>
      <c r="E53" s="43"/>
      <c r="F53" s="43"/>
      <c r="G53" s="43"/>
      <c r="H53" s="43"/>
      <c r="I53" s="43"/>
      <c r="J53" s="45"/>
      <c r="K53" s="36"/>
    </row>
    <row r="54" spans="1:19" ht="105" x14ac:dyDescent="0.25">
      <c r="A54" s="18">
        <v>7</v>
      </c>
      <c r="B54" s="30" t="s">
        <v>75</v>
      </c>
      <c r="C54" s="19">
        <v>4</v>
      </c>
      <c r="D54" s="20">
        <v>2.5</v>
      </c>
      <c r="E54" s="21"/>
      <c r="F54" s="21"/>
      <c r="G54" s="34">
        <f>PRODUCT(C54:F54)</f>
        <v>10</v>
      </c>
      <c r="H54" s="5"/>
      <c r="I54" s="5"/>
      <c r="J54" s="5"/>
      <c r="K54" s="21"/>
      <c r="M54" s="25"/>
      <c r="N54" s="1"/>
      <c r="O54" s="1"/>
      <c r="P54" s="1"/>
      <c r="Q54" s="1"/>
      <c r="R54" s="25"/>
      <c r="S54" s="25"/>
    </row>
    <row r="55" spans="1:19" ht="15" customHeight="1" x14ac:dyDescent="0.25">
      <c r="A55" s="18"/>
      <c r="B55" s="37" t="s">
        <v>40</v>
      </c>
      <c r="C55" s="36"/>
      <c r="D55" s="38"/>
      <c r="E55" s="38"/>
      <c r="F55" s="38"/>
      <c r="G55" s="34">
        <f>SUM(G54)</f>
        <v>10</v>
      </c>
      <c r="H55" s="22" t="s">
        <v>76</v>
      </c>
      <c r="I55" s="23">
        <v>5144.96</v>
      </c>
      <c r="J55" s="34">
        <f>G55*I55</f>
        <v>51449.599999999999</v>
      </c>
      <c r="K55" s="21"/>
      <c r="M55" s="25"/>
      <c r="N55" s="1"/>
      <c r="O55" s="1"/>
      <c r="P55" s="1"/>
      <c r="Q55" s="1"/>
      <c r="R55" s="25"/>
      <c r="S55" s="25"/>
    </row>
    <row r="56" spans="1:19" ht="15" customHeight="1" x14ac:dyDescent="0.25">
      <c r="A56" s="18"/>
      <c r="B56" s="37" t="s">
        <v>38</v>
      </c>
      <c r="C56" s="36"/>
      <c r="D56" s="38"/>
      <c r="E56" s="38"/>
      <c r="F56" s="38"/>
      <c r="G56" s="39"/>
      <c r="H56" s="40"/>
      <c r="I56" s="40"/>
      <c r="J56" s="45">
        <f>0.13*G55*57364.6/12.5</f>
        <v>5965.9183999999996</v>
      </c>
      <c r="K56" s="21"/>
      <c r="M56" s="25"/>
      <c r="N56" s="1"/>
      <c r="O56" s="1"/>
      <c r="P56" s="1"/>
      <c r="Q56" s="1"/>
      <c r="R56" s="25"/>
      <c r="S56" s="25"/>
    </row>
    <row r="57" spans="1:19" ht="15" customHeight="1" x14ac:dyDescent="0.25">
      <c r="A57" s="40"/>
      <c r="B57" s="37"/>
      <c r="C57" s="42"/>
      <c r="D57" s="43"/>
      <c r="E57" s="43"/>
      <c r="F57" s="43"/>
      <c r="G57" s="43"/>
      <c r="H57" s="43"/>
      <c r="I57" s="43"/>
      <c r="J57" s="45"/>
      <c r="K57" s="36"/>
    </row>
    <row r="58" spans="1:19" ht="30.75" hidden="1" x14ac:dyDescent="0.25">
      <c r="A58" s="40">
        <v>6</v>
      </c>
      <c r="B58" s="65" t="s">
        <v>56</v>
      </c>
      <c r="C58" s="42"/>
      <c r="D58" s="43"/>
      <c r="E58" s="43"/>
      <c r="F58" s="43"/>
      <c r="G58" s="43"/>
      <c r="H58" s="43"/>
      <c r="I58" s="43"/>
      <c r="J58" s="45"/>
      <c r="K58" s="36"/>
    </row>
    <row r="59" spans="1:19" ht="15" hidden="1" customHeight="1" x14ac:dyDescent="0.25">
      <c r="A59" s="18"/>
      <c r="B59" s="37" t="s">
        <v>50</v>
      </c>
      <c r="C59" s="36">
        <v>1</v>
      </c>
      <c r="D59" s="38">
        <f>(11.17+11.17+12.333+4.42)/3.281</f>
        <v>11.914964949710455</v>
      </c>
      <c r="E59" s="38">
        <v>0.23</v>
      </c>
      <c r="F59" s="38">
        <v>0.45</v>
      </c>
      <c r="G59" s="39">
        <f>PRODUCT(C59:F59)</f>
        <v>1.2331988722950322</v>
      </c>
      <c r="H59" s="40"/>
      <c r="I59" s="40"/>
      <c r="J59" s="40"/>
      <c r="K59" s="21"/>
      <c r="M59" s="25"/>
      <c r="N59" s="1"/>
      <c r="O59" s="1"/>
      <c r="P59" s="1"/>
      <c r="Q59" s="1"/>
      <c r="R59" s="25"/>
      <c r="S59" s="25"/>
    </row>
    <row r="60" spans="1:19" ht="15" hidden="1" customHeight="1" x14ac:dyDescent="0.25">
      <c r="A60" s="18"/>
      <c r="B60" s="37" t="s">
        <v>55</v>
      </c>
      <c r="C60" s="36">
        <f>31</f>
        <v>31</v>
      </c>
      <c r="D60" s="38">
        <f>1.3-0.23</f>
        <v>1.07</v>
      </c>
      <c r="E60" s="38">
        <v>0.15</v>
      </c>
      <c r="F60" s="38">
        <v>0.15</v>
      </c>
      <c r="G60" s="39">
        <f>PRODUCT(C60:F60)</f>
        <v>0.74632500000000002</v>
      </c>
      <c r="H60" s="40"/>
      <c r="I60" s="40"/>
      <c r="J60" s="40"/>
      <c r="K60" s="21"/>
      <c r="M60" s="25"/>
      <c r="N60" s="1"/>
      <c r="O60" s="1"/>
      <c r="P60" s="1"/>
      <c r="Q60" s="1"/>
      <c r="R60" s="25"/>
      <c r="S60" s="25"/>
    </row>
    <row r="61" spans="1:19" ht="15" hidden="1" customHeight="1" x14ac:dyDescent="0.25">
      <c r="A61" s="18"/>
      <c r="B61" s="37" t="s">
        <v>62</v>
      </c>
      <c r="C61" s="36">
        <v>1</v>
      </c>
      <c r="D61" s="38">
        <f>12.75/3.281</f>
        <v>3.8860103626943006</v>
      </c>
      <c r="E61" s="38">
        <v>0.23</v>
      </c>
      <c r="F61" s="38">
        <v>0.6</v>
      </c>
      <c r="G61" s="39">
        <f>PRODUCT(C61:F61)</f>
        <v>0.53626943005181349</v>
      </c>
      <c r="H61" s="40"/>
      <c r="I61" s="40"/>
      <c r="J61" s="40"/>
      <c r="K61" s="21"/>
      <c r="M61" s="25"/>
      <c r="N61" s="1"/>
      <c r="O61" s="1"/>
      <c r="P61" s="1"/>
      <c r="Q61" s="1"/>
      <c r="R61" s="25"/>
      <c r="S61" s="25"/>
    </row>
    <row r="62" spans="1:19" ht="15" hidden="1" customHeight="1" x14ac:dyDescent="0.25">
      <c r="A62" s="40"/>
      <c r="B62" s="37" t="s">
        <v>40</v>
      </c>
      <c r="C62" s="42"/>
      <c r="D62" s="43"/>
      <c r="E62" s="43"/>
      <c r="F62" s="43"/>
      <c r="G62" s="33">
        <f>0*SUM(G59:G61)</f>
        <v>0</v>
      </c>
      <c r="H62" s="33" t="s">
        <v>39</v>
      </c>
      <c r="I62" s="33">
        <v>14362.76</v>
      </c>
      <c r="J62" s="44">
        <f>G62*I62</f>
        <v>0</v>
      </c>
      <c r="K62" s="36"/>
    </row>
    <row r="63" spans="1:19" ht="15" hidden="1" customHeight="1" x14ac:dyDescent="0.25">
      <c r="A63" s="40"/>
      <c r="B63" s="37" t="s">
        <v>38</v>
      </c>
      <c r="C63" s="42"/>
      <c r="D63" s="43"/>
      <c r="E63" s="43"/>
      <c r="F63" s="43"/>
      <c r="G63" s="43"/>
      <c r="H63" s="43"/>
      <c r="I63" s="43"/>
      <c r="J63" s="45">
        <f>0.13*G62*10311.74</f>
        <v>0</v>
      </c>
      <c r="K63" s="36"/>
    </row>
    <row r="64" spans="1:19" ht="15" hidden="1" customHeight="1" x14ac:dyDescent="0.25">
      <c r="A64" s="40"/>
      <c r="B64" s="37"/>
      <c r="C64" s="42"/>
      <c r="D64" s="43"/>
      <c r="E64" s="43"/>
      <c r="F64" s="43"/>
      <c r="G64" s="43"/>
      <c r="H64" s="43"/>
      <c r="I64" s="43"/>
      <c r="J64" s="45"/>
      <c r="K64" s="36"/>
    </row>
    <row r="65" spans="1:19" ht="15.75" hidden="1" x14ac:dyDescent="0.25">
      <c r="A65" s="40">
        <v>7</v>
      </c>
      <c r="B65" s="65" t="s">
        <v>58</v>
      </c>
      <c r="C65" s="42"/>
      <c r="D65" s="43"/>
      <c r="E65" s="43"/>
      <c r="F65" s="43"/>
      <c r="G65" s="43"/>
      <c r="H65" s="43"/>
      <c r="I65" s="43"/>
      <c r="J65" s="45"/>
      <c r="K65" s="36"/>
    </row>
    <row r="66" spans="1:19" ht="15" hidden="1" customHeight="1" x14ac:dyDescent="0.25">
      <c r="A66" s="18"/>
      <c r="B66" s="37" t="s">
        <v>60</v>
      </c>
      <c r="C66" s="36">
        <v>1</v>
      </c>
      <c r="D66" s="38">
        <f>21.9+3.04</f>
        <v>24.939999999999998</v>
      </c>
      <c r="E66" s="38">
        <v>0.3</v>
      </c>
      <c r="F66" s="38"/>
      <c r="G66" s="39">
        <f>PRODUCT(C66:F66)</f>
        <v>7.4819999999999993</v>
      </c>
      <c r="H66" s="40"/>
      <c r="I66" s="40"/>
      <c r="J66" s="40"/>
      <c r="K66" s="21"/>
      <c r="M66" s="25"/>
      <c r="N66" s="1"/>
      <c r="O66" s="1"/>
      <c r="P66" s="1"/>
      <c r="Q66" s="1"/>
      <c r="R66" s="25"/>
      <c r="S66" s="25"/>
    </row>
    <row r="67" spans="1:19" ht="15" hidden="1" customHeight="1" x14ac:dyDescent="0.25">
      <c r="A67" s="18"/>
      <c r="B67" s="37"/>
      <c r="C67" s="36">
        <v>1</v>
      </c>
      <c r="D67" s="38">
        <f>13.917/3.281</f>
        <v>4.2416946053032607</v>
      </c>
      <c r="E67" s="38">
        <f>51.083/3.281</f>
        <v>15.569338616275525</v>
      </c>
      <c r="F67" s="38"/>
      <c r="G67" s="39">
        <f>PRODUCT(C67:F67)</f>
        <v>66.040379616795633</v>
      </c>
      <c r="H67" s="40"/>
      <c r="I67" s="40"/>
      <c r="J67" s="40"/>
      <c r="K67" s="21"/>
      <c r="M67" s="25"/>
      <c r="N67" s="1"/>
      <c r="O67" s="1"/>
      <c r="P67" s="1"/>
      <c r="Q67" s="1"/>
      <c r="R67" s="25"/>
      <c r="S67" s="25"/>
    </row>
    <row r="68" spans="1:19" ht="15" hidden="1" customHeight="1" x14ac:dyDescent="0.25">
      <c r="A68" s="18"/>
      <c r="B68" s="37"/>
      <c r="C68" s="36">
        <v>1</v>
      </c>
      <c r="D68" s="38">
        <f>22.17/3.281</f>
        <v>6.7570862541907957</v>
      </c>
      <c r="E68" s="38">
        <f>12.5/3.281</f>
        <v>3.8098140810728434</v>
      </c>
      <c r="F68" s="38"/>
      <c r="G68" s="39">
        <f>PRODUCT(C68:F68)</f>
        <v>25.743242358239847</v>
      </c>
      <c r="H68" s="40"/>
      <c r="I68" s="40"/>
      <c r="J68" s="40"/>
      <c r="K68" s="21"/>
      <c r="M68" s="25"/>
      <c r="N68" s="1"/>
      <c r="O68" s="1"/>
      <c r="P68" s="1"/>
      <c r="Q68" s="1"/>
      <c r="R68" s="25"/>
      <c r="S68" s="25"/>
    </row>
    <row r="69" spans="1:19" ht="15" hidden="1" customHeight="1" x14ac:dyDescent="0.25">
      <c r="A69" s="40"/>
      <c r="B69" s="37" t="s">
        <v>40</v>
      </c>
      <c r="C69" s="42"/>
      <c r="D69" s="43"/>
      <c r="E69" s="43"/>
      <c r="F69" s="43"/>
      <c r="G69" s="33">
        <f>0*SUM(G66:G68)</f>
        <v>0</v>
      </c>
      <c r="H69" s="33" t="s">
        <v>59</v>
      </c>
      <c r="I69" s="33">
        <f>35*10.7639</f>
        <v>376.73649999999998</v>
      </c>
      <c r="J69" s="44">
        <f>G69*I69</f>
        <v>0</v>
      </c>
      <c r="K69" s="36"/>
    </row>
    <row r="70" spans="1:19" ht="15" hidden="1" customHeight="1" x14ac:dyDescent="0.25">
      <c r="A70" s="40"/>
      <c r="B70" s="37" t="s">
        <v>38</v>
      </c>
      <c r="C70" s="42"/>
      <c r="D70" s="43"/>
      <c r="E70" s="43"/>
      <c r="F70" s="43"/>
      <c r="G70" s="43"/>
      <c r="H70" s="43"/>
      <c r="I70" s="43"/>
      <c r="J70" s="45">
        <f>0.13*J69</f>
        <v>0</v>
      </c>
      <c r="K70" s="36"/>
    </row>
    <row r="71" spans="1:19" ht="15" hidden="1" customHeight="1" x14ac:dyDescent="0.25">
      <c r="A71" s="40"/>
      <c r="B71" s="37"/>
      <c r="C71" s="42"/>
      <c r="D71" s="43"/>
      <c r="E71" s="43"/>
      <c r="F71" s="43"/>
      <c r="G71" s="43"/>
      <c r="H71" s="43"/>
      <c r="I71" s="43"/>
      <c r="J71" s="45"/>
      <c r="K71" s="36"/>
    </row>
    <row r="72" spans="1:19" ht="15.75" hidden="1" x14ac:dyDescent="0.25">
      <c r="A72" s="40">
        <v>8</v>
      </c>
      <c r="B72" s="65" t="s">
        <v>61</v>
      </c>
      <c r="C72" s="42"/>
      <c r="D72" s="43"/>
      <c r="E72" s="43"/>
      <c r="F72" s="43"/>
      <c r="G72" s="43"/>
      <c r="H72" s="43"/>
      <c r="I72" s="43"/>
      <c r="J72" s="45"/>
      <c r="K72" s="36"/>
    </row>
    <row r="73" spans="1:19" ht="15" hidden="1" customHeight="1" x14ac:dyDescent="0.25">
      <c r="A73" s="18"/>
      <c r="B73" s="37" t="s">
        <v>60</v>
      </c>
      <c r="C73" s="36">
        <v>1</v>
      </c>
      <c r="D73" s="38">
        <f>21.9+3.04</f>
        <v>24.939999999999998</v>
      </c>
      <c r="E73" s="38">
        <v>0.3</v>
      </c>
      <c r="F73" s="38"/>
      <c r="G73" s="39">
        <f>PRODUCT(C73:F73)</f>
        <v>7.4819999999999993</v>
      </c>
      <c r="H73" s="40"/>
      <c r="I73" s="40"/>
      <c r="J73" s="40"/>
      <c r="K73" s="21"/>
      <c r="M73" s="25"/>
      <c r="N73" s="1"/>
      <c r="O73" s="1"/>
      <c r="P73" s="1"/>
      <c r="Q73" s="1"/>
      <c r="R73" s="25"/>
      <c r="S73" s="25"/>
    </row>
    <row r="74" spans="1:19" ht="15" hidden="1" customHeight="1" x14ac:dyDescent="0.25">
      <c r="A74" s="18"/>
      <c r="B74" s="37"/>
      <c r="C74" s="36">
        <v>1</v>
      </c>
      <c r="D74" s="38">
        <f>13.917/3.281</f>
        <v>4.2416946053032607</v>
      </c>
      <c r="E74" s="38">
        <f>51.083/3.281</f>
        <v>15.569338616275525</v>
      </c>
      <c r="F74" s="38"/>
      <c r="G74" s="39">
        <f>PRODUCT(C74:F74)</f>
        <v>66.040379616795633</v>
      </c>
      <c r="H74" s="40"/>
      <c r="I74" s="40"/>
      <c r="J74" s="40"/>
      <c r="K74" s="21"/>
      <c r="M74" s="25"/>
      <c r="N74" s="1"/>
      <c r="O74" s="1"/>
      <c r="P74" s="1"/>
      <c r="Q74" s="1"/>
      <c r="R74" s="25"/>
      <c r="S74" s="25"/>
    </row>
    <row r="75" spans="1:19" ht="15" hidden="1" customHeight="1" x14ac:dyDescent="0.25">
      <c r="A75" s="18"/>
      <c r="B75" s="37"/>
      <c r="C75" s="36">
        <v>1</v>
      </c>
      <c r="D75" s="38">
        <f>22.17/3.281</f>
        <v>6.7570862541907957</v>
      </c>
      <c r="E75" s="38">
        <f>12.5/3.281</f>
        <v>3.8098140810728434</v>
      </c>
      <c r="F75" s="38"/>
      <c r="G75" s="39">
        <f>PRODUCT(C75:F75)</f>
        <v>25.743242358239847</v>
      </c>
      <c r="H75" s="40"/>
      <c r="I75" s="40"/>
      <c r="J75" s="40"/>
      <c r="K75" s="21"/>
      <c r="M75" s="25"/>
      <c r="N75" s="1"/>
      <c r="O75" s="1"/>
      <c r="P75" s="1"/>
      <c r="Q75" s="1"/>
      <c r="R75" s="25"/>
      <c r="S75" s="25"/>
    </row>
    <row r="76" spans="1:19" ht="15" hidden="1" customHeight="1" x14ac:dyDescent="0.25">
      <c r="A76" s="40"/>
      <c r="B76" s="37" t="s">
        <v>40</v>
      </c>
      <c r="C76" s="42"/>
      <c r="D76" s="43"/>
      <c r="E76" s="43"/>
      <c r="F76" s="43"/>
      <c r="G76" s="33">
        <f>0*SUM(G73:G75)</f>
        <v>0</v>
      </c>
      <c r="H76" s="33" t="s">
        <v>59</v>
      </c>
      <c r="I76" s="33">
        <f>23*10.7639</f>
        <v>247.56969999999998</v>
      </c>
      <c r="J76" s="44">
        <f>G76*I76</f>
        <v>0</v>
      </c>
      <c r="K76" s="36"/>
    </row>
    <row r="77" spans="1:19" ht="15" hidden="1" customHeight="1" x14ac:dyDescent="0.25">
      <c r="A77" s="40"/>
      <c r="B77" s="37"/>
      <c r="C77" s="42"/>
      <c r="D77" s="43"/>
      <c r="E77" s="43"/>
      <c r="F77" s="43"/>
      <c r="G77" s="33"/>
      <c r="H77" s="33"/>
      <c r="I77" s="33"/>
      <c r="J77" s="44"/>
      <c r="K77" s="36"/>
    </row>
    <row r="78" spans="1:19" ht="43.5" hidden="1" x14ac:dyDescent="0.25">
      <c r="A78" s="40">
        <v>9</v>
      </c>
      <c r="B78" s="66" t="s">
        <v>64</v>
      </c>
      <c r="C78" s="19">
        <v>1</v>
      </c>
      <c r="D78" s="20"/>
      <c r="E78" s="21"/>
      <c r="F78" s="21"/>
      <c r="G78" s="34">
        <f>0*PRODUCT(C78:F78)</f>
        <v>0</v>
      </c>
      <c r="H78" s="22" t="s">
        <v>65</v>
      </c>
      <c r="I78" s="23">
        <v>20000</v>
      </c>
      <c r="J78" s="34">
        <f>G78*I78</f>
        <v>0</v>
      </c>
      <c r="K78" s="36"/>
    </row>
    <row r="79" spans="1:19" ht="15" hidden="1" customHeight="1" x14ac:dyDescent="0.25">
      <c r="A79" s="40"/>
      <c r="B79" s="37"/>
      <c r="C79" s="42"/>
      <c r="D79" s="43"/>
      <c r="E79" s="43"/>
      <c r="F79" s="43"/>
      <c r="G79" s="33"/>
      <c r="H79" s="33"/>
      <c r="I79" s="33"/>
      <c r="J79" s="44"/>
      <c r="K79" s="36"/>
    </row>
    <row r="80" spans="1:19" ht="15" hidden="1" customHeight="1" x14ac:dyDescent="0.25">
      <c r="A80" s="40"/>
      <c r="B80" s="37"/>
      <c r="C80" s="42"/>
      <c r="D80" s="43"/>
      <c r="E80" s="43"/>
      <c r="F80" s="43"/>
      <c r="G80" s="33"/>
      <c r="H80" s="33"/>
      <c r="I80" s="33"/>
      <c r="J80" s="44"/>
      <c r="K80" s="36"/>
    </row>
    <row r="81" spans="1:19" ht="15" customHeight="1" x14ac:dyDescent="0.25">
      <c r="A81" s="18">
        <v>8</v>
      </c>
      <c r="B81" s="30" t="s">
        <v>30</v>
      </c>
      <c r="C81" s="19">
        <v>1</v>
      </c>
      <c r="D81" s="20"/>
      <c r="E81" s="21"/>
      <c r="F81" s="21"/>
      <c r="G81" s="34">
        <f t="shared" ref="G81" si="2">PRODUCT(C81:F81)</f>
        <v>1</v>
      </c>
      <c r="H81" s="22" t="s">
        <v>31</v>
      </c>
      <c r="I81" s="23">
        <v>500</v>
      </c>
      <c r="J81" s="34">
        <f>G81*I81</f>
        <v>500</v>
      </c>
      <c r="K81" s="21"/>
      <c r="M81" s="25"/>
      <c r="N81" s="1"/>
      <c r="O81" s="1"/>
      <c r="P81" s="1"/>
      <c r="Q81" s="1"/>
      <c r="R81" s="25"/>
      <c r="S81" s="25"/>
    </row>
    <row r="82" spans="1:19" ht="15" customHeight="1" x14ac:dyDescent="0.25">
      <c r="A82" s="18"/>
      <c r="B82" s="24"/>
      <c r="C82" s="19"/>
      <c r="D82" s="20"/>
      <c r="E82" s="21"/>
      <c r="F82" s="21"/>
      <c r="G82" s="23"/>
      <c r="H82" s="22"/>
      <c r="I82" s="23"/>
      <c r="J82" s="41"/>
      <c r="K82" s="21"/>
      <c r="M82" s="25"/>
      <c r="N82" s="1"/>
      <c r="O82" s="1"/>
      <c r="P82" s="1"/>
      <c r="Q82" s="1"/>
      <c r="R82" s="25"/>
      <c r="S82" s="25"/>
    </row>
    <row r="83" spans="1:19" x14ac:dyDescent="0.25">
      <c r="A83" s="40"/>
      <c r="B83" s="46" t="s">
        <v>17</v>
      </c>
      <c r="C83" s="47"/>
      <c r="D83" s="38"/>
      <c r="E83" s="38"/>
      <c r="F83" s="38"/>
      <c r="G83" s="41"/>
      <c r="H83" s="41"/>
      <c r="I83" s="41"/>
      <c r="J83" s="41">
        <f>SUM(J10:J81)</f>
        <v>655191.81745519862</v>
      </c>
      <c r="K83" s="36"/>
    </row>
    <row r="84" spans="1:19" x14ac:dyDescent="0.25">
      <c r="A84" s="58"/>
      <c r="B84" s="61"/>
      <c r="C84" s="62"/>
      <c r="D84" s="59"/>
      <c r="E84" s="59"/>
      <c r="F84" s="59"/>
      <c r="G84" s="60"/>
      <c r="H84" s="60"/>
      <c r="I84" s="60"/>
      <c r="J84" s="60"/>
      <c r="K84" s="57"/>
    </row>
    <row r="85" spans="1:19" s="1" customFormat="1" x14ac:dyDescent="0.25">
      <c r="A85" s="50"/>
      <c r="B85" s="29" t="s">
        <v>27</v>
      </c>
      <c r="C85" s="79">
        <f>J83</f>
        <v>655191.81745519862</v>
      </c>
      <c r="D85" s="79"/>
      <c r="E85" s="39">
        <v>100</v>
      </c>
      <c r="F85" s="51"/>
      <c r="G85" s="52"/>
      <c r="H85" s="51"/>
      <c r="I85" s="53"/>
      <c r="J85" s="54"/>
      <c r="K85" s="55"/>
    </row>
    <row r="86" spans="1:19" x14ac:dyDescent="0.25">
      <c r="A86" s="56"/>
      <c r="B86" s="29" t="s">
        <v>32</v>
      </c>
      <c r="C86" s="82">
        <f>500000+86000</f>
        <v>586000</v>
      </c>
      <c r="D86" s="82"/>
      <c r="E86" s="39"/>
      <c r="F86" s="49"/>
      <c r="G86" s="48"/>
      <c r="H86" s="48"/>
      <c r="I86" s="48"/>
      <c r="J86" s="48"/>
      <c r="K86" s="49"/>
    </row>
    <row r="87" spans="1:19" x14ac:dyDescent="0.25">
      <c r="A87" s="56"/>
      <c r="B87" s="29" t="s">
        <v>33</v>
      </c>
      <c r="C87" s="82">
        <f>C86-C89-C90</f>
        <v>556700</v>
      </c>
      <c r="D87" s="82"/>
      <c r="E87" s="39">
        <f>C87/C85*100</f>
        <v>84.967483593164161</v>
      </c>
      <c r="F87" s="49"/>
      <c r="G87" s="48"/>
      <c r="H87" s="48"/>
      <c r="I87" s="48"/>
      <c r="J87" s="48"/>
      <c r="K87" s="49"/>
    </row>
    <row r="88" spans="1:19" x14ac:dyDescent="0.25">
      <c r="A88" s="56"/>
      <c r="B88" s="29" t="s">
        <v>34</v>
      </c>
      <c r="C88" s="79">
        <f>C85-C87</f>
        <v>98491.817455198616</v>
      </c>
      <c r="D88" s="79"/>
      <c r="E88" s="39">
        <f>100-E87</f>
        <v>15.032516406835839</v>
      </c>
      <c r="F88" s="49"/>
      <c r="G88" s="48"/>
      <c r="H88" s="48"/>
      <c r="I88" s="48"/>
      <c r="J88" s="48"/>
      <c r="K88" s="49"/>
    </row>
    <row r="89" spans="1:19" x14ac:dyDescent="0.25">
      <c r="A89" s="56"/>
      <c r="B89" s="29" t="s">
        <v>35</v>
      </c>
      <c r="C89" s="79">
        <f>C86*0.03</f>
        <v>17580</v>
      </c>
      <c r="D89" s="79"/>
      <c r="E89" s="39">
        <v>3</v>
      </c>
      <c r="F89" s="49"/>
      <c r="G89" s="48"/>
      <c r="H89" s="48"/>
      <c r="I89" s="48"/>
      <c r="J89" s="48"/>
      <c r="K89" s="49"/>
    </row>
    <row r="90" spans="1:19" x14ac:dyDescent="0.25">
      <c r="A90" s="56"/>
      <c r="B90" s="29" t="s">
        <v>36</v>
      </c>
      <c r="C90" s="79">
        <f>C86*0.02</f>
        <v>11720</v>
      </c>
      <c r="D90" s="79"/>
      <c r="E90" s="39">
        <v>2</v>
      </c>
      <c r="F90" s="49"/>
      <c r="G90" s="48"/>
      <c r="H90" s="48"/>
      <c r="I90" s="48"/>
      <c r="J90" s="48"/>
      <c r="K90" s="49"/>
    </row>
    <row r="91" spans="1:19" s="35" customFormat="1" x14ac:dyDescent="0.25">
      <c r="A91" s="57"/>
      <c r="B91" s="57"/>
      <c r="C91" s="57"/>
      <c r="D91" s="57"/>
      <c r="E91" s="57"/>
      <c r="F91" s="57"/>
      <c r="G91" s="57"/>
      <c r="H91" s="57"/>
      <c r="I91" s="57"/>
      <c r="J91" s="57"/>
      <c r="K91" s="57"/>
    </row>
    <row r="92" spans="1:19" s="35" customFormat="1" x14ac:dyDescent="0.25"/>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sheetData>
  <mergeCells count="15">
    <mergeCell ref="C89:D89"/>
    <mergeCell ref="C90:D90"/>
    <mergeCell ref="A7:F7"/>
    <mergeCell ref="H7:K7"/>
    <mergeCell ref="C85:D85"/>
    <mergeCell ref="C86:D86"/>
    <mergeCell ref="C87:D87"/>
    <mergeCell ref="C88:D88"/>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6"/>
  <sheetViews>
    <sheetView topLeftCell="A49" zoomScaleNormal="100" workbookViewId="0">
      <selection activeCell="C57" sqref="C57:D5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79</v>
      </c>
      <c r="B5" s="78"/>
      <c r="C5" s="78"/>
      <c r="D5" s="78"/>
      <c r="E5" s="78"/>
      <c r="F5" s="78"/>
      <c r="G5" s="78"/>
      <c r="H5" s="78"/>
      <c r="I5" s="78"/>
      <c r="J5" s="78"/>
      <c r="K5" s="78"/>
    </row>
    <row r="6" spans="1:19" ht="15.75" x14ac:dyDescent="0.25">
      <c r="A6" s="73" t="s">
        <v>78</v>
      </c>
      <c r="B6" s="73"/>
      <c r="C6" s="73"/>
      <c r="D6" s="73"/>
      <c r="E6" s="73"/>
      <c r="F6" s="73"/>
      <c r="G6" s="2"/>
      <c r="H6" s="74" t="s">
        <v>45</v>
      </c>
      <c r="I6" s="74"/>
      <c r="J6" s="74"/>
      <c r="K6" s="74"/>
      <c r="O6" t="s">
        <v>57</v>
      </c>
    </row>
    <row r="7" spans="1:19" ht="15.75" x14ac:dyDescent="0.25">
      <c r="A7" s="80" t="s">
        <v>28</v>
      </c>
      <c r="B7" s="80"/>
      <c r="C7" s="80"/>
      <c r="D7" s="80"/>
      <c r="E7" s="80"/>
      <c r="F7" s="80"/>
      <c r="G7" s="3"/>
      <c r="H7" s="81" t="s">
        <v>85</v>
      </c>
      <c r="I7" s="81"/>
      <c r="J7" s="81"/>
      <c r="K7" s="81"/>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66</v>
      </c>
      <c r="C9" s="36"/>
      <c r="D9" s="36"/>
      <c r="E9" s="36"/>
      <c r="F9" s="36"/>
      <c r="G9" s="36"/>
      <c r="H9" s="36"/>
      <c r="I9" s="36"/>
      <c r="J9" s="36"/>
      <c r="K9" s="36"/>
      <c r="N9" t="s">
        <v>48</v>
      </c>
      <c r="O9" t="s">
        <v>49</v>
      </c>
    </row>
    <row r="10" spans="1:19" ht="15" customHeight="1" x14ac:dyDescent="0.25">
      <c r="A10" s="18"/>
      <c r="B10" s="37" t="s">
        <v>50</v>
      </c>
      <c r="C10" s="36">
        <v>0.5</v>
      </c>
      <c r="D10" s="38">
        <f>D28</f>
        <v>13.3</v>
      </c>
      <c r="E10" s="38">
        <f>F28/2</f>
        <v>1.6125</v>
      </c>
      <c r="F10" s="38">
        <v>2</v>
      </c>
      <c r="G10" s="39">
        <f>PRODUCT(C10:F10)</f>
        <v>21.446250000000003</v>
      </c>
      <c r="H10" s="40"/>
      <c r="I10" s="40"/>
      <c r="J10" s="40"/>
      <c r="K10" s="21"/>
      <c r="M10" s="25"/>
      <c r="N10" s="1"/>
      <c r="O10" s="1"/>
      <c r="P10" s="1"/>
      <c r="Q10" s="1"/>
      <c r="R10" s="25"/>
      <c r="S10" s="25"/>
    </row>
    <row r="11" spans="1:19" ht="15" customHeight="1" x14ac:dyDescent="0.25">
      <c r="A11" s="18"/>
      <c r="B11" s="37" t="s">
        <v>67</v>
      </c>
      <c r="C11" s="36">
        <v>5</v>
      </c>
      <c r="D11" s="38">
        <v>2.5</v>
      </c>
      <c r="E11" s="38">
        <v>0.6</v>
      </c>
      <c r="F11" s="38">
        <v>0.45</v>
      </c>
      <c r="G11" s="39">
        <f t="shared" ref="G11" si="0">PRODUCT(C11:F11)</f>
        <v>3.375</v>
      </c>
      <c r="H11" s="40"/>
      <c r="I11" s="40"/>
      <c r="J11" s="40"/>
      <c r="K11" s="21"/>
      <c r="M11" s="25"/>
      <c r="N11" s="1"/>
      <c r="O11" s="1"/>
      <c r="P11" s="1"/>
      <c r="Q11" s="1"/>
      <c r="R11" s="25"/>
      <c r="S11" s="25"/>
    </row>
    <row r="12" spans="1:19" ht="15" customHeight="1" x14ac:dyDescent="0.25">
      <c r="A12" s="18"/>
      <c r="B12" s="37" t="s">
        <v>40</v>
      </c>
      <c r="C12" s="19"/>
      <c r="D12" s="20"/>
      <c r="E12" s="21"/>
      <c r="F12" s="21"/>
      <c r="G12" s="23">
        <f>SUM(G10:G11)</f>
        <v>24.821250000000003</v>
      </c>
      <c r="H12" s="22" t="s">
        <v>39</v>
      </c>
      <c r="I12" s="23">
        <v>64.63</v>
      </c>
      <c r="J12" s="41">
        <f>G12*I12</f>
        <v>1604.1973875000001</v>
      </c>
      <c r="K12" s="21"/>
      <c r="M12" s="25"/>
      <c r="N12" s="1"/>
      <c r="O12" s="1"/>
      <c r="P12" s="1"/>
      <c r="Q12" s="1"/>
      <c r="R12" s="25"/>
      <c r="S12" s="25"/>
    </row>
    <row r="13" spans="1:19" ht="15" customHeight="1" x14ac:dyDescent="0.25">
      <c r="A13" s="18"/>
      <c r="B13" s="37" t="s">
        <v>38</v>
      </c>
      <c r="C13" s="19"/>
      <c r="D13" s="20"/>
      <c r="E13" s="21"/>
      <c r="F13" s="21"/>
      <c r="G13" s="23"/>
      <c r="H13" s="22"/>
      <c r="I13" s="23"/>
      <c r="J13" s="41">
        <f>0.13*G12*19284/360</f>
        <v>172.84691125000003</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90" x14ac:dyDescent="0.25">
      <c r="A15" s="18">
        <v>2</v>
      </c>
      <c r="B15" s="30" t="s">
        <v>43</v>
      </c>
      <c r="C15" s="19"/>
      <c r="D15" s="20"/>
      <c r="E15" s="21"/>
      <c r="F15" s="21"/>
      <c r="G15" s="23"/>
      <c r="H15" s="22"/>
      <c r="I15" s="23"/>
      <c r="J15" s="41"/>
      <c r="K15" s="21"/>
      <c r="M15" s="25"/>
      <c r="N15" s="1"/>
      <c r="O15" s="1"/>
      <c r="P15" s="1"/>
      <c r="Q15" s="1"/>
      <c r="R15" s="25"/>
      <c r="S15" s="25"/>
    </row>
    <row r="16" spans="1:19" ht="15" customHeight="1" x14ac:dyDescent="0.25">
      <c r="A16" s="18"/>
      <c r="B16" s="37" t="str">
        <f>B22</f>
        <v>-For wall</v>
      </c>
      <c r="C16" s="36">
        <v>1</v>
      </c>
      <c r="D16" s="38">
        <f>D22</f>
        <v>13.3</v>
      </c>
      <c r="E16" s="38">
        <f>E22</f>
        <v>1.7</v>
      </c>
      <c r="F16" s="38">
        <v>0.15</v>
      </c>
      <c r="G16" s="39">
        <f>PRODUCT(C16:F16)</f>
        <v>3.3914999999999997</v>
      </c>
      <c r="H16" s="40"/>
      <c r="I16" s="40"/>
      <c r="J16" s="40"/>
      <c r="K16" s="21"/>
      <c r="M16" s="25"/>
      <c r="N16" s="1"/>
      <c r="O16" s="1"/>
      <c r="P16" s="1"/>
      <c r="Q16" s="1"/>
      <c r="R16" s="25"/>
      <c r="S16" s="25"/>
    </row>
    <row r="17" spans="1:19" ht="15" customHeight="1" x14ac:dyDescent="0.25">
      <c r="A17" s="18"/>
      <c r="B17" s="37" t="s">
        <v>68</v>
      </c>
      <c r="C17" s="36">
        <v>1</v>
      </c>
      <c r="D17" s="38">
        <f>11.6-0.45-0.45</f>
        <v>10.700000000000001</v>
      </c>
      <c r="E17" s="38">
        <v>0.6</v>
      </c>
      <c r="F17" s="38">
        <v>0.15</v>
      </c>
      <c r="G17" s="39">
        <f>PRODUCT(C17:F17)</f>
        <v>0.96300000000000008</v>
      </c>
      <c r="H17" s="40"/>
      <c r="I17" s="40"/>
      <c r="J17" s="40"/>
      <c r="K17" s="21"/>
      <c r="M17" s="25"/>
      <c r="N17" s="1"/>
      <c r="O17" s="1"/>
      <c r="P17" s="1"/>
      <c r="Q17" s="1"/>
      <c r="R17" s="25"/>
      <c r="S17" s="25"/>
    </row>
    <row r="18" spans="1:19" ht="15" customHeight="1" x14ac:dyDescent="0.25">
      <c r="A18" s="40"/>
      <c r="B18" s="37" t="s">
        <v>40</v>
      </c>
      <c r="C18" s="42"/>
      <c r="D18" s="43"/>
      <c r="E18" s="43"/>
      <c r="F18" s="43"/>
      <c r="G18" s="33">
        <f>SUM(G16:G17)</f>
        <v>4.3544999999999998</v>
      </c>
      <c r="H18" s="33" t="s">
        <v>39</v>
      </c>
      <c r="I18" s="33">
        <v>4561.53</v>
      </c>
      <c r="J18" s="44">
        <f>G18*I18</f>
        <v>19863.182384999996</v>
      </c>
      <c r="K18" s="36"/>
    </row>
    <row r="19" spans="1:19" x14ac:dyDescent="0.25">
      <c r="A19" s="40"/>
      <c r="B19" s="37" t="s">
        <v>38</v>
      </c>
      <c r="C19" s="42"/>
      <c r="D19" s="43"/>
      <c r="E19" s="43"/>
      <c r="F19" s="43"/>
      <c r="G19" s="43"/>
      <c r="H19" s="43"/>
      <c r="I19" s="43"/>
      <c r="J19" s="45">
        <f>0.13*G18*(15452.6/5)</f>
        <v>1749.4970141999997</v>
      </c>
      <c r="K19" s="36"/>
    </row>
    <row r="20" spans="1:19" x14ac:dyDescent="0.25">
      <c r="A20" s="40"/>
      <c r="B20" s="37"/>
      <c r="C20" s="42"/>
      <c r="D20" s="43"/>
      <c r="E20" s="43"/>
      <c r="F20" s="43"/>
      <c r="G20" s="43"/>
      <c r="H20" s="43"/>
      <c r="I20" s="43"/>
      <c r="J20" s="45"/>
      <c r="K20" s="36"/>
    </row>
    <row r="21" spans="1:19" ht="75" x14ac:dyDescent="0.25">
      <c r="A21" s="18">
        <v>3</v>
      </c>
      <c r="B21" s="30" t="s">
        <v>42</v>
      </c>
      <c r="C21" s="19"/>
      <c r="D21" s="20"/>
      <c r="E21" s="21"/>
      <c r="F21" s="21"/>
      <c r="G21" s="23"/>
      <c r="H21" s="22"/>
      <c r="I21" s="23"/>
      <c r="J21" s="41"/>
      <c r="K21" s="21"/>
      <c r="M21" s="25"/>
      <c r="N21" s="1"/>
      <c r="O21" s="1"/>
      <c r="P21" s="1"/>
      <c r="Q21" s="1"/>
      <c r="R21" s="25"/>
      <c r="S21" s="25"/>
    </row>
    <row r="22" spans="1:19" ht="15" customHeight="1" x14ac:dyDescent="0.25">
      <c r="A22" s="18"/>
      <c r="B22" s="37" t="s">
        <v>50</v>
      </c>
      <c r="C22" s="36">
        <v>1</v>
      </c>
      <c r="D22" s="38">
        <f>D28</f>
        <v>13.3</v>
      </c>
      <c r="E22" s="38">
        <f>3.4/2</f>
        <v>1.7</v>
      </c>
      <c r="F22" s="38">
        <v>7.4999999999999997E-2</v>
      </c>
      <c r="G22" s="39">
        <f>PRODUCT(C22:F22)</f>
        <v>1.6957499999999999</v>
      </c>
      <c r="H22" s="40"/>
      <c r="I22" s="40"/>
      <c r="J22" s="40"/>
      <c r="K22" s="21"/>
      <c r="M22" s="25"/>
      <c r="N22" s="1"/>
      <c r="O22" s="1"/>
      <c r="P22" s="1"/>
      <c r="Q22" s="1"/>
      <c r="R22" s="25"/>
      <c r="S22" s="25"/>
    </row>
    <row r="23" spans="1:19" ht="15" customHeight="1" x14ac:dyDescent="0.25">
      <c r="A23" s="18"/>
      <c r="B23" s="37"/>
      <c r="C23" s="36">
        <v>1</v>
      </c>
      <c r="D23" s="38">
        <f>D22</f>
        <v>13.3</v>
      </c>
      <c r="E23" s="38">
        <v>0.5</v>
      </c>
      <c r="F23" s="38">
        <v>0.05</v>
      </c>
      <c r="G23" s="39">
        <f>PRODUCT(C23:F23)</f>
        <v>0.33250000000000002</v>
      </c>
      <c r="H23" s="40"/>
      <c r="I23" s="40"/>
      <c r="J23" s="40"/>
      <c r="K23" s="21"/>
      <c r="M23" s="25"/>
      <c r="N23" s="1"/>
      <c r="O23" s="1"/>
      <c r="P23" s="1"/>
      <c r="Q23" s="1"/>
      <c r="R23" s="25"/>
      <c r="S23" s="25"/>
    </row>
    <row r="24" spans="1:19" ht="15" customHeight="1" x14ac:dyDescent="0.25">
      <c r="A24" s="40"/>
      <c r="B24" s="37" t="s">
        <v>40</v>
      </c>
      <c r="C24" s="42"/>
      <c r="D24" s="43"/>
      <c r="E24" s="43"/>
      <c r="F24" s="43"/>
      <c r="G24" s="33">
        <f>SUM(G22:G23)</f>
        <v>2.0282499999999999</v>
      </c>
      <c r="H24" s="33" t="s">
        <v>39</v>
      </c>
      <c r="I24" s="33">
        <v>10634.5</v>
      </c>
      <c r="J24" s="44">
        <f>G24*I24</f>
        <v>21569.424625</v>
      </c>
      <c r="K24" s="36"/>
    </row>
    <row r="25" spans="1:19" ht="15" customHeight="1" x14ac:dyDescent="0.25">
      <c r="A25" s="40"/>
      <c r="B25" s="37" t="s">
        <v>38</v>
      </c>
      <c r="C25" s="42"/>
      <c r="D25" s="43"/>
      <c r="E25" s="43"/>
      <c r="F25" s="43"/>
      <c r="G25" s="43"/>
      <c r="H25" s="43"/>
      <c r="I25" s="43"/>
      <c r="J25" s="45">
        <f>0.13*G24*((114907.3+6135.3)/15)</f>
        <v>2127.7069965666665</v>
      </c>
      <c r="K25" s="36"/>
    </row>
    <row r="26" spans="1:19" ht="15" customHeight="1" x14ac:dyDescent="0.25">
      <c r="A26" s="40"/>
      <c r="B26" s="37"/>
      <c r="C26" s="42"/>
      <c r="D26" s="43"/>
      <c r="E26" s="43"/>
      <c r="F26" s="43"/>
      <c r="G26" s="43"/>
      <c r="H26" s="43"/>
      <c r="I26" s="43"/>
      <c r="J26" s="45"/>
      <c r="K26" s="36"/>
    </row>
    <row r="27" spans="1:19" s="1" customFormat="1" ht="90" x14ac:dyDescent="0.25">
      <c r="A27" s="63">
        <v>4</v>
      </c>
      <c r="B27" s="30" t="s">
        <v>53</v>
      </c>
      <c r="C27" s="64"/>
      <c r="D27" s="39"/>
      <c r="E27" s="39"/>
      <c r="F27" s="39"/>
      <c r="G27" s="39"/>
      <c r="H27" s="39"/>
      <c r="I27" s="39"/>
      <c r="J27" s="45"/>
      <c r="K27" s="29"/>
    </row>
    <row r="28" spans="1:19" ht="15" customHeight="1" x14ac:dyDescent="0.25">
      <c r="A28" s="18"/>
      <c r="B28" s="37" t="s">
        <v>50</v>
      </c>
      <c r="C28" s="36">
        <v>1</v>
      </c>
      <c r="D28" s="38">
        <v>13.3</v>
      </c>
      <c r="E28" s="38">
        <f>((1.7+0.5)/2)</f>
        <v>1.1000000000000001</v>
      </c>
      <c r="F28" s="38">
        <f>3.5-0.15-0.075-0.05</f>
        <v>3.2250000000000001</v>
      </c>
      <c r="G28" s="39">
        <f>PRODUCT(C28:F28)</f>
        <v>47.181750000000008</v>
      </c>
      <c r="H28" s="40"/>
      <c r="I28" s="40"/>
      <c r="J28" s="40"/>
      <c r="K28" s="21"/>
      <c r="M28" s="25"/>
      <c r="N28" s="1"/>
      <c r="O28" s="1"/>
      <c r="P28" s="1"/>
      <c r="Q28" s="1"/>
      <c r="R28" s="25"/>
      <c r="S28" s="25"/>
    </row>
    <row r="29" spans="1:19" ht="15" customHeight="1" x14ac:dyDescent="0.25">
      <c r="A29" s="40"/>
      <c r="B29" s="37" t="s">
        <v>40</v>
      </c>
      <c r="C29" s="42"/>
      <c r="D29" s="43"/>
      <c r="E29" s="43"/>
      <c r="F29" s="43"/>
      <c r="G29" s="33">
        <f>SUM(G28:G28)</f>
        <v>47.181750000000008</v>
      </c>
      <c r="H29" s="33" t="s">
        <v>39</v>
      </c>
      <c r="I29" s="33">
        <v>9709.43</v>
      </c>
      <c r="J29" s="44">
        <f>G29*I29</f>
        <v>458107.89890250011</v>
      </c>
      <c r="K29" s="36"/>
    </row>
    <row r="30" spans="1:19" ht="15" customHeight="1" x14ac:dyDescent="0.25">
      <c r="A30" s="40"/>
      <c r="B30" s="37" t="s">
        <v>38</v>
      </c>
      <c r="C30" s="42"/>
      <c r="D30" s="43"/>
      <c r="E30" s="43"/>
      <c r="F30" s="43"/>
      <c r="G30" s="43"/>
      <c r="H30" s="43"/>
      <c r="I30" s="43"/>
      <c r="J30" s="45">
        <f>0.13*G29*((27092.1)/5)</f>
        <v>33234.569918550005</v>
      </c>
      <c r="K30" s="36"/>
    </row>
    <row r="31" spans="1:19" ht="15" customHeight="1" x14ac:dyDescent="0.25">
      <c r="A31" s="40"/>
      <c r="B31" s="37"/>
      <c r="C31" s="42"/>
      <c r="D31" s="43"/>
      <c r="E31" s="43"/>
      <c r="F31" s="43"/>
      <c r="G31" s="43"/>
      <c r="H31" s="43"/>
      <c r="I31" s="43"/>
      <c r="J31" s="45"/>
      <c r="K31" s="36"/>
    </row>
    <row r="32" spans="1:19" s="1" customFormat="1" ht="75" x14ac:dyDescent="0.25">
      <c r="A32" s="63">
        <v>5</v>
      </c>
      <c r="B32" s="30" t="s">
        <v>69</v>
      </c>
      <c r="C32" s="64" t="s">
        <v>7</v>
      </c>
      <c r="D32" s="67" t="s">
        <v>70</v>
      </c>
      <c r="E32" s="67" t="s">
        <v>71</v>
      </c>
      <c r="F32" s="67" t="s">
        <v>72</v>
      </c>
      <c r="G32" s="39"/>
      <c r="H32" s="39"/>
      <c r="I32" s="39"/>
      <c r="J32" s="45"/>
      <c r="K32" s="29"/>
    </row>
    <row r="33" spans="1:19" ht="15" customHeight="1" x14ac:dyDescent="0.25">
      <c r="A33" s="40"/>
      <c r="B33" s="37" t="str">
        <f>B29</f>
        <v>Sub-total</v>
      </c>
      <c r="C33" s="42">
        <f>TRUNC(D34/0.23,0)</f>
        <v>44</v>
      </c>
      <c r="D33" s="43">
        <v>1.1000000000000001</v>
      </c>
      <c r="E33" s="43">
        <f>10*10/162</f>
        <v>0.61728395061728392</v>
      </c>
      <c r="F33" s="43">
        <f>PRODUCT(C33:E33)</f>
        <v>29.876543209876544</v>
      </c>
      <c r="G33" s="43">
        <f>F33/1000</f>
        <v>2.9876543209876545E-2</v>
      </c>
      <c r="H33" s="43"/>
      <c r="I33" s="43"/>
      <c r="J33" s="45"/>
      <c r="K33" s="36"/>
    </row>
    <row r="34" spans="1:19" x14ac:dyDescent="0.25">
      <c r="A34" s="5"/>
      <c r="B34" s="5"/>
      <c r="C34" s="42">
        <f>TRUNC(D33/0.15,0)+1</f>
        <v>8</v>
      </c>
      <c r="D34" s="68">
        <f>11.6-0.1-0.6-0.6</f>
        <v>10.3</v>
      </c>
      <c r="E34" s="43">
        <f>10*10/162</f>
        <v>0.61728395061728392</v>
      </c>
      <c r="F34" s="43">
        <f>PRODUCT(C34:E34)</f>
        <v>50.864197530864196</v>
      </c>
      <c r="G34" s="43">
        <f>F34/1000</f>
        <v>5.0864197530864193E-2</v>
      </c>
      <c r="H34" s="5"/>
      <c r="I34" s="5"/>
      <c r="J34" s="5"/>
      <c r="K34" s="5"/>
      <c r="M34" s="69"/>
      <c r="N34" s="69"/>
    </row>
    <row r="35" spans="1:19" ht="15" customHeight="1" x14ac:dyDescent="0.25">
      <c r="A35" s="40"/>
      <c r="B35" s="37" t="s">
        <v>40</v>
      </c>
      <c r="C35" s="42"/>
      <c r="D35" s="43"/>
      <c r="E35" s="43"/>
      <c r="F35" s="43"/>
      <c r="G35" s="33">
        <f>SUM(G33:G34)</f>
        <v>8.0740740740740738E-2</v>
      </c>
      <c r="H35" s="33" t="s">
        <v>73</v>
      </c>
      <c r="I35" s="33">
        <v>124140</v>
      </c>
      <c r="J35" s="44">
        <f>G35*I35</f>
        <v>10023.155555555555</v>
      </c>
      <c r="K35" s="36"/>
    </row>
    <row r="36" spans="1:19" ht="15" customHeight="1" x14ac:dyDescent="0.25">
      <c r="A36" s="40"/>
      <c r="B36" s="37" t="s">
        <v>38</v>
      </c>
      <c r="C36" s="42"/>
      <c r="D36" s="43"/>
      <c r="E36" s="43"/>
      <c r="F36" s="43"/>
      <c r="G36" s="43"/>
      <c r="H36" s="43"/>
      <c r="I36" s="43"/>
      <c r="J36" s="45">
        <f>0.13*G35*110960</f>
        <v>1164.669037037037</v>
      </c>
      <c r="K36" s="36"/>
    </row>
    <row r="37" spans="1:19" ht="11.25" customHeight="1" x14ac:dyDescent="0.25">
      <c r="A37" s="5"/>
      <c r="B37" s="5"/>
      <c r="C37" s="5"/>
      <c r="D37" s="5"/>
      <c r="E37" s="5"/>
      <c r="F37" s="5"/>
      <c r="G37" s="5"/>
      <c r="H37" s="5"/>
      <c r="I37" s="5"/>
      <c r="J37" s="5"/>
      <c r="K37" s="5"/>
    </row>
    <row r="38" spans="1:19" s="1" customFormat="1" ht="75" x14ac:dyDescent="0.25">
      <c r="A38" s="63">
        <v>6</v>
      </c>
      <c r="B38" s="30" t="s">
        <v>74</v>
      </c>
      <c r="C38" s="64"/>
      <c r="D38" s="39"/>
      <c r="E38" s="39"/>
      <c r="F38" s="39"/>
      <c r="G38" s="39"/>
      <c r="H38" s="39"/>
      <c r="I38" s="39"/>
      <c r="J38" s="45"/>
      <c r="K38" s="29"/>
    </row>
    <row r="39" spans="1:19" s="1" customFormat="1" x14ac:dyDescent="0.25">
      <c r="A39" s="63"/>
      <c r="B39" s="95" t="s">
        <v>41</v>
      </c>
      <c r="C39" s="64">
        <v>1</v>
      </c>
      <c r="D39" s="39">
        <v>3</v>
      </c>
      <c r="E39" s="39">
        <f>(4.667+4.75)/2/3.281</f>
        <v>1.4350807680585187</v>
      </c>
      <c r="F39" s="39">
        <v>0.15</v>
      </c>
      <c r="G39" s="39">
        <f>PRODUCT(C39:F39)</f>
        <v>0.6457863456263333</v>
      </c>
      <c r="H39" s="39"/>
      <c r="I39" s="39"/>
      <c r="J39" s="45"/>
      <c r="K39" s="29"/>
    </row>
    <row r="40" spans="1:19" s="1" customFormat="1" x14ac:dyDescent="0.25">
      <c r="A40" s="63"/>
      <c r="B40" s="30"/>
      <c r="C40" s="64">
        <v>1</v>
      </c>
      <c r="D40" s="39">
        <v>3</v>
      </c>
      <c r="E40" s="39">
        <f>(3.5+4.75)/2/3.281</f>
        <v>1.2572386467540384</v>
      </c>
      <c r="F40" s="39">
        <v>0.15</v>
      </c>
      <c r="G40" s="39">
        <f t="shared" ref="G40:G42" si="1">PRODUCT(C40:F40)</f>
        <v>0.56575739103931721</v>
      </c>
      <c r="H40" s="39"/>
      <c r="I40" s="39"/>
      <c r="J40" s="45"/>
      <c r="K40" s="29"/>
    </row>
    <row r="41" spans="1:19" s="1" customFormat="1" x14ac:dyDescent="0.25">
      <c r="A41" s="63"/>
      <c r="B41" s="30"/>
      <c r="C41" s="64">
        <v>1</v>
      </c>
      <c r="D41" s="39">
        <v>3</v>
      </c>
      <c r="E41" s="39">
        <f>(3.5+3.75)/2/3.281</f>
        <v>1.1048460835111247</v>
      </c>
      <c r="F41" s="39">
        <v>0.15</v>
      </c>
      <c r="G41" s="39">
        <f t="shared" si="1"/>
        <v>0.49718073758000614</v>
      </c>
      <c r="H41" s="39"/>
      <c r="I41" s="39"/>
      <c r="J41" s="45"/>
      <c r="K41" s="29"/>
    </row>
    <row r="42" spans="1:19" s="1" customFormat="1" x14ac:dyDescent="0.25">
      <c r="A42" s="63"/>
      <c r="B42" s="30"/>
      <c r="C42" s="64">
        <v>1</v>
      </c>
      <c r="D42" s="39">
        <v>2.6</v>
      </c>
      <c r="E42" s="39">
        <f>(3.75+5.33)/2/3.281</f>
        <v>1.3837244742456567</v>
      </c>
      <c r="F42" s="39">
        <v>0.15</v>
      </c>
      <c r="G42" s="39">
        <f t="shared" si="1"/>
        <v>0.53965254495580617</v>
      </c>
      <c r="H42" s="39"/>
      <c r="I42" s="39"/>
      <c r="J42" s="45"/>
      <c r="K42" s="29"/>
    </row>
    <row r="43" spans="1:19" ht="15" customHeight="1" x14ac:dyDescent="0.25">
      <c r="A43" s="40"/>
      <c r="B43" s="37" t="s">
        <v>40</v>
      </c>
      <c r="C43" s="42"/>
      <c r="D43" s="43"/>
      <c r="E43" s="43"/>
      <c r="F43" s="43"/>
      <c r="G43" s="33">
        <f>SUM(G39:G42)</f>
        <v>2.2483770192014627</v>
      </c>
      <c r="H43" s="33" t="s">
        <v>39</v>
      </c>
      <c r="I43" s="33">
        <v>11588.17</v>
      </c>
      <c r="J43" s="44">
        <f>G43*I43</f>
        <v>26054.575122599814</v>
      </c>
      <c r="K43" s="36"/>
    </row>
    <row r="44" spans="1:19" ht="15" customHeight="1" x14ac:dyDescent="0.25">
      <c r="A44" s="40"/>
      <c r="B44" s="37" t="s">
        <v>38</v>
      </c>
      <c r="C44" s="42"/>
      <c r="D44" s="43"/>
      <c r="E44" s="43"/>
      <c r="F44" s="43"/>
      <c r="G44" s="43"/>
      <c r="H44" s="43"/>
      <c r="I44" s="43"/>
      <c r="J44" s="45">
        <f>0.13*G43*((128662.2+6685.5)/15)</f>
        <v>2637.3763717753732</v>
      </c>
      <c r="K44" s="36"/>
    </row>
    <row r="45" spans="1:19" ht="15" customHeight="1" x14ac:dyDescent="0.25">
      <c r="A45" s="40"/>
      <c r="B45" s="37"/>
      <c r="C45" s="42"/>
      <c r="D45" s="43"/>
      <c r="E45" s="43"/>
      <c r="F45" s="43"/>
      <c r="G45" s="43"/>
      <c r="H45" s="43"/>
      <c r="I45" s="43"/>
      <c r="J45" s="45"/>
      <c r="K45" s="36"/>
    </row>
    <row r="46" spans="1:19" ht="105" x14ac:dyDescent="0.25">
      <c r="A46" s="18">
        <v>7</v>
      </c>
      <c r="B46" s="30" t="s">
        <v>82</v>
      </c>
      <c r="C46" s="19">
        <v>5</v>
      </c>
      <c r="D46" s="20">
        <v>2.5</v>
      </c>
      <c r="E46" s="21"/>
      <c r="F46" s="21"/>
      <c r="G46" s="39">
        <f>PRODUCT(C46:F46)</f>
        <v>12.5</v>
      </c>
      <c r="H46" s="5"/>
      <c r="I46" s="5"/>
      <c r="J46" s="5"/>
      <c r="K46" s="21"/>
      <c r="M46" s="25"/>
      <c r="N46" s="1"/>
      <c r="O46" s="1"/>
      <c r="P46" s="1"/>
      <c r="Q46" s="1"/>
      <c r="R46" s="25"/>
      <c r="S46" s="25"/>
    </row>
    <row r="47" spans="1:19" ht="15" customHeight="1" x14ac:dyDescent="0.25">
      <c r="A47" s="18"/>
      <c r="B47" s="37" t="s">
        <v>83</v>
      </c>
      <c r="C47" s="36"/>
      <c r="D47" s="38"/>
      <c r="E47" s="38"/>
      <c r="F47" s="38"/>
      <c r="G47" s="34">
        <f>SUM(G46)</f>
        <v>12.5</v>
      </c>
      <c r="H47" s="22" t="s">
        <v>76</v>
      </c>
      <c r="I47" s="23">
        <v>3697.12</v>
      </c>
      <c r="J47" s="34">
        <f>G47*I47</f>
        <v>46214</v>
      </c>
      <c r="K47" s="21"/>
      <c r="M47" s="25"/>
      <c r="N47" s="1"/>
      <c r="O47" s="1"/>
      <c r="P47" s="1"/>
      <c r="Q47" s="1"/>
      <c r="R47" s="25"/>
      <c r="S47" s="25"/>
    </row>
    <row r="48" spans="1:19" ht="15" customHeight="1" x14ac:dyDescent="0.25">
      <c r="A48" s="18"/>
      <c r="B48" s="37" t="s">
        <v>38</v>
      </c>
      <c r="C48" s="36"/>
      <c r="D48" s="38"/>
      <c r="E48" s="38"/>
      <c r="F48" s="38"/>
      <c r="G48" s="39"/>
      <c r="H48" s="40"/>
      <c r="I48" s="40"/>
      <c r="J48" s="45">
        <f>0.13*G47*40214.2/12.5</f>
        <v>5227.8459999999995</v>
      </c>
      <c r="K48" s="21"/>
      <c r="M48" s="25"/>
      <c r="N48" s="1"/>
      <c r="O48" s="1"/>
      <c r="P48" s="1"/>
      <c r="Q48" s="1"/>
      <c r="R48" s="25"/>
      <c r="S48" s="25"/>
    </row>
    <row r="49" spans="1:19" ht="15" customHeight="1" x14ac:dyDescent="0.25">
      <c r="A49" s="40"/>
      <c r="B49" s="37"/>
      <c r="C49" s="42"/>
      <c r="D49" s="43"/>
      <c r="E49" s="43"/>
      <c r="F49" s="43"/>
      <c r="G49" s="43"/>
      <c r="H49" s="43"/>
      <c r="I49" s="43"/>
      <c r="J49" s="45"/>
      <c r="K49" s="36"/>
    </row>
    <row r="50" spans="1:19" ht="15" customHeight="1" x14ac:dyDescent="0.25">
      <c r="A50" s="18">
        <v>8</v>
      </c>
      <c r="B50" s="30" t="s">
        <v>30</v>
      </c>
      <c r="C50" s="19">
        <v>1</v>
      </c>
      <c r="D50" s="20"/>
      <c r="E50" s="21"/>
      <c r="F50" s="21"/>
      <c r="G50" s="34">
        <f t="shared" ref="G50" si="2">PRODUCT(C50:F50)</f>
        <v>1</v>
      </c>
      <c r="H50" s="22" t="s">
        <v>31</v>
      </c>
      <c r="I50" s="23">
        <v>500</v>
      </c>
      <c r="J50" s="34">
        <f>G50*I50</f>
        <v>500</v>
      </c>
      <c r="K50" s="21"/>
      <c r="M50" s="25"/>
      <c r="N50" s="1"/>
      <c r="O50" s="1"/>
      <c r="P50" s="1"/>
      <c r="Q50" s="1"/>
      <c r="R50" s="25"/>
      <c r="S50" s="25"/>
    </row>
    <row r="51" spans="1:19" ht="15" customHeight="1" x14ac:dyDescent="0.25">
      <c r="A51" s="18"/>
      <c r="B51" s="24"/>
      <c r="C51" s="19"/>
      <c r="D51" s="20"/>
      <c r="E51" s="21"/>
      <c r="F51" s="21"/>
      <c r="G51" s="23"/>
      <c r="H51" s="22"/>
      <c r="I51" s="23"/>
      <c r="J51" s="41"/>
      <c r="K51" s="21"/>
      <c r="M51" s="25"/>
      <c r="N51" s="1">
        <f>2.4*3.281</f>
        <v>7.8743999999999996</v>
      </c>
      <c r="O51" s="1"/>
      <c r="P51" s="1"/>
      <c r="Q51" s="1"/>
      <c r="R51" s="25"/>
      <c r="S51" s="25"/>
    </row>
    <row r="52" spans="1:19" x14ac:dyDescent="0.25">
      <c r="A52" s="40"/>
      <c r="B52" s="46" t="s">
        <v>17</v>
      </c>
      <c r="C52" s="47"/>
      <c r="D52" s="38"/>
      <c r="E52" s="38"/>
      <c r="F52" s="38"/>
      <c r="G52" s="41"/>
      <c r="H52" s="41"/>
      <c r="I52" s="41"/>
      <c r="J52" s="41">
        <f>SUM(J10:J50)</f>
        <v>630250.94622753467</v>
      </c>
      <c r="K52" s="36"/>
    </row>
    <row r="53" spans="1:19" x14ac:dyDescent="0.25">
      <c r="A53" s="58"/>
      <c r="B53" s="61"/>
      <c r="C53" s="62"/>
      <c r="D53" s="59"/>
      <c r="E53" s="59"/>
      <c r="F53" s="59"/>
      <c r="G53" s="60"/>
      <c r="H53" s="60"/>
      <c r="I53" s="60"/>
      <c r="J53" s="60"/>
      <c r="K53" s="57"/>
    </row>
    <row r="54" spans="1:19" s="1" customFormat="1" x14ac:dyDescent="0.25">
      <c r="A54" s="50"/>
      <c r="B54" s="29" t="s">
        <v>80</v>
      </c>
      <c r="C54" s="79">
        <f>J52</f>
        <v>630250.94622753467</v>
      </c>
      <c r="D54" s="79"/>
      <c r="E54" s="39">
        <v>100</v>
      </c>
      <c r="F54" s="51"/>
      <c r="G54" s="52"/>
      <c r="H54" s="51"/>
      <c r="I54" s="53"/>
      <c r="J54" s="54"/>
      <c r="K54" s="55"/>
    </row>
    <row r="55" spans="1:19" x14ac:dyDescent="0.25">
      <c r="A55" s="56"/>
      <c r="B55" s="29" t="s">
        <v>32</v>
      </c>
      <c r="C55" s="82">
        <f>500000+86000</f>
        <v>586000</v>
      </c>
      <c r="D55" s="82"/>
      <c r="E55" s="39"/>
      <c r="F55" s="49"/>
      <c r="G55" s="48"/>
      <c r="H55" s="48"/>
      <c r="I55" s="48"/>
      <c r="J55" s="48"/>
      <c r="K55" s="49"/>
    </row>
    <row r="56" spans="1:19" x14ac:dyDescent="0.25">
      <c r="A56" s="56"/>
      <c r="B56" s="29" t="s">
        <v>33</v>
      </c>
      <c r="C56" s="82">
        <f>84.51%*C54</f>
        <v>532625.07465688966</v>
      </c>
      <c r="D56" s="82"/>
      <c r="E56" s="39">
        <f>C56/C54*100</f>
        <v>84.510000000000019</v>
      </c>
      <c r="F56" s="49"/>
      <c r="G56" s="48"/>
      <c r="H56" s="48"/>
      <c r="I56" s="48"/>
      <c r="J56" s="48"/>
      <c r="K56" s="49"/>
    </row>
    <row r="57" spans="1:19" x14ac:dyDescent="0.25">
      <c r="A57" s="56"/>
      <c r="B57" s="29" t="s">
        <v>34</v>
      </c>
      <c r="C57" s="79">
        <f>C54-C56</f>
        <v>97625.871570645017</v>
      </c>
      <c r="D57" s="79"/>
      <c r="E57" s="39">
        <f>100-E56</f>
        <v>15.489999999999981</v>
      </c>
      <c r="F57" s="49"/>
      <c r="G57" s="48"/>
      <c r="H57" s="48"/>
      <c r="I57" s="48"/>
      <c r="J57" s="48"/>
      <c r="K57" s="49"/>
    </row>
    <row r="58" spans="1:19" x14ac:dyDescent="0.25">
      <c r="A58" s="56"/>
      <c r="B58" s="29" t="s">
        <v>35</v>
      </c>
      <c r="C58" s="79">
        <f>C55*0.03</f>
        <v>17580</v>
      </c>
      <c r="D58" s="79"/>
      <c r="E58" s="39">
        <v>3</v>
      </c>
      <c r="F58" s="49"/>
      <c r="G58" s="48"/>
      <c r="H58" s="48"/>
      <c r="I58" s="48"/>
      <c r="J58" s="48"/>
      <c r="K58" s="49"/>
    </row>
    <row r="59" spans="1:19" x14ac:dyDescent="0.25">
      <c r="A59" s="56"/>
      <c r="B59" s="29" t="s">
        <v>36</v>
      </c>
      <c r="C59" s="79">
        <f>C55*0.02</f>
        <v>11720</v>
      </c>
      <c r="D59" s="79"/>
      <c r="E59" s="39">
        <v>2</v>
      </c>
      <c r="F59" s="49"/>
      <c r="G59" s="48"/>
      <c r="H59" s="48"/>
      <c r="I59" s="48"/>
      <c r="J59" s="48"/>
      <c r="K59" s="49"/>
    </row>
    <row r="60" spans="1:19" s="35" customFormat="1" x14ac:dyDescent="0.25">
      <c r="A60" s="57"/>
      <c r="B60" s="57"/>
      <c r="C60" s="57"/>
      <c r="D60" s="57"/>
      <c r="E60" s="57"/>
      <c r="F60" s="57"/>
      <c r="G60" s="57"/>
      <c r="H60" s="57"/>
      <c r="I60" s="57"/>
      <c r="J60" s="57"/>
      <c r="K60" s="57"/>
    </row>
    <row r="61" spans="1:19" s="35" customFormat="1" x14ac:dyDescent="0.25"/>
    <row r="62" spans="1:19" s="35" customFormat="1" x14ac:dyDescent="0.25"/>
    <row r="63" spans="1:19" s="35" customFormat="1" x14ac:dyDescent="0.25"/>
    <row r="64" spans="1:19"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sheetData>
  <mergeCells count="15">
    <mergeCell ref="C58:D58"/>
    <mergeCell ref="C59:D59"/>
    <mergeCell ref="A7:F7"/>
    <mergeCell ref="H7:K7"/>
    <mergeCell ref="C54:D54"/>
    <mergeCell ref="C55:D55"/>
    <mergeCell ref="C56:D56"/>
    <mergeCell ref="C57:D57"/>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6"/>
  <sheetViews>
    <sheetView tabSelected="1" topLeftCell="A41" zoomScaleNormal="100" workbookViewId="0">
      <selection activeCell="F46" sqref="F4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84</v>
      </c>
      <c r="B5" s="78"/>
      <c r="C5" s="78"/>
      <c r="D5" s="78"/>
      <c r="E5" s="78"/>
      <c r="F5" s="78"/>
      <c r="G5" s="78"/>
      <c r="H5" s="78"/>
      <c r="I5" s="78"/>
      <c r="J5" s="78"/>
      <c r="K5" s="78"/>
    </row>
    <row r="6" spans="1:19" ht="15.75" x14ac:dyDescent="0.25">
      <c r="A6" s="73" t="s">
        <v>78</v>
      </c>
      <c r="B6" s="73"/>
      <c r="C6" s="73"/>
      <c r="D6" s="73"/>
      <c r="E6" s="73"/>
      <c r="F6" s="73"/>
      <c r="G6" s="2"/>
      <c r="I6" s="96"/>
      <c r="J6" s="96"/>
      <c r="K6" s="72" t="s">
        <v>45</v>
      </c>
      <c r="O6" t="s">
        <v>57</v>
      </c>
    </row>
    <row r="7" spans="1:19" ht="15.75" x14ac:dyDescent="0.25">
      <c r="A7" s="80" t="s">
        <v>28</v>
      </c>
      <c r="B7" s="80"/>
      <c r="C7" s="80"/>
      <c r="D7" s="80"/>
      <c r="E7" s="80"/>
      <c r="F7" s="80"/>
      <c r="G7" s="3"/>
      <c r="I7" s="97"/>
      <c r="J7" s="97"/>
      <c r="K7" s="71" t="s">
        <v>85</v>
      </c>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66</v>
      </c>
      <c r="C9" s="36"/>
      <c r="D9" s="36"/>
      <c r="E9" s="36"/>
      <c r="F9" s="36"/>
      <c r="G9" s="36"/>
      <c r="H9" s="36"/>
      <c r="I9" s="36"/>
      <c r="J9" s="36"/>
      <c r="K9" s="36"/>
      <c r="N9" t="s">
        <v>48</v>
      </c>
      <c r="O9" t="s">
        <v>49</v>
      </c>
    </row>
    <row r="10" spans="1:19" ht="15" customHeight="1" x14ac:dyDescent="0.25">
      <c r="A10" s="18"/>
      <c r="B10" s="37" t="s">
        <v>50</v>
      </c>
      <c r="C10" s="36">
        <v>0.5</v>
      </c>
      <c r="D10" s="38">
        <f>D28</f>
        <v>13.3</v>
      </c>
      <c r="E10" s="38">
        <f>F28/2</f>
        <v>1.6125</v>
      </c>
      <c r="F10" s="38">
        <v>2</v>
      </c>
      <c r="G10" s="39">
        <f>PRODUCT(C10:F10)</f>
        <v>21.446250000000003</v>
      </c>
      <c r="H10" s="40"/>
      <c r="I10" s="40"/>
      <c r="J10" s="40"/>
      <c r="K10" s="21"/>
      <c r="M10" s="25"/>
      <c r="N10" s="1"/>
      <c r="O10" s="1"/>
      <c r="P10" s="1"/>
      <c r="Q10" s="1"/>
      <c r="R10" s="25"/>
      <c r="S10" s="25"/>
    </row>
    <row r="11" spans="1:19" ht="15" customHeight="1" x14ac:dyDescent="0.25">
      <c r="A11" s="18"/>
      <c r="B11" s="37" t="s">
        <v>67</v>
      </c>
      <c r="C11" s="36">
        <v>5</v>
      </c>
      <c r="D11" s="38">
        <v>2.5</v>
      </c>
      <c r="E11" s="38">
        <v>0.6</v>
      </c>
      <c r="F11" s="38">
        <v>0.45</v>
      </c>
      <c r="G11" s="39">
        <f t="shared" ref="G11" si="0">PRODUCT(C11:F11)</f>
        <v>3.375</v>
      </c>
      <c r="H11" s="40"/>
      <c r="I11" s="40"/>
      <c r="J11" s="40"/>
      <c r="K11" s="21"/>
      <c r="M11" s="25"/>
      <c r="N11" s="1"/>
      <c r="O11" s="1"/>
      <c r="P11" s="1"/>
      <c r="Q11" s="1"/>
      <c r="R11" s="25"/>
      <c r="S11" s="25"/>
    </row>
    <row r="12" spans="1:19" ht="15" customHeight="1" x14ac:dyDescent="0.25">
      <c r="A12" s="18"/>
      <c r="B12" s="37" t="s">
        <v>40</v>
      </c>
      <c r="C12" s="19"/>
      <c r="D12" s="20"/>
      <c r="E12" s="21"/>
      <c r="F12" s="21"/>
      <c r="G12" s="23">
        <f>SUM(G10:G11)</f>
        <v>24.821250000000003</v>
      </c>
      <c r="H12" s="22" t="s">
        <v>39</v>
      </c>
      <c r="I12" s="23">
        <v>64.63</v>
      </c>
      <c r="J12" s="41">
        <f>G12*I12</f>
        <v>1604.1973875000001</v>
      </c>
      <c r="K12" s="21"/>
      <c r="M12" s="25"/>
      <c r="N12" s="1"/>
      <c r="O12" s="1"/>
      <c r="P12" s="1"/>
      <c r="Q12" s="1"/>
      <c r="R12" s="25"/>
      <c r="S12" s="25"/>
    </row>
    <row r="13" spans="1:19" ht="15" hidden="1" customHeight="1" x14ac:dyDescent="0.25">
      <c r="A13" s="18"/>
      <c r="B13" s="37" t="s">
        <v>38</v>
      </c>
      <c r="C13" s="19"/>
      <c r="D13" s="20"/>
      <c r="E13" s="21"/>
      <c r="F13" s="21"/>
      <c r="G13" s="23"/>
      <c r="H13" s="22"/>
      <c r="I13" s="23"/>
      <c r="J13" s="41">
        <f>0.13*G12*19284/360</f>
        <v>172.84691125000003</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90" x14ac:dyDescent="0.25">
      <c r="A15" s="18">
        <v>2</v>
      </c>
      <c r="B15" s="30" t="s">
        <v>43</v>
      </c>
      <c r="C15" s="19"/>
      <c r="D15" s="20"/>
      <c r="E15" s="21"/>
      <c r="F15" s="21"/>
      <c r="G15" s="23"/>
      <c r="H15" s="22"/>
      <c r="I15" s="23"/>
      <c r="J15" s="41"/>
      <c r="K15" s="21"/>
      <c r="M15" s="25"/>
      <c r="N15" s="1"/>
      <c r="O15" s="1"/>
      <c r="P15" s="1"/>
      <c r="Q15" s="1"/>
      <c r="R15" s="25"/>
      <c r="S15" s="25"/>
    </row>
    <row r="16" spans="1:19" ht="15" customHeight="1" x14ac:dyDescent="0.25">
      <c r="A16" s="18"/>
      <c r="B16" s="37" t="str">
        <f>B22</f>
        <v>-For wall</v>
      </c>
      <c r="C16" s="36">
        <v>1</v>
      </c>
      <c r="D16" s="38">
        <f>D22</f>
        <v>13.3</v>
      </c>
      <c r="E16" s="38">
        <f>E22</f>
        <v>1.7</v>
      </c>
      <c r="F16" s="38">
        <v>0.15</v>
      </c>
      <c r="G16" s="39">
        <f>PRODUCT(C16:F16)</f>
        <v>3.3914999999999997</v>
      </c>
      <c r="H16" s="40"/>
      <c r="I16" s="40"/>
      <c r="J16" s="40"/>
      <c r="K16" s="21"/>
      <c r="M16" s="25"/>
      <c r="N16" s="1"/>
      <c r="O16" s="1"/>
      <c r="P16" s="1"/>
      <c r="Q16" s="1"/>
      <c r="R16" s="25"/>
      <c r="S16" s="25"/>
    </row>
    <row r="17" spans="1:19" ht="15" customHeight="1" x14ac:dyDescent="0.25">
      <c r="A17" s="18"/>
      <c r="B17" s="37" t="s">
        <v>68</v>
      </c>
      <c r="C17" s="36">
        <v>1</v>
      </c>
      <c r="D17" s="38">
        <f>11.6-0.45-0.45</f>
        <v>10.700000000000001</v>
      </c>
      <c r="E17" s="38">
        <v>0.6</v>
      </c>
      <c r="F17" s="38">
        <v>0.15</v>
      </c>
      <c r="G17" s="39">
        <f>PRODUCT(C17:F17)</f>
        <v>0.96300000000000008</v>
      </c>
      <c r="H17" s="40"/>
      <c r="I17" s="40"/>
      <c r="J17" s="40"/>
      <c r="K17" s="21"/>
      <c r="M17" s="25"/>
      <c r="N17" s="1"/>
      <c r="O17" s="1"/>
      <c r="P17" s="1"/>
      <c r="Q17" s="1"/>
      <c r="R17" s="25"/>
      <c r="S17" s="25"/>
    </row>
    <row r="18" spans="1:19" ht="15" customHeight="1" x14ac:dyDescent="0.25">
      <c r="A18" s="40"/>
      <c r="B18" s="37" t="s">
        <v>40</v>
      </c>
      <c r="C18" s="42"/>
      <c r="D18" s="43"/>
      <c r="E18" s="43"/>
      <c r="F18" s="43"/>
      <c r="G18" s="33">
        <f>SUM(G16:G17)</f>
        <v>4.3544999999999998</v>
      </c>
      <c r="H18" s="33" t="s">
        <v>39</v>
      </c>
      <c r="I18" s="33">
        <v>4561.53</v>
      </c>
      <c r="J18" s="44">
        <f>G18*I18</f>
        <v>19863.182384999996</v>
      </c>
      <c r="K18" s="36"/>
    </row>
    <row r="19" spans="1:19" hidden="1" x14ac:dyDescent="0.25">
      <c r="A19" s="40"/>
      <c r="B19" s="37" t="s">
        <v>38</v>
      </c>
      <c r="C19" s="42"/>
      <c r="D19" s="43"/>
      <c r="E19" s="43"/>
      <c r="F19" s="43"/>
      <c r="G19" s="43"/>
      <c r="H19" s="43"/>
      <c r="I19" s="43"/>
      <c r="J19" s="45">
        <f>0.13*G18*(15452.6/5)</f>
        <v>1749.4970141999997</v>
      </c>
      <c r="K19" s="36"/>
    </row>
    <row r="20" spans="1:19" x14ac:dyDescent="0.25">
      <c r="A20" s="40"/>
      <c r="B20" s="37"/>
      <c r="C20" s="42"/>
      <c r="D20" s="43"/>
      <c r="E20" s="43"/>
      <c r="F20" s="43"/>
      <c r="G20" s="43"/>
      <c r="H20" s="43"/>
      <c r="I20" s="43"/>
      <c r="J20" s="45"/>
      <c r="K20" s="36"/>
    </row>
    <row r="21" spans="1:19" ht="75" x14ac:dyDescent="0.25">
      <c r="A21" s="18">
        <v>3</v>
      </c>
      <c r="B21" s="30" t="s">
        <v>42</v>
      </c>
      <c r="C21" s="19"/>
      <c r="D21" s="20"/>
      <c r="E21" s="21"/>
      <c r="F21" s="21"/>
      <c r="G21" s="23"/>
      <c r="H21" s="22"/>
      <c r="I21" s="23"/>
      <c r="J21" s="41"/>
      <c r="K21" s="21"/>
      <c r="M21" s="25"/>
      <c r="N21" s="1"/>
      <c r="O21" s="1"/>
      <c r="P21" s="1"/>
      <c r="Q21" s="1"/>
      <c r="R21" s="25"/>
      <c r="S21" s="25"/>
    </row>
    <row r="22" spans="1:19" ht="15" customHeight="1" x14ac:dyDescent="0.25">
      <c r="A22" s="18"/>
      <c r="B22" s="37" t="s">
        <v>50</v>
      </c>
      <c r="C22" s="36">
        <v>1</v>
      </c>
      <c r="D22" s="38">
        <f>D28</f>
        <v>13.3</v>
      </c>
      <c r="E22" s="38">
        <f>3.4/2</f>
        <v>1.7</v>
      </c>
      <c r="F22" s="38">
        <v>7.4999999999999997E-2</v>
      </c>
      <c r="G22" s="39">
        <f>PRODUCT(C22:F22)</f>
        <v>1.6957499999999999</v>
      </c>
      <c r="H22" s="40"/>
      <c r="I22" s="40"/>
      <c r="J22" s="40"/>
      <c r="K22" s="21"/>
      <c r="M22" s="25"/>
      <c r="N22" s="1"/>
      <c r="O22" s="1"/>
      <c r="P22" s="1"/>
      <c r="Q22" s="1"/>
      <c r="R22" s="25"/>
      <c r="S22" s="25"/>
    </row>
    <row r="23" spans="1:19" ht="15" customHeight="1" x14ac:dyDescent="0.25">
      <c r="A23" s="18"/>
      <c r="B23" s="37"/>
      <c r="C23" s="36">
        <v>1</v>
      </c>
      <c r="D23" s="38">
        <f>D22</f>
        <v>13.3</v>
      </c>
      <c r="E23" s="38">
        <v>0.5</v>
      </c>
      <c r="F23" s="38">
        <v>0.05</v>
      </c>
      <c r="G23" s="39">
        <f>PRODUCT(C23:F23)</f>
        <v>0.33250000000000002</v>
      </c>
      <c r="H23" s="40"/>
      <c r="I23" s="40"/>
      <c r="J23" s="40"/>
      <c r="K23" s="21"/>
      <c r="M23" s="25"/>
      <c r="N23" s="1"/>
      <c r="O23" s="1"/>
      <c r="P23" s="1"/>
      <c r="Q23" s="1"/>
      <c r="R23" s="25"/>
      <c r="S23" s="25"/>
    </row>
    <row r="24" spans="1:19" ht="15" customHeight="1" x14ac:dyDescent="0.25">
      <c r="A24" s="40"/>
      <c r="B24" s="37" t="s">
        <v>40</v>
      </c>
      <c r="C24" s="42"/>
      <c r="D24" s="43"/>
      <c r="E24" s="43"/>
      <c r="F24" s="43"/>
      <c r="G24" s="33">
        <f>SUM(G22:G23)</f>
        <v>2.0282499999999999</v>
      </c>
      <c r="H24" s="33" t="s">
        <v>39</v>
      </c>
      <c r="I24" s="33">
        <v>10634.5</v>
      </c>
      <c r="J24" s="44">
        <f>G24*I24</f>
        <v>21569.424625</v>
      </c>
      <c r="K24" s="36"/>
    </row>
    <row r="25" spans="1:19" ht="15" hidden="1" customHeight="1" x14ac:dyDescent="0.25">
      <c r="A25" s="40"/>
      <c r="B25" s="37" t="s">
        <v>38</v>
      </c>
      <c r="C25" s="42"/>
      <c r="D25" s="43"/>
      <c r="E25" s="43"/>
      <c r="F25" s="43"/>
      <c r="G25" s="43"/>
      <c r="H25" s="43"/>
      <c r="I25" s="43"/>
      <c r="J25" s="45">
        <f>0.13*G24*((114907.3+6135.3)/15)</f>
        <v>2127.7069965666665</v>
      </c>
      <c r="K25" s="36"/>
    </row>
    <row r="26" spans="1:19" ht="15" customHeight="1" x14ac:dyDescent="0.25">
      <c r="A26" s="40"/>
      <c r="B26" s="37"/>
      <c r="C26" s="42"/>
      <c r="D26" s="43"/>
      <c r="E26" s="43"/>
      <c r="F26" s="43"/>
      <c r="G26" s="43"/>
      <c r="H26" s="43"/>
      <c r="I26" s="43"/>
      <c r="J26" s="45"/>
      <c r="K26" s="36"/>
    </row>
    <row r="27" spans="1:19" s="1" customFormat="1" ht="90" x14ac:dyDescent="0.25">
      <c r="A27" s="63">
        <v>4</v>
      </c>
      <c r="B27" s="30" t="s">
        <v>53</v>
      </c>
      <c r="C27" s="64"/>
      <c r="D27" s="39"/>
      <c r="E27" s="39"/>
      <c r="F27" s="39"/>
      <c r="G27" s="39"/>
      <c r="H27" s="39"/>
      <c r="I27" s="39"/>
      <c r="J27" s="45"/>
      <c r="K27" s="29"/>
    </row>
    <row r="28" spans="1:19" ht="15" customHeight="1" x14ac:dyDescent="0.25">
      <c r="A28" s="18"/>
      <c r="B28" s="37" t="s">
        <v>50</v>
      </c>
      <c r="C28" s="36">
        <v>1</v>
      </c>
      <c r="D28" s="38">
        <v>13.3</v>
      </c>
      <c r="E28" s="38">
        <f>((1.7+0.5)/2)</f>
        <v>1.1000000000000001</v>
      </c>
      <c r="F28" s="38">
        <f>3.5-0.15-0.075-0.05</f>
        <v>3.2250000000000001</v>
      </c>
      <c r="G28" s="39">
        <f>PRODUCT(C28:F28)</f>
        <v>47.181750000000008</v>
      </c>
      <c r="H28" s="40"/>
      <c r="I28" s="40"/>
      <c r="J28" s="40"/>
      <c r="K28" s="21"/>
      <c r="M28" s="25"/>
      <c r="N28" s="1"/>
      <c r="O28" s="1"/>
      <c r="P28" s="1"/>
      <c r="Q28" s="1"/>
      <c r="R28" s="25"/>
      <c r="S28" s="25"/>
    </row>
    <row r="29" spans="1:19" ht="15" customHeight="1" x14ac:dyDescent="0.25">
      <c r="A29" s="40"/>
      <c r="B29" s="37" t="s">
        <v>40</v>
      </c>
      <c r="C29" s="42"/>
      <c r="D29" s="43"/>
      <c r="E29" s="43"/>
      <c r="F29" s="43"/>
      <c r="G29" s="33">
        <f>SUM(G28:G28)</f>
        <v>47.181750000000008</v>
      </c>
      <c r="H29" s="33" t="s">
        <v>39</v>
      </c>
      <c r="I29" s="33">
        <v>9709.43</v>
      </c>
      <c r="J29" s="44">
        <f>G29*I29</f>
        <v>458107.89890250011</v>
      </c>
      <c r="K29" s="36"/>
    </row>
    <row r="30" spans="1:19" ht="15" hidden="1" customHeight="1" x14ac:dyDescent="0.25">
      <c r="A30" s="40"/>
      <c r="B30" s="37" t="s">
        <v>38</v>
      </c>
      <c r="C30" s="42"/>
      <c r="D30" s="43"/>
      <c r="E30" s="43"/>
      <c r="F30" s="43"/>
      <c r="G30" s="43"/>
      <c r="H30" s="43"/>
      <c r="I30" s="43"/>
      <c r="J30" s="45">
        <f>0.13*G29*((27092.1)/5)</f>
        <v>33234.569918550005</v>
      </c>
      <c r="K30" s="36"/>
    </row>
    <row r="31" spans="1:19" ht="15" customHeight="1" x14ac:dyDescent="0.25">
      <c r="A31" s="40"/>
      <c r="B31" s="37"/>
      <c r="C31" s="42"/>
      <c r="D31" s="43"/>
      <c r="E31" s="43"/>
      <c r="F31" s="43"/>
      <c r="G31" s="43"/>
      <c r="H31" s="43"/>
      <c r="I31" s="43"/>
      <c r="J31" s="45"/>
      <c r="K31" s="36"/>
    </row>
    <row r="32" spans="1:19" s="1" customFormat="1" ht="75" x14ac:dyDescent="0.25">
      <c r="A32" s="63">
        <v>5</v>
      </c>
      <c r="B32" s="30" t="s">
        <v>69</v>
      </c>
      <c r="C32" s="64" t="s">
        <v>7</v>
      </c>
      <c r="D32" s="67" t="s">
        <v>70</v>
      </c>
      <c r="E32" s="67" t="s">
        <v>71</v>
      </c>
      <c r="F32" s="67" t="s">
        <v>72</v>
      </c>
      <c r="G32" s="39"/>
      <c r="H32" s="39"/>
      <c r="I32" s="39"/>
      <c r="J32" s="45"/>
      <c r="K32" s="29"/>
    </row>
    <row r="33" spans="1:19" ht="15" customHeight="1" x14ac:dyDescent="0.25">
      <c r="A33" s="40"/>
      <c r="B33" s="37" t="str">
        <f>B29</f>
        <v>Sub-total</v>
      </c>
      <c r="C33" s="42">
        <f>TRUNC(D34/0.23,0)</f>
        <v>44</v>
      </c>
      <c r="D33" s="43">
        <v>1.1000000000000001</v>
      </c>
      <c r="E33" s="43">
        <f>10*10/162</f>
        <v>0.61728395061728392</v>
      </c>
      <c r="F33" s="43">
        <f>PRODUCT(C33:E33)</f>
        <v>29.876543209876544</v>
      </c>
      <c r="G33" s="43">
        <f>F33/1000</f>
        <v>2.9876543209876545E-2</v>
      </c>
      <c r="H33" s="43"/>
      <c r="I33" s="43"/>
      <c r="J33" s="45"/>
      <c r="K33" s="36"/>
    </row>
    <row r="34" spans="1:19" x14ac:dyDescent="0.25">
      <c r="A34" s="5"/>
      <c r="B34" s="5"/>
      <c r="C34" s="42">
        <f>TRUNC(D33/0.15,0)+1</f>
        <v>8</v>
      </c>
      <c r="D34" s="68">
        <f>11.6-0.1-0.6-0.6</f>
        <v>10.3</v>
      </c>
      <c r="E34" s="43">
        <f>10*10/162</f>
        <v>0.61728395061728392</v>
      </c>
      <c r="F34" s="43">
        <f>PRODUCT(C34:E34)</f>
        <v>50.864197530864196</v>
      </c>
      <c r="G34" s="43">
        <f>F34/1000</f>
        <v>5.0864197530864193E-2</v>
      </c>
      <c r="H34" s="5"/>
      <c r="I34" s="5"/>
      <c r="J34" s="5"/>
      <c r="K34" s="5"/>
      <c r="M34" s="69"/>
      <c r="N34" s="69"/>
    </row>
    <row r="35" spans="1:19" ht="15" customHeight="1" x14ac:dyDescent="0.25">
      <c r="A35" s="40"/>
      <c r="B35" s="37" t="s">
        <v>40</v>
      </c>
      <c r="C35" s="42"/>
      <c r="D35" s="43"/>
      <c r="E35" s="43"/>
      <c r="F35" s="43"/>
      <c r="G35" s="33">
        <f>SUM(G33:G34)</f>
        <v>8.0740740740740738E-2</v>
      </c>
      <c r="H35" s="33" t="s">
        <v>73</v>
      </c>
      <c r="I35" s="33">
        <v>124140</v>
      </c>
      <c r="J35" s="44">
        <f>G35*I35</f>
        <v>10023.155555555555</v>
      </c>
      <c r="K35" s="36"/>
    </row>
    <row r="36" spans="1:19" ht="15" hidden="1" customHeight="1" x14ac:dyDescent="0.25">
      <c r="A36" s="40"/>
      <c r="B36" s="37" t="s">
        <v>38</v>
      </c>
      <c r="C36" s="42"/>
      <c r="D36" s="43"/>
      <c r="E36" s="43"/>
      <c r="F36" s="43"/>
      <c r="G36" s="43"/>
      <c r="H36" s="43"/>
      <c r="I36" s="43"/>
      <c r="J36" s="45">
        <f>0.13*G35*110960</f>
        <v>1164.669037037037</v>
      </c>
      <c r="K36" s="36"/>
    </row>
    <row r="37" spans="1:19" ht="11.25" customHeight="1" x14ac:dyDescent="0.25">
      <c r="A37" s="5"/>
      <c r="B37" s="5"/>
      <c r="C37" s="5"/>
      <c r="D37" s="5"/>
      <c r="E37" s="5"/>
      <c r="F37" s="5"/>
      <c r="G37" s="5"/>
      <c r="H37" s="5"/>
      <c r="I37" s="5"/>
      <c r="J37" s="5"/>
      <c r="K37" s="5"/>
    </row>
    <row r="38" spans="1:19" s="1" customFormat="1" ht="75" x14ac:dyDescent="0.25">
      <c r="A38" s="63">
        <v>6</v>
      </c>
      <c r="B38" s="30" t="s">
        <v>74</v>
      </c>
      <c r="C38" s="64"/>
      <c r="D38" s="39"/>
      <c r="E38" s="39"/>
      <c r="F38" s="39"/>
      <c r="G38" s="39"/>
      <c r="H38" s="39"/>
      <c r="I38" s="39"/>
      <c r="J38" s="45"/>
      <c r="K38" s="29"/>
    </row>
    <row r="39" spans="1:19" s="1" customFormat="1" x14ac:dyDescent="0.25">
      <c r="A39" s="63"/>
      <c r="B39" s="95" t="s">
        <v>41</v>
      </c>
      <c r="C39" s="64">
        <v>1</v>
      </c>
      <c r="D39" s="39">
        <v>3</v>
      </c>
      <c r="E39" s="39">
        <f>(4.667+4.75)/2/3.281</f>
        <v>1.4350807680585187</v>
      </c>
      <c r="F39" s="39">
        <v>0.15</v>
      </c>
      <c r="G39" s="39">
        <f>PRODUCT(C39:F39)</f>
        <v>0.6457863456263333</v>
      </c>
      <c r="H39" s="39"/>
      <c r="I39" s="39"/>
      <c r="J39" s="45"/>
      <c r="K39" s="29"/>
    </row>
    <row r="40" spans="1:19" s="1" customFormat="1" x14ac:dyDescent="0.25">
      <c r="A40" s="63"/>
      <c r="B40" s="30"/>
      <c r="C40" s="64">
        <v>1</v>
      </c>
      <c r="D40" s="39">
        <v>3</v>
      </c>
      <c r="E40" s="39">
        <f>(3.5+4.75)/2/3.281</f>
        <v>1.2572386467540384</v>
      </c>
      <c r="F40" s="39">
        <v>0.15</v>
      </c>
      <c r="G40" s="39">
        <f t="shared" ref="G40:G42" si="1">PRODUCT(C40:F40)</f>
        <v>0.56575739103931721</v>
      </c>
      <c r="H40" s="39"/>
      <c r="I40" s="39"/>
      <c r="J40" s="45"/>
      <c r="K40" s="29"/>
    </row>
    <row r="41" spans="1:19" s="1" customFormat="1" x14ac:dyDescent="0.25">
      <c r="A41" s="63"/>
      <c r="B41" s="30"/>
      <c r="C41" s="64">
        <v>1</v>
      </c>
      <c r="D41" s="39">
        <v>3</v>
      </c>
      <c r="E41" s="39">
        <f>(3.5+3.75)/2/3.281</f>
        <v>1.1048460835111247</v>
      </c>
      <c r="F41" s="39">
        <v>0.15</v>
      </c>
      <c r="G41" s="39">
        <f t="shared" si="1"/>
        <v>0.49718073758000614</v>
      </c>
      <c r="H41" s="39"/>
      <c r="I41" s="39"/>
      <c r="J41" s="45"/>
      <c r="K41" s="29"/>
    </row>
    <row r="42" spans="1:19" s="1" customFormat="1" x14ac:dyDescent="0.25">
      <c r="A42" s="63"/>
      <c r="B42" s="30"/>
      <c r="C42" s="64">
        <v>1</v>
      </c>
      <c r="D42" s="39">
        <v>2.6</v>
      </c>
      <c r="E42" s="39">
        <f>(3.75+5.33)/2/3.281</f>
        <v>1.3837244742456567</v>
      </c>
      <c r="F42" s="39">
        <v>0.15</v>
      </c>
      <c r="G42" s="39">
        <f t="shared" si="1"/>
        <v>0.53965254495580617</v>
      </c>
      <c r="H42" s="39"/>
      <c r="I42" s="39"/>
      <c r="J42" s="45"/>
      <c r="K42" s="29"/>
    </row>
    <row r="43" spans="1:19" ht="15" customHeight="1" x14ac:dyDescent="0.25">
      <c r="A43" s="40"/>
      <c r="B43" s="37" t="s">
        <v>40</v>
      </c>
      <c r="C43" s="42"/>
      <c r="D43" s="43"/>
      <c r="E43" s="43"/>
      <c r="F43" s="43"/>
      <c r="G43" s="33">
        <f>SUM(G39:G42)</f>
        <v>2.2483770192014627</v>
      </c>
      <c r="H43" s="33" t="s">
        <v>39</v>
      </c>
      <c r="I43" s="33">
        <v>11588.17</v>
      </c>
      <c r="J43" s="44">
        <f>G43*I43</f>
        <v>26054.575122599814</v>
      </c>
      <c r="K43" s="36"/>
    </row>
    <row r="44" spans="1:19" ht="15" hidden="1" customHeight="1" x14ac:dyDescent="0.25">
      <c r="A44" s="40"/>
      <c r="B44" s="37" t="s">
        <v>38</v>
      </c>
      <c r="C44" s="42"/>
      <c r="D44" s="43"/>
      <c r="E44" s="43"/>
      <c r="F44" s="43"/>
      <c r="G44" s="43"/>
      <c r="H44" s="43"/>
      <c r="I44" s="43"/>
      <c r="J44" s="45">
        <f>0.13*G43*((128662.2+6685.5)/15)</f>
        <v>2637.3763717753732</v>
      </c>
      <c r="K44" s="36"/>
    </row>
    <row r="45" spans="1:19" ht="15" customHeight="1" x14ac:dyDescent="0.25">
      <c r="A45" s="40"/>
      <c r="B45" s="37"/>
      <c r="C45" s="42"/>
      <c r="D45" s="43"/>
      <c r="E45" s="43"/>
      <c r="F45" s="43"/>
      <c r="G45" s="43"/>
      <c r="H45" s="43"/>
      <c r="I45" s="43"/>
      <c r="J45" s="45"/>
      <c r="K45" s="36"/>
    </row>
    <row r="46" spans="1:19" ht="105" x14ac:dyDescent="0.25">
      <c r="A46" s="18">
        <v>7</v>
      </c>
      <c r="B46" s="30" t="s">
        <v>82</v>
      </c>
      <c r="C46" s="19">
        <v>5</v>
      </c>
      <c r="D46" s="20">
        <v>2.5</v>
      </c>
      <c r="E46" s="21"/>
      <c r="F46" s="21"/>
      <c r="G46" s="39">
        <f>PRODUCT(C46:F46)</f>
        <v>12.5</v>
      </c>
      <c r="H46" s="5"/>
      <c r="I46" s="5"/>
      <c r="J46" s="5"/>
      <c r="K46" s="21"/>
      <c r="M46" s="25"/>
      <c r="N46" s="1"/>
      <c r="O46" s="1"/>
      <c r="P46" s="1"/>
      <c r="Q46" s="1"/>
      <c r="R46" s="25"/>
      <c r="S46" s="25"/>
    </row>
    <row r="47" spans="1:19" ht="15" customHeight="1" x14ac:dyDescent="0.25">
      <c r="A47" s="18"/>
      <c r="B47" s="37" t="s">
        <v>83</v>
      </c>
      <c r="C47" s="36"/>
      <c r="D47" s="38"/>
      <c r="E47" s="38"/>
      <c r="F47" s="38"/>
      <c r="G47" s="34">
        <f>SUM(G46)</f>
        <v>12.5</v>
      </c>
      <c r="H47" s="22" t="s">
        <v>76</v>
      </c>
      <c r="I47" s="23">
        <v>3697.12</v>
      </c>
      <c r="J47" s="34">
        <f>G47*I47</f>
        <v>46214</v>
      </c>
      <c r="K47" s="21"/>
      <c r="M47" s="25"/>
      <c r="N47" s="1"/>
      <c r="O47" s="1"/>
      <c r="P47" s="1"/>
      <c r="Q47" s="1"/>
      <c r="R47" s="25"/>
      <c r="S47" s="25"/>
    </row>
    <row r="48" spans="1:19" ht="15" hidden="1" customHeight="1" x14ac:dyDescent="0.25">
      <c r="A48" s="18"/>
      <c r="B48" s="37" t="s">
        <v>38</v>
      </c>
      <c r="C48" s="36"/>
      <c r="D48" s="38"/>
      <c r="E48" s="38"/>
      <c r="F48" s="38"/>
      <c r="G48" s="39"/>
      <c r="H48" s="40"/>
      <c r="I48" s="40"/>
      <c r="J48" s="45">
        <f>0.13*G47*40214.2/12.5</f>
        <v>5227.8459999999995</v>
      </c>
      <c r="K48" s="21"/>
      <c r="M48" s="25"/>
      <c r="N48" s="1"/>
      <c r="O48" s="1"/>
      <c r="P48" s="1"/>
      <c r="Q48" s="1"/>
      <c r="R48" s="25"/>
      <c r="S48" s="25"/>
    </row>
    <row r="49" spans="1:19" ht="15" customHeight="1" x14ac:dyDescent="0.25">
      <c r="A49" s="40"/>
      <c r="B49" s="37"/>
      <c r="C49" s="42"/>
      <c r="D49" s="43"/>
      <c r="E49" s="43"/>
      <c r="F49" s="43"/>
      <c r="G49" s="43"/>
      <c r="H49" s="43"/>
      <c r="I49" s="43"/>
      <c r="J49" s="45"/>
      <c r="K49" s="36"/>
    </row>
    <row r="50" spans="1:19" ht="15" customHeight="1" x14ac:dyDescent="0.25">
      <c r="A50" s="18">
        <v>8</v>
      </c>
      <c r="B50" s="30" t="s">
        <v>30</v>
      </c>
      <c r="C50" s="19">
        <v>1</v>
      </c>
      <c r="D50" s="20"/>
      <c r="E50" s="21"/>
      <c r="F50" s="21"/>
      <c r="G50" s="34">
        <f t="shared" ref="G50" si="2">PRODUCT(C50:F50)</f>
        <v>1</v>
      </c>
      <c r="H50" s="22" t="s">
        <v>31</v>
      </c>
      <c r="I50" s="23">
        <v>500</v>
      </c>
      <c r="J50" s="34">
        <f>G50*I50</f>
        <v>500</v>
      </c>
      <c r="K50" s="21"/>
      <c r="M50" s="25"/>
      <c r="N50" s="1"/>
      <c r="O50" s="1"/>
      <c r="P50" s="1"/>
      <c r="Q50" s="1"/>
      <c r="R50" s="25"/>
      <c r="S50" s="25"/>
    </row>
    <row r="51" spans="1:19" ht="15" customHeight="1" x14ac:dyDescent="0.25">
      <c r="A51" s="18"/>
      <c r="B51" s="24"/>
      <c r="C51" s="19"/>
      <c r="D51" s="20"/>
      <c r="E51" s="21"/>
      <c r="F51" s="21"/>
      <c r="G51" s="23"/>
      <c r="H51" s="22"/>
      <c r="I51" s="23"/>
      <c r="J51" s="41"/>
      <c r="K51" s="21"/>
      <c r="M51" s="25"/>
      <c r="N51" s="1">
        <f>2.4*3.281</f>
        <v>7.8743999999999996</v>
      </c>
      <c r="O51" s="1"/>
      <c r="P51" s="1"/>
      <c r="Q51" s="1"/>
      <c r="R51" s="25"/>
      <c r="S51" s="25"/>
    </row>
    <row r="52" spans="1:19" x14ac:dyDescent="0.25">
      <c r="A52" s="40"/>
      <c r="B52" s="46" t="s">
        <v>17</v>
      </c>
      <c r="C52" s="47"/>
      <c r="D52" s="38"/>
      <c r="E52" s="38"/>
      <c r="F52" s="38"/>
      <c r="G52" s="41"/>
      <c r="H52" s="41"/>
      <c r="I52" s="41"/>
      <c r="J52" s="41">
        <f>SUM(J10:J50)</f>
        <v>630250.94622753467</v>
      </c>
      <c r="K52" s="36"/>
    </row>
    <row r="53" spans="1:19" x14ac:dyDescent="0.25">
      <c r="A53" s="58"/>
      <c r="B53" s="61"/>
      <c r="C53" s="62"/>
      <c r="D53" s="59"/>
      <c r="E53" s="59"/>
      <c r="F53" s="59"/>
      <c r="G53" s="60"/>
      <c r="H53" s="60"/>
      <c r="I53" s="60"/>
      <c r="J53" s="60"/>
      <c r="K53" s="57"/>
    </row>
    <row r="54" spans="1:19" s="1" customFormat="1" hidden="1" x14ac:dyDescent="0.25">
      <c r="A54" s="50"/>
      <c r="B54" s="29" t="s">
        <v>80</v>
      </c>
      <c r="C54" s="79">
        <f>J52</f>
        <v>630250.94622753467</v>
      </c>
      <c r="D54" s="79"/>
      <c r="E54" s="39">
        <v>100</v>
      </c>
      <c r="F54" s="51"/>
      <c r="G54" s="52"/>
      <c r="H54" s="51"/>
      <c r="I54" s="53"/>
      <c r="J54" s="54"/>
      <c r="K54" s="55"/>
    </row>
    <row r="55" spans="1:19" hidden="1" x14ac:dyDescent="0.25">
      <c r="A55" s="56"/>
      <c r="B55" s="29" t="s">
        <v>32</v>
      </c>
      <c r="C55" s="82">
        <f>500000+86000</f>
        <v>586000</v>
      </c>
      <c r="D55" s="82"/>
      <c r="E55" s="39"/>
      <c r="F55" s="49"/>
      <c r="G55" s="48"/>
      <c r="H55" s="48"/>
      <c r="I55" s="48"/>
      <c r="J55" s="48"/>
      <c r="K55" s="49"/>
    </row>
    <row r="56" spans="1:19" hidden="1" x14ac:dyDescent="0.25">
      <c r="A56" s="56"/>
      <c r="B56" s="29" t="s">
        <v>33</v>
      </c>
      <c r="C56" s="82">
        <f>84.51%*C54</f>
        <v>532625.07465688966</v>
      </c>
      <c r="D56" s="82"/>
      <c r="E56" s="39">
        <f>C56/C54*100</f>
        <v>84.510000000000019</v>
      </c>
      <c r="F56" s="49"/>
      <c r="G56" s="48"/>
      <c r="H56" s="48"/>
      <c r="I56" s="48"/>
      <c r="J56" s="48"/>
      <c r="K56" s="49"/>
    </row>
    <row r="57" spans="1:19" hidden="1" x14ac:dyDescent="0.25">
      <c r="A57" s="56"/>
      <c r="B57" s="29" t="s">
        <v>34</v>
      </c>
      <c r="C57" s="79">
        <f>C54-C56</f>
        <v>97625.871570645017</v>
      </c>
      <c r="D57" s="79"/>
      <c r="E57" s="39">
        <f>100-E56</f>
        <v>15.489999999999981</v>
      </c>
      <c r="F57" s="49"/>
      <c r="G57" s="48"/>
      <c r="H57" s="48"/>
      <c r="I57" s="48"/>
      <c r="J57" s="48"/>
      <c r="K57" s="49"/>
    </row>
    <row r="58" spans="1:19" hidden="1" x14ac:dyDescent="0.25">
      <c r="A58" s="56"/>
      <c r="B58" s="29" t="s">
        <v>35</v>
      </c>
      <c r="C58" s="79">
        <f>C55*0.03</f>
        <v>17580</v>
      </c>
      <c r="D58" s="79"/>
      <c r="E58" s="39">
        <v>3</v>
      </c>
      <c r="F58" s="49"/>
      <c r="G58" s="48"/>
      <c r="H58" s="48"/>
      <c r="I58" s="48"/>
      <c r="J58" s="48"/>
      <c r="K58" s="49"/>
    </row>
    <row r="59" spans="1:19" hidden="1" x14ac:dyDescent="0.25">
      <c r="A59" s="56"/>
      <c r="B59" s="29" t="s">
        <v>36</v>
      </c>
      <c r="C59" s="79">
        <f>C55*0.02</f>
        <v>11720</v>
      </c>
      <c r="D59" s="79"/>
      <c r="E59" s="39">
        <v>2</v>
      </c>
      <c r="F59" s="49"/>
      <c r="G59" s="48"/>
      <c r="H59" s="48"/>
      <c r="I59" s="48"/>
      <c r="J59" s="48"/>
      <c r="K59" s="49"/>
    </row>
    <row r="60" spans="1:19" s="35" customFormat="1" x14ac:dyDescent="0.25">
      <c r="A60" s="57"/>
      <c r="B60" s="57"/>
      <c r="C60" s="57"/>
      <c r="D60" s="57"/>
      <c r="E60" s="57"/>
      <c r="F60" s="57"/>
      <c r="G60" s="57"/>
      <c r="H60" s="57"/>
      <c r="I60" s="57"/>
      <c r="J60" s="57"/>
      <c r="K60" s="57"/>
    </row>
    <row r="61" spans="1:19" s="35" customFormat="1" x14ac:dyDescent="0.25"/>
    <row r="62" spans="1:19" s="35" customFormat="1" x14ac:dyDescent="0.25"/>
    <row r="63" spans="1:19" s="35" customFormat="1" x14ac:dyDescent="0.25"/>
    <row r="64" spans="1:19"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sheetData>
  <mergeCells count="13">
    <mergeCell ref="C58:D58"/>
    <mergeCell ref="C59:D59"/>
    <mergeCell ref="A7:F7"/>
    <mergeCell ref="C54:D54"/>
    <mergeCell ref="C55:D55"/>
    <mergeCell ref="C56:D56"/>
    <mergeCell ref="C57:D57"/>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9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finalized</vt:lpstr>
      <vt:lpstr>WCR</vt:lpstr>
      <vt:lpstr>Estimate</vt:lpstr>
      <vt:lpstr>Estimate (2)</vt:lpstr>
      <vt:lpstr>V</vt:lpstr>
      <vt:lpstr>M</vt:lpstr>
      <vt:lpstr>Estimate!Print_Area</vt:lpstr>
      <vt:lpstr>'Estimate (2)'!Print_Area</vt:lpstr>
      <vt:lpstr>finalized!Print_Area</vt:lpstr>
      <vt:lpstr>M!Print_Area</vt:lpstr>
      <vt:lpstr>V!Print_Area</vt:lpstr>
      <vt:lpstr>WCR!Print_Area</vt:lpstr>
      <vt:lpstr>Estimate!Print_Titles</vt:lpstr>
      <vt:lpstr>'Estimate (2)'!Print_Titles</vt:lpstr>
      <vt:lpstr>finalized!Print_Titles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2025-06-29T06:30:27Z</cp:lastPrinted>
  <dcterms:created xsi:type="dcterms:W3CDTF">2015-06-05T18:17:20Z</dcterms:created>
  <dcterms:modified xsi:type="dcterms:W3CDTF">2025-06-29T06:33:33Z</dcterms:modified>
</cp:coreProperties>
</file>