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toilet indrayani mandir\"/>
    </mc:Choice>
  </mc:AlternateContent>
  <bookViews>
    <workbookView xWindow="-120" yWindow="-120" windowWidth="20730" windowHeight="11160" activeTab="1"/>
  </bookViews>
  <sheets>
    <sheet name="WCR" sheetId="6" r:id="rId1"/>
    <sheet name="estimate" sheetId="17" r:id="rId2"/>
  </sheets>
  <externalReferences>
    <externalReference r:id="rId3"/>
    <externalReference r:id="rId4"/>
  </externalReferences>
  <definedNames>
    <definedName name="description_124" localSheetId="1">#REF!</definedName>
    <definedName name="description_124">#REF!</definedName>
    <definedName name="description_261">[1]Abstract!$B$33</definedName>
    <definedName name="description_262">[2]Abstract!$B$34</definedName>
    <definedName name="description_6">[2]Abstract!$B$172</definedName>
    <definedName name="description_759">[2]Abstract!$B$278</definedName>
    <definedName name="description_783">[2]Abstract!$B$301</definedName>
    <definedName name="_xlnm.Print_Area" localSheetId="1">estimate!$A$1:$K$83</definedName>
    <definedName name="_xlnm.Print_Titles" localSheetId="1">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9" i="17" l="1"/>
  <c r="D49" i="17"/>
  <c r="E32" i="17"/>
  <c r="G32" i="17" s="1"/>
  <c r="G33" i="17" s="1"/>
  <c r="J34" i="17" s="1"/>
  <c r="F17" i="17"/>
  <c r="F16" i="17"/>
  <c r="E27" i="17"/>
  <c r="G27" i="17" s="1"/>
  <c r="G28" i="17" s="1"/>
  <c r="J29" i="17" s="1"/>
  <c r="E22" i="17"/>
  <c r="D17" i="17"/>
  <c r="D16" i="17"/>
  <c r="C16" i="17"/>
  <c r="G16" i="17" s="1"/>
  <c r="F68" i="17"/>
  <c r="E68" i="17"/>
  <c r="I64" i="17"/>
  <c r="D61" i="17"/>
  <c r="G61" i="17" s="1"/>
  <c r="D59" i="17"/>
  <c r="B61" i="17"/>
  <c r="C62" i="17"/>
  <c r="G62" i="17" s="1"/>
  <c r="D63" i="17"/>
  <c r="I55" i="17"/>
  <c r="F48" i="17"/>
  <c r="E48" i="17"/>
  <c r="C48" i="17"/>
  <c r="F47" i="17"/>
  <c r="G47" i="17" s="1"/>
  <c r="F37" i="17"/>
  <c r="D37" i="17"/>
  <c r="F11" i="17"/>
  <c r="I12" i="17"/>
  <c r="D11" i="17"/>
  <c r="C11" i="17"/>
  <c r="F10" i="17"/>
  <c r="G10" i="17" s="1"/>
  <c r="F45" i="17"/>
  <c r="F44" i="17"/>
  <c r="C83" i="17"/>
  <c r="C82" i="17"/>
  <c r="D44" i="17"/>
  <c r="F43" i="17"/>
  <c r="D43" i="17"/>
  <c r="D42" i="17"/>
  <c r="J33" i="17" l="1"/>
  <c r="J28" i="17"/>
  <c r="G22" i="17"/>
  <c r="G17" i="17"/>
  <c r="G18" i="17" s="1"/>
  <c r="C80" i="17"/>
  <c r="G37" i="17"/>
  <c r="G38" i="17" s="1"/>
  <c r="J38" i="17" s="1"/>
  <c r="J39" i="17" s="1"/>
  <c r="G48" i="17"/>
  <c r="G43" i="17"/>
  <c r="G11" i="17"/>
  <c r="G12" i="17" s="1"/>
  <c r="G23" i="17" l="1"/>
  <c r="J24" i="17" s="1"/>
  <c r="J23" i="17"/>
  <c r="J12" i="17"/>
  <c r="J13" i="17"/>
  <c r="J19" i="17"/>
  <c r="J18" i="17"/>
  <c r="G68" i="17" l="1"/>
  <c r="G69" i="17" s="1"/>
  <c r="J69" i="17" l="1"/>
  <c r="J70" i="17"/>
  <c r="G74" i="17"/>
  <c r="J74" i="17" s="1"/>
  <c r="G72" i="17"/>
  <c r="J72" i="17" s="1"/>
  <c r="E60" i="17"/>
  <c r="C60" i="17"/>
  <c r="C46" i="17"/>
  <c r="G46" i="17" s="1"/>
  <c r="E45" i="17"/>
  <c r="C45" i="17"/>
  <c r="G60" i="17" l="1"/>
  <c r="G59" i="17"/>
  <c r="G63" i="17"/>
  <c r="G44" i="17"/>
  <c r="G45" i="17"/>
  <c r="G42" i="17"/>
  <c r="G50" i="17" l="1"/>
  <c r="J50" i="17"/>
  <c r="G64" i="17"/>
  <c r="J65" i="17"/>
  <c r="J64" i="17" l="1"/>
  <c r="G54" i="17"/>
  <c r="G55" i="17" s="1"/>
  <c r="J56" i="17" s="1"/>
  <c r="J51" i="17"/>
  <c r="J55" i="17" l="1"/>
  <c r="J76" i="17" l="1"/>
  <c r="C78" i="17" s="1"/>
  <c r="A9" i="6"/>
  <c r="A8" i="6"/>
  <c r="H16" i="6"/>
  <c r="E16" i="6"/>
  <c r="C16" i="6"/>
  <c r="B16" i="6"/>
  <c r="A16" i="6"/>
  <c r="B14" i="6"/>
  <c r="H13" i="6"/>
  <c r="E13" i="6"/>
  <c r="C13" i="6"/>
  <c r="A13" i="6"/>
  <c r="E80" i="17" l="1"/>
  <c r="E81" i="17" s="1"/>
  <c r="C81" i="17"/>
  <c r="G16" i="6"/>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<sst xmlns="http://schemas.openxmlformats.org/spreadsheetml/2006/main" count="116" uniqueCount="69">
  <si>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</si>
  <si>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</si>
  <si>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</si>
  <si>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</si>
  <si>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</si>
  <si>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</si>
  <si>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</si>
  <si>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</si>
  <si>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</si>
  <si>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</si>
  <si>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</si>
  <si>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</si>
  <si>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</si>
  <si>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</si>
  <si>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</si>
  <si>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</si>
  <si>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</si>
  <si>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</si>
  <si>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</si>
  <si>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</si>
  <si>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</si>
  <si>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</si>
  <si>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</si>
  <si>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</si>
  <si>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</si>
  <si>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</si>
  <si>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</si>
  <si>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</si>
  <si>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</si>
  <si>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</si>
  <si>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</si>
  <si>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</si>
  <si>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</si>
  <si>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</si>
  <si>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</si>
  <si>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</si>
  <si>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</si>
  <si>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</si>
  <si>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</si>
  <si>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 dL=dL= l;d]G6 afn'jf -!M$_ Knfi6/</t>
  </si>
  <si>
    <t>sqm</t>
  </si>
  <si>
    <r>
      <t>kf]/l;lng Un]H8 6fO{n</t>
    </r>
    <r>
      <rPr>
        <sz val="10"/>
        <rFont val="Arial"/>
        <family val="2"/>
      </rPr>
      <t>(Ordinary floor and Wall Tile-as per approved standard of manufactured country</t>
    </r>
    <r>
      <rPr>
        <sz val="14"/>
        <rFont val="Arial"/>
        <family val="2"/>
      </rPr>
      <t>)</t>
    </r>
    <r>
      <rPr>
        <sz val="14"/>
        <rFont val="Preeti"/>
      </rPr>
      <t xml:space="preserve"> !M$ l;d]G6 afn'jfdf 5fKg] sfd .</t>
    </r>
  </si>
  <si>
    <t>-Outer face of Toilet wall</t>
  </si>
  <si>
    <t>-Inner face of Toilet wall</t>
  </si>
  <si>
    <t>-Deduction for door</t>
  </si>
  <si>
    <t>-Deduction for window</t>
  </si>
  <si>
    <t>-Floor</t>
  </si>
  <si>
    <t xml:space="preserve"> Ps sf]6 k|fO{d/ ;lxt b'O{ sf]6 tof/L jf;]jn l8:6]Dk/ nufpg] sfd .</t>
  </si>
  <si>
    <t>As per plaster</t>
  </si>
  <si>
    <t>Project:- इन्द्रायणी सार्वजनिक शौचालय बनाउने काम  (भैपरी आउने बिबिध पुँजिगत खर्च)</t>
  </si>
  <si>
    <t>Providing and fixing Single Panel Casement (Hinged) door of aluminium section in natural or color anodized/powder coated color section size(102x45x1.5 mm) fitted with 5 mm clear glass of 9 mm both side laminated board  (excluding the cost of handle and door closer).</t>
  </si>
  <si>
    <t>F.Y.: 2081/82</t>
  </si>
  <si>
    <t xml:space="preserve">Date:              </t>
  </si>
  <si>
    <t>Detail Estimated Sheet</t>
  </si>
  <si>
    <t>-Window</t>
  </si>
  <si>
    <t>e'O{+tNnfdf lrDgL e§fsf] O{+6fsf] uf/f] l;d]G6 d;nf -!M$_ df</t>
  </si>
  <si>
    <t>-partition wall</t>
  </si>
  <si>
    <t>cum</t>
  </si>
  <si>
    <t>-VAT 13% for materials only</t>
  </si>
  <si>
    <t>-for partition wall</t>
  </si>
  <si>
    <t xml:space="preserve">$ dL=dL= df]6fO{sf] P]gf sf7sf] lni6L nufO{ hf]8\g] sfd=   </t>
  </si>
  <si>
    <t>-for steps</t>
  </si>
  <si>
    <t>e'O{+tNnfdf lrDgL e§fsf] O{+6fsf] uf/f] l;d]G6 d;nf -!M^_ df</t>
  </si>
  <si>
    <t>;'Vvf O{6f RofK6f] 5fKg] sfd</t>
  </si>
  <si>
    <t>hu leQf kvf{ndf l;d]G6 s+lqm6 ug]{ sfd-lk=;L=;L= !M#M^_</t>
  </si>
  <si>
    <t>hu leQf kvf{ndf l;d]G6 s+lqm6 ug]{ sfd -lk=;L=;L= !M@M$_</t>
  </si>
  <si>
    <t>-Ceiling</t>
  </si>
  <si>
    <t>Provisional sum other unforseen works/items</t>
  </si>
  <si>
    <t>PS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</si>
</sst>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sz val="10"/>
      <name val="Arial"/>
      <family val="2"/>
    </font>
    <font>
      <sz val="1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5">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4"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8" fillId="3" borderId="1" xfId="0" applyFont="1" applyFill="1" applyBorder="1" applyAlignment="1">
      <alignment vertical="top" wrapText="1"/>
    </xf>
    <xf numFmtId="0" fontId="18" fillId="3" borderId="1" xfId="0" applyFont="1" applyFill="1" applyBorder="1" applyAlignment="1">
      <alignment horizontal="left" wrapText="1"/>
    </xf>
    <xf numFmtId="0" fontId="2" fillId="0" borderId="1" xfId="0" applyFont="1" applyBorder="1" applyAlignment="1"/>
    <xf numFmtId="0" fontId="17" fillId="3" borderId="1" xfId="0" applyFont="1" applyFill="1" applyBorder="1" applyAlignment="1">
      <alignment wrapText="1"/>
    </xf>
    <xf numFmtId="164"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xf numFmtId="0" fontId="6" fillId="0" borderId="0" xfId="0" applyFont="1" applyAlignment="1">
      <alignment horizontal="right"/>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E23" sqref="E2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5703125" bestFit="1" customWidth="1"/>
  </cols>
  <sheetData>
    <row r="1" spans="1:11" x14ac:dyDescent="0.25">
      <c r="A1" s="64" t="s">
        <v>0</v>
      </c>
      <c r="B1" s="64"/>
      <c r="C1" s="64"/>
      <c r="D1" s="64"/>
      <c r="E1" s="64"/>
      <c r="F1" s="64"/>
      <c r="G1" s="64"/>
      <c r="H1" s="64"/>
      <c r="I1" s="64"/>
      <c r="J1" s="64"/>
      <c r="K1" s="64"/>
    </row>
    <row r="2" spans="1:11" ht="25.5" x14ac:dyDescent="0.35">
      <c r="A2" s="65" t="s">
        <v>1</v>
      </c>
      <c r="B2" s="65"/>
      <c r="C2" s="65"/>
      <c r="D2" s="65"/>
      <c r="E2" s="65"/>
      <c r="F2" s="65"/>
      <c r="G2" s="65"/>
      <c r="H2" s="65"/>
      <c r="I2" s="65"/>
      <c r="J2" s="65"/>
      <c r="K2" s="65"/>
    </row>
    <row r="3" spans="1:11" s="1" customFormat="1" x14ac:dyDescent="0.25">
      <c r="A3" s="66" t="s">
        <v>2</v>
      </c>
      <c r="B3" s="66"/>
      <c r="C3" s="66"/>
      <c r="D3" s="66"/>
      <c r="E3" s="66"/>
      <c r="F3" s="66"/>
      <c r="G3" s="66"/>
      <c r="H3" s="66"/>
      <c r="I3" s="66"/>
      <c r="J3" s="66"/>
      <c r="K3" s="66"/>
    </row>
    <row r="4" spans="1:11" s="1" customFormat="1" x14ac:dyDescent="0.25">
      <c r="A4" s="66" t="s">
        <v>3</v>
      </c>
      <c r="B4" s="66"/>
      <c r="C4" s="66"/>
      <c r="D4" s="66"/>
      <c r="E4" s="66"/>
      <c r="F4" s="66"/>
      <c r="G4" s="66"/>
      <c r="H4" s="66"/>
      <c r="I4" s="66"/>
      <c r="J4" s="66"/>
      <c r="K4" s="66"/>
    </row>
    <row r="5" spans="1:11" ht="18.75" x14ac:dyDescent="0.3">
      <c r="A5" s="67" t="s">
        <v>16</v>
      </c>
      <c r="B5" s="67"/>
      <c r="C5" s="67"/>
      <c r="D5" s="67"/>
      <c r="E5" s="67"/>
      <c r="F5" s="67"/>
      <c r="G5" s="67"/>
      <c r="H5" s="67"/>
      <c r="I5" s="67"/>
      <c r="J5" s="67"/>
      <c r="K5" s="67"/>
    </row>
    <row r="6" spans="1:11" ht="18.75" x14ac:dyDescent="0.3">
      <c r="A6" s="10" t="s">
        <v>17</v>
      </c>
      <c r="B6" s="10"/>
      <c r="C6" s="62" t="e">
        <f>F18</f>
        <v>#REF!</v>
      </c>
      <c r="D6" s="63"/>
      <c r="E6" s="11"/>
      <c r="F6" s="10"/>
      <c r="G6" s="10"/>
      <c r="H6" s="10" t="s">
        <v>18</v>
      </c>
      <c r="I6" s="10"/>
      <c r="J6" s="62" t="e">
        <f>I18</f>
        <v>#REF!</v>
      </c>
      <c r="K6" s="63"/>
    </row>
    <row r="7" spans="1:11" x14ac:dyDescent="0.25">
      <c r="A7" s="32" t="s">
        <v>27</v>
      </c>
      <c r="B7" s="12"/>
      <c r="C7" s="12"/>
      <c r="D7" s="12"/>
      <c r="F7" s="37"/>
      <c r="G7" s="37"/>
      <c r="I7" s="71" t="s">
        <v>37</v>
      </c>
      <c r="J7" s="71"/>
      <c r="K7" s="71"/>
    </row>
    <row r="8" spans="1:11" ht="15.75" x14ac:dyDescent="0.25">
      <c r="A8" s="70" t="e">
        <f>#REF!</f>
        <v>#REF!</v>
      </c>
      <c r="B8" s="70"/>
      <c r="C8" s="70"/>
      <c r="D8" s="70"/>
      <c r="E8" s="70"/>
      <c r="F8" s="70"/>
      <c r="I8" s="72" t="s">
        <v>35</v>
      </c>
      <c r="J8" s="72"/>
      <c r="K8" s="72"/>
    </row>
    <row r="9" spans="1:11" x14ac:dyDescent="0.25">
      <c r="A9" s="73" t="e">
        <f>#REF!</f>
        <v>#REF!</v>
      </c>
      <c r="B9" s="73"/>
      <c r="C9" s="73"/>
      <c r="D9" s="73"/>
      <c r="E9" s="73"/>
      <c r="F9" s="73"/>
      <c r="I9" s="72" t="s">
        <v>36</v>
      </c>
      <c r="J9" s="72"/>
      <c r="K9" s="72"/>
    </row>
    <row r="11" spans="1:11" x14ac:dyDescent="0.25">
      <c r="A11" s="68" t="s">
        <v>19</v>
      </c>
      <c r="B11" s="68" t="s">
        <v>20</v>
      </c>
      <c r="C11" s="68" t="s">
        <v>11</v>
      </c>
      <c r="D11" s="74" t="s">
        <v>21</v>
      </c>
      <c r="E11" s="74"/>
      <c r="F11" s="74"/>
      <c r="G11" s="74" t="s">
        <v>22</v>
      </c>
      <c r="H11" s="74"/>
      <c r="I11" s="74"/>
      <c r="J11" s="68" t="s">
        <v>23</v>
      </c>
      <c r="K11" s="69" t="s">
        <v>14</v>
      </c>
    </row>
    <row r="12" spans="1:11" x14ac:dyDescent="0.25">
      <c r="A12" s="68"/>
      <c r="B12" s="68"/>
      <c r="C12" s="68"/>
      <c r="D12" s="13" t="s">
        <v>24</v>
      </c>
      <c r="E12" s="13" t="s">
        <v>12</v>
      </c>
      <c r="F12" s="13" t="s">
        <v>13</v>
      </c>
      <c r="G12" s="13" t="s">
        <v>24</v>
      </c>
      <c r="H12" s="13" t="s">
        <v>12</v>
      </c>
      <c r="I12" s="13" t="s">
        <v>13</v>
      </c>
      <c r="J12" s="68"/>
      <c r="K12" s="69"/>
    </row>
    <row r="13" spans="1:11" s="1" customFormat="1" x14ac:dyDescent="0.25">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25">
      <c r="A14" s="33"/>
      <c r="B14" s="36" t="e">
        <f>#REF!</f>
        <v>#REF!</v>
      </c>
      <c r="C14" s="14"/>
      <c r="D14" s="14"/>
      <c r="E14" s="14"/>
      <c r="F14" s="14" t="e">
        <f>#REF!</f>
        <v>#REF!</v>
      </c>
      <c r="G14" s="14"/>
      <c r="H14" s="14"/>
      <c r="I14" s="14" t="e">
        <f>#REF!</f>
        <v>#REF!</v>
      </c>
      <c r="J14" s="34" t="e">
        <f t="shared" si="0"/>
        <v>#REF!</v>
      </c>
      <c r="K14" s="17"/>
    </row>
    <row r="15" spans="1:11" s="1" customFormat="1" x14ac:dyDescent="0.25">
      <c r="A15" s="33"/>
      <c r="B15" s="36"/>
      <c r="C15" s="14"/>
      <c r="D15" s="14"/>
      <c r="E15" s="14"/>
      <c r="F15" s="14"/>
      <c r="G15" s="14"/>
      <c r="H15" s="14"/>
      <c r="I15" s="14"/>
      <c r="J15" s="34"/>
      <c r="K15" s="17"/>
    </row>
    <row r="16" spans="1:11" s="1" customFormat="1" x14ac:dyDescent="0.25">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25">
      <c r="A17" s="35"/>
      <c r="B17" s="35"/>
      <c r="C17" s="14"/>
      <c r="D17" s="14"/>
      <c r="E17" s="14"/>
      <c r="F17" s="14"/>
      <c r="G17" s="14"/>
      <c r="H17" s="14"/>
      <c r="I17" s="14"/>
      <c r="J17" s="34"/>
      <c r="K17" s="17"/>
    </row>
    <row r="18" spans="1:11" x14ac:dyDescent="0.25">
      <c r="A18" s="5"/>
      <c r="B18" s="6" t="s">
        <v>15</v>
      </c>
      <c r="C18" s="6"/>
      <c r="D18" s="8"/>
      <c r="E18" s="8"/>
      <c r="F18" s="8" t="e">
        <f>SUM(F13:F16)</f>
        <v>#REF!</v>
      </c>
      <c r="G18" s="8"/>
      <c r="H18" s="8"/>
      <c r="I18" s="8" t="e">
        <f>SUM(I13:I16)</f>
        <v>#REF!</v>
      </c>
      <c r="J18" s="15" t="e">
        <f>I18-F18</f>
        <v>#REF!</v>
      </c>
      <c r="K18"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3"/>
  <sheetViews>
    <sheetView tabSelected="1" topLeftCell="A61" zoomScaleNormal="100" zoomScaleSheetLayoutView="80" workbookViewId="0">
      <selection activeCell="H73" sqref="H73"/>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1" s="1" customFormat="1" x14ac:dyDescent="0.25">
      <c r="A1" s="82" t="s">
        <v>0</v>
      </c>
      <c r="B1" s="82"/>
      <c r="C1" s="82"/>
      <c r="D1" s="82"/>
      <c r="E1" s="82"/>
      <c r="F1" s="82"/>
      <c r="G1" s="82"/>
      <c r="H1" s="82"/>
      <c r="I1" s="82"/>
      <c r="J1" s="82"/>
      <c r="K1" s="82"/>
    </row>
    <row r="2" spans="1:11" s="1" customFormat="1" ht="22.5" x14ac:dyDescent="0.25">
      <c r="A2" s="83" t="s">
        <v>1</v>
      </c>
      <c r="B2" s="83"/>
      <c r="C2" s="83"/>
      <c r="D2" s="83"/>
      <c r="E2" s="83"/>
      <c r="F2" s="83"/>
      <c r="G2" s="83"/>
      <c r="H2" s="83"/>
      <c r="I2" s="83"/>
      <c r="J2" s="83"/>
      <c r="K2" s="83"/>
    </row>
    <row r="3" spans="1:11" s="1" customFormat="1" x14ac:dyDescent="0.25">
      <c r="A3" s="66" t="s">
        <v>2</v>
      </c>
      <c r="B3" s="66"/>
      <c r="C3" s="66"/>
      <c r="D3" s="66"/>
      <c r="E3" s="66"/>
      <c r="F3" s="66"/>
      <c r="G3" s="66"/>
      <c r="H3" s="66"/>
      <c r="I3" s="66"/>
      <c r="J3" s="66"/>
      <c r="K3" s="66"/>
    </row>
    <row r="4" spans="1:11" s="1" customFormat="1" x14ac:dyDescent="0.25">
      <c r="A4" s="66" t="s">
        <v>3</v>
      </c>
      <c r="B4" s="66"/>
      <c r="C4" s="66"/>
      <c r="D4" s="66"/>
      <c r="E4" s="66"/>
      <c r="F4" s="66"/>
      <c r="G4" s="66"/>
      <c r="H4" s="66"/>
      <c r="I4" s="66"/>
      <c r="J4" s="66"/>
      <c r="K4" s="66"/>
    </row>
    <row r="5" spans="1:11" ht="18.75" x14ac:dyDescent="0.3">
      <c r="A5" s="84" t="s">
        <v>53</v>
      </c>
      <c r="B5" s="84"/>
      <c r="C5" s="84"/>
      <c r="D5" s="84"/>
      <c r="E5" s="84"/>
      <c r="F5" s="84"/>
      <c r="G5" s="84"/>
      <c r="H5" s="84"/>
      <c r="I5" s="84"/>
      <c r="J5" s="84"/>
      <c r="K5" s="84"/>
    </row>
    <row r="6" spans="1:11" ht="15.75" x14ac:dyDescent="0.25">
      <c r="A6" s="42" t="s">
        <v>49</v>
      </c>
      <c r="B6" s="42"/>
      <c r="C6" s="42"/>
      <c r="D6" s="42"/>
      <c r="E6" s="42"/>
      <c r="F6" s="42"/>
      <c r="G6" s="2"/>
      <c r="H6" s="76" t="s">
        <v>51</v>
      </c>
      <c r="I6" s="76"/>
      <c r="J6" s="76"/>
      <c r="K6" s="76"/>
    </row>
    <row r="7" spans="1:11" ht="15.75" x14ac:dyDescent="0.25">
      <c r="A7" s="75" t="s">
        <v>26</v>
      </c>
      <c r="B7" s="75"/>
      <c r="C7" s="75"/>
      <c r="D7" s="75"/>
      <c r="E7" s="75"/>
      <c r="F7" s="75"/>
      <c r="G7" s="3"/>
      <c r="H7" s="76" t="s">
        <v>52</v>
      </c>
      <c r="I7" s="76"/>
      <c r="J7" s="76"/>
      <c r="K7" s="76"/>
    </row>
    <row r="8" spans="1:11" ht="15" customHeight="1" x14ac:dyDescent="0.25">
      <c r="A8" s="4" t="s">
        <v>4</v>
      </c>
      <c r="B8" s="23" t="s">
        <v>5</v>
      </c>
      <c r="C8" s="4" t="s">
        <v>6</v>
      </c>
      <c r="D8" s="24" t="s">
        <v>7</v>
      </c>
      <c r="E8" s="24" t="s">
        <v>8</v>
      </c>
      <c r="F8" s="24" t="s">
        <v>9</v>
      </c>
      <c r="G8" s="24" t="s">
        <v>10</v>
      </c>
      <c r="H8" s="4" t="s">
        <v>11</v>
      </c>
      <c r="I8" s="24" t="s">
        <v>12</v>
      </c>
      <c r="J8" s="24" t="s">
        <v>13</v>
      </c>
      <c r="K8" s="25" t="s">
        <v>14</v>
      </c>
    </row>
    <row r="9" spans="1:11" ht="30" x14ac:dyDescent="0.25">
      <c r="A9" s="43">
        <v>1</v>
      </c>
      <c r="B9" s="48" t="s">
        <v>55</v>
      </c>
      <c r="C9" s="46"/>
      <c r="D9" s="14"/>
      <c r="E9" s="14"/>
      <c r="F9" s="14"/>
      <c r="G9" s="47"/>
      <c r="H9" s="47"/>
      <c r="I9" s="47"/>
      <c r="J9" s="40"/>
      <c r="K9" s="16"/>
    </row>
    <row r="10" spans="1:11" ht="15" customHeight="1" x14ac:dyDescent="0.25">
      <c r="A10" s="43"/>
      <c r="B10" s="45" t="s">
        <v>56</v>
      </c>
      <c r="C10" s="46">
        <v>2</v>
      </c>
      <c r="D10" s="14">
        <v>1.78</v>
      </c>
      <c r="E10" s="14">
        <v>0.1</v>
      </c>
      <c r="F10" s="14">
        <f>7/3.281</f>
        <v>2.1334958854007922</v>
      </c>
      <c r="G10" s="14">
        <f t="shared" ref="G10:G11" si="0">PRODUCT(C10:F10)</f>
        <v>0.75952453520268204</v>
      </c>
      <c r="H10" s="47"/>
      <c r="I10" s="44"/>
      <c r="J10" s="44"/>
      <c r="K10" s="16"/>
    </row>
    <row r="11" spans="1:11" ht="15" customHeight="1" x14ac:dyDescent="0.25">
      <c r="A11" s="43"/>
      <c r="B11" s="45" t="s">
        <v>44</v>
      </c>
      <c r="C11" s="46">
        <f>-2</f>
        <v>-2</v>
      </c>
      <c r="D11" s="14">
        <f>2.5/3.281</f>
        <v>0.76196281621456874</v>
      </c>
      <c r="E11" s="14">
        <v>0.1</v>
      </c>
      <c r="F11" s="14">
        <f>6.5/3.281</f>
        <v>1.9811033221578787</v>
      </c>
      <c r="G11" s="14">
        <f t="shared" si="0"/>
        <v>-0.30190541331269105</v>
      </c>
      <c r="H11" s="47"/>
      <c r="I11" s="44"/>
      <c r="J11" s="44"/>
      <c r="K11" s="16"/>
    </row>
    <row r="12" spans="1:11" ht="15" customHeight="1" x14ac:dyDescent="0.25">
      <c r="A12" s="43"/>
      <c r="B12" s="45" t="s">
        <v>38</v>
      </c>
      <c r="C12" s="46"/>
      <c r="D12" s="14"/>
      <c r="E12" s="14"/>
      <c r="F12" s="14"/>
      <c r="G12" s="44">
        <f>SUM(G10:G11)</f>
        <v>0.45761912188999099</v>
      </c>
      <c r="H12" s="44" t="s">
        <v>57</v>
      </c>
      <c r="I12" s="44">
        <f>14671.52</f>
        <v>14671.52</v>
      </c>
      <c r="J12" s="44">
        <f>G12*I12</f>
        <v>6713.9680991914411</v>
      </c>
      <c r="K12" s="16"/>
    </row>
    <row r="13" spans="1:11" ht="15" customHeight="1" x14ac:dyDescent="0.25">
      <c r="A13" s="43"/>
      <c r="B13" s="45" t="s">
        <v>58</v>
      </c>
      <c r="C13" s="46"/>
      <c r="D13" s="14"/>
      <c r="E13" s="14"/>
      <c r="F13" s="14"/>
      <c r="G13" s="44"/>
      <c r="H13" s="44"/>
      <c r="I13" s="44"/>
      <c r="J13" s="44">
        <f>0.13*G12*10620.51</f>
        <v>631.81929982910287</v>
      </c>
      <c r="K13" s="16"/>
    </row>
    <row r="14" spans="1:11" ht="15" customHeight="1" x14ac:dyDescent="0.25">
      <c r="A14" s="43"/>
      <c r="B14" s="45"/>
      <c r="C14" s="46"/>
      <c r="D14" s="14"/>
      <c r="E14" s="14"/>
      <c r="F14" s="14"/>
      <c r="G14" s="47"/>
      <c r="H14" s="47"/>
      <c r="I14" s="47"/>
      <c r="J14" s="40"/>
      <c r="K14" s="16"/>
    </row>
    <row r="15" spans="1:11" ht="30" x14ac:dyDescent="0.25">
      <c r="A15" s="43">
        <v>2</v>
      </c>
      <c r="B15" s="48" t="s">
        <v>62</v>
      </c>
      <c r="C15" s="46"/>
      <c r="D15" s="14"/>
      <c r="E15" s="14"/>
      <c r="F15" s="14"/>
      <c r="G15" s="47"/>
      <c r="H15" s="47"/>
      <c r="I15" s="47"/>
      <c r="J15" s="40"/>
      <c r="K15" s="16"/>
    </row>
    <row r="16" spans="1:11" ht="15" customHeight="1" x14ac:dyDescent="0.25">
      <c r="A16" s="43"/>
      <c r="B16" s="45" t="s">
        <v>61</v>
      </c>
      <c r="C16" s="46">
        <f>2*3</f>
        <v>6</v>
      </c>
      <c r="D16" s="14">
        <f>10/12/3.281</f>
        <v>0.25398760540485626</v>
      </c>
      <c r="E16" s="14">
        <v>0.23</v>
      </c>
      <c r="F16" s="14">
        <f>6/12/3.281</f>
        <v>0.15239256324291373</v>
      </c>
      <c r="G16" s="14">
        <f t="shared" ref="G16:G17" si="1">PRODUCT(C16:F16)</f>
        <v>5.3414034663014573E-2</v>
      </c>
      <c r="H16" s="47"/>
      <c r="I16" s="44"/>
      <c r="J16" s="44"/>
      <c r="K16" s="16"/>
    </row>
    <row r="17" spans="1:11" ht="15" customHeight="1" x14ac:dyDescent="0.25">
      <c r="A17" s="43"/>
      <c r="B17" s="45"/>
      <c r="C17" s="46">
        <v>2</v>
      </c>
      <c r="D17" s="14">
        <f>4.16-0.23*2</f>
        <v>3.7</v>
      </c>
      <c r="E17" s="14">
        <v>0.23</v>
      </c>
      <c r="F17" s="14">
        <f>6/12/3.281</f>
        <v>0.15239256324291373</v>
      </c>
      <c r="G17" s="14">
        <f t="shared" si="1"/>
        <v>0.2593721426394392</v>
      </c>
      <c r="H17" s="47"/>
      <c r="I17" s="44"/>
      <c r="J17" s="44"/>
      <c r="K17" s="16"/>
    </row>
    <row r="18" spans="1:11" ht="15" customHeight="1" x14ac:dyDescent="0.25">
      <c r="A18" s="43"/>
      <c r="B18" s="45" t="s">
        <v>38</v>
      </c>
      <c r="C18" s="46"/>
      <c r="D18" s="14"/>
      <c r="E18" s="14"/>
      <c r="F18" s="14"/>
      <c r="G18" s="44">
        <f>SUM(G16:G17)</f>
        <v>0.31278617730245378</v>
      </c>
      <c r="H18" s="44" t="s">
        <v>57</v>
      </c>
      <c r="I18" s="44">
        <v>14362.76</v>
      </c>
      <c r="J18" s="44">
        <f>G18*I18</f>
        <v>4492.4727959125912</v>
      </c>
      <c r="K18" s="16"/>
    </row>
    <row r="19" spans="1:11" ht="15" customHeight="1" x14ac:dyDescent="0.25">
      <c r="A19" s="43"/>
      <c r="B19" s="45" t="s">
        <v>58</v>
      </c>
      <c r="C19" s="46"/>
      <c r="D19" s="14"/>
      <c r="E19" s="14"/>
      <c r="F19" s="14"/>
      <c r="G19" s="44"/>
      <c r="H19" s="44"/>
      <c r="I19" s="44"/>
      <c r="J19" s="44">
        <f>0.13*G18*10311.74</f>
        <v>419.29806567178463</v>
      </c>
      <c r="K19" s="16"/>
    </row>
    <row r="20" spans="1:11" ht="15" customHeight="1" x14ac:dyDescent="0.25">
      <c r="A20" s="43"/>
      <c r="B20" s="45"/>
      <c r="C20" s="46"/>
      <c r="D20" s="14"/>
      <c r="E20" s="14"/>
      <c r="F20" s="14"/>
      <c r="G20" s="44"/>
      <c r="H20" s="44"/>
      <c r="I20" s="44"/>
      <c r="J20" s="44"/>
      <c r="K20" s="16"/>
    </row>
    <row r="21" spans="1:11" s="37" customFormat="1" ht="15" customHeight="1" x14ac:dyDescent="0.25">
      <c r="A21" s="54">
        <v>3</v>
      </c>
      <c r="B21" s="55" t="s">
        <v>63</v>
      </c>
      <c r="C21" s="56"/>
      <c r="D21" s="57"/>
      <c r="E21" s="57"/>
      <c r="F21" s="57"/>
      <c r="G21" s="58"/>
      <c r="H21" s="58"/>
      <c r="I21" s="58"/>
      <c r="J21" s="58"/>
      <c r="K21" s="59"/>
    </row>
    <row r="22" spans="1:11" s="37" customFormat="1" ht="15" customHeight="1" x14ac:dyDescent="0.25">
      <c r="A22" s="54"/>
      <c r="B22" s="60" t="s">
        <v>61</v>
      </c>
      <c r="C22" s="56">
        <v>1</v>
      </c>
      <c r="D22" s="57">
        <v>4.16</v>
      </c>
      <c r="E22" s="57">
        <f>10/12/3.281</f>
        <v>0.25398760540485626</v>
      </c>
      <c r="F22" s="57"/>
      <c r="G22" s="57">
        <f t="shared" ref="G22" si="2">PRODUCT(C22:F22)</f>
        <v>1.0565884384842021</v>
      </c>
      <c r="H22" s="61"/>
      <c r="I22" s="58"/>
      <c r="J22" s="58"/>
      <c r="K22" s="59"/>
    </row>
    <row r="23" spans="1:11" s="37" customFormat="1" ht="15" customHeight="1" x14ac:dyDescent="0.25">
      <c r="A23" s="54"/>
      <c r="B23" s="60" t="s">
        <v>38</v>
      </c>
      <c r="C23" s="56"/>
      <c r="D23" s="57"/>
      <c r="E23" s="57"/>
      <c r="F23" s="57"/>
      <c r="G23" s="58">
        <f>SUM(G22:G22)</f>
        <v>1.0565884384842021</v>
      </c>
      <c r="H23" s="58" t="s">
        <v>40</v>
      </c>
      <c r="I23" s="58">
        <v>1014.97</v>
      </c>
      <c r="J23" s="58">
        <f>G23*I23</f>
        <v>1072.4055674083106</v>
      </c>
      <c r="K23" s="59"/>
    </row>
    <row r="24" spans="1:11" s="37" customFormat="1" ht="15" customHeight="1" x14ac:dyDescent="0.25">
      <c r="A24" s="54"/>
      <c r="B24" s="60" t="s">
        <v>58</v>
      </c>
      <c r="C24" s="56"/>
      <c r="D24" s="57"/>
      <c r="E24" s="57"/>
      <c r="F24" s="57"/>
      <c r="G24" s="58"/>
      <c r="H24" s="58"/>
      <c r="I24" s="58"/>
      <c r="J24" s="58">
        <f>0.13*G23*(8617.2/10)</f>
        <v>118.36284059737886</v>
      </c>
      <c r="K24" s="59"/>
    </row>
    <row r="25" spans="1:11" s="37" customFormat="1" ht="15" customHeight="1" x14ac:dyDescent="0.25">
      <c r="A25" s="54"/>
      <c r="B25" s="60"/>
      <c r="C25" s="56"/>
      <c r="D25" s="57"/>
      <c r="E25" s="57"/>
      <c r="F25" s="57"/>
      <c r="G25" s="58"/>
      <c r="H25" s="58"/>
      <c r="I25" s="58"/>
      <c r="J25" s="58"/>
      <c r="K25" s="59"/>
    </row>
    <row r="26" spans="1:11" s="37" customFormat="1" ht="30.75" x14ac:dyDescent="0.25">
      <c r="A26" s="54">
        <v>4</v>
      </c>
      <c r="B26" s="55" t="s">
        <v>64</v>
      </c>
      <c r="C26" s="56"/>
      <c r="D26" s="57"/>
      <c r="E26" s="57"/>
      <c r="F26" s="57"/>
      <c r="G26" s="58"/>
      <c r="H26" s="58"/>
      <c r="I26" s="58"/>
      <c r="J26" s="58"/>
      <c r="K26" s="59"/>
    </row>
    <row r="27" spans="1:11" ht="15" customHeight="1" x14ac:dyDescent="0.25">
      <c r="A27" s="43"/>
      <c r="B27" s="45" t="s">
        <v>61</v>
      </c>
      <c r="C27" s="46">
        <v>1</v>
      </c>
      <c r="D27" s="14">
        <v>4.16</v>
      </c>
      <c r="E27" s="14">
        <f>10/12/3.281</f>
        <v>0.25398760540485626</v>
      </c>
      <c r="F27" s="14">
        <v>0.05</v>
      </c>
      <c r="G27" s="14">
        <f t="shared" ref="G27" si="3">PRODUCT(C27:F27)</f>
        <v>5.2829421924210113E-2</v>
      </c>
      <c r="H27" s="47"/>
      <c r="I27" s="44"/>
      <c r="J27" s="44"/>
      <c r="K27" s="16"/>
    </row>
    <row r="28" spans="1:11" ht="15" customHeight="1" x14ac:dyDescent="0.25">
      <c r="A28" s="43"/>
      <c r="B28" s="45" t="s">
        <v>38</v>
      </c>
      <c r="C28" s="46"/>
      <c r="D28" s="14"/>
      <c r="E28" s="14"/>
      <c r="F28" s="14"/>
      <c r="G28" s="44">
        <f>SUM(G27:G27)</f>
        <v>5.2829421924210113E-2</v>
      </c>
      <c r="H28" s="44" t="s">
        <v>57</v>
      </c>
      <c r="I28" s="44">
        <v>11971.71</v>
      </c>
      <c r="J28" s="44">
        <f>G28*I28</f>
        <v>632.45851874428536</v>
      </c>
      <c r="K28" s="16"/>
    </row>
    <row r="29" spans="1:11" ht="15" customHeight="1" x14ac:dyDescent="0.25">
      <c r="A29" s="43"/>
      <c r="B29" s="45" t="s">
        <v>58</v>
      </c>
      <c r="C29" s="46"/>
      <c r="D29" s="14"/>
      <c r="E29" s="14"/>
      <c r="F29" s="14"/>
      <c r="G29" s="44"/>
      <c r="H29" s="44"/>
      <c r="I29" s="44"/>
      <c r="J29" s="44">
        <f>0.13*G28*7066.72</f>
        <v>48.532995225033034</v>
      </c>
      <c r="K29" s="16"/>
    </row>
    <row r="30" spans="1:11" ht="15" customHeight="1" x14ac:dyDescent="0.25">
      <c r="A30" s="43"/>
      <c r="B30" s="45"/>
      <c r="C30" s="46"/>
      <c r="D30" s="14"/>
      <c r="E30" s="14"/>
      <c r="F30" s="14"/>
      <c r="G30" s="44"/>
      <c r="H30" s="44"/>
      <c r="I30" s="44"/>
      <c r="J30" s="44"/>
      <c r="K30" s="16"/>
    </row>
    <row r="31" spans="1:11" s="37" customFormat="1" ht="30.75" x14ac:dyDescent="0.25">
      <c r="A31" s="54">
        <v>5</v>
      </c>
      <c r="B31" s="55" t="s">
        <v>65</v>
      </c>
      <c r="C31" s="56"/>
      <c r="D31" s="57"/>
      <c r="E31" s="57"/>
      <c r="F31" s="57"/>
      <c r="G31" s="58"/>
      <c r="H31" s="58"/>
      <c r="I31" s="58"/>
      <c r="J31" s="58"/>
      <c r="K31" s="59"/>
    </row>
    <row r="32" spans="1:11" ht="15" customHeight="1" x14ac:dyDescent="0.25">
      <c r="A32" s="43"/>
      <c r="B32" s="45" t="s">
        <v>61</v>
      </c>
      <c r="C32" s="46">
        <v>1</v>
      </c>
      <c r="D32" s="14">
        <v>4.16</v>
      </c>
      <c r="E32" s="14">
        <f>20/12/3.281</f>
        <v>0.50797521080971253</v>
      </c>
      <c r="F32" s="14">
        <v>0.05</v>
      </c>
      <c r="G32" s="14">
        <f t="shared" ref="G32" si="4">PRODUCT(C32:F32)</f>
        <v>0.10565884384842023</v>
      </c>
      <c r="H32" s="47"/>
      <c r="I32" s="44"/>
      <c r="J32" s="44"/>
      <c r="K32" s="16"/>
    </row>
    <row r="33" spans="1:11" ht="15" customHeight="1" x14ac:dyDescent="0.25">
      <c r="A33" s="43"/>
      <c r="B33" s="45" t="s">
        <v>38</v>
      </c>
      <c r="C33" s="46"/>
      <c r="D33" s="14"/>
      <c r="E33" s="14"/>
      <c r="F33" s="14"/>
      <c r="G33" s="44">
        <f>SUM(G32:G32)</f>
        <v>0.10565884384842023</v>
      </c>
      <c r="H33" s="44" t="s">
        <v>57</v>
      </c>
      <c r="I33" s="44">
        <v>12983.1</v>
      </c>
      <c r="J33" s="44">
        <f>G33*I33</f>
        <v>1371.7793355684246</v>
      </c>
      <c r="K33" s="16"/>
    </row>
    <row r="34" spans="1:11" ht="15" customHeight="1" x14ac:dyDescent="0.25">
      <c r="A34" s="43"/>
      <c r="B34" s="45" t="s">
        <v>58</v>
      </c>
      <c r="C34" s="46"/>
      <c r="D34" s="14"/>
      <c r="E34" s="14"/>
      <c r="F34" s="14"/>
      <c r="G34" s="44"/>
      <c r="H34" s="44"/>
      <c r="I34" s="44"/>
      <c r="J34" s="44">
        <f>0.13*G33*8078.11</f>
        <v>110.95808920044705</v>
      </c>
      <c r="K34" s="16"/>
    </row>
    <row r="35" spans="1:11" ht="15" customHeight="1" x14ac:dyDescent="0.25">
      <c r="A35" s="43"/>
      <c r="B35" s="45"/>
      <c r="C35" s="46"/>
      <c r="D35" s="14"/>
      <c r="E35" s="14"/>
      <c r="F35" s="14"/>
      <c r="G35" s="44"/>
      <c r="H35" s="44"/>
      <c r="I35" s="44"/>
      <c r="J35" s="44"/>
      <c r="K35" s="16"/>
    </row>
    <row r="36" spans="1:11" ht="102" x14ac:dyDescent="0.25">
      <c r="A36" s="43">
        <v>6</v>
      </c>
      <c r="B36" s="52" t="s">
        <v>50</v>
      </c>
      <c r="C36" s="52"/>
      <c r="D36" s="14"/>
      <c r="E36" s="14"/>
      <c r="F36" s="14"/>
      <c r="G36" s="47"/>
      <c r="H36" s="47"/>
      <c r="I36" s="47"/>
      <c r="J36" s="40"/>
      <c r="K36" s="16"/>
    </row>
    <row r="37" spans="1:11" ht="15" customHeight="1" x14ac:dyDescent="0.25">
      <c r="A37" s="43"/>
      <c r="B37" s="45" t="s">
        <v>44</v>
      </c>
      <c r="C37" s="46">
        <v>2</v>
      </c>
      <c r="D37" s="14">
        <f>2.5/3.281</f>
        <v>0.76196281621456874</v>
      </c>
      <c r="E37" s="14"/>
      <c r="F37" s="14">
        <f>6.5/3.281</f>
        <v>1.9811033221578787</v>
      </c>
      <c r="G37" s="14">
        <f t="shared" ref="G37" si="5">PRODUCT(C37:F37)</f>
        <v>3.0190541331269105</v>
      </c>
      <c r="H37" s="47"/>
      <c r="I37" s="44"/>
      <c r="J37" s="44"/>
      <c r="K37" s="16"/>
    </row>
    <row r="38" spans="1:11" ht="15" customHeight="1" x14ac:dyDescent="0.25">
      <c r="A38" s="43"/>
      <c r="B38" s="45" t="s">
        <v>38</v>
      </c>
      <c r="C38" s="46"/>
      <c r="D38" s="14"/>
      <c r="E38" s="14"/>
      <c r="F38" s="14"/>
      <c r="G38" s="44">
        <f>SUM(G36:G37)</f>
        <v>3.0190541331269105</v>
      </c>
      <c r="H38" s="44" t="s">
        <v>57</v>
      </c>
      <c r="I38" s="44">
        <v>7069.31</v>
      </c>
      <c r="J38" s="44">
        <f>G38*I38</f>
        <v>21342.6295738554</v>
      </c>
      <c r="K38" s="16"/>
    </row>
    <row r="39" spans="1:11" ht="15" customHeight="1" x14ac:dyDescent="0.25">
      <c r="A39" s="43"/>
      <c r="B39" s="45" t="s">
        <v>58</v>
      </c>
      <c r="C39" s="46"/>
      <c r="D39" s="14"/>
      <c r="E39" s="14"/>
      <c r="F39" s="14"/>
      <c r="G39" s="44"/>
      <c r="H39" s="44"/>
      <c r="I39" s="44"/>
      <c r="J39" s="44">
        <f>0.13*J38</f>
        <v>2774.5418446012022</v>
      </c>
      <c r="K39" s="16"/>
    </row>
    <row r="40" spans="1:11" ht="15" customHeight="1" x14ac:dyDescent="0.25">
      <c r="A40" s="43"/>
      <c r="B40" s="45"/>
      <c r="C40" s="46"/>
      <c r="D40" s="14"/>
      <c r="E40" s="14"/>
      <c r="F40" s="14"/>
      <c r="G40" s="47"/>
      <c r="H40" s="47"/>
      <c r="I40" s="47"/>
      <c r="J40" s="40"/>
      <c r="K40" s="16"/>
    </row>
    <row r="41" spans="1:11" ht="30" x14ac:dyDescent="0.25">
      <c r="A41" s="43">
        <v>7</v>
      </c>
      <c r="B41" s="48" t="s">
        <v>39</v>
      </c>
      <c r="C41" s="46"/>
      <c r="D41" s="14"/>
      <c r="E41" s="14"/>
      <c r="F41" s="14"/>
      <c r="G41" s="47"/>
      <c r="H41" s="47"/>
      <c r="I41" s="47"/>
      <c r="J41" s="40"/>
      <c r="K41" s="16"/>
    </row>
    <row r="42" spans="1:11" ht="15" customHeight="1" x14ac:dyDescent="0.25">
      <c r="A42" s="43"/>
      <c r="B42" s="45" t="s">
        <v>42</v>
      </c>
      <c r="C42" s="46">
        <v>1</v>
      </c>
      <c r="D42" s="14">
        <f>4.16</f>
        <v>4.16</v>
      </c>
      <c r="E42" s="14"/>
      <c r="F42" s="14">
        <v>3.2</v>
      </c>
      <c r="G42" s="14">
        <f t="shared" ref="G42:G47" si="6">PRODUCT(C42:F42)</f>
        <v>13.312000000000001</v>
      </c>
      <c r="H42" s="47"/>
      <c r="I42" s="44"/>
      <c r="J42" s="44"/>
      <c r="K42" s="16"/>
    </row>
    <row r="43" spans="1:11" ht="15" customHeight="1" x14ac:dyDescent="0.25">
      <c r="A43" s="43"/>
      <c r="B43" s="45"/>
      <c r="C43" s="46">
        <v>1</v>
      </c>
      <c r="D43" s="14">
        <f>3.46+4.16+3.46-0.6</f>
        <v>10.48</v>
      </c>
      <c r="E43" s="14"/>
      <c r="F43" s="14">
        <f>(3.2-(0.6-0.075))+1.38</f>
        <v>4.0549999999999997</v>
      </c>
      <c r="G43" s="14">
        <f t="shared" si="6"/>
        <v>42.496400000000001</v>
      </c>
      <c r="H43" s="47"/>
      <c r="I43" s="44"/>
      <c r="J43" s="44"/>
      <c r="K43" s="16"/>
    </row>
    <row r="44" spans="1:11" ht="15" customHeight="1" x14ac:dyDescent="0.25">
      <c r="A44" s="43"/>
      <c r="B44" s="45" t="s">
        <v>43</v>
      </c>
      <c r="C44" s="46">
        <v>1</v>
      </c>
      <c r="D44" s="14">
        <f>(3*4+1.78*4)-(0.1*4)</f>
        <v>18.720000000000002</v>
      </c>
      <c r="E44" s="14"/>
      <c r="F44" s="14">
        <f>(8.75-5)/3.281</f>
        <v>1.1429442243218531</v>
      </c>
      <c r="G44" s="14">
        <f t="shared" si="6"/>
        <v>21.395915879305093</v>
      </c>
      <c r="H44" s="47"/>
      <c r="I44" s="44"/>
      <c r="J44" s="44"/>
      <c r="K44" s="16"/>
    </row>
    <row r="45" spans="1:11" ht="15" customHeight="1" x14ac:dyDescent="0.25">
      <c r="A45" s="43"/>
      <c r="B45" s="45" t="s">
        <v>44</v>
      </c>
      <c r="C45" s="46">
        <f>-2*2</f>
        <v>-4</v>
      </c>
      <c r="D45" s="14"/>
      <c r="E45" s="14">
        <f>0.9</f>
        <v>0.9</v>
      </c>
      <c r="F45" s="14">
        <f>(8.75-5)/3.281</f>
        <v>1.1429442243218531</v>
      </c>
      <c r="G45" s="14">
        <f t="shared" si="6"/>
        <v>-4.1145992075586708</v>
      </c>
      <c r="H45" s="47"/>
      <c r="I45" s="44"/>
      <c r="J45" s="44"/>
      <c r="K45" s="16"/>
    </row>
    <row r="46" spans="1:11" ht="15" customHeight="1" x14ac:dyDescent="0.25">
      <c r="A46" s="43"/>
      <c r="B46" s="45" t="s">
        <v>45</v>
      </c>
      <c r="C46" s="46">
        <f>-2*2</f>
        <v>-4</v>
      </c>
      <c r="D46" s="14"/>
      <c r="E46" s="14">
        <v>1.2</v>
      </c>
      <c r="F46" s="14">
        <v>0.75</v>
      </c>
      <c r="G46" s="14">
        <f t="shared" si="6"/>
        <v>-3.5999999999999996</v>
      </c>
      <c r="H46" s="47"/>
      <c r="I46" s="44"/>
      <c r="J46" s="44"/>
      <c r="K46" s="16"/>
    </row>
    <row r="47" spans="1:11" ht="15" customHeight="1" x14ac:dyDescent="0.25">
      <c r="A47" s="43"/>
      <c r="B47" s="45" t="s">
        <v>59</v>
      </c>
      <c r="C47" s="46">
        <v>4</v>
      </c>
      <c r="D47" s="14">
        <v>1.78</v>
      </c>
      <c r="E47" s="14"/>
      <c r="F47" s="14">
        <f>(7-5)/3.281</f>
        <v>0.6095702529716549</v>
      </c>
      <c r="G47" s="14">
        <f t="shared" si="6"/>
        <v>4.3401402011581833</v>
      </c>
      <c r="H47" s="47"/>
      <c r="I47" s="44"/>
      <c r="J47" s="44"/>
      <c r="K47" s="16"/>
    </row>
    <row r="48" spans="1:11" ht="15" customHeight="1" x14ac:dyDescent="0.25">
      <c r="A48" s="43"/>
      <c r="B48" s="45" t="s">
        <v>44</v>
      </c>
      <c r="C48" s="46">
        <f>-2*2</f>
        <v>-4</v>
      </c>
      <c r="D48" s="14"/>
      <c r="E48" s="14">
        <f>0.75</f>
        <v>0.75</v>
      </c>
      <c r="F48" s="14">
        <f>(6-5)/3.281</f>
        <v>0.30478512648582745</v>
      </c>
      <c r="G48" s="14">
        <f t="shared" ref="G48:G49" si="7">PRODUCT(C48:F48)</f>
        <v>-0.91435537945748235</v>
      </c>
      <c r="H48" s="47"/>
      <c r="I48" s="44"/>
      <c r="J48" s="44"/>
      <c r="K48" s="16"/>
    </row>
    <row r="49" spans="1:11" ht="15" customHeight="1" x14ac:dyDescent="0.25">
      <c r="A49" s="43"/>
      <c r="B49" s="45" t="s">
        <v>66</v>
      </c>
      <c r="C49" s="46">
        <v>2</v>
      </c>
      <c r="D49" s="14">
        <f>3-0.1</f>
        <v>2.9</v>
      </c>
      <c r="E49" s="14">
        <v>1.78</v>
      </c>
      <c r="F49" s="14"/>
      <c r="G49" s="14">
        <f t="shared" si="7"/>
        <v>10.324</v>
      </c>
      <c r="H49" s="47"/>
      <c r="I49" s="44"/>
      <c r="J49" s="44"/>
      <c r="K49" s="16"/>
    </row>
    <row r="50" spans="1:11" ht="15" customHeight="1" x14ac:dyDescent="0.25">
      <c r="A50" s="43"/>
      <c r="B50" s="45" t="s">
        <v>38</v>
      </c>
      <c r="C50" s="46"/>
      <c r="D50" s="14"/>
      <c r="E50" s="14"/>
      <c r="F50" s="14"/>
      <c r="G50" s="44">
        <f>SUM(G42:G49)</f>
        <v>83.239501493447136</v>
      </c>
      <c r="H50" s="44" t="s">
        <v>40</v>
      </c>
      <c r="I50" s="44">
        <v>405.86</v>
      </c>
      <c r="J50" s="44">
        <f>G42*I50</f>
        <v>5402.808320000001</v>
      </c>
      <c r="K50" s="16"/>
    </row>
    <row r="51" spans="1:11" ht="15" customHeight="1" x14ac:dyDescent="0.25">
      <c r="A51" s="43"/>
      <c r="B51" s="45" t="s">
        <v>58</v>
      </c>
      <c r="C51" s="46"/>
      <c r="D51" s="14"/>
      <c r="E51" s="14"/>
      <c r="F51" s="14"/>
      <c r="G51" s="44"/>
      <c r="H51" s="44"/>
      <c r="I51" s="44"/>
      <c r="J51" s="44">
        <f>0.13*G50*(11166.2/100)</f>
        <v>1208.3095980489684</v>
      </c>
      <c r="K51" s="16"/>
    </row>
    <row r="52" spans="1:11" ht="15" customHeight="1" x14ac:dyDescent="0.25">
      <c r="A52" s="43"/>
      <c r="B52" s="45"/>
      <c r="C52" s="46"/>
      <c r="D52" s="14"/>
      <c r="E52" s="14"/>
      <c r="F52" s="14"/>
      <c r="G52" s="47"/>
      <c r="H52" s="47"/>
      <c r="I52" s="47"/>
      <c r="J52" s="40"/>
      <c r="K52" s="16"/>
    </row>
    <row r="53" spans="1:11" ht="45" x14ac:dyDescent="0.25">
      <c r="A53" s="43">
        <v>8</v>
      </c>
      <c r="B53" s="48" t="s">
        <v>47</v>
      </c>
      <c r="C53" s="46"/>
      <c r="D53" s="14"/>
      <c r="E53" s="14"/>
      <c r="F53" s="14"/>
      <c r="G53" s="47"/>
      <c r="H53" s="47"/>
      <c r="I53" s="47"/>
      <c r="J53" s="40"/>
      <c r="K53" s="16"/>
    </row>
    <row r="54" spans="1:11" x14ac:dyDescent="0.25">
      <c r="A54" s="43"/>
      <c r="B54" s="45" t="s">
        <v>48</v>
      </c>
      <c r="C54" s="46">
        <v>1</v>
      </c>
      <c r="D54" s="14"/>
      <c r="E54" s="14"/>
      <c r="F54" s="14"/>
      <c r="G54" s="47">
        <f>G50</f>
        <v>83.239501493447136</v>
      </c>
      <c r="H54" s="44"/>
      <c r="I54" s="9"/>
      <c r="J54" s="9"/>
      <c r="K54" s="16"/>
    </row>
    <row r="55" spans="1:11" ht="15" customHeight="1" x14ac:dyDescent="0.25">
      <c r="A55" s="43"/>
      <c r="B55" s="45" t="s">
        <v>38</v>
      </c>
      <c r="C55" s="46"/>
      <c r="D55" s="14"/>
      <c r="E55" s="14"/>
      <c r="F55" s="14"/>
      <c r="G55" s="44">
        <f>SUM(G54)</f>
        <v>83.239501493447136</v>
      </c>
      <c r="H55" s="44" t="s">
        <v>40</v>
      </c>
      <c r="I55" s="44">
        <f>184.41</f>
        <v>184.41</v>
      </c>
      <c r="J55" s="44">
        <f>G55*I55</f>
        <v>15350.196470406587</v>
      </c>
      <c r="K55" s="16"/>
    </row>
    <row r="56" spans="1:11" ht="15" customHeight="1" x14ac:dyDescent="0.25">
      <c r="A56" s="43"/>
      <c r="B56" s="45" t="s">
        <v>58</v>
      </c>
      <c r="C56" s="46"/>
      <c r="D56" s="14"/>
      <c r="E56" s="14"/>
      <c r="F56" s="14"/>
      <c r="G56" s="44"/>
      <c r="H56" s="44"/>
      <c r="I56" s="44"/>
      <c r="J56" s="44">
        <f>0.13*G55*(6000/100)</f>
        <v>649.26811164888773</v>
      </c>
      <c r="K56" s="16"/>
    </row>
    <row r="57" spans="1:11" x14ac:dyDescent="0.25">
      <c r="A57" s="43"/>
      <c r="B57" s="45"/>
      <c r="C57" s="46"/>
      <c r="D57" s="14"/>
      <c r="E57" s="14"/>
      <c r="F57" s="14"/>
      <c r="G57" s="47"/>
      <c r="H57" s="47"/>
      <c r="I57" s="47"/>
      <c r="J57" s="40"/>
      <c r="K57" s="16"/>
    </row>
    <row r="58" spans="1:11" ht="66.75" x14ac:dyDescent="0.25">
      <c r="A58" s="43">
        <v>9</v>
      </c>
      <c r="B58" s="49" t="s">
        <v>41</v>
      </c>
      <c r="C58" s="49"/>
      <c r="D58" s="14"/>
      <c r="E58" s="14"/>
      <c r="F58" s="14"/>
      <c r="G58" s="47"/>
      <c r="H58" s="47"/>
      <c r="I58" s="47"/>
      <c r="J58" s="40"/>
      <c r="K58" s="16"/>
    </row>
    <row r="59" spans="1:11" ht="15" customHeight="1" x14ac:dyDescent="0.25">
      <c r="A59" s="43"/>
      <c r="B59" s="45" t="s">
        <v>43</v>
      </c>
      <c r="C59" s="46">
        <v>1</v>
      </c>
      <c r="D59" s="14">
        <f>(3*4+1.78*4)-(0.1*4)</f>
        <v>18.720000000000002</v>
      </c>
      <c r="E59" s="14"/>
      <c r="F59" s="14">
        <v>1.5</v>
      </c>
      <c r="G59" s="14">
        <f t="shared" ref="G59:G63" si="8">PRODUCT(C59:F59)</f>
        <v>28.080000000000005</v>
      </c>
      <c r="H59" s="47"/>
      <c r="I59" s="44"/>
      <c r="J59" s="44"/>
      <c r="K59" s="16"/>
    </row>
    <row r="60" spans="1:11" ht="15" customHeight="1" x14ac:dyDescent="0.25">
      <c r="A60" s="43"/>
      <c r="B60" s="45" t="s">
        <v>44</v>
      </c>
      <c r="C60" s="46">
        <f>-2*2</f>
        <v>-4</v>
      </c>
      <c r="D60" s="14"/>
      <c r="E60" s="14">
        <f>0.9</f>
        <v>0.9</v>
      </c>
      <c r="F60" s="14">
        <v>1.5</v>
      </c>
      <c r="G60" s="14">
        <f>PRODUCT(C60:F60)</f>
        <v>-5.4</v>
      </c>
      <c r="H60" s="47"/>
      <c r="I60" s="44"/>
      <c r="J60" s="44"/>
      <c r="K60" s="16"/>
    </row>
    <row r="61" spans="1:11" ht="15" customHeight="1" x14ac:dyDescent="0.25">
      <c r="A61" s="43"/>
      <c r="B61" s="45" t="str">
        <f>B47</f>
        <v>-for partition wall</v>
      </c>
      <c r="C61" s="46">
        <v>2</v>
      </c>
      <c r="D61" s="14">
        <f>3*2</f>
        <v>6</v>
      </c>
      <c r="E61" s="14"/>
      <c r="F61" s="14">
        <v>1.5</v>
      </c>
      <c r="G61" s="14">
        <f t="shared" ref="G61" si="9">PRODUCT(C61:F61)</f>
        <v>18</v>
      </c>
      <c r="H61" s="47"/>
      <c r="I61" s="44"/>
      <c r="J61" s="44"/>
      <c r="K61" s="16"/>
    </row>
    <row r="62" spans="1:11" ht="15" customHeight="1" x14ac:dyDescent="0.25">
      <c r="A62" s="43"/>
      <c r="B62" s="45" t="s">
        <v>44</v>
      </c>
      <c r="C62" s="46">
        <f>-2*2</f>
        <v>-4</v>
      </c>
      <c r="D62" s="14"/>
      <c r="E62" s="14">
        <v>0.75</v>
      </c>
      <c r="F62" s="14">
        <v>1.5</v>
      </c>
      <c r="G62" s="14">
        <f>PRODUCT(C62:F62)</f>
        <v>-4.5</v>
      </c>
      <c r="H62" s="47"/>
      <c r="I62" s="44"/>
      <c r="J62" s="44"/>
      <c r="K62" s="16"/>
    </row>
    <row r="63" spans="1:11" ht="15" customHeight="1" x14ac:dyDescent="0.25">
      <c r="A63" s="43"/>
      <c r="B63" s="45" t="s">
        <v>46</v>
      </c>
      <c r="C63" s="46">
        <v>2</v>
      </c>
      <c r="D63" s="14">
        <f>1.77-0.05</f>
        <v>1.72</v>
      </c>
      <c r="E63" s="14">
        <v>3.02</v>
      </c>
      <c r="F63" s="14"/>
      <c r="G63" s="14">
        <f t="shared" si="8"/>
        <v>10.3888</v>
      </c>
      <c r="H63" s="47"/>
      <c r="I63" s="44"/>
      <c r="J63" s="44"/>
      <c r="K63" s="16"/>
    </row>
    <row r="64" spans="1:11" ht="15" customHeight="1" x14ac:dyDescent="0.25">
      <c r="A64" s="43"/>
      <c r="B64" s="45" t="s">
        <v>38</v>
      </c>
      <c r="C64" s="46"/>
      <c r="D64" s="14"/>
      <c r="E64" s="14"/>
      <c r="F64" s="14"/>
      <c r="G64" s="44">
        <f>SUM(G59:G63)</f>
        <v>46.56880000000001</v>
      </c>
      <c r="H64" s="44" t="s">
        <v>40</v>
      </c>
      <c r="I64" s="44">
        <f>2807.39</f>
        <v>2807.39</v>
      </c>
      <c r="J64" s="44">
        <f>G64*I64</f>
        <v>130736.78343200003</v>
      </c>
      <c r="K64" s="16"/>
    </row>
    <row r="65" spans="1:20" ht="15" customHeight="1" x14ac:dyDescent="0.25">
      <c r="A65" s="43"/>
      <c r="B65" s="45" t="s">
        <v>58</v>
      </c>
      <c r="C65" s="46"/>
      <c r="D65" s="14"/>
      <c r="E65" s="14"/>
      <c r="F65" s="14"/>
      <c r="G65" s="44"/>
      <c r="H65" s="44"/>
      <c r="I65" s="44"/>
      <c r="J65" s="44">
        <f>0.13*G64*(7191.31/10)</f>
        <v>4353.5788026640012</v>
      </c>
      <c r="K65" s="16"/>
    </row>
    <row r="66" spans="1:20" ht="15" customHeight="1" x14ac:dyDescent="0.25">
      <c r="A66" s="26"/>
      <c r="B66" s="30"/>
      <c r="C66" s="27"/>
      <c r="D66" s="28"/>
      <c r="E66" s="29"/>
      <c r="F66" s="29"/>
      <c r="G66" s="39"/>
      <c r="H66" s="38"/>
      <c r="I66" s="39"/>
      <c r="J66" s="44"/>
      <c r="K66" s="29"/>
      <c r="M66" s="31"/>
      <c r="N66" s="1"/>
      <c r="O66" s="1"/>
      <c r="P66" s="1"/>
      <c r="Q66" s="1"/>
      <c r="R66" s="31"/>
      <c r="S66" s="31"/>
    </row>
    <row r="67" spans="1:20" ht="30" x14ac:dyDescent="0.25">
      <c r="A67" s="43">
        <v>10</v>
      </c>
      <c r="B67" s="48" t="s">
        <v>60</v>
      </c>
      <c r="C67" s="52"/>
      <c r="D67" s="14"/>
      <c r="E67" s="14"/>
      <c r="F67" s="14"/>
      <c r="G67" s="47"/>
      <c r="H67" s="47"/>
      <c r="I67" s="47"/>
      <c r="J67" s="40"/>
      <c r="K67" s="16"/>
    </row>
    <row r="68" spans="1:20" ht="15" customHeight="1" x14ac:dyDescent="0.25">
      <c r="A68" s="43"/>
      <c r="B68" s="45" t="s">
        <v>54</v>
      </c>
      <c r="C68" s="46">
        <v>4</v>
      </c>
      <c r="D68" s="14"/>
      <c r="E68" s="14">
        <f>1.667/3.281</f>
        <v>0.50807680585187442</v>
      </c>
      <c r="F68" s="14">
        <f>2/3.281</f>
        <v>0.6095702529716549</v>
      </c>
      <c r="G68" s="14">
        <f t="shared" ref="G68" si="10">PRODUCT(C68:F68)</f>
        <v>1.2388340282886299</v>
      </c>
      <c r="H68" s="47"/>
      <c r="I68" s="44"/>
      <c r="J68" s="44"/>
      <c r="K68" s="16"/>
    </row>
    <row r="69" spans="1:20" ht="15" customHeight="1" x14ac:dyDescent="0.25">
      <c r="A69" s="43"/>
      <c r="B69" s="45" t="s">
        <v>38</v>
      </c>
      <c r="C69" s="46"/>
      <c r="D69" s="14"/>
      <c r="E69" s="14"/>
      <c r="F69" s="14"/>
      <c r="G69" s="44">
        <f>SUM(G68)</f>
        <v>1.2388340282886299</v>
      </c>
      <c r="H69" s="44" t="s">
        <v>40</v>
      </c>
      <c r="I69" s="44">
        <v>1062.28</v>
      </c>
      <c r="J69" s="44">
        <f>G69*I69</f>
        <v>1315.9886115704458</v>
      </c>
      <c r="K69" s="16"/>
    </row>
    <row r="70" spans="1:20" ht="15" customHeight="1" x14ac:dyDescent="0.25">
      <c r="A70" s="43"/>
      <c r="B70" s="45" t="s">
        <v>58</v>
      </c>
      <c r="C70" s="46"/>
      <c r="D70" s="14"/>
      <c r="E70" s="14"/>
      <c r="F70" s="14"/>
      <c r="G70" s="44"/>
      <c r="H70" s="44"/>
      <c r="I70" s="44"/>
      <c r="J70" s="44">
        <f>0.13*G69*983.26</f>
        <v>158.35247306516018</v>
      </c>
      <c r="K70" s="16"/>
    </row>
    <row r="71" spans="1:20" ht="15" customHeight="1" x14ac:dyDescent="0.25">
      <c r="A71" s="43"/>
      <c r="B71" s="53"/>
      <c r="C71" s="53"/>
      <c r="D71" s="14"/>
      <c r="E71" s="14"/>
      <c r="F71" s="14"/>
      <c r="G71" s="47"/>
      <c r="H71" s="47"/>
      <c r="I71" s="47"/>
      <c r="J71" s="40"/>
      <c r="K71" s="16"/>
    </row>
    <row r="72" spans="1:20" ht="30" x14ac:dyDescent="0.25">
      <c r="A72" s="26">
        <v>11</v>
      </c>
      <c r="B72" s="51" t="s">
        <v>67</v>
      </c>
      <c r="C72" s="27">
        <v>1</v>
      </c>
      <c r="D72" s="28"/>
      <c r="E72" s="28"/>
      <c r="F72" s="29"/>
      <c r="G72" s="14">
        <f>PRODUCT(C72:F72)</f>
        <v>1</v>
      </c>
      <c r="H72" s="38" t="s">
        <v>68</v>
      </c>
      <c r="I72" s="39">
        <v>50000</v>
      </c>
      <c r="J72" s="40">
        <f>G72*I72</f>
        <v>50000</v>
      </c>
      <c r="K72" s="29"/>
      <c r="M72" s="31"/>
      <c r="N72" s="1"/>
      <c r="O72" s="1"/>
      <c r="P72" s="1"/>
      <c r="Q72" s="1"/>
      <c r="R72" s="31"/>
      <c r="S72" s="31"/>
    </row>
    <row r="73" spans="1:20" ht="15" customHeight="1" x14ac:dyDescent="0.25">
      <c r="A73" s="43"/>
      <c r="B73" s="45"/>
      <c r="C73" s="46"/>
      <c r="D73" s="14"/>
      <c r="E73" s="14"/>
      <c r="F73" s="14"/>
      <c r="G73" s="44"/>
      <c r="H73" s="44"/>
      <c r="I73" s="44"/>
      <c r="J73" s="44"/>
      <c r="K73" s="16"/>
    </row>
    <row r="74" spans="1:20" ht="19.5" x14ac:dyDescent="0.25">
      <c r="A74" s="26">
        <v>12</v>
      </c>
      <c r="B74" s="41" t="s">
        <v>28</v>
      </c>
      <c r="C74" s="27">
        <v>1</v>
      </c>
      <c r="D74" s="28"/>
      <c r="E74" s="29"/>
      <c r="F74" s="29"/>
      <c r="G74" s="44">
        <f t="shared" ref="G74" si="11">PRODUCT(C74:F74)</f>
        <v>1</v>
      </c>
      <c r="H74" s="38" t="s">
        <v>29</v>
      </c>
      <c r="I74" s="39">
        <v>500</v>
      </c>
      <c r="J74" s="44">
        <f>G74*I74</f>
        <v>500</v>
      </c>
      <c r="K74" s="29"/>
      <c r="M74" s="31"/>
      <c r="N74" s="18"/>
      <c r="O74" s="18"/>
      <c r="P74" s="18"/>
      <c r="Q74" s="18"/>
      <c r="R74" s="18"/>
      <c r="S74" s="18"/>
      <c r="T74" s="18"/>
    </row>
    <row r="75" spans="1:20" ht="15" customHeight="1" x14ac:dyDescent="0.25">
      <c r="A75" s="26"/>
      <c r="B75" s="30"/>
      <c r="C75" s="27"/>
      <c r="D75" s="28"/>
      <c r="E75" s="29"/>
      <c r="F75" s="29"/>
      <c r="G75" s="39"/>
      <c r="H75" s="38"/>
      <c r="I75" s="39"/>
      <c r="J75" s="44"/>
      <c r="K75" s="29"/>
      <c r="M75" s="31"/>
      <c r="N75" s="18"/>
      <c r="O75" s="18"/>
      <c r="P75" s="18"/>
      <c r="Q75" s="18"/>
      <c r="R75" s="18"/>
      <c r="S75" s="18"/>
      <c r="T75" s="18"/>
    </row>
    <row r="76" spans="1:20" x14ac:dyDescent="0.25">
      <c r="A76" s="43"/>
      <c r="B76" s="50" t="s">
        <v>15</v>
      </c>
      <c r="C76" s="46"/>
      <c r="D76" s="14"/>
      <c r="E76" s="14"/>
      <c r="F76" s="14"/>
      <c r="G76" s="44"/>
      <c r="H76" s="44"/>
      <c r="I76" s="44"/>
      <c r="J76" s="44">
        <f>SUM(J9:J74)</f>
        <v>249404.51284520951</v>
      </c>
      <c r="K76" s="16"/>
    </row>
    <row r="78" spans="1:20" s="1" customFormat="1" x14ac:dyDescent="0.25">
      <c r="B78" s="16" t="s">
        <v>25</v>
      </c>
      <c r="C78" s="77">
        <f>J76</f>
        <v>249404.51284520951</v>
      </c>
      <c r="D78" s="78"/>
      <c r="E78" s="14">
        <v>100</v>
      </c>
      <c r="F78" s="18"/>
      <c r="G78" s="19"/>
      <c r="H78" s="18"/>
      <c r="I78" s="20"/>
      <c r="J78" s="21"/>
      <c r="K78" s="22"/>
    </row>
    <row r="79" spans="1:20" x14ac:dyDescent="0.25">
      <c r="B79" s="16" t="s">
        <v>30</v>
      </c>
      <c r="C79" s="79">
        <v>220000</v>
      </c>
      <c r="D79" s="80"/>
      <c r="E79" s="14"/>
    </row>
    <row r="80" spans="1:20" x14ac:dyDescent="0.25">
      <c r="B80" s="16" t="s">
        <v>31</v>
      </c>
      <c r="C80" s="79">
        <f>C79-C82-C83</f>
        <v>209000</v>
      </c>
      <c r="D80" s="80"/>
      <c r="E80" s="14">
        <f>C80/C78*100</f>
        <v>83.799606356647544</v>
      </c>
    </row>
    <row r="81" spans="2:5" x14ac:dyDescent="0.25">
      <c r="B81" s="16" t="s">
        <v>32</v>
      </c>
      <c r="C81" s="81">
        <f>C78-C80</f>
        <v>40404.512845209509</v>
      </c>
      <c r="D81" s="81"/>
      <c r="E81" s="14">
        <f>100-E80</f>
        <v>16.200393643352456</v>
      </c>
    </row>
    <row r="82" spans="2:5" x14ac:dyDescent="0.25">
      <c r="B82" s="16" t="s">
        <v>33</v>
      </c>
      <c r="C82" s="77">
        <f>C79*0.03</f>
        <v>6600</v>
      </c>
      <c r="D82" s="78"/>
      <c r="E82" s="14">
        <v>3</v>
      </c>
    </row>
    <row r="83" spans="2:5" x14ac:dyDescent="0.25">
      <c r="B83" s="16" t="s">
        <v>34</v>
      </c>
      <c r="C83" s="77">
        <f>C79*0.02</f>
        <v>4400</v>
      </c>
      <c r="D83" s="78"/>
      <c r="E83" s="14">
        <v>2</v>
      </c>
    </row>
  </sheetData>
  <mergeCells count="14">
    <mergeCell ref="C81:D81"/>
    <mergeCell ref="C82:D82"/>
    <mergeCell ref="C83:D83"/>
    <mergeCell ref="H6:K6"/>
    <mergeCell ref="A1:K1"/>
    <mergeCell ref="A2:K2"/>
    <mergeCell ref="A3:K3"/>
    <mergeCell ref="A4:K4"/>
    <mergeCell ref="A5:K5"/>
    <mergeCell ref="A7:F7"/>
    <mergeCell ref="H7:K7"/>
    <mergeCell ref="C78:D78"/>
    <mergeCell ref="C79:D79"/>
    <mergeCell ref="C80:D80"/>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2025-01-10T07:36:10Z</cp:lastPrinted>
  <dcterms:created xsi:type="dcterms:W3CDTF">2015-06-05T18:17:20Z</dcterms:created>
  <dcterms:modified xsi:type="dcterms:W3CDTF">2025-03-25T10:13:50Z</dcterms:modified>
</cp:coreProperties>
</file>