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ukhutaar bhitri sadak\"/>
    </mc:Choice>
  </mc:AlternateContent>
  <bookViews>
    <workbookView xWindow="-120" yWindow="-120" windowWidth="20730" windowHeight="11160" activeTab="2"/>
  </bookViews>
  <sheets>
    <sheet name="WCR" sheetId="6" r:id="rId1"/>
    <sheet name="Estimate (3)" sheetId="19" r:id="rId2"/>
    <sheet name="quotation single wall" sheetId="20" r:id="rId3"/>
    <sheet name="in nepali" sheetId="21" r:id="rId4"/>
  </sheets>
  <externalReferences>
    <externalReference r:id="rId5"/>
    <externalReference r:id="rId6"/>
    <externalReference r:id="rId7"/>
    <externalReference r:id="rId8"/>
    <externalReference r:id="rId9"/>
  </externalReferences>
  <definedNames>
    <definedName name="description_103">[1]Abstract!$B$16</definedName>
    <definedName name="description_124" localSheetId="1">#REF!</definedName>
    <definedName name="description_124" localSheetId="3">#REF!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1">'Estimate (3)'!$A$1:$K$76</definedName>
    <definedName name="_xlnm.Print_Area" localSheetId="3">'in nepali'!$A$5:$K$64</definedName>
    <definedName name="_xlnm.Print_Area" localSheetId="2">'quotation single wall'!$A$5:$K$64</definedName>
    <definedName name="_xlnm.Print_Titles" localSheetId="1">'Estimate (3)'!$1:$8</definedName>
    <definedName name="_xlnm.Print_Titles" localSheetId="0">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2" i="21" l="1"/>
  <c r="N21" i="21"/>
  <c r="M21" i="21"/>
  <c r="J60" i="21"/>
  <c r="F12" i="21"/>
  <c r="C11" i="21"/>
  <c r="C10" i="21"/>
  <c r="G58" i="21" l="1"/>
  <c r="J58" i="21" s="1"/>
  <c r="I56" i="21"/>
  <c r="G55" i="21"/>
  <c r="G56" i="21" s="1"/>
  <c r="J56" i="21" s="1"/>
  <c r="I52" i="21"/>
  <c r="G51" i="21"/>
  <c r="F50" i="21"/>
  <c r="G50" i="21" s="1"/>
  <c r="D50" i="21"/>
  <c r="B50" i="21"/>
  <c r="G49" i="21"/>
  <c r="G48" i="21"/>
  <c r="G52" i="21" s="1"/>
  <c r="J52" i="21" s="1"/>
  <c r="F48" i="21"/>
  <c r="D48" i="21"/>
  <c r="I45" i="21"/>
  <c r="C44" i="21"/>
  <c r="G44" i="21" s="1"/>
  <c r="G45" i="21" s="1"/>
  <c r="J45" i="21" s="1"/>
  <c r="I42" i="21"/>
  <c r="E41" i="21"/>
  <c r="E40" i="21"/>
  <c r="B40" i="21"/>
  <c r="I37" i="21"/>
  <c r="F36" i="21"/>
  <c r="E36" i="21"/>
  <c r="G36" i="21" s="1"/>
  <c r="G37" i="21" s="1"/>
  <c r="J37" i="21" s="1"/>
  <c r="I33" i="21"/>
  <c r="D32" i="21"/>
  <c r="G32" i="21" s="1"/>
  <c r="D31" i="21"/>
  <c r="G31" i="21" s="1"/>
  <c r="E30" i="21"/>
  <c r="G30" i="21" s="1"/>
  <c r="D30" i="21"/>
  <c r="I27" i="21"/>
  <c r="B26" i="21"/>
  <c r="I23" i="21"/>
  <c r="G22" i="21"/>
  <c r="D22" i="21"/>
  <c r="E21" i="21"/>
  <c r="D41" i="21" s="1"/>
  <c r="D21" i="21"/>
  <c r="D40" i="21" s="1"/>
  <c r="D20" i="21"/>
  <c r="B20" i="21"/>
  <c r="I17" i="21"/>
  <c r="F16" i="21"/>
  <c r="I13" i="21"/>
  <c r="D12" i="21"/>
  <c r="G12" i="21" s="1"/>
  <c r="F11" i="21"/>
  <c r="E11" i="21"/>
  <c r="G10" i="21"/>
  <c r="F10" i="21"/>
  <c r="E10" i="21"/>
  <c r="D10" i="21"/>
  <c r="D11" i="21" s="1"/>
  <c r="G11" i="21" s="1"/>
  <c r="B10" i="21"/>
  <c r="I56" i="20"/>
  <c r="I52" i="20"/>
  <c r="I45" i="20"/>
  <c r="I42" i="20"/>
  <c r="I37" i="20"/>
  <c r="I33" i="20"/>
  <c r="I27" i="20"/>
  <c r="I23" i="20"/>
  <c r="I17" i="20"/>
  <c r="I13" i="20"/>
  <c r="G58" i="20"/>
  <c r="J58" i="20" s="1"/>
  <c r="G55" i="20"/>
  <c r="G56" i="20" s="1"/>
  <c r="G51" i="20"/>
  <c r="F50" i="20"/>
  <c r="D50" i="20"/>
  <c r="B50" i="20"/>
  <c r="G49" i="20"/>
  <c r="F48" i="20"/>
  <c r="D48" i="20"/>
  <c r="C44" i="20"/>
  <c r="G44" i="20" s="1"/>
  <c r="G45" i="20" s="1"/>
  <c r="E41" i="20"/>
  <c r="E40" i="20"/>
  <c r="B40" i="20"/>
  <c r="F36" i="20"/>
  <c r="E36" i="20" s="1"/>
  <c r="G36" i="20" s="1"/>
  <c r="G37" i="20" s="1"/>
  <c r="D32" i="20"/>
  <c r="G32" i="20" s="1"/>
  <c r="D30" i="20"/>
  <c r="D31" i="20" s="1"/>
  <c r="G31" i="20" s="1"/>
  <c r="B26" i="20"/>
  <c r="D22" i="20"/>
  <c r="G22" i="20" s="1"/>
  <c r="E21" i="20"/>
  <c r="C41" i="20" s="1"/>
  <c r="D21" i="20"/>
  <c r="D40" i="20" s="1"/>
  <c r="B20" i="20"/>
  <c r="B10" i="20" s="1"/>
  <c r="F16" i="20"/>
  <c r="F11" i="20"/>
  <c r="D10" i="20"/>
  <c r="D11" i="20" s="1"/>
  <c r="D35" i="19"/>
  <c r="G35" i="19" s="1"/>
  <c r="G23" i="19"/>
  <c r="D23" i="19"/>
  <c r="G63" i="19"/>
  <c r="G64" i="19" s="1"/>
  <c r="J64" i="19" s="1"/>
  <c r="J65" i="19" s="1"/>
  <c r="D57" i="19"/>
  <c r="G57" i="19" s="1"/>
  <c r="D55" i="19"/>
  <c r="G55" i="19" s="1"/>
  <c r="I59" i="19"/>
  <c r="F57" i="19"/>
  <c r="F55" i="19"/>
  <c r="O59" i="19"/>
  <c r="N59" i="19"/>
  <c r="O58" i="19"/>
  <c r="N58" i="19"/>
  <c r="G58" i="19"/>
  <c r="O56" i="19"/>
  <c r="N56" i="19"/>
  <c r="G56" i="19"/>
  <c r="B57" i="19"/>
  <c r="G13" i="21" l="1"/>
  <c r="J13" i="21" s="1"/>
  <c r="G33" i="21"/>
  <c r="J33" i="21" s="1"/>
  <c r="C40" i="21"/>
  <c r="F40" i="21" s="1"/>
  <c r="G40" i="21" s="1"/>
  <c r="G42" i="21" s="1"/>
  <c r="J42" i="21" s="1"/>
  <c r="D26" i="21"/>
  <c r="C41" i="21"/>
  <c r="F41" i="21" s="1"/>
  <c r="G41" i="21" s="1"/>
  <c r="E20" i="21"/>
  <c r="G20" i="21" s="1"/>
  <c r="G23" i="21" s="1"/>
  <c r="J23" i="21" s="1"/>
  <c r="G21" i="21"/>
  <c r="E26" i="21"/>
  <c r="E16" i="21" s="1"/>
  <c r="G16" i="21" s="1"/>
  <c r="G17" i="21" s="1"/>
  <c r="J17" i="21" s="1"/>
  <c r="J56" i="20"/>
  <c r="G50" i="20"/>
  <c r="G21" i="20"/>
  <c r="D20" i="20"/>
  <c r="E26" i="20"/>
  <c r="E16" i="20" s="1"/>
  <c r="G16" i="20" s="1"/>
  <c r="G17" i="20" s="1"/>
  <c r="J17" i="20" s="1"/>
  <c r="D12" i="20"/>
  <c r="G12" i="20" s="1"/>
  <c r="D41" i="20"/>
  <c r="F41" i="20" s="1"/>
  <c r="G41" i="20" s="1"/>
  <c r="G48" i="20"/>
  <c r="G52" i="20" s="1"/>
  <c r="J45" i="20"/>
  <c r="J37" i="20"/>
  <c r="E10" i="20"/>
  <c r="E11" i="20"/>
  <c r="G11" i="20" s="1"/>
  <c r="E30" i="20"/>
  <c r="E20" i="20" s="1"/>
  <c r="C40" i="20"/>
  <c r="F40" i="20" s="1"/>
  <c r="G40" i="20" s="1"/>
  <c r="F10" i="20"/>
  <c r="D26" i="20"/>
  <c r="P59" i="19"/>
  <c r="G59" i="19"/>
  <c r="J60" i="19" s="1"/>
  <c r="G26" i="21" l="1"/>
  <c r="G27" i="21" s="1"/>
  <c r="J27" i="21" s="1"/>
  <c r="C62" i="21"/>
  <c r="G20" i="20"/>
  <c r="G23" i="20" s="1"/>
  <c r="G26" i="20"/>
  <c r="G27" i="20" s="1"/>
  <c r="G10" i="20"/>
  <c r="G13" i="20" s="1"/>
  <c r="G42" i="20"/>
  <c r="J42" i="20" s="1"/>
  <c r="J23" i="20"/>
  <c r="G30" i="20"/>
  <c r="G33" i="20" s="1"/>
  <c r="J27" i="20"/>
  <c r="J52" i="20"/>
  <c r="J59" i="19"/>
  <c r="C63" i="21" l="1"/>
  <c r="C64" i="21" s="1"/>
  <c r="J33" i="20"/>
  <c r="J13" i="20"/>
  <c r="J60" i="20" l="1"/>
  <c r="C62" i="20" s="1"/>
  <c r="C63" i="20" l="1"/>
  <c r="C64" i="20" s="1"/>
  <c r="C50" i="19" l="1"/>
  <c r="G50" i="19" s="1"/>
  <c r="G51" i="19" s="1"/>
  <c r="J51" i="19" s="1"/>
  <c r="D12" i="19" l="1"/>
  <c r="G12" i="19" s="1"/>
  <c r="J52" i="19"/>
  <c r="F17" i="19"/>
  <c r="F11" i="19"/>
  <c r="D10" i="19"/>
  <c r="D11" i="19" s="1"/>
  <c r="F40" i="19"/>
  <c r="E11" i="19" s="1"/>
  <c r="Q73" i="19"/>
  <c r="R72" i="19"/>
  <c r="Q72" i="19" s="1"/>
  <c r="Q69" i="19"/>
  <c r="Q70" i="19"/>
  <c r="Q71" i="19"/>
  <c r="Q67" i="19"/>
  <c r="R68" i="19"/>
  <c r="Q68" i="19" s="1"/>
  <c r="R67" i="19"/>
  <c r="B28" i="19"/>
  <c r="G11" i="19" l="1"/>
  <c r="E46" i="19" l="1"/>
  <c r="E45" i="19"/>
  <c r="B45" i="19"/>
  <c r="E22" i="19"/>
  <c r="D22" i="19"/>
  <c r="E40" i="19"/>
  <c r="C45" i="19" l="1"/>
  <c r="D45" i="19"/>
  <c r="C46" i="19"/>
  <c r="D46" i="19"/>
  <c r="E28" i="19"/>
  <c r="E17" i="19" s="1"/>
  <c r="G22" i="19"/>
  <c r="D28" i="19"/>
  <c r="F10" i="19"/>
  <c r="B21" i="19"/>
  <c r="B10" i="19" s="1"/>
  <c r="F45" i="19" l="1"/>
  <c r="G45" i="19" s="1"/>
  <c r="F46" i="19"/>
  <c r="G46" i="19" s="1"/>
  <c r="G47" i="19" l="1"/>
  <c r="J48" i="19" s="1"/>
  <c r="J47" i="19" l="1"/>
  <c r="E33" i="19" l="1"/>
  <c r="E21" i="19" s="1"/>
  <c r="C75" i="19"/>
  <c r="G67" i="19"/>
  <c r="J67" i="19" s="1"/>
  <c r="D33" i="19"/>
  <c r="G28" i="19" l="1"/>
  <c r="G29" i="19" s="1"/>
  <c r="J30" i="19" s="1"/>
  <c r="G17" i="19"/>
  <c r="G18" i="19" s="1"/>
  <c r="J29" i="19"/>
  <c r="C76" i="19"/>
  <c r="C73" i="19" s="1"/>
  <c r="E10" i="19"/>
  <c r="D34" i="19"/>
  <c r="G34" i="19" s="1"/>
  <c r="D21" i="19"/>
  <c r="G33" i="19"/>
  <c r="G36" i="19" s="1"/>
  <c r="G40" i="19"/>
  <c r="G41" i="19" s="1"/>
  <c r="J18" i="19" l="1"/>
  <c r="G10" i="19"/>
  <c r="G13" i="19" s="1"/>
  <c r="J41" i="19"/>
  <c r="J42" i="19"/>
  <c r="G21" i="19"/>
  <c r="G24" i="19" s="1"/>
  <c r="J13" i="19" l="1"/>
  <c r="J36" i="19"/>
  <c r="J37" i="19"/>
  <c r="J14" i="19" l="1"/>
  <c r="H13" i="6"/>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 r="J25" i="19" l="1"/>
  <c r="J24" i="19"/>
  <c r="J69" i="19" l="1"/>
  <c r="C71" i="19" s="1"/>
  <c r="E73" i="19" l="1"/>
  <c r="E74" i="19" s="1"/>
  <c r="C74" i="19"/>
</calcChain>
</file>

<file path=xl/sharedStrings.xml><?xml version="1.0" encoding="utf-8"?>
<sst xmlns="http://schemas.openxmlformats.org/spreadsheetml/2006/main" count="258" uniqueCount="86">
  <si>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</si>
  <si>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</si>
  <si>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</si>
  <si>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</si>
  <si>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</si>
  <si>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</si>
  <si>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</si>
  <si>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</si>
  <si>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</si>
  <si>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</si>
  <si>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</si>
  <si>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</si>
  <si>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</si>
  <si>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</si>
  <si>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</si>
  <si>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</si>
  <si>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</si>
  <si>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</si>
  <si>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</si>
  <si>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</si>
  <si>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</si>
  <si>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</si>
  <si>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</si>
  <si>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</si>
  <si>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</si>
  <si>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</si>
  <si>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</si>
  <si>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</si>
  <si>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</si>
  <si>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</si>
  <si>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</si>
  <si>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</si>
  <si>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</si>
  <si>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</si>
  <si>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</si>
  <si>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</si>
  <si>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</si>
  <si>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</si>
  <si>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</si>
  <si>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</si>
  <si>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</si>
  <si>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m3</t>
  </si>
  <si>
    <t>Sub-total</t>
  </si>
  <si>
    <t>Providing and laying of Plain/Reinforced Cement Concrete in Foundation complete as per Drawing and Technical Specifications, PCC Grade M 15</t>
  </si>
  <si>
    <t>Providing and laying of hand pack Stone soling with 150 to 200 mm thick stones and packing with smaller stone on prepared surface as per Drawing and Technical Specifications.</t>
  </si>
  <si>
    <t>F.Y.: 2081/2082</t>
  </si>
  <si>
    <t>45m</t>
  </si>
  <si>
    <t>13m</t>
  </si>
  <si>
    <t>ht=3'9"</t>
  </si>
  <si>
    <t>Random Rubble Masonry, Providing and laying of Stone Masonry Work in Cement Mortar 1:6 in Foundation complete as per Drawing and Technical Specifications.</t>
  </si>
  <si>
    <t>subservience</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</si>
  <si>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 (खन्ने पुर्ने कार्य)</t>
  </si>
  <si>
    <t>Length (m)</t>
  </si>
  <si>
    <t>MT</t>
  </si>
  <si>
    <t>-For stone masonary</t>
  </si>
  <si>
    <t>cf/=;L=;L= nflu kmnfd] 808L sf6\g], df]8\g] #) dL6/ ;Dd</t>
  </si>
  <si>
    <t>Unit wt. (kg/m)</t>
  </si>
  <si>
    <t>Total wt. (kg)</t>
  </si>
  <si>
    <t>Total wt. (MT)</t>
  </si>
  <si>
    <t>-For stirrups</t>
  </si>
  <si>
    <t>Date:2081/09/28</t>
  </si>
  <si>
    <t>Project:- Ukhutaar bhitri sadak</t>
  </si>
  <si>
    <t>-for road</t>
  </si>
  <si>
    <t>Providing and laying of Plain/Reinforced Cement Concrete in Foundation complete as per Drawing and Technical Specifications., RCC Grade M 20</t>
  </si>
  <si>
    <t>Providing suitable material and Back filling behind abutment, wing wall and return wall complete as per Drawing and Technical Specifications., locally available material including compaction by tamping rod(without watering)</t>
  </si>
  <si>
    <t>Providing and Laying Reinforced cement concrete NP3 Flush jointed pipe for culverts including fixing with cement mortar 1:2 as per Drawing and Technical Specifications., 450 mm  internal dia.</t>
  </si>
  <si>
    <t>rm</t>
  </si>
  <si>
    <t>-for hume pipe</t>
  </si>
  <si>
    <t>Providing and laying Brick masonry work in superstructure/ sub-structure complete excluding pointing and plastering, as per drawing and Technical Specifications, Cement Mortar 1:6 (1 cement : 6 sand)</t>
  </si>
  <si>
    <t>-Deduction for opening</t>
  </si>
  <si>
    <t>-manhole</t>
  </si>
  <si>
    <t>C.I. Manhole cover including frame</t>
  </si>
  <si>
    <t>-Rounded manhole cover medium duty 500mm (24")</t>
  </si>
  <si>
    <t>set</t>
  </si>
  <si>
    <t>VAT 13%</t>
  </si>
  <si>
    <t>Grand total</t>
  </si>
  <si>
    <r>
      <t xml:space="preserve">Providing suitable material and Back filling behind abutment, wing wall and return wall complete as per Drawing and Technical Specifications., locally available material including compaction by tamping rod(without watering) </t>
    </r>
    <r>
      <rPr>
        <b/>
        <sz val="16"/>
        <rFont val="Times New Roman"/>
        <family val="1"/>
      </rPr>
      <t>(पुर्ने कार्य)</t>
    </r>
  </si>
  <si>
    <r>
      <t>Providing and laying of hand pack Stone soling with 150 to 200 mm thick stones and packing with smaller stone on prepared surface as per Drawing and Technical Specifications.</t>
    </r>
    <r>
      <rPr>
        <b/>
        <sz val="18"/>
        <rFont val="Times New Roman"/>
        <family val="1"/>
      </rPr>
      <t xml:space="preserve"> (ढुंगा सोलिंग )</t>
    </r>
  </si>
  <si>
    <r>
      <t xml:space="preserve">Providing and laying of Plain/Reinforced Cement Concrete in Foundation complete as per Drawing and Technical Specifications., RCC Grade M 20 </t>
    </r>
    <r>
      <rPr>
        <b/>
        <sz val="20"/>
        <rFont val="Times New Roman"/>
        <family val="1"/>
      </rPr>
      <t>(आर सी सी ढलान )</t>
    </r>
  </si>
  <si>
    <r>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r>
    <r>
      <rPr>
        <b/>
        <sz val="11"/>
        <rFont val="Times New Roman"/>
        <family val="1"/>
      </rPr>
      <t xml:space="preserve"> </t>
    </r>
    <r>
      <rPr>
        <b/>
        <sz val="16"/>
        <rFont val="Times New Roman"/>
        <family val="1"/>
      </rPr>
      <t>(खन्ने कार्य)</t>
    </r>
  </si>
  <si>
    <r>
      <t xml:space="preserve">Providing and laying of Plain/Reinforced Cement Concrete in Foundation complete as per Drawing and Technical Specifications, PCC Grade M 15 </t>
    </r>
    <r>
      <rPr>
        <b/>
        <sz val="18"/>
        <rFont val="Times New Roman"/>
        <family val="1"/>
      </rPr>
      <t>(पी सी सी)</t>
    </r>
  </si>
  <si>
    <r>
      <t>Random Rubble Masonry, Providing and laying of Stone Masonry Work in Cement Mortar 1:6 in Foundation complete as per Drawing and Technical Specifications.</t>
    </r>
    <r>
      <rPr>
        <b/>
        <sz val="18"/>
        <rFont val="Times New Roman"/>
        <family val="1"/>
      </rPr>
      <t xml:space="preserve"> (ढुंगा वाल )</t>
    </r>
  </si>
  <si>
    <r>
      <t xml:space="preserve">Providing and Laying Reinforced cement concrete NP3 Flush jointed pipe for culverts including fixing with cement mortar 1:2 as per Drawing and Technical Specifications., 450 mm  internal dia. </t>
    </r>
    <r>
      <rPr>
        <b/>
        <sz val="20"/>
        <rFont val="Times New Roman"/>
        <family val="1"/>
      </rPr>
      <t>(ह्युम पाइप)</t>
    </r>
  </si>
  <si>
    <r>
      <t xml:space="preserve">Providing and laying Brick masonry work in superstructure/ sub-structure complete excluding pointing and plastering, as per drawing and Technical Specifications, Cement Mortar 1:6 (1 cement : 6 sand) </t>
    </r>
    <r>
      <rPr>
        <b/>
        <sz val="16"/>
        <rFont val="Times New Roman"/>
        <family val="1"/>
      </rPr>
      <t>(मंगाल इट्टा वाल )</t>
    </r>
  </si>
  <si>
    <r>
      <t xml:space="preserve">C.I. Manhole cover including frame </t>
    </r>
    <r>
      <rPr>
        <b/>
        <sz val="16"/>
        <color theme="1"/>
        <rFont val="Times New Roman"/>
        <family val="1"/>
      </rPr>
      <t>(मंगाल को ढकनी)</t>
    </r>
  </si>
  <si>
    <r>
      <t xml:space="preserve">Information board </t>
    </r>
    <r>
      <rPr>
        <b/>
        <sz val="16"/>
        <rFont val="Times New Roman"/>
        <family val="1"/>
      </rPr>
      <t>(सुचना पाटि)</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</si>
</sst>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21"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b/>
      <sz val="12"/>
      <name val="Preeti"/>
    </font>
    <font>
      <b/>
      <sz val="16"/>
      <name val="Times New Roman"/>
      <family val="1"/>
    </font>
    <font>
      <b/>
      <sz val="18"/>
      <name val="Times New Roman"/>
      <family val="1"/>
    </font>
    <font>
      <b/>
      <sz val="20"/>
      <name val="Times New Roman"/>
      <family val="1"/>
    </font>
    <font>
      <b/>
      <sz val="16"/>
      <color theme="1"/>
      <name val="Times New Roman"/>
      <family val="1"/>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102">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3" fillId="0" borderId="1" xfId="0" applyFont="1" applyBorder="1" applyAlignment="1">
      <alignment vertical="center"/>
    </xf>
    <xf numFmtId="164" fontId="15" fillId="0" borderId="1" xfId="0" applyNumberFormat="1" applyFont="1" applyBorder="1" applyAlignment="1">
      <alignment vertical="center"/>
    </xf>
    <xf numFmtId="1" fontId="16" fillId="0" borderId="1" xfId="0" applyNumberFormat="1" applyFont="1" applyFill="1" applyBorder="1" applyAlignment="1">
      <alignment vertical="center" wrapText="1"/>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165" fontId="13" fillId="0" borderId="1" xfId="1" applyNumberFormat="1" applyFont="1" applyFill="1" applyBorder="1" applyAlignment="1">
      <alignment vertical="center"/>
    </xf>
    <xf numFmtId="2" fontId="0" fillId="0" borderId="0" xfId="0" applyNumberFormat="1"/>
    <xf numFmtId="165" fontId="0" fillId="0" borderId="0" xfId="0" applyNumberFormat="1" applyAlignment="1">
      <alignment vertical="center"/>
    </xf>
    <xf numFmtId="2" fontId="0" fillId="0" borderId="0" xfId="0" applyNumberFormat="1" applyAlignment="1">
      <alignment vertical="center"/>
    </xf>
    <xf numFmtId="0" fontId="15" fillId="0" borderId="1" xfId="0" quotePrefix="1" applyFont="1" applyFill="1" applyBorder="1" applyAlignment="1">
      <alignment horizontal="right" vertical="center" wrapText="1"/>
    </xf>
    <xf numFmtId="2" fontId="15" fillId="0" borderId="1" xfId="0" quotePrefix="1" applyNumberFormat="1" applyFont="1" applyFill="1" applyBorder="1" applyAlignment="1">
      <alignment horizontal="right" vertical="center" wrapText="1"/>
    </xf>
    <xf numFmtId="164" fontId="15" fillId="0" borderId="1" xfId="0" quotePrefix="1" applyNumberFormat="1" applyFont="1" applyFill="1" applyBorder="1" applyAlignment="1">
      <alignment horizontal="right" vertical="center" wrapText="1"/>
    </xf>
    <xf numFmtId="0" fontId="15" fillId="0" borderId="1" xfId="0" quotePrefix="1" applyFont="1" applyBorder="1" applyAlignment="1">
      <alignment wrapText="1"/>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0" fontId="15" fillId="0" borderId="1" xfId="0" applyFont="1" applyBorder="1" applyAlignment="1">
      <alignment horizontal="center"/>
    </xf>
    <xf numFmtId="2" fontId="0" fillId="0" borderId="1" xfId="0" applyNumberFormat="1" applyBorder="1" applyAlignment="1">
      <alignment horizontal="center"/>
    </xf>
    <xf numFmtId="0" fontId="0" fillId="0" borderId="1" xfId="0" applyBorder="1" applyAlignment="1">
      <alignment horizontal="center"/>
    </xf>
  </cellXfs>
  <cellStyles count="2">
    <cellStyle name="Comma" xfId="1" builtinId="3"/>
    <cellStyle name="Normal" xfId="0" builtinId="0"/>
  </cellStyles>
  <dxfs count="3">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87" t="s">
        <v>0</v>
      </c>
      <c r="B1" s="87"/>
      <c r="C1" s="87"/>
      <c r="D1" s="87"/>
      <c r="E1" s="87"/>
      <c r="F1" s="87"/>
      <c r="G1" s="87"/>
      <c r="H1" s="87"/>
      <c r="I1" s="87"/>
      <c r="J1" s="87"/>
      <c r="K1" s="87"/>
    </row>
    <row r="2" spans="1:11" ht="25.5" x14ac:dyDescent="0.35">
      <c r="A2" s="88" t="s">
        <v>1</v>
      </c>
      <c r="B2" s="88"/>
      <c r="C2" s="88"/>
      <c r="D2" s="88"/>
      <c r="E2" s="88"/>
      <c r="F2" s="88"/>
      <c r="G2" s="88"/>
      <c r="H2" s="88"/>
      <c r="I2" s="88"/>
      <c r="J2" s="88"/>
      <c r="K2" s="88"/>
    </row>
    <row r="3" spans="1:11" s="1" customFormat="1" x14ac:dyDescent="0.25">
      <c r="A3" s="89" t="s">
        <v>2</v>
      </c>
      <c r="B3" s="89"/>
      <c r="C3" s="89"/>
      <c r="D3" s="89"/>
      <c r="E3" s="89"/>
      <c r="F3" s="89"/>
      <c r="G3" s="89"/>
      <c r="H3" s="89"/>
      <c r="I3" s="89"/>
      <c r="J3" s="89"/>
      <c r="K3" s="89"/>
    </row>
    <row r="4" spans="1:11" s="1" customFormat="1" x14ac:dyDescent="0.25">
      <c r="A4" s="89" t="s">
        <v>3</v>
      </c>
      <c r="B4" s="89"/>
      <c r="C4" s="89"/>
      <c r="D4" s="89"/>
      <c r="E4" s="89"/>
      <c r="F4" s="89"/>
      <c r="G4" s="89"/>
      <c r="H4" s="89"/>
      <c r="I4" s="89"/>
      <c r="J4" s="89"/>
      <c r="K4" s="89"/>
    </row>
    <row r="5" spans="1:11" ht="18.75" x14ac:dyDescent="0.3">
      <c r="A5" s="90" t="s">
        <v>18</v>
      </c>
      <c r="B5" s="90"/>
      <c r="C5" s="90"/>
      <c r="D5" s="90"/>
      <c r="E5" s="90"/>
      <c r="F5" s="90"/>
      <c r="G5" s="90"/>
      <c r="H5" s="90"/>
      <c r="I5" s="90"/>
      <c r="J5" s="90"/>
      <c r="K5" s="90"/>
    </row>
    <row r="6" spans="1:11" ht="18.75" x14ac:dyDescent="0.3">
      <c r="A6" s="8" t="s">
        <v>19</v>
      </c>
      <c r="B6" s="8"/>
      <c r="C6" s="85" t="e">
        <f>F18</f>
        <v>#REF!</v>
      </c>
      <c r="D6" s="86"/>
      <c r="E6" s="9"/>
      <c r="F6" s="8"/>
      <c r="G6" s="8"/>
      <c r="H6" s="8" t="s">
        <v>20</v>
      </c>
      <c r="I6" s="8"/>
      <c r="J6" s="85" t="e">
        <f>I18</f>
        <v>#REF!</v>
      </c>
      <c r="K6" s="86"/>
    </row>
    <row r="7" spans="1:11" x14ac:dyDescent="0.25">
      <c r="A7" s="26" t="s">
        <v>29</v>
      </c>
      <c r="B7" s="10"/>
      <c r="C7" s="10"/>
      <c r="D7" s="10"/>
      <c r="F7" s="80"/>
      <c r="G7" s="80"/>
      <c r="I7" s="81" t="s">
        <v>37</v>
      </c>
      <c r="J7" s="81"/>
      <c r="K7" s="81"/>
    </row>
    <row r="8" spans="1:11" ht="15.75" x14ac:dyDescent="0.25">
      <c r="A8" s="79" t="e">
        <f>#REF!</f>
        <v>#REF!</v>
      </c>
      <c r="B8" s="79"/>
      <c r="C8" s="79"/>
      <c r="D8" s="79"/>
      <c r="E8" s="79"/>
      <c r="F8" s="79"/>
      <c r="I8" s="82" t="s">
        <v>38</v>
      </c>
      <c r="J8" s="82"/>
      <c r="K8" s="82"/>
    </row>
    <row r="9" spans="1:11" x14ac:dyDescent="0.25">
      <c r="A9" s="83" t="e">
        <f>#REF!</f>
        <v>#REF!</v>
      </c>
      <c r="B9" s="83"/>
      <c r="C9" s="83"/>
      <c r="D9" s="83"/>
      <c r="E9" s="83"/>
      <c r="F9" s="83"/>
      <c r="I9" s="82" t="s">
        <v>39</v>
      </c>
      <c r="J9" s="82"/>
      <c r="K9" s="82"/>
    </row>
    <row r="11" spans="1:11" x14ac:dyDescent="0.25">
      <c r="A11" s="77" t="s">
        <v>21</v>
      </c>
      <c r="B11" s="77" t="s">
        <v>22</v>
      </c>
      <c r="C11" s="77" t="s">
        <v>12</v>
      </c>
      <c r="D11" s="84" t="s">
        <v>23</v>
      </c>
      <c r="E11" s="84"/>
      <c r="F11" s="84"/>
      <c r="G11" s="84" t="s">
        <v>24</v>
      </c>
      <c r="H11" s="84"/>
      <c r="I11" s="84"/>
      <c r="J11" s="77" t="s">
        <v>25</v>
      </c>
      <c r="K11" s="78" t="s">
        <v>15</v>
      </c>
    </row>
    <row r="12" spans="1:11" x14ac:dyDescent="0.25">
      <c r="A12" s="77"/>
      <c r="B12" s="77"/>
      <c r="C12" s="77"/>
      <c r="D12" s="11" t="s">
        <v>26</v>
      </c>
      <c r="E12" s="11" t="s">
        <v>13</v>
      </c>
      <c r="F12" s="11" t="s">
        <v>14</v>
      </c>
      <c r="G12" s="11" t="s">
        <v>26</v>
      </c>
      <c r="H12" s="11" t="s">
        <v>13</v>
      </c>
      <c r="I12" s="11" t="s">
        <v>14</v>
      </c>
      <c r="J12" s="77"/>
      <c r="K12" s="78"/>
    </row>
    <row r="13" spans="1:11" s="1" customFormat="1" ht="15.75" x14ac:dyDescent="0.25">
      <c r="A13" s="27" t="e">
        <f>#REF!</f>
        <v>#REF!</v>
      </c>
      <c r="B13" s="32" t="e">
        <f>#REF!</f>
        <v>#REF!</v>
      </c>
      <c r="C13" s="12" t="e">
        <f>#REF!</f>
        <v>#REF!</v>
      </c>
      <c r="D13" s="12" t="e">
        <f>#REF!</f>
        <v>#REF!</v>
      </c>
      <c r="E13" s="12" t="e">
        <f>#REF!</f>
        <v>#REF!</v>
      </c>
      <c r="F13" s="12" t="e">
        <f>D13*E13</f>
        <v>#REF!</v>
      </c>
      <c r="G13" s="12" t="e">
        <f>#REF!</f>
        <v>#REF!</v>
      </c>
      <c r="H13" s="12" t="e">
        <f>#REF!</f>
        <v>#REF!</v>
      </c>
      <c r="I13" s="12" t="e">
        <f>G13*H13</f>
        <v>#REF!</v>
      </c>
      <c r="J13" s="28" t="e">
        <f>I13-F13</f>
        <v>#REF!</v>
      </c>
      <c r="K13" s="14"/>
    </row>
    <row r="14" spans="1:11" s="1" customFormat="1" ht="15.75" x14ac:dyDescent="0.25">
      <c r="A14" s="27"/>
      <c r="B14" s="33" t="e">
        <f>#REF!</f>
        <v>#REF!</v>
      </c>
      <c r="C14" s="12"/>
      <c r="D14" s="12"/>
      <c r="E14" s="12"/>
      <c r="F14" s="12" t="e">
        <f>#REF!</f>
        <v>#REF!</v>
      </c>
      <c r="G14" s="12"/>
      <c r="H14" s="12"/>
      <c r="I14" s="12" t="e">
        <f>#REF!</f>
        <v>#REF!</v>
      </c>
      <c r="J14" s="28"/>
      <c r="K14" s="14"/>
    </row>
    <row r="15" spans="1:11" s="1" customFormat="1" x14ac:dyDescent="0.25">
      <c r="A15" s="29"/>
      <c r="B15" s="29"/>
      <c r="C15" s="12"/>
      <c r="D15" s="12"/>
      <c r="E15" s="12"/>
      <c r="F15" s="12"/>
      <c r="G15" s="12"/>
      <c r="H15" s="12"/>
      <c r="I15" s="12"/>
      <c r="J15" s="28"/>
      <c r="K15" s="14"/>
    </row>
    <row r="16" spans="1:11" s="1" customFormat="1" x14ac:dyDescent="0.25">
      <c r="A16" s="27" t="e">
        <f>#REF!</f>
        <v>#REF!</v>
      </c>
      <c r="B16" s="31" t="e">
        <f>#REF!</f>
        <v>#REF!</v>
      </c>
      <c r="C16" s="12" t="e">
        <f>#REF!</f>
        <v>#REF!</v>
      </c>
      <c r="D16" s="12" t="e">
        <f>#REF!</f>
        <v>#REF!</v>
      </c>
      <c r="E16" s="12" t="e">
        <f>#REF!</f>
        <v>#REF!</v>
      </c>
      <c r="F16" s="12" t="e">
        <f>D16*E16</f>
        <v>#REF!</v>
      </c>
      <c r="G16" s="12" t="e">
        <f>#REF!</f>
        <v>#REF!</v>
      </c>
      <c r="H16" s="12" t="e">
        <f>#REF!</f>
        <v>#REF!</v>
      </c>
      <c r="I16" s="12" t="e">
        <f>G16*H16</f>
        <v>#REF!</v>
      </c>
      <c r="J16" s="28" t="e">
        <f>I16-F16</f>
        <v>#REF!</v>
      </c>
      <c r="K16" s="14"/>
    </row>
    <row r="17" spans="1:11" s="1" customFormat="1" x14ac:dyDescent="0.25">
      <c r="A17" s="29"/>
      <c r="B17" s="29"/>
      <c r="C17" s="12"/>
      <c r="D17" s="12"/>
      <c r="E17" s="12"/>
      <c r="F17" s="12"/>
      <c r="G17" s="12"/>
      <c r="H17" s="12"/>
      <c r="I17" s="12"/>
      <c r="J17" s="28"/>
      <c r="K17" s="14"/>
    </row>
    <row r="18" spans="1:11" x14ac:dyDescent="0.25">
      <c r="A18" s="5"/>
      <c r="B18" s="6" t="s">
        <v>16</v>
      </c>
      <c r="C18" s="6"/>
      <c r="D18" s="7"/>
      <c r="E18" s="7"/>
      <c r="F18" s="7" t="e">
        <f>SUM(F13:F16)</f>
        <v>#REF!</v>
      </c>
      <c r="G18" s="7"/>
      <c r="H18" s="7"/>
      <c r="I18" s="7" t="e">
        <f>SUM(I13:I16)</f>
        <v>#REF!</v>
      </c>
      <c r="J18" s="13" t="e">
        <f>I18-F18</f>
        <v>#REF!</v>
      </c>
      <c r="K18"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3"/>
  <sheetViews>
    <sheetView topLeftCell="A58" zoomScaleNormal="100" workbookViewId="0">
      <selection activeCell="J63" sqref="J63"/>
    </sheetView>
  </sheetViews>
  <sheetFormatPr defaultRowHeight="15" x14ac:dyDescent="0.25"/>
  <cols>
    <col min="1" max="1" width="4.7109375" customWidth="1"/>
    <col min="2" max="2" width="31.28515625" customWidth="1"/>
    <col min="3" max="3" width="6.5703125" bestFit="1" customWidth="1"/>
    <col min="4" max="4" width="7.5703125" customWidth="1"/>
    <col min="5" max="5" width="8.5703125" customWidth="1"/>
    <col min="6" max="6" width="8" customWidth="1"/>
    <col min="7" max="7" width="8.5703125" customWidth="1"/>
    <col min="8" max="8" width="5" bestFit="1" customWidth="1"/>
    <col min="9" max="9" width="9.5703125" bestFit="1" customWidth="1"/>
    <col min="10" max="10" width="10.7109375" bestFit="1" customWidth="1"/>
  </cols>
  <sheetData>
    <row r="1" spans="1:18" s="1" customFormat="1" x14ac:dyDescent="0.25">
      <c r="A1" s="96" t="s">
        <v>0</v>
      </c>
      <c r="B1" s="96"/>
      <c r="C1" s="96"/>
      <c r="D1" s="96"/>
      <c r="E1" s="96"/>
      <c r="F1" s="96"/>
      <c r="G1" s="96"/>
      <c r="H1" s="96"/>
      <c r="I1" s="96"/>
      <c r="J1" s="96"/>
      <c r="K1" s="96"/>
    </row>
    <row r="2" spans="1:18" s="1" customFormat="1" ht="22.5" x14ac:dyDescent="0.25">
      <c r="A2" s="97" t="s">
        <v>1</v>
      </c>
      <c r="B2" s="97"/>
      <c r="C2" s="97"/>
      <c r="D2" s="97"/>
      <c r="E2" s="97"/>
      <c r="F2" s="97"/>
      <c r="G2" s="97"/>
      <c r="H2" s="97"/>
      <c r="I2" s="97"/>
      <c r="J2" s="97"/>
      <c r="K2" s="97"/>
    </row>
    <row r="3" spans="1:18" s="1" customFormat="1" x14ac:dyDescent="0.25">
      <c r="A3" s="89" t="s">
        <v>2</v>
      </c>
      <c r="B3" s="89"/>
      <c r="C3" s="89"/>
      <c r="D3" s="89"/>
      <c r="E3" s="89"/>
      <c r="F3" s="89"/>
      <c r="G3" s="89"/>
      <c r="H3" s="89"/>
      <c r="I3" s="89"/>
      <c r="J3" s="89"/>
      <c r="K3" s="89"/>
    </row>
    <row r="4" spans="1:18" s="1" customFormat="1" x14ac:dyDescent="0.25">
      <c r="A4" s="89" t="s">
        <v>3</v>
      </c>
      <c r="B4" s="89"/>
      <c r="C4" s="89"/>
      <c r="D4" s="89"/>
      <c r="E4" s="89"/>
      <c r="F4" s="89"/>
      <c r="G4" s="89"/>
      <c r="H4" s="89"/>
      <c r="I4" s="89"/>
      <c r="J4" s="89"/>
      <c r="K4" s="89"/>
    </row>
    <row r="5" spans="1:18" ht="18.75" x14ac:dyDescent="0.3">
      <c r="A5" s="98" t="s">
        <v>4</v>
      </c>
      <c r="B5" s="98"/>
      <c r="C5" s="98"/>
      <c r="D5" s="98"/>
      <c r="E5" s="98"/>
      <c r="F5" s="98"/>
      <c r="G5" s="98"/>
      <c r="H5" s="98"/>
      <c r="I5" s="98"/>
      <c r="J5" s="98"/>
      <c r="K5" s="98"/>
    </row>
    <row r="6" spans="1:18" ht="15.75" x14ac:dyDescent="0.25">
      <c r="A6" s="79" t="s">
        <v>61</v>
      </c>
      <c r="B6" s="79"/>
      <c r="C6" s="79"/>
      <c r="D6" s="79"/>
      <c r="E6" s="79"/>
      <c r="F6" s="79"/>
      <c r="G6" s="2"/>
      <c r="H6" s="95" t="s">
        <v>45</v>
      </c>
      <c r="I6" s="95"/>
      <c r="J6" s="95"/>
      <c r="K6" s="95"/>
      <c r="O6" t="s">
        <v>50</v>
      </c>
    </row>
    <row r="7" spans="1:18" ht="15.75" x14ac:dyDescent="0.25">
      <c r="A7" s="92" t="s">
        <v>28</v>
      </c>
      <c r="B7" s="92"/>
      <c r="C7" s="92"/>
      <c r="D7" s="92"/>
      <c r="E7" s="92"/>
      <c r="F7" s="92"/>
      <c r="G7" s="3"/>
      <c r="H7" s="93" t="s">
        <v>60</v>
      </c>
      <c r="I7" s="93"/>
      <c r="J7" s="93"/>
      <c r="K7" s="93"/>
    </row>
    <row r="8" spans="1:18" ht="15" customHeight="1" x14ac:dyDescent="0.25">
      <c r="A8" s="4" t="s">
        <v>5</v>
      </c>
      <c r="B8" s="15" t="s">
        <v>6</v>
      </c>
      <c r="C8" s="4" t="s">
        <v>7</v>
      </c>
      <c r="D8" s="16" t="s">
        <v>8</v>
      </c>
      <c r="E8" s="16" t="s">
        <v>9</v>
      </c>
      <c r="F8" s="16" t="s">
        <v>10</v>
      </c>
      <c r="G8" s="16" t="s">
        <v>11</v>
      </c>
      <c r="H8" s="4" t="s">
        <v>12</v>
      </c>
      <c r="I8" s="16" t="s">
        <v>13</v>
      </c>
      <c r="J8" s="16" t="s">
        <v>14</v>
      </c>
      <c r="K8" s="17" t="s">
        <v>15</v>
      </c>
      <c r="N8" t="s">
        <v>46</v>
      </c>
    </row>
    <row r="9" spans="1:18" ht="150" x14ac:dyDescent="0.25">
      <c r="A9" s="64">
        <v>1</v>
      </c>
      <c r="B9" s="30" t="s">
        <v>51</v>
      </c>
      <c r="C9" s="37"/>
      <c r="D9" s="37"/>
      <c r="E9" s="37"/>
      <c r="F9" s="37"/>
      <c r="G9" s="37"/>
      <c r="H9" s="37"/>
      <c r="I9" s="37"/>
      <c r="J9" s="37"/>
      <c r="K9" s="37"/>
      <c r="N9" t="s">
        <v>47</v>
      </c>
      <c r="O9" t="s">
        <v>48</v>
      </c>
    </row>
    <row r="10" spans="1:18" ht="15" customHeight="1" x14ac:dyDescent="0.25">
      <c r="A10" s="18"/>
      <c r="B10" s="38" t="str">
        <f>B21</f>
        <v>-For stone masonary</v>
      </c>
      <c r="C10" s="37">
        <v>0.5</v>
      </c>
      <c r="D10" s="39">
        <f>D40-20</f>
        <v>10</v>
      </c>
      <c r="E10" s="39">
        <f>F40/2</f>
        <v>0.90673575129533679</v>
      </c>
      <c r="F10" s="39">
        <f>F40</f>
        <v>1.8134715025906736</v>
      </c>
      <c r="G10" s="40">
        <f>PRODUCT(C10:F10)</f>
        <v>8.2216972267711892</v>
      </c>
      <c r="H10" s="41"/>
      <c r="I10" s="41"/>
      <c r="J10" s="41"/>
      <c r="K10" s="21"/>
      <c r="M10" s="25"/>
      <c r="N10" s="1"/>
      <c r="O10" s="1"/>
      <c r="P10" s="1"/>
      <c r="Q10" s="1"/>
      <c r="R10" s="1"/>
    </row>
    <row r="11" spans="1:18" ht="15" customHeight="1" x14ac:dyDescent="0.25">
      <c r="A11" s="18"/>
      <c r="B11" s="38"/>
      <c r="C11" s="37">
        <v>0.5</v>
      </c>
      <c r="D11" s="39">
        <f>D40-D10</f>
        <v>20</v>
      </c>
      <c r="E11" s="39">
        <f>F40/2</f>
        <v>0.90673575129533679</v>
      </c>
      <c r="F11" s="39">
        <f>0.9</f>
        <v>0.9</v>
      </c>
      <c r="G11" s="40">
        <f>PRODUCT(C11:F11)</f>
        <v>8.1606217616580317</v>
      </c>
      <c r="H11" s="41"/>
      <c r="I11" s="41"/>
      <c r="J11" s="41"/>
      <c r="K11" s="21"/>
      <c r="M11" s="25"/>
      <c r="N11" s="1"/>
      <c r="O11" s="1"/>
      <c r="P11" s="1"/>
      <c r="Q11" s="1"/>
      <c r="R11" s="1"/>
    </row>
    <row r="12" spans="1:18" ht="15" customHeight="1" x14ac:dyDescent="0.25">
      <c r="A12" s="18"/>
      <c r="B12" s="38" t="s">
        <v>67</v>
      </c>
      <c r="C12" s="37">
        <v>1</v>
      </c>
      <c r="D12" s="39">
        <f>C50*D50</f>
        <v>30</v>
      </c>
      <c r="E12" s="39">
        <v>0.5</v>
      </c>
      <c r="F12" s="39">
        <v>1.2</v>
      </c>
      <c r="G12" s="40">
        <f>PRODUCT(C12:F12)</f>
        <v>18</v>
      </c>
      <c r="H12" s="41"/>
      <c r="I12" s="41"/>
      <c r="J12" s="41"/>
      <c r="K12" s="21"/>
      <c r="M12" s="25"/>
      <c r="N12" s="1"/>
      <c r="O12" s="1"/>
      <c r="P12" s="1"/>
      <c r="Q12" s="1"/>
      <c r="R12" s="1"/>
    </row>
    <row r="13" spans="1:18" ht="15" customHeight="1" x14ac:dyDescent="0.25">
      <c r="A13" s="18"/>
      <c r="B13" s="38" t="s">
        <v>42</v>
      </c>
      <c r="C13" s="19"/>
      <c r="D13" s="20"/>
      <c r="E13" s="21"/>
      <c r="F13" s="21"/>
      <c r="G13" s="23">
        <f>SUM(G10:G12)</f>
        <v>34.382318988429219</v>
      </c>
      <c r="H13" s="22" t="s">
        <v>41</v>
      </c>
      <c r="I13" s="23">
        <v>64.63</v>
      </c>
      <c r="J13" s="42">
        <f>G13*I13</f>
        <v>2222.1292762221801</v>
      </c>
      <c r="K13" s="21"/>
      <c r="M13" s="25"/>
      <c r="N13" s="1"/>
      <c r="O13" s="1"/>
      <c r="P13" s="1"/>
      <c r="Q13" s="1"/>
      <c r="R13" s="1"/>
    </row>
    <row r="14" spans="1:18" ht="15" customHeight="1" x14ac:dyDescent="0.25">
      <c r="A14" s="18"/>
      <c r="B14" s="38" t="s">
        <v>40</v>
      </c>
      <c r="C14" s="19"/>
      <c r="D14" s="20"/>
      <c r="E14" s="21"/>
      <c r="F14" s="21"/>
      <c r="G14" s="23"/>
      <c r="H14" s="22"/>
      <c r="I14" s="23"/>
      <c r="J14" s="42">
        <f>0.13*G13*19284/360</f>
        <v>239.42700866242492</v>
      </c>
      <c r="K14" s="21"/>
      <c r="M14" s="25"/>
      <c r="N14" s="1"/>
      <c r="O14" s="1"/>
      <c r="P14" s="1"/>
      <c r="Q14" s="1"/>
      <c r="R14" s="1"/>
    </row>
    <row r="15" spans="1:18" ht="15" customHeight="1" x14ac:dyDescent="0.25">
      <c r="A15" s="18"/>
      <c r="B15" s="38"/>
      <c r="C15" s="19"/>
      <c r="D15" s="20"/>
      <c r="E15" s="21"/>
      <c r="F15" s="21"/>
      <c r="G15" s="23"/>
      <c r="H15" s="22"/>
      <c r="I15" s="23"/>
      <c r="J15" s="42"/>
      <c r="K15" s="21"/>
      <c r="M15" s="25"/>
      <c r="N15" s="1"/>
      <c r="O15" s="1"/>
      <c r="P15" s="1"/>
      <c r="Q15" s="1"/>
      <c r="R15" s="1"/>
    </row>
    <row r="16" spans="1:18" ht="105" x14ac:dyDescent="0.25">
      <c r="A16" s="18">
        <v>2</v>
      </c>
      <c r="B16" s="30" t="s">
        <v>64</v>
      </c>
      <c r="C16" s="19"/>
      <c r="D16" s="20"/>
      <c r="E16" s="21"/>
      <c r="F16" s="21"/>
      <c r="G16" s="23"/>
      <c r="H16" s="22"/>
      <c r="I16" s="23"/>
      <c r="J16" s="42"/>
      <c r="K16" s="21"/>
      <c r="M16" s="25"/>
      <c r="N16" s="1"/>
      <c r="O16" s="1"/>
      <c r="P16" s="1"/>
      <c r="Q16" s="1"/>
      <c r="R16" s="1"/>
    </row>
    <row r="17" spans="1:19" ht="15" customHeight="1" x14ac:dyDescent="0.25">
      <c r="A17" s="18"/>
      <c r="B17" s="38" t="s">
        <v>62</v>
      </c>
      <c r="C17" s="37">
        <v>0.5</v>
      </c>
      <c r="D17" s="39">
        <v>20</v>
      </c>
      <c r="E17" s="39">
        <f>E28</f>
        <v>4.8671136848521792</v>
      </c>
      <c r="F17" s="39">
        <f>1.5</f>
        <v>1.5</v>
      </c>
      <c r="G17" s="40">
        <f>PRODUCT(C17:F17)</f>
        <v>73.006705272782682</v>
      </c>
      <c r="H17" s="41"/>
      <c r="I17" s="41"/>
      <c r="J17" s="41"/>
      <c r="K17" s="21"/>
      <c r="M17" s="25"/>
      <c r="N17" s="1"/>
    </row>
    <row r="18" spans="1:19" ht="15" customHeight="1" x14ac:dyDescent="0.25">
      <c r="A18" s="41"/>
      <c r="B18" s="38" t="s">
        <v>42</v>
      </c>
      <c r="C18" s="43"/>
      <c r="D18" s="44"/>
      <c r="E18" s="44"/>
      <c r="F18" s="44"/>
      <c r="G18" s="34">
        <f>SUM(G17:G17)</f>
        <v>73.006705272782682</v>
      </c>
      <c r="H18" s="34" t="s">
        <v>41</v>
      </c>
      <c r="I18" s="34">
        <v>404.28</v>
      </c>
      <c r="J18" s="45">
        <f>G18*I18</f>
        <v>29515.15080768058</v>
      </c>
      <c r="K18" s="37"/>
    </row>
    <row r="19" spans="1:19" x14ac:dyDescent="0.25">
      <c r="A19" s="41"/>
      <c r="B19" s="38"/>
      <c r="C19" s="43"/>
      <c r="D19" s="44"/>
      <c r="E19" s="44"/>
      <c r="F19" s="44"/>
      <c r="G19" s="44"/>
      <c r="H19" s="44"/>
      <c r="I19" s="44"/>
      <c r="J19" s="46"/>
      <c r="K19" s="37"/>
    </row>
    <row r="20" spans="1:19" ht="90" x14ac:dyDescent="0.25">
      <c r="A20" s="18">
        <v>3</v>
      </c>
      <c r="B20" s="30" t="s">
        <v>44</v>
      </c>
      <c r="C20" s="19"/>
      <c r="D20" s="20"/>
      <c r="E20" s="21"/>
      <c r="F20" s="21"/>
      <c r="G20" s="23"/>
      <c r="H20" s="22"/>
      <c r="I20" s="23"/>
      <c r="J20" s="42"/>
      <c r="K20" s="21"/>
      <c r="M20" s="25"/>
      <c r="N20" s="1"/>
      <c r="O20" s="1"/>
      <c r="P20" s="1"/>
      <c r="Q20" s="1"/>
      <c r="R20" s="1"/>
    </row>
    <row r="21" spans="1:19" ht="15" customHeight="1" x14ac:dyDescent="0.25">
      <c r="A21" s="18"/>
      <c r="B21" s="38" t="str">
        <f>B33</f>
        <v>-For stone masonary</v>
      </c>
      <c r="C21" s="37">
        <v>1</v>
      </c>
      <c r="D21" s="39">
        <f>D33</f>
        <v>30</v>
      </c>
      <c r="E21" s="39">
        <f>E33</f>
        <v>0.90673575129533679</v>
      </c>
      <c r="F21" s="39">
        <v>0.15</v>
      </c>
      <c r="G21" s="40">
        <f>PRODUCT(C21:F21)</f>
        <v>4.0803108808290158</v>
      </c>
      <c r="H21" s="41"/>
      <c r="I21" s="41"/>
      <c r="J21" s="41"/>
      <c r="K21" s="21"/>
      <c r="M21" s="25"/>
      <c r="N21" s="1"/>
      <c r="O21" s="1"/>
      <c r="P21" s="1"/>
      <c r="Q21" s="1"/>
      <c r="R21" s="1"/>
    </row>
    <row r="22" spans="1:19" ht="15" customHeight="1" x14ac:dyDescent="0.25">
      <c r="A22" s="18"/>
      <c r="B22" s="38" t="s">
        <v>62</v>
      </c>
      <c r="C22" s="37">
        <v>1</v>
      </c>
      <c r="D22" s="39">
        <f>D40</f>
        <v>30</v>
      </c>
      <c r="E22" s="39">
        <f>(19.25/3.281)-1</f>
        <v>4.8671136848521792</v>
      </c>
      <c r="F22" s="39">
        <v>0.15</v>
      </c>
      <c r="G22" s="40">
        <f>PRODUCT(C22:F22)</f>
        <v>21.902011581834802</v>
      </c>
      <c r="H22" s="41"/>
      <c r="I22" s="41"/>
      <c r="J22" s="41"/>
      <c r="K22" s="21"/>
      <c r="M22" s="25"/>
      <c r="N22" s="1"/>
    </row>
    <row r="23" spans="1:19" ht="15" customHeight="1" x14ac:dyDescent="0.25">
      <c r="A23" s="18"/>
      <c r="B23" s="38" t="s">
        <v>70</v>
      </c>
      <c r="C23" s="75">
        <v>2</v>
      </c>
      <c r="D23" s="74">
        <f>(1.8)</f>
        <v>1.8</v>
      </c>
      <c r="E23" s="74">
        <v>1.8</v>
      </c>
      <c r="F23" s="74">
        <v>0.15</v>
      </c>
      <c r="G23" s="40">
        <f>C23*(PI())*(D23)*E23*F23/4</f>
        <v>0.76340701482231976</v>
      </c>
      <c r="H23" s="41"/>
      <c r="I23" s="41"/>
      <c r="J23" s="41"/>
      <c r="K23" s="21"/>
      <c r="M23" s="25"/>
      <c r="N23" s="1"/>
      <c r="O23" s="1"/>
      <c r="P23" s="1"/>
      <c r="Q23" s="1"/>
      <c r="R23" s="25"/>
      <c r="S23" s="25"/>
    </row>
    <row r="24" spans="1:19" ht="15" customHeight="1" x14ac:dyDescent="0.25">
      <c r="A24" s="41"/>
      <c r="B24" s="38" t="s">
        <v>42</v>
      </c>
      <c r="C24" s="43"/>
      <c r="D24" s="44"/>
      <c r="E24" s="44"/>
      <c r="F24" s="44"/>
      <c r="G24" s="34">
        <f>SUM(G21:G23)</f>
        <v>26.745729477486137</v>
      </c>
      <c r="H24" s="34" t="s">
        <v>41</v>
      </c>
      <c r="I24" s="34">
        <v>4434.5200000000004</v>
      </c>
      <c r="J24" s="45">
        <f>G24*I24</f>
        <v>118604.47228250184</v>
      </c>
      <c r="K24" s="37"/>
    </row>
    <row r="25" spans="1:19" x14ac:dyDescent="0.25">
      <c r="A25" s="41"/>
      <c r="B25" s="38" t="s">
        <v>40</v>
      </c>
      <c r="C25" s="43"/>
      <c r="D25" s="44"/>
      <c r="E25" s="44"/>
      <c r="F25" s="44"/>
      <c r="G25" s="44"/>
      <c r="H25" s="44"/>
      <c r="I25" s="44"/>
      <c r="J25" s="46">
        <f>0.13*G24*(14817.6/5)</f>
        <v>10303.995548745563</v>
      </c>
      <c r="K25" s="37"/>
    </row>
    <row r="26" spans="1:19" x14ac:dyDescent="0.25">
      <c r="A26" s="41"/>
      <c r="B26" s="38"/>
      <c r="C26" s="43"/>
      <c r="D26" s="44"/>
      <c r="E26" s="44"/>
      <c r="F26" s="44"/>
      <c r="G26" s="44"/>
      <c r="H26" s="44"/>
      <c r="I26" s="44"/>
      <c r="J26" s="46"/>
      <c r="K26" s="37"/>
    </row>
    <row r="27" spans="1:19" ht="75" x14ac:dyDescent="0.25">
      <c r="A27" s="18">
        <v>4</v>
      </c>
      <c r="B27" s="30" t="s">
        <v>63</v>
      </c>
      <c r="C27" s="19"/>
      <c r="D27" s="20"/>
      <c r="E27" s="21"/>
      <c r="F27" s="21"/>
      <c r="G27" s="23"/>
      <c r="H27" s="22"/>
      <c r="I27" s="23"/>
      <c r="J27" s="42"/>
      <c r="K27" s="21"/>
      <c r="M27" s="25"/>
      <c r="N27" s="1"/>
      <c r="O27" s="1"/>
      <c r="P27" s="1"/>
      <c r="Q27" s="1"/>
      <c r="R27" s="1"/>
    </row>
    <row r="28" spans="1:19" ht="15" customHeight="1" x14ac:dyDescent="0.25">
      <c r="A28" s="18"/>
      <c r="B28" s="38" t="str">
        <f>B22</f>
        <v>-for road</v>
      </c>
      <c r="C28" s="37">
        <v>1</v>
      </c>
      <c r="D28" s="39">
        <f>D22</f>
        <v>30</v>
      </c>
      <c r="E28" s="39">
        <f>E22</f>
        <v>4.8671136848521792</v>
      </c>
      <c r="F28" s="39">
        <v>0.15</v>
      </c>
      <c r="G28" s="40">
        <f>PRODUCT(C28:F28)</f>
        <v>21.902011581834802</v>
      </c>
      <c r="H28" s="41"/>
      <c r="I28" s="41"/>
      <c r="J28" s="41"/>
      <c r="K28" s="21"/>
      <c r="M28" s="25"/>
      <c r="N28" s="1"/>
    </row>
    <row r="29" spans="1:19" ht="15" customHeight="1" x14ac:dyDescent="0.25">
      <c r="A29" s="41"/>
      <c r="B29" s="38" t="s">
        <v>42</v>
      </c>
      <c r="C29" s="43"/>
      <c r="D29" s="44"/>
      <c r="E29" s="44"/>
      <c r="F29" s="44"/>
      <c r="G29" s="34">
        <f>SUM(G28:G28)</f>
        <v>21.902011581834802</v>
      </c>
      <c r="H29" s="34" t="s">
        <v>41</v>
      </c>
      <c r="I29" s="34">
        <v>11588.17</v>
      </c>
      <c r="J29" s="45">
        <f>G29*I29</f>
        <v>253804.2335522706</v>
      </c>
      <c r="K29" s="37"/>
    </row>
    <row r="30" spans="1:19" ht="15" customHeight="1" x14ac:dyDescent="0.25">
      <c r="A30" s="41"/>
      <c r="B30" s="38" t="s">
        <v>40</v>
      </c>
      <c r="C30" s="43"/>
      <c r="D30" s="44"/>
      <c r="E30" s="44"/>
      <c r="F30" s="44"/>
      <c r="G30" s="44"/>
      <c r="H30" s="44"/>
      <c r="I30" s="44"/>
      <c r="J30" s="46">
        <f>0.13*G29*((128662.2+6685.5)/15)</f>
        <v>25691.353072447422</v>
      </c>
      <c r="K30" s="37"/>
    </row>
    <row r="31" spans="1:19" ht="15" customHeight="1" x14ac:dyDescent="0.25">
      <c r="A31" s="41"/>
      <c r="B31" s="38"/>
      <c r="C31" s="43"/>
      <c r="D31" s="44"/>
      <c r="E31" s="44"/>
      <c r="F31" s="44"/>
      <c r="G31" s="44"/>
      <c r="H31" s="44"/>
      <c r="I31" s="44"/>
      <c r="J31" s="46"/>
      <c r="K31" s="37"/>
      <c r="O31" s="1"/>
      <c r="P31" s="1"/>
      <c r="Q31" s="1"/>
      <c r="R31" s="1"/>
    </row>
    <row r="32" spans="1:19" ht="75" x14ac:dyDescent="0.25">
      <c r="A32" s="18">
        <v>5</v>
      </c>
      <c r="B32" s="30" t="s">
        <v>43</v>
      </c>
      <c r="C32" s="19"/>
      <c r="D32" s="20"/>
      <c r="E32" s="21"/>
      <c r="F32" s="21"/>
      <c r="G32" s="23"/>
      <c r="H32" s="22"/>
      <c r="I32" s="23"/>
      <c r="J32" s="42"/>
      <c r="K32" s="21"/>
      <c r="M32" s="25"/>
      <c r="N32" s="1"/>
      <c r="O32" s="1"/>
      <c r="P32" s="1"/>
      <c r="Q32" s="1"/>
      <c r="R32" s="1"/>
    </row>
    <row r="33" spans="1:19" ht="15" customHeight="1" x14ac:dyDescent="0.25">
      <c r="A33" s="18"/>
      <c r="B33" s="38" t="s">
        <v>54</v>
      </c>
      <c r="C33" s="37">
        <v>1</v>
      </c>
      <c r="D33" s="39">
        <f>D40</f>
        <v>30</v>
      </c>
      <c r="E33" s="39">
        <f>F40/2</f>
        <v>0.90673575129533679</v>
      </c>
      <c r="F33" s="39">
        <v>7.4999999999999997E-2</v>
      </c>
      <c r="G33" s="40">
        <f>PRODUCT(C33:F33)</f>
        <v>2.0401554404145079</v>
      </c>
      <c r="H33" s="41"/>
      <c r="I33" s="41"/>
      <c r="J33" s="41"/>
      <c r="K33" s="21"/>
      <c r="M33" s="25"/>
      <c r="N33" s="1"/>
      <c r="O33" s="1"/>
      <c r="P33" s="1"/>
      <c r="Q33" s="1"/>
      <c r="R33" s="1"/>
    </row>
    <row r="34" spans="1:19" ht="15" customHeight="1" x14ac:dyDescent="0.25">
      <c r="A34" s="18"/>
      <c r="B34" s="38"/>
      <c r="C34" s="37">
        <v>1</v>
      </c>
      <c r="D34" s="39">
        <f>D33</f>
        <v>30</v>
      </c>
      <c r="E34" s="39">
        <v>0.5</v>
      </c>
      <c r="F34" s="39">
        <v>0.05</v>
      </c>
      <c r="G34" s="40">
        <f>PRODUCT(C34:F34)</f>
        <v>0.75</v>
      </c>
      <c r="H34" s="41"/>
      <c r="I34" s="41"/>
      <c r="J34" s="41"/>
      <c r="K34" s="21"/>
      <c r="M34" s="25"/>
      <c r="N34" s="1"/>
    </row>
    <row r="35" spans="1:19" ht="15" customHeight="1" x14ac:dyDescent="0.25">
      <c r="A35" s="18"/>
      <c r="B35" s="38" t="s">
        <v>70</v>
      </c>
      <c r="C35" s="75">
        <v>2</v>
      </c>
      <c r="D35" s="74">
        <f>(1.8)</f>
        <v>1.8</v>
      </c>
      <c r="E35" s="74">
        <v>1.8</v>
      </c>
      <c r="F35" s="74">
        <v>0.08</v>
      </c>
      <c r="G35" s="40">
        <f>C35*(PI())*(D35)*E35*F35/4</f>
        <v>0.40715040790523727</v>
      </c>
      <c r="H35" s="41"/>
      <c r="I35" s="41"/>
      <c r="J35" s="41"/>
      <c r="K35" s="21"/>
      <c r="M35" s="25"/>
      <c r="N35" s="1"/>
      <c r="O35" s="1"/>
      <c r="P35" s="1"/>
      <c r="Q35" s="1"/>
      <c r="R35" s="25"/>
      <c r="S35" s="25"/>
    </row>
    <row r="36" spans="1:19" ht="15" customHeight="1" x14ac:dyDescent="0.25">
      <c r="A36" s="41"/>
      <c r="B36" s="38" t="s">
        <v>42</v>
      </c>
      <c r="C36" s="43"/>
      <c r="D36" s="44"/>
      <c r="E36" s="44"/>
      <c r="F36" s="44"/>
      <c r="G36" s="34">
        <f>SUM(G33:G35)</f>
        <v>3.1973058483197452</v>
      </c>
      <c r="H36" s="34" t="s">
        <v>41</v>
      </c>
      <c r="I36" s="34">
        <v>10634.5</v>
      </c>
      <c r="J36" s="45">
        <f>G36*I36</f>
        <v>34001.749043956333</v>
      </c>
      <c r="K36" s="37"/>
    </row>
    <row r="37" spans="1:19" ht="15" customHeight="1" x14ac:dyDescent="0.25">
      <c r="A37" s="41"/>
      <c r="B37" s="38" t="s">
        <v>40</v>
      </c>
      <c r="C37" s="43"/>
      <c r="D37" s="44"/>
      <c r="E37" s="44"/>
      <c r="F37" s="44"/>
      <c r="G37" s="44"/>
      <c r="H37" s="44"/>
      <c r="I37" s="44"/>
      <c r="J37" s="46">
        <f>0.13*G36*((114907.3+6135.3)/15)</f>
        <v>3354.0885115905057</v>
      </c>
      <c r="K37" s="37"/>
    </row>
    <row r="38" spans="1:19" ht="15" customHeight="1" x14ac:dyDescent="0.25">
      <c r="A38" s="41"/>
      <c r="B38" s="38"/>
      <c r="C38" s="43"/>
      <c r="D38" s="44"/>
      <c r="E38" s="44"/>
      <c r="F38" s="44"/>
      <c r="G38" s="44"/>
      <c r="H38" s="44"/>
      <c r="I38" s="44"/>
      <c r="J38" s="46"/>
      <c r="K38" s="37"/>
      <c r="O38" s="1"/>
      <c r="P38" s="1"/>
      <c r="Q38" s="1"/>
      <c r="R38" s="1"/>
      <c r="S38" s="1"/>
    </row>
    <row r="39" spans="1:19" s="1" customFormat="1" ht="90" x14ac:dyDescent="0.25">
      <c r="A39" s="64">
        <v>6</v>
      </c>
      <c r="B39" s="30" t="s">
        <v>49</v>
      </c>
      <c r="C39" s="65"/>
      <c r="D39" s="40"/>
      <c r="E39" s="40"/>
      <c r="F39" s="40"/>
      <c r="G39" s="40"/>
      <c r="H39" s="40"/>
      <c r="I39" s="40"/>
      <c r="J39" s="46"/>
      <c r="K39" s="29"/>
      <c r="S39"/>
    </row>
    <row r="40" spans="1:19" ht="15" customHeight="1" x14ac:dyDescent="0.25">
      <c r="A40" s="18"/>
      <c r="B40" s="38" t="s">
        <v>54</v>
      </c>
      <c r="C40" s="37">
        <v>1</v>
      </c>
      <c r="D40" s="39">
        <v>30</v>
      </c>
      <c r="E40" s="39">
        <f>((F40/2+0.5)/2)</f>
        <v>0.70336787564766845</v>
      </c>
      <c r="F40" s="39">
        <f>((11+0.9)/3.281)/2</f>
        <v>1.8134715025906736</v>
      </c>
      <c r="G40" s="40">
        <f>PRODUCT(C40:F40)</f>
        <v>38.26612794974362</v>
      </c>
      <c r="H40" s="41"/>
      <c r="I40" s="41"/>
      <c r="J40" s="41"/>
      <c r="K40" s="21"/>
      <c r="M40" s="25"/>
      <c r="N40" s="1"/>
    </row>
    <row r="41" spans="1:19" ht="15" customHeight="1" x14ac:dyDescent="0.25">
      <c r="A41" s="41"/>
      <c r="B41" s="38" t="s">
        <v>42</v>
      </c>
      <c r="C41" s="43"/>
      <c r="D41" s="44"/>
      <c r="E41" s="44"/>
      <c r="F41" s="44"/>
      <c r="G41" s="34">
        <f>SUM(G40:G40)</f>
        <v>38.26612794974362</v>
      </c>
      <c r="H41" s="34" t="s">
        <v>41</v>
      </c>
      <c r="I41" s="34">
        <v>9709.43</v>
      </c>
      <c r="J41" s="45">
        <f>G41*I41</f>
        <v>371542.29069907923</v>
      </c>
      <c r="K41" s="37"/>
    </row>
    <row r="42" spans="1:19" ht="15" customHeight="1" x14ac:dyDescent="0.25">
      <c r="A42" s="41"/>
      <c r="B42" s="38" t="s">
        <v>40</v>
      </c>
      <c r="C42" s="43"/>
      <c r="D42" s="44"/>
      <c r="E42" s="44"/>
      <c r="F42" s="44"/>
      <c r="G42" s="44"/>
      <c r="H42" s="44"/>
      <c r="I42" s="44"/>
      <c r="J42" s="46">
        <f>0.13*G41*((27092.1)/5)</f>
        <v>26954.453890708479</v>
      </c>
      <c r="K42" s="37"/>
    </row>
    <row r="43" spans="1:19" ht="15" customHeight="1" x14ac:dyDescent="0.25">
      <c r="A43" s="41"/>
      <c r="B43" s="38"/>
      <c r="C43" s="43"/>
      <c r="D43" s="44"/>
      <c r="E43" s="44"/>
      <c r="F43" s="44"/>
      <c r="G43" s="34"/>
      <c r="H43" s="34"/>
      <c r="I43" s="34"/>
      <c r="J43" s="45"/>
      <c r="K43" s="37"/>
    </row>
    <row r="44" spans="1:19" ht="45" x14ac:dyDescent="0.25">
      <c r="A44" s="18">
        <v>7</v>
      </c>
      <c r="B44" s="66" t="s">
        <v>55</v>
      </c>
      <c r="C44" s="19" t="s">
        <v>7</v>
      </c>
      <c r="D44" s="67" t="s">
        <v>52</v>
      </c>
      <c r="E44" s="68" t="s">
        <v>56</v>
      </c>
      <c r="F44" s="68" t="s">
        <v>57</v>
      </c>
      <c r="G44" s="68" t="s">
        <v>58</v>
      </c>
      <c r="H44" s="22"/>
      <c r="I44" s="23"/>
      <c r="J44" s="42"/>
      <c r="K44" s="21"/>
    </row>
    <row r="45" spans="1:19" ht="15" customHeight="1" x14ac:dyDescent="0.25">
      <c r="A45" s="18"/>
      <c r="B45" s="38" t="str">
        <f>B22</f>
        <v>-for road</v>
      </c>
      <c r="C45" s="20">
        <f>TRUNC((D22-0.1)/0.15,0)+1</f>
        <v>200</v>
      </c>
      <c r="D45" s="20">
        <f>(D22-0.1)</f>
        <v>29.9</v>
      </c>
      <c r="E45" s="21">
        <f>12*12/162</f>
        <v>0.88888888888888884</v>
      </c>
      <c r="F45" s="21">
        <f>PRODUCT(C45:E45)</f>
        <v>5315.5555555555557</v>
      </c>
      <c r="G45" s="69">
        <f>F45/1000</f>
        <v>5.315555555555556</v>
      </c>
      <c r="H45" s="22"/>
      <c r="I45" s="23"/>
      <c r="J45" s="42"/>
      <c r="K45" s="21"/>
    </row>
    <row r="46" spans="1:19" ht="15" customHeight="1" x14ac:dyDescent="0.25">
      <c r="A46" s="18"/>
      <c r="B46" s="38" t="s">
        <v>59</v>
      </c>
      <c r="C46" s="20">
        <f>TRUNC((E22-0.1)/0.15,0)+1</f>
        <v>32</v>
      </c>
      <c r="D46" s="20">
        <f>(E22-0.1)</f>
        <v>4.7671136848521796</v>
      </c>
      <c r="E46" s="21">
        <f>12*12/162</f>
        <v>0.88888888888888884</v>
      </c>
      <c r="F46" s="21">
        <f>PRODUCT(C46:E46)</f>
        <v>135.59790036912867</v>
      </c>
      <c r="G46" s="69">
        <f>F46/1000</f>
        <v>0.13559790036912867</v>
      </c>
      <c r="H46" s="22"/>
      <c r="I46" s="23"/>
      <c r="J46" s="42"/>
      <c r="K46" s="21"/>
    </row>
    <row r="47" spans="1:19" ht="15" customHeight="1" x14ac:dyDescent="0.25">
      <c r="A47" s="18"/>
      <c r="B47" s="38" t="s">
        <v>42</v>
      </c>
      <c r="C47" s="19"/>
      <c r="D47" s="20"/>
      <c r="E47" s="21"/>
      <c r="F47" s="21"/>
      <c r="G47" s="23">
        <f>SUM(G45:G46)</f>
        <v>5.4511534559246844</v>
      </c>
      <c r="H47" s="22" t="s">
        <v>53</v>
      </c>
      <c r="I47" s="23">
        <v>131940</v>
      </c>
      <c r="J47" s="42">
        <f>G47*I47</f>
        <v>719225.18697470287</v>
      </c>
      <c r="K47" s="21"/>
    </row>
    <row r="48" spans="1:19" ht="15" customHeight="1" x14ac:dyDescent="0.25">
      <c r="A48" s="18"/>
      <c r="B48" s="38" t="s">
        <v>40</v>
      </c>
      <c r="C48" s="19"/>
      <c r="D48" s="20"/>
      <c r="E48" s="21"/>
      <c r="F48" s="21"/>
      <c r="G48" s="23"/>
      <c r="H48" s="22"/>
      <c r="I48" s="23"/>
      <c r="J48" s="42">
        <f>0.13*G47*106200</f>
        <v>75258.624612496191</v>
      </c>
      <c r="K48" s="21"/>
    </row>
    <row r="49" spans="1:19" ht="15" customHeight="1" x14ac:dyDescent="0.25">
      <c r="A49" s="18"/>
      <c r="B49" s="38"/>
      <c r="C49" s="19"/>
      <c r="D49" s="20"/>
      <c r="E49" s="21"/>
      <c r="F49" s="21"/>
      <c r="G49" s="23"/>
      <c r="H49" s="22"/>
      <c r="I49" s="23"/>
      <c r="J49" s="42"/>
      <c r="K49" s="21"/>
      <c r="O49" s="1"/>
      <c r="P49" s="1"/>
      <c r="Q49" s="1"/>
      <c r="R49" s="1"/>
    </row>
    <row r="50" spans="1:19" ht="105" x14ac:dyDescent="0.25">
      <c r="A50" s="18">
        <v>8</v>
      </c>
      <c r="B50" s="30" t="s">
        <v>65</v>
      </c>
      <c r="C50" s="19">
        <f>D40/2.5</f>
        <v>12</v>
      </c>
      <c r="D50" s="20">
        <v>2.5</v>
      </c>
      <c r="E50" s="21"/>
      <c r="F50" s="21"/>
      <c r="G50" s="35">
        <f>PRODUCT(C50:F50)</f>
        <v>30</v>
      </c>
      <c r="H50" s="5"/>
      <c r="I50" s="5"/>
      <c r="J50" s="5"/>
      <c r="K50" s="21"/>
      <c r="M50" s="25"/>
      <c r="N50" s="1"/>
      <c r="O50" s="1"/>
      <c r="P50" s="1"/>
      <c r="Q50" s="1"/>
      <c r="R50" s="25"/>
      <c r="S50" s="25"/>
    </row>
    <row r="51" spans="1:19" ht="15" customHeight="1" x14ac:dyDescent="0.25">
      <c r="A51" s="18"/>
      <c r="B51" s="38" t="s">
        <v>42</v>
      </c>
      <c r="C51" s="37"/>
      <c r="D51" s="39"/>
      <c r="E51" s="39"/>
      <c r="F51" s="39"/>
      <c r="G51" s="35">
        <f>SUM(G50)</f>
        <v>30</v>
      </c>
      <c r="H51" s="22" t="s">
        <v>66</v>
      </c>
      <c r="I51" s="23">
        <v>5144.96</v>
      </c>
      <c r="J51" s="35">
        <f>G51*I51</f>
        <v>154348.79999999999</v>
      </c>
      <c r="K51" s="21"/>
      <c r="M51" s="25"/>
      <c r="N51" s="1"/>
      <c r="O51" s="1"/>
      <c r="P51" s="1"/>
      <c r="Q51" s="1"/>
      <c r="R51" s="25"/>
      <c r="S51" s="25"/>
    </row>
    <row r="52" spans="1:19" ht="15" customHeight="1" x14ac:dyDescent="0.25">
      <c r="A52" s="18"/>
      <c r="B52" s="38" t="s">
        <v>40</v>
      </c>
      <c r="C52" s="37"/>
      <c r="D52" s="39"/>
      <c r="E52" s="39"/>
      <c r="F52" s="39"/>
      <c r="G52" s="40"/>
      <c r="H52" s="41"/>
      <c r="I52" s="41"/>
      <c r="J52" s="46">
        <f>0.13*G51*57364.6/12.5</f>
        <v>17897.7552</v>
      </c>
      <c r="K52" s="21"/>
      <c r="M52" s="25"/>
      <c r="N52" s="1"/>
      <c r="O52" s="1"/>
      <c r="P52" s="1"/>
      <c r="Q52" s="1"/>
      <c r="R52" s="25"/>
      <c r="S52" s="25"/>
    </row>
    <row r="53" spans="1:19" ht="15" customHeight="1" x14ac:dyDescent="0.25">
      <c r="A53" s="18"/>
      <c r="B53" s="38"/>
      <c r="C53" s="37"/>
      <c r="D53" s="39"/>
      <c r="E53" s="39"/>
      <c r="F53" s="39"/>
      <c r="G53" s="40"/>
      <c r="H53" s="41"/>
      <c r="I53" s="41"/>
      <c r="J53" s="46"/>
      <c r="K53" s="21"/>
      <c r="M53" s="25"/>
      <c r="N53" s="1"/>
      <c r="O53" s="1"/>
      <c r="P53" s="1"/>
      <c r="Q53" s="1"/>
      <c r="R53" s="25"/>
      <c r="S53" s="25"/>
    </row>
    <row r="54" spans="1:19" ht="105" x14ac:dyDescent="0.25">
      <c r="A54" s="18">
        <v>9</v>
      </c>
      <c r="B54" s="30" t="s">
        <v>68</v>
      </c>
      <c r="C54" s="37"/>
      <c r="D54" s="39"/>
      <c r="E54" s="39"/>
      <c r="F54" s="39"/>
      <c r="G54" s="40"/>
      <c r="H54" s="41"/>
      <c r="I54" s="41"/>
      <c r="J54" s="46"/>
      <c r="K54" s="21"/>
      <c r="M54" s="25"/>
      <c r="N54" s="1"/>
      <c r="O54" s="1"/>
      <c r="P54" s="1"/>
      <c r="Q54" s="1"/>
      <c r="R54" s="25"/>
      <c r="S54" s="25"/>
    </row>
    <row r="55" spans="1:19" ht="15" customHeight="1" x14ac:dyDescent="0.25">
      <c r="A55" s="18"/>
      <c r="B55" s="38" t="s">
        <v>70</v>
      </c>
      <c r="C55" s="75">
        <v>1</v>
      </c>
      <c r="D55" s="74">
        <f>((1.8-0.35)+(((33)/12/3.281)-0.35))/2</f>
        <v>0.96907954891801285</v>
      </c>
      <c r="E55" s="74">
        <v>0.35</v>
      </c>
      <c r="F55" s="74">
        <f>11/3.281</f>
        <v>3.3526363913441024</v>
      </c>
      <c r="G55" s="40">
        <f>C55*(PI())*(D55)*E55*F55</f>
        <v>3.572430596694915</v>
      </c>
      <c r="H55" s="41"/>
      <c r="I55" s="41"/>
      <c r="J55" s="41"/>
      <c r="K55" s="21"/>
      <c r="M55" s="25"/>
      <c r="N55" s="1"/>
      <c r="O55" s="1"/>
      <c r="P55" s="1"/>
      <c r="Q55" s="1"/>
      <c r="R55" s="25"/>
      <c r="S55" s="25"/>
    </row>
    <row r="56" spans="1:19" ht="15" customHeight="1" x14ac:dyDescent="0.25">
      <c r="A56" s="18"/>
      <c r="B56" s="38" t="s">
        <v>69</v>
      </c>
      <c r="C56" s="75">
        <v>-3</v>
      </c>
      <c r="D56" s="74">
        <v>0.6</v>
      </c>
      <c r="E56" s="74">
        <v>0.35</v>
      </c>
      <c r="F56" s="74">
        <v>0.6</v>
      </c>
      <c r="G56" s="40">
        <f>C56*(PI())*(D56*F56/4)*E56</f>
        <v>-0.29688050576423541</v>
      </c>
      <c r="H56" s="41"/>
      <c r="I56" s="41"/>
      <c r="J56" s="41"/>
      <c r="K56" s="21"/>
      <c r="M56" s="25"/>
      <c r="N56" s="1">
        <f>(1.5-0.23+0.6-0.23)/2</f>
        <v>0.82000000000000006</v>
      </c>
      <c r="O56" s="1">
        <f>22/12/3.281</f>
        <v>0.55877273189068366</v>
      </c>
      <c r="P56" s="1"/>
      <c r="Q56" s="1"/>
      <c r="R56" s="25"/>
      <c r="S56" s="25"/>
    </row>
    <row r="57" spans="1:19" ht="15" customHeight="1" x14ac:dyDescent="0.25">
      <c r="A57" s="18"/>
      <c r="B57" s="38" t="str">
        <f>B55</f>
        <v>-manhole</v>
      </c>
      <c r="C57" s="75">
        <v>1</v>
      </c>
      <c r="D57" s="74">
        <f>((1.5-0.35)+((24/12/3.281)-0.35))/2</f>
        <v>0.70478512648582736</v>
      </c>
      <c r="E57" s="74">
        <v>0.35</v>
      </c>
      <c r="F57" s="74">
        <f>7/3.281</f>
        <v>2.1334958854007922</v>
      </c>
      <c r="G57" s="40">
        <f>C57*(PI())*(D57)*E57*F57</f>
        <v>1.653356309214175</v>
      </c>
      <c r="H57" s="41"/>
      <c r="I57" s="41"/>
      <c r="J57" s="41"/>
      <c r="K57" s="21"/>
      <c r="M57" s="25"/>
      <c r="N57" s="1"/>
      <c r="O57" s="1"/>
      <c r="P57" s="1"/>
      <c r="Q57" s="1"/>
      <c r="R57" s="25"/>
      <c r="S57" s="25"/>
    </row>
    <row r="58" spans="1:19" ht="15" customHeight="1" x14ac:dyDescent="0.25">
      <c r="A58" s="18"/>
      <c r="B58" s="38" t="s">
        <v>69</v>
      </c>
      <c r="C58" s="75">
        <v>-2</v>
      </c>
      <c r="D58" s="74">
        <v>0.6</v>
      </c>
      <c r="E58" s="74">
        <v>0.35</v>
      </c>
      <c r="F58" s="74">
        <v>0.6</v>
      </c>
      <c r="G58" s="40">
        <f>C58*(PI())*(D58*F58/4)*E58</f>
        <v>-0.19792033717615695</v>
      </c>
      <c r="H58" s="41"/>
      <c r="I58" s="41"/>
      <c r="J58" s="41"/>
      <c r="K58" s="21"/>
      <c r="M58" s="25"/>
      <c r="N58" s="1">
        <f>(1.5-0.23+0.6-0.23)/2</f>
        <v>0.82000000000000006</v>
      </c>
      <c r="O58" s="1">
        <f>22/12/3.281</f>
        <v>0.55877273189068366</v>
      </c>
      <c r="P58" s="1"/>
      <c r="Q58" s="1"/>
      <c r="R58" s="25"/>
      <c r="S58" s="25"/>
    </row>
    <row r="59" spans="1:19" ht="15" customHeight="1" x14ac:dyDescent="0.25">
      <c r="A59" s="41"/>
      <c r="B59" s="38" t="s">
        <v>42</v>
      </c>
      <c r="C59" s="43"/>
      <c r="D59" s="44"/>
      <c r="E59" s="44"/>
      <c r="F59" s="44"/>
      <c r="G59" s="34">
        <f>SUM(G55:G58)</f>
        <v>4.7309860629686975</v>
      </c>
      <c r="H59" s="34" t="s">
        <v>41</v>
      </c>
      <c r="I59" s="34">
        <f>17546.88/1.15</f>
        <v>15258.156521739133</v>
      </c>
      <c r="J59" s="45">
        <f>G59*I59</f>
        <v>72186.125850942772</v>
      </c>
      <c r="K59" s="37"/>
      <c r="N59">
        <f>1.667/3.281</f>
        <v>0.50807680585187442</v>
      </c>
      <c r="O59">
        <f>2.17/3.281</f>
        <v>0.66138372447424565</v>
      </c>
      <c r="P59">
        <f>(N59+O59)/2</f>
        <v>0.58473026516306004</v>
      </c>
    </row>
    <row r="60" spans="1:19" ht="15" customHeight="1" x14ac:dyDescent="0.25">
      <c r="A60" s="41"/>
      <c r="B60" s="38" t="s">
        <v>40</v>
      </c>
      <c r="C60" s="43"/>
      <c r="D60" s="44"/>
      <c r="E60" s="44"/>
      <c r="F60" s="44"/>
      <c r="G60" s="44"/>
      <c r="H60" s="44"/>
      <c r="I60" s="44"/>
      <c r="J60" s="46">
        <f>0.13*G59*54835.8/5</f>
        <v>6745.1125443452129</v>
      </c>
      <c r="K60" s="37"/>
    </row>
    <row r="61" spans="1:19" ht="15" customHeight="1" x14ac:dyDescent="0.25">
      <c r="A61" s="41"/>
      <c r="B61" s="38"/>
      <c r="C61" s="43"/>
      <c r="D61" s="44"/>
      <c r="E61" s="44"/>
      <c r="F61" s="44"/>
      <c r="G61" s="44"/>
      <c r="H61" s="44"/>
      <c r="I61" s="44"/>
      <c r="J61" s="46"/>
      <c r="K61" s="37"/>
    </row>
    <row r="62" spans="1:19" ht="15" customHeight="1" x14ac:dyDescent="0.25">
      <c r="A62" s="41">
        <v>10</v>
      </c>
      <c r="B62" s="76" t="s">
        <v>71</v>
      </c>
      <c r="C62" s="43"/>
      <c r="D62" s="44"/>
      <c r="E62" s="44"/>
      <c r="F62" s="44"/>
      <c r="G62" s="34"/>
      <c r="H62" s="34"/>
      <c r="I62" s="34"/>
      <c r="J62" s="45"/>
      <c r="K62" s="37"/>
    </row>
    <row r="63" spans="1:19" ht="30" x14ac:dyDescent="0.25">
      <c r="A63" s="18"/>
      <c r="B63" s="38" t="s">
        <v>72</v>
      </c>
      <c r="C63" s="73">
        <v>2</v>
      </c>
      <c r="D63" s="73"/>
      <c r="E63" s="73"/>
      <c r="F63" s="73"/>
      <c r="G63" s="40">
        <f>PRODUCT(C63:F63)</f>
        <v>2</v>
      </c>
      <c r="H63" s="41"/>
      <c r="I63" s="41"/>
      <c r="J63" s="41"/>
      <c r="K63" s="21"/>
      <c r="M63" s="25"/>
      <c r="N63" s="1"/>
      <c r="O63" s="1"/>
      <c r="P63" s="1"/>
      <c r="Q63" s="1"/>
      <c r="R63" s="25"/>
      <c r="S63" s="25"/>
    </row>
    <row r="64" spans="1:19" ht="15" customHeight="1" x14ac:dyDescent="0.25">
      <c r="A64" s="41"/>
      <c r="B64" s="38" t="s">
        <v>42</v>
      </c>
      <c r="C64" s="43"/>
      <c r="D64" s="44"/>
      <c r="E64" s="44"/>
      <c r="F64" s="44"/>
      <c r="G64" s="34">
        <f>SUM(G63:G63)</f>
        <v>2</v>
      </c>
      <c r="H64" s="34" t="s">
        <v>73</v>
      </c>
      <c r="I64" s="34">
        <v>7063</v>
      </c>
      <c r="J64" s="45">
        <f>G64*I64</f>
        <v>14126</v>
      </c>
      <c r="K64" s="37"/>
    </row>
    <row r="65" spans="1:19" ht="15" customHeight="1" x14ac:dyDescent="0.25">
      <c r="A65" s="41"/>
      <c r="B65" s="38" t="s">
        <v>40</v>
      </c>
      <c r="C65" s="43"/>
      <c r="D65" s="44"/>
      <c r="E65" s="44"/>
      <c r="F65" s="44"/>
      <c r="G65" s="44"/>
      <c r="H65" s="44"/>
      <c r="I65" s="44"/>
      <c r="J65" s="46">
        <f>0.13*J64</f>
        <v>1836.38</v>
      </c>
      <c r="K65" s="37"/>
    </row>
    <row r="66" spans="1:19" ht="15" customHeight="1" x14ac:dyDescent="0.25">
      <c r="A66" s="41"/>
      <c r="B66" s="38"/>
      <c r="C66" s="43"/>
      <c r="D66" s="44"/>
      <c r="E66" s="44"/>
      <c r="F66" s="44"/>
      <c r="G66" s="44"/>
      <c r="H66" s="44"/>
      <c r="I66" s="44"/>
      <c r="J66" s="46"/>
      <c r="K66" s="37"/>
    </row>
    <row r="67" spans="1:19" ht="15" customHeight="1" x14ac:dyDescent="0.25">
      <c r="A67" s="18">
        <v>11</v>
      </c>
      <c r="B67" s="30" t="s">
        <v>30</v>
      </c>
      <c r="C67" s="19">
        <v>1</v>
      </c>
      <c r="D67" s="20"/>
      <c r="E67" s="21"/>
      <c r="F67" s="21"/>
      <c r="G67" s="35">
        <f t="shared" ref="G67" si="0">PRODUCT(C67:F67)</f>
        <v>1</v>
      </c>
      <c r="H67" s="22" t="s">
        <v>31</v>
      </c>
      <c r="I67" s="23">
        <v>500</v>
      </c>
      <c r="J67" s="35">
        <f>G67*I67</f>
        <v>500</v>
      </c>
      <c r="K67" s="21"/>
      <c r="M67" s="25"/>
      <c r="N67" s="1"/>
      <c r="O67" s="1"/>
      <c r="P67" s="1">
        <v>1</v>
      </c>
      <c r="Q67" s="72">
        <f>P67/R67</f>
        <v>20</v>
      </c>
      <c r="R67" s="1">
        <f>5%</f>
        <v>0.05</v>
      </c>
    </row>
    <row r="68" spans="1:19" ht="15" customHeight="1" x14ac:dyDescent="0.25">
      <c r="A68" s="18"/>
      <c r="B68" s="24"/>
      <c r="C68" s="19"/>
      <c r="D68" s="20"/>
      <c r="E68" s="21"/>
      <c r="F68" s="21"/>
      <c r="G68" s="23"/>
      <c r="H68" s="22"/>
      <c r="I68" s="23"/>
      <c r="J68" s="42"/>
      <c r="K68" s="21"/>
      <c r="M68" s="25"/>
      <c r="N68" s="1"/>
      <c r="P68">
        <v>1</v>
      </c>
      <c r="Q68" s="70">
        <f t="shared" ref="Q68:Q73" si="1">P68/R68</f>
        <v>16.666666666666668</v>
      </c>
      <c r="R68">
        <f>6%</f>
        <v>0.06</v>
      </c>
    </row>
    <row r="69" spans="1:19" x14ac:dyDescent="0.25">
      <c r="A69" s="41"/>
      <c r="B69" s="47" t="s">
        <v>17</v>
      </c>
      <c r="C69" s="48"/>
      <c r="D69" s="39"/>
      <c r="E69" s="39"/>
      <c r="F69" s="39"/>
      <c r="G69" s="42"/>
      <c r="H69" s="42"/>
      <c r="I69" s="42"/>
      <c r="J69" s="42">
        <f>SUM(J10:J67)</f>
        <v>1938357.3288763522</v>
      </c>
      <c r="K69" s="37"/>
      <c r="P69">
        <v>1</v>
      </c>
      <c r="Q69" s="70">
        <f t="shared" si="1"/>
        <v>14.285714285714285</v>
      </c>
      <c r="R69">
        <v>7.0000000000000007E-2</v>
      </c>
    </row>
    <row r="70" spans="1:19" x14ac:dyDescent="0.25">
      <c r="A70" s="59"/>
      <c r="B70" s="62"/>
      <c r="C70" s="63"/>
      <c r="D70" s="60"/>
      <c r="E70" s="60"/>
      <c r="F70" s="60"/>
      <c r="G70" s="61"/>
      <c r="H70" s="61"/>
      <c r="I70" s="61"/>
      <c r="J70" s="61"/>
      <c r="K70" s="58"/>
      <c r="O70" s="1"/>
      <c r="P70" s="1">
        <v>1</v>
      </c>
      <c r="Q70" s="72">
        <f t="shared" si="1"/>
        <v>12.5</v>
      </c>
      <c r="R70" s="1">
        <v>0.08</v>
      </c>
      <c r="S70" s="1"/>
    </row>
    <row r="71" spans="1:19" s="1" customFormat="1" x14ac:dyDescent="0.25">
      <c r="A71" s="51"/>
      <c r="B71" s="29" t="s">
        <v>27</v>
      </c>
      <c r="C71" s="91">
        <f>J69</f>
        <v>1938357.3288763522</v>
      </c>
      <c r="D71" s="91"/>
      <c r="E71" s="40">
        <v>100</v>
      </c>
      <c r="F71" s="52"/>
      <c r="G71" s="53"/>
      <c r="H71" s="52"/>
      <c r="I71" s="54"/>
      <c r="J71" s="55"/>
      <c r="K71" s="56"/>
      <c r="O71"/>
      <c r="P71" s="1">
        <v>1</v>
      </c>
      <c r="Q71" s="72">
        <f t="shared" si="1"/>
        <v>11.111111111111111</v>
      </c>
      <c r="R71" s="1">
        <v>0.09</v>
      </c>
      <c r="S71"/>
    </row>
    <row r="72" spans="1:19" x14ac:dyDescent="0.25">
      <c r="A72" s="57"/>
      <c r="B72" s="29" t="s">
        <v>32</v>
      </c>
      <c r="C72" s="94">
        <v>1300000</v>
      </c>
      <c r="D72" s="94"/>
      <c r="E72" s="40"/>
      <c r="F72" s="50"/>
      <c r="G72" s="49"/>
      <c r="H72" s="49"/>
      <c r="I72" s="49"/>
      <c r="J72" s="49"/>
      <c r="K72" s="50"/>
      <c r="P72" s="1">
        <v>1</v>
      </c>
      <c r="Q72" s="71">
        <f t="shared" si="1"/>
        <v>9.0909090909090917</v>
      </c>
      <c r="R72" s="1">
        <f>11%</f>
        <v>0.11</v>
      </c>
    </row>
    <row r="73" spans="1:19" x14ac:dyDescent="0.25">
      <c r="A73" s="57"/>
      <c r="B73" s="29" t="s">
        <v>33</v>
      </c>
      <c r="C73" s="94">
        <f>C72-C75-C76</f>
        <v>1235000</v>
      </c>
      <c r="D73" s="94"/>
      <c r="E73" s="40">
        <f>C73/C71*100</f>
        <v>63.713742641864599</v>
      </c>
      <c r="F73" s="50"/>
      <c r="G73" s="49"/>
      <c r="H73" s="49"/>
      <c r="I73" s="49"/>
      <c r="J73" s="49"/>
      <c r="K73" s="50"/>
      <c r="P73" s="1">
        <v>1</v>
      </c>
      <c r="Q73" s="72">
        <f t="shared" si="1"/>
        <v>8.3333333333333339</v>
      </c>
      <c r="R73" s="1">
        <v>0.12</v>
      </c>
    </row>
    <row r="74" spans="1:19" x14ac:dyDescent="0.25">
      <c r="A74" s="57"/>
      <c r="B74" s="29" t="s">
        <v>34</v>
      </c>
      <c r="C74" s="91">
        <f>C71-C73</f>
        <v>703357.32887635217</v>
      </c>
      <c r="D74" s="91"/>
      <c r="E74" s="40">
        <f>100-E73</f>
        <v>36.286257358135401</v>
      </c>
      <c r="F74" s="50"/>
      <c r="G74" s="49"/>
      <c r="H74" s="49"/>
      <c r="I74" s="49"/>
      <c r="J74" s="49"/>
      <c r="K74" s="50"/>
      <c r="P74" s="1"/>
      <c r="Q74" s="72"/>
      <c r="R74" s="1"/>
    </row>
    <row r="75" spans="1:19" x14ac:dyDescent="0.25">
      <c r="A75" s="57"/>
      <c r="B75" s="29" t="s">
        <v>35</v>
      </c>
      <c r="C75" s="91">
        <f>C72*0.03</f>
        <v>39000</v>
      </c>
      <c r="D75" s="91"/>
      <c r="E75" s="40">
        <v>3</v>
      </c>
      <c r="F75" s="50"/>
      <c r="G75" s="49"/>
      <c r="H75" s="49"/>
      <c r="I75" s="49"/>
      <c r="J75" s="49"/>
      <c r="K75" s="50"/>
    </row>
    <row r="76" spans="1:19" x14ac:dyDescent="0.25">
      <c r="A76" s="57"/>
      <c r="B76" s="29" t="s">
        <v>36</v>
      </c>
      <c r="C76" s="91">
        <f>C72*0.02</f>
        <v>26000</v>
      </c>
      <c r="D76" s="91"/>
      <c r="E76" s="40">
        <v>2</v>
      </c>
      <c r="F76" s="50"/>
      <c r="G76" s="49"/>
      <c r="H76" s="49"/>
      <c r="I76" s="49"/>
      <c r="J76" s="49"/>
      <c r="K76" s="50"/>
      <c r="O76" s="36"/>
      <c r="P76" s="36"/>
      <c r="Q76" s="36"/>
      <c r="R76" s="36"/>
      <c r="S76" s="36"/>
    </row>
    <row r="77" spans="1:19" s="36" customFormat="1" x14ac:dyDescent="0.25">
      <c r="A77" s="58"/>
      <c r="B77" s="58"/>
      <c r="C77" s="58"/>
      <c r="D77" s="58"/>
      <c r="E77" s="58"/>
      <c r="F77" s="58"/>
      <c r="G77" s="58"/>
      <c r="H77" s="58"/>
      <c r="I77" s="58"/>
      <c r="J77" s="58"/>
      <c r="K77" s="58"/>
    </row>
    <row r="78" spans="1:19" s="36" customFormat="1" x14ac:dyDescent="0.25"/>
    <row r="79" spans="1:19" s="36" customFormat="1" x14ac:dyDescent="0.25"/>
    <row r="80" spans="1:19" s="36" customFormat="1" x14ac:dyDescent="0.25"/>
    <row r="81" s="36" customFormat="1" x14ac:dyDescent="0.25"/>
    <row r="82" s="36" customFormat="1" x14ac:dyDescent="0.25"/>
    <row r="83" s="36" customFormat="1" x14ac:dyDescent="0.25"/>
    <row r="84" s="36" customFormat="1" x14ac:dyDescent="0.25"/>
    <row r="85" s="36" customFormat="1" x14ac:dyDescent="0.25"/>
    <row r="86" s="36" customFormat="1" x14ac:dyDescent="0.25"/>
    <row r="87" s="36" customFormat="1" x14ac:dyDescent="0.25"/>
    <row r="88" s="36" customFormat="1" x14ac:dyDescent="0.25"/>
    <row r="89" s="36" customFormat="1" x14ac:dyDescent="0.25"/>
    <row r="90" s="36" customFormat="1" x14ac:dyDescent="0.25"/>
    <row r="91" s="36" customFormat="1" x14ac:dyDescent="0.25"/>
    <row r="92" s="36" customFormat="1" x14ac:dyDescent="0.25"/>
    <row r="93" s="36" customFormat="1" x14ac:dyDescent="0.25"/>
    <row r="94" s="36" customFormat="1" x14ac:dyDescent="0.25"/>
    <row r="95" s="36" customFormat="1" x14ac:dyDescent="0.25"/>
    <row r="96" s="36" customFormat="1" x14ac:dyDescent="0.25"/>
    <row r="97" s="36" customFormat="1" x14ac:dyDescent="0.25"/>
    <row r="98" s="36" customFormat="1" x14ac:dyDescent="0.25"/>
    <row r="99" s="36" customFormat="1" x14ac:dyDescent="0.25"/>
    <row r="100" s="36" customFormat="1" x14ac:dyDescent="0.25"/>
    <row r="101" s="36" customFormat="1" x14ac:dyDescent="0.25"/>
    <row r="102" s="36" customFormat="1" x14ac:dyDescent="0.25"/>
    <row r="103" s="36" customFormat="1" x14ac:dyDescent="0.25"/>
    <row r="104" s="36" customFormat="1" x14ac:dyDescent="0.25"/>
    <row r="105" s="36" customFormat="1" x14ac:dyDescent="0.25"/>
    <row r="106" s="36" customFormat="1" x14ac:dyDescent="0.25"/>
    <row r="107" s="36" customFormat="1" x14ac:dyDescent="0.25"/>
    <row r="108" s="36" customFormat="1" x14ac:dyDescent="0.25"/>
    <row r="109" s="36" customFormat="1" x14ac:dyDescent="0.25"/>
    <row r="110" s="36" customFormat="1" x14ac:dyDescent="0.25"/>
    <row r="111" s="36" customFormat="1" x14ac:dyDescent="0.25"/>
    <row r="112" s="36" customFormat="1" x14ac:dyDescent="0.25"/>
    <row r="113" s="36" customFormat="1" x14ac:dyDescent="0.25"/>
    <row r="114" s="36" customFormat="1" x14ac:dyDescent="0.25"/>
    <row r="115" s="36" customFormat="1" x14ac:dyDescent="0.25"/>
    <row r="116" s="36" customFormat="1" x14ac:dyDescent="0.25"/>
    <row r="117" s="36" customFormat="1" x14ac:dyDescent="0.25"/>
    <row r="118" s="36" customFormat="1" x14ac:dyDescent="0.25"/>
    <row r="119" s="36" customFormat="1" x14ac:dyDescent="0.25"/>
    <row r="120" s="36" customFormat="1" x14ac:dyDescent="0.25"/>
    <row r="121" s="36" customFormat="1" x14ac:dyDescent="0.25"/>
    <row r="122" s="36" customFormat="1" x14ac:dyDescent="0.25"/>
    <row r="123" s="36" customFormat="1" x14ac:dyDescent="0.25"/>
    <row r="124" s="36" customFormat="1" x14ac:dyDescent="0.25"/>
    <row r="125" s="36" customFormat="1" x14ac:dyDescent="0.25"/>
    <row r="126" s="36" customFormat="1" x14ac:dyDescent="0.25"/>
    <row r="127" s="36" customFormat="1" x14ac:dyDescent="0.25"/>
    <row r="128" s="36" customFormat="1" x14ac:dyDescent="0.25"/>
    <row r="129" spans="15:19" s="36" customFormat="1" x14ac:dyDescent="0.25"/>
    <row r="130" spans="15:19" s="36" customFormat="1" x14ac:dyDescent="0.25"/>
    <row r="131" spans="15:19" s="36" customFormat="1" x14ac:dyDescent="0.25"/>
    <row r="132" spans="15:19" s="36" customFormat="1" x14ac:dyDescent="0.25"/>
    <row r="133" spans="15:19" s="36" customFormat="1" x14ac:dyDescent="0.25">
      <c r="O133"/>
      <c r="P133"/>
      <c r="Q133"/>
      <c r="R133"/>
      <c r="S133"/>
    </row>
  </sheetData>
  <mergeCells count="15">
    <mergeCell ref="A6:F6"/>
    <mergeCell ref="H6:K6"/>
    <mergeCell ref="A1:K1"/>
    <mergeCell ref="A2:K2"/>
    <mergeCell ref="A3:K3"/>
    <mergeCell ref="A4:K4"/>
    <mergeCell ref="A5:K5"/>
    <mergeCell ref="C75:D75"/>
    <mergeCell ref="C76:D76"/>
    <mergeCell ref="A7:F7"/>
    <mergeCell ref="H7:K7"/>
    <mergeCell ref="C71:D71"/>
    <mergeCell ref="C72:D72"/>
    <mergeCell ref="C73:D73"/>
    <mergeCell ref="C74:D74"/>
  </mergeCells>
  <conditionalFormatting sqref="N55:AE57">
    <cfRule type="containsBlanks" dxfId="2" priority="3">
      <formula>LEN(TRIM(N55))=0</formula>
    </cfRule>
  </conditionalFormatting>
  <conditionalFormatting sqref="N23:AE23">
    <cfRule type="containsBlanks" dxfId="1" priority="2">
      <formula>LEN(TRIM(N23))=0</formula>
    </cfRule>
  </conditionalFormatting>
  <conditionalFormatting sqref="N35:AE35">
    <cfRule type="containsBlanks" dxfId="0" priority="1">
      <formula>LEN(TRIM(N35))=0</formula>
    </cfRule>
  </conditionalFormatting>
  <pageMargins left="0.70866141732283472" right="0.70866141732283472" top="0.74803149606299213" bottom="0.74803149606299213" header="0.31496062992125984" footer="0.31496062992125984"/>
  <pageSetup paperSize="9" scale="75" orientation="portrait" r:id="rId1"/>
  <headerFooter>
    <oddFooter>&amp;LPrepared By:&amp;CChecked By:&amp;RApproved By:</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9"/>
  <sheetViews>
    <sheetView tabSelected="1" topLeftCell="A34" zoomScaleNormal="100" workbookViewId="0">
      <selection activeCell="G15" sqref="G15"/>
    </sheetView>
  </sheetViews>
  <sheetFormatPr defaultRowHeight="15" x14ac:dyDescent="0.25"/>
  <cols>
    <col min="1" max="1" width="4.7109375" customWidth="1"/>
    <col min="2" max="2" width="31.28515625" customWidth="1"/>
    <col min="3" max="3" width="6.5703125" bestFit="1" customWidth="1"/>
    <col min="4" max="4" width="7.5703125" customWidth="1"/>
    <col min="5" max="5" width="8.5703125" customWidth="1"/>
    <col min="6" max="6" width="8" customWidth="1"/>
    <col min="7" max="7" width="8.5703125" customWidth="1"/>
    <col min="8" max="8" width="5" bestFit="1" customWidth="1"/>
    <col min="9" max="9" width="10.7109375" bestFit="1" customWidth="1"/>
    <col min="10" max="10" width="11.85546875" bestFit="1" customWidth="1"/>
  </cols>
  <sheetData>
    <row r="1" spans="1:11" s="1" customFormat="1" x14ac:dyDescent="0.25">
      <c r="A1" s="96" t="s">
        <v>0</v>
      </c>
      <c r="B1" s="96"/>
      <c r="C1" s="96"/>
      <c r="D1" s="96"/>
      <c r="E1" s="96"/>
      <c r="F1" s="96"/>
      <c r="G1" s="96"/>
      <c r="H1" s="96"/>
      <c r="I1" s="96"/>
      <c r="J1" s="96"/>
      <c r="K1" s="96"/>
    </row>
    <row r="2" spans="1:11" s="1" customFormat="1" ht="22.5" x14ac:dyDescent="0.25">
      <c r="A2" s="97" t="s">
        <v>1</v>
      </c>
      <c r="B2" s="97"/>
      <c r="C2" s="97"/>
      <c r="D2" s="97"/>
      <c r="E2" s="97"/>
      <c r="F2" s="97"/>
      <c r="G2" s="97"/>
      <c r="H2" s="97"/>
      <c r="I2" s="97"/>
      <c r="J2" s="97"/>
      <c r="K2" s="97"/>
    </row>
    <row r="3" spans="1:11" s="1" customFormat="1" x14ac:dyDescent="0.25">
      <c r="A3" s="89" t="s">
        <v>2</v>
      </c>
      <c r="B3" s="89"/>
      <c r="C3" s="89"/>
      <c r="D3" s="89"/>
      <c r="E3" s="89"/>
      <c r="F3" s="89"/>
      <c r="G3" s="89"/>
      <c r="H3" s="89"/>
      <c r="I3" s="89"/>
      <c r="J3" s="89"/>
      <c r="K3" s="89"/>
    </row>
    <row r="4" spans="1:11" s="1" customFormat="1" x14ac:dyDescent="0.25">
      <c r="A4" s="89" t="s">
        <v>3</v>
      </c>
      <c r="B4" s="89"/>
      <c r="C4" s="89"/>
      <c r="D4" s="89"/>
      <c r="E4" s="89"/>
      <c r="F4" s="89"/>
      <c r="G4" s="89"/>
      <c r="H4" s="89"/>
      <c r="I4" s="89"/>
      <c r="J4" s="89"/>
      <c r="K4" s="89"/>
    </row>
    <row r="5" spans="1:11" ht="18.75" x14ac:dyDescent="0.3">
      <c r="A5" s="98" t="s">
        <v>4</v>
      </c>
      <c r="B5" s="98"/>
      <c r="C5" s="98"/>
      <c r="D5" s="98"/>
      <c r="E5" s="98"/>
      <c r="F5" s="98"/>
      <c r="G5" s="98"/>
      <c r="H5" s="98"/>
      <c r="I5" s="98"/>
      <c r="J5" s="98"/>
      <c r="K5" s="98"/>
    </row>
    <row r="6" spans="1:11" ht="15.75" x14ac:dyDescent="0.25">
      <c r="A6" s="79" t="s">
        <v>61</v>
      </c>
      <c r="B6" s="79"/>
      <c r="C6" s="79"/>
      <c r="D6" s="79"/>
      <c r="E6" s="79"/>
      <c r="F6" s="79"/>
      <c r="G6" s="2"/>
      <c r="H6" s="95" t="s">
        <v>45</v>
      </c>
      <c r="I6" s="95"/>
      <c r="J6" s="95"/>
      <c r="K6" s="95"/>
    </row>
    <row r="7" spans="1:11" ht="15.75" x14ac:dyDescent="0.25">
      <c r="A7" s="92" t="s">
        <v>28</v>
      </c>
      <c r="B7" s="92"/>
      <c r="C7" s="92"/>
      <c r="D7" s="92"/>
      <c r="E7" s="92"/>
      <c r="F7" s="92"/>
      <c r="G7" s="3"/>
      <c r="H7" s="93"/>
      <c r="I7" s="93"/>
      <c r="J7" s="93"/>
      <c r="K7" s="93"/>
    </row>
    <row r="8" spans="1:11" ht="15" customHeight="1" x14ac:dyDescent="0.25">
      <c r="A8" s="4" t="s">
        <v>5</v>
      </c>
      <c r="B8" s="15" t="s">
        <v>6</v>
      </c>
      <c r="C8" s="4" t="s">
        <v>7</v>
      </c>
      <c r="D8" s="16" t="s">
        <v>8</v>
      </c>
      <c r="E8" s="16" t="s">
        <v>9</v>
      </c>
      <c r="F8" s="16" t="s">
        <v>10</v>
      </c>
      <c r="G8" s="16" t="s">
        <v>11</v>
      </c>
      <c r="H8" s="4" t="s">
        <v>12</v>
      </c>
      <c r="I8" s="16" t="s">
        <v>13</v>
      </c>
      <c r="J8" s="16" t="s">
        <v>14</v>
      </c>
      <c r="K8" s="17" t="s">
        <v>15</v>
      </c>
    </row>
    <row r="9" spans="1:11" ht="150" x14ac:dyDescent="0.25">
      <c r="A9" s="64">
        <v>1</v>
      </c>
      <c r="B9" s="30" t="s">
        <v>51</v>
      </c>
      <c r="C9" s="37"/>
      <c r="D9" s="37"/>
      <c r="E9" s="37"/>
      <c r="F9" s="37"/>
      <c r="G9" s="37"/>
      <c r="H9" s="37"/>
      <c r="I9" s="37"/>
      <c r="J9" s="37"/>
      <c r="K9" s="37"/>
    </row>
    <row r="10" spans="1:11" ht="15" customHeight="1" x14ac:dyDescent="0.25">
      <c r="A10" s="18"/>
      <c r="B10" s="38" t="str">
        <f>B20</f>
        <v>-For stone masonary</v>
      </c>
      <c r="C10" s="37">
        <v>0.5</v>
      </c>
      <c r="D10" s="39">
        <f>D36-20</f>
        <v>10</v>
      </c>
      <c r="E10" s="39">
        <f>F36/2</f>
        <v>0.90673575129533679</v>
      </c>
      <c r="F10" s="39">
        <f>F36</f>
        <v>1.8134715025906736</v>
      </c>
      <c r="G10" s="40">
        <f>PRODUCT(C10:F10)</f>
        <v>8.2216972267711892</v>
      </c>
      <c r="H10" s="41"/>
      <c r="I10" s="41"/>
      <c r="J10" s="41"/>
      <c r="K10" s="21"/>
    </row>
    <row r="11" spans="1:11" ht="15" customHeight="1" x14ac:dyDescent="0.25">
      <c r="A11" s="18"/>
      <c r="B11" s="38"/>
      <c r="C11" s="37">
        <v>0.5</v>
      </c>
      <c r="D11" s="39">
        <f>D36-D10</f>
        <v>20</v>
      </c>
      <c r="E11" s="39">
        <f>F36/2</f>
        <v>0.90673575129533679</v>
      </c>
      <c r="F11" s="39">
        <f>0.9</f>
        <v>0.9</v>
      </c>
      <c r="G11" s="40">
        <f>PRODUCT(C11:F11)</f>
        <v>8.1606217616580317</v>
      </c>
      <c r="H11" s="41"/>
      <c r="I11" s="41"/>
      <c r="J11" s="41"/>
      <c r="K11" s="21"/>
    </row>
    <row r="12" spans="1:11" ht="15" customHeight="1" x14ac:dyDescent="0.25">
      <c r="A12" s="18"/>
      <c r="B12" s="38" t="s">
        <v>67</v>
      </c>
      <c r="C12" s="37">
        <v>1</v>
      </c>
      <c r="D12" s="39">
        <f>C44*D44</f>
        <v>30</v>
      </c>
      <c r="E12" s="39">
        <v>0.5</v>
      </c>
      <c r="F12" s="39">
        <v>1.2</v>
      </c>
      <c r="G12" s="40">
        <f>PRODUCT(C12:F12)</f>
        <v>18</v>
      </c>
      <c r="H12" s="41"/>
      <c r="I12" s="41"/>
      <c r="J12" s="41"/>
      <c r="K12" s="21"/>
    </row>
    <row r="13" spans="1:11" ht="15" customHeight="1" x14ac:dyDescent="0.25">
      <c r="A13" s="18"/>
      <c r="B13" s="38" t="s">
        <v>42</v>
      </c>
      <c r="C13" s="19"/>
      <c r="D13" s="20"/>
      <c r="E13" s="21"/>
      <c r="F13" s="21"/>
      <c r="G13" s="23">
        <f>SUM(G10:G12)</f>
        <v>34.382318988429219</v>
      </c>
      <c r="H13" s="22" t="s">
        <v>41</v>
      </c>
      <c r="I13" s="23">
        <f>64.63*1.15</f>
        <v>74.324499999999986</v>
      </c>
      <c r="J13" s="42">
        <f>G13*I13</f>
        <v>2555.4486676555071</v>
      </c>
      <c r="K13" s="21"/>
    </row>
    <row r="14" spans="1:11" ht="15" customHeight="1" x14ac:dyDescent="0.25">
      <c r="A14" s="18"/>
      <c r="B14" s="38"/>
      <c r="C14" s="19"/>
      <c r="D14" s="20"/>
      <c r="E14" s="21"/>
      <c r="F14" s="21"/>
      <c r="G14" s="23"/>
      <c r="H14" s="22"/>
      <c r="I14" s="23"/>
      <c r="J14" s="42"/>
      <c r="K14" s="21"/>
    </row>
    <row r="15" spans="1:11" ht="105" x14ac:dyDescent="0.25">
      <c r="A15" s="18">
        <v>2</v>
      </c>
      <c r="B15" s="30" t="s">
        <v>64</v>
      </c>
      <c r="C15" s="19"/>
      <c r="D15" s="20"/>
      <c r="E15" s="21"/>
      <c r="F15" s="21"/>
      <c r="G15" s="23"/>
      <c r="H15" s="22"/>
      <c r="I15" s="23"/>
      <c r="J15" s="42"/>
      <c r="K15" s="21"/>
    </row>
    <row r="16" spans="1:11" ht="15" customHeight="1" x14ac:dyDescent="0.25">
      <c r="A16" s="18"/>
      <c r="B16" s="38" t="s">
        <v>62</v>
      </c>
      <c r="C16" s="37">
        <v>0.5</v>
      </c>
      <c r="D16" s="39">
        <v>20</v>
      </c>
      <c r="E16" s="39">
        <f>E26</f>
        <v>4.8671136848521792</v>
      </c>
      <c r="F16" s="39">
        <f>1.5</f>
        <v>1.5</v>
      </c>
      <c r="G16" s="40">
        <f>PRODUCT(C16:F16)</f>
        <v>73.006705272782682</v>
      </c>
      <c r="H16" s="41"/>
      <c r="I16" s="41"/>
      <c r="J16" s="41"/>
      <c r="K16" s="21"/>
    </row>
    <row r="17" spans="1:11" ht="15" customHeight="1" x14ac:dyDescent="0.25">
      <c r="A17" s="41"/>
      <c r="B17" s="38" t="s">
        <v>42</v>
      </c>
      <c r="C17" s="43"/>
      <c r="D17" s="44"/>
      <c r="E17" s="44"/>
      <c r="F17" s="44"/>
      <c r="G17" s="34">
        <f>SUM(G16:G16)</f>
        <v>73.006705272782682</v>
      </c>
      <c r="H17" s="34" t="s">
        <v>41</v>
      </c>
      <c r="I17" s="34">
        <f>1.15*404.28</f>
        <v>464.92199999999991</v>
      </c>
      <c r="J17" s="45">
        <f>G17*I17</f>
        <v>33942.423428832662</v>
      </c>
      <c r="K17" s="37"/>
    </row>
    <row r="18" spans="1:11" x14ac:dyDescent="0.25">
      <c r="A18" s="41"/>
      <c r="B18" s="38"/>
      <c r="C18" s="43"/>
      <c r="D18" s="44"/>
      <c r="E18" s="44"/>
      <c r="F18" s="44"/>
      <c r="G18" s="44"/>
      <c r="H18" s="44"/>
      <c r="I18" s="44"/>
      <c r="J18" s="46"/>
      <c r="K18" s="37"/>
    </row>
    <row r="19" spans="1:11" ht="90" x14ac:dyDescent="0.25">
      <c r="A19" s="18">
        <v>3</v>
      </c>
      <c r="B19" s="30" t="s">
        <v>44</v>
      </c>
      <c r="C19" s="19"/>
      <c r="D19" s="20"/>
      <c r="E19" s="21"/>
      <c r="F19" s="21"/>
      <c r="G19" s="23"/>
      <c r="H19" s="22"/>
      <c r="I19" s="23"/>
      <c r="J19" s="42"/>
      <c r="K19" s="21"/>
    </row>
    <row r="20" spans="1:11" ht="15" customHeight="1" x14ac:dyDescent="0.25">
      <c r="A20" s="18"/>
      <c r="B20" s="38" t="str">
        <f>B30</f>
        <v>-For stone masonary</v>
      </c>
      <c r="C20" s="37">
        <v>1</v>
      </c>
      <c r="D20" s="39">
        <f>D30</f>
        <v>30</v>
      </c>
      <c r="E20" s="39">
        <f>E30</f>
        <v>0.90673575129533679</v>
      </c>
      <c r="F20" s="39">
        <v>0.15</v>
      </c>
      <c r="G20" s="40">
        <f>PRODUCT(C20:F20)</f>
        <v>4.0803108808290158</v>
      </c>
      <c r="H20" s="41"/>
      <c r="I20" s="41"/>
      <c r="J20" s="41"/>
      <c r="K20" s="21"/>
    </row>
    <row r="21" spans="1:11" ht="15" customHeight="1" x14ac:dyDescent="0.25">
      <c r="A21" s="18"/>
      <c r="B21" s="38" t="s">
        <v>62</v>
      </c>
      <c r="C21" s="37">
        <v>1</v>
      </c>
      <c r="D21" s="39">
        <f>D36</f>
        <v>30</v>
      </c>
      <c r="E21" s="39">
        <f>(19.25/3.281)-1</f>
        <v>4.8671136848521792</v>
      </c>
      <c r="F21" s="39">
        <v>0.15</v>
      </c>
      <c r="G21" s="40">
        <f>PRODUCT(C21:F21)</f>
        <v>21.902011581834802</v>
      </c>
      <c r="H21" s="41"/>
      <c r="I21" s="41"/>
      <c r="J21" s="41"/>
      <c r="K21" s="21"/>
    </row>
    <row r="22" spans="1:11" ht="15" customHeight="1" x14ac:dyDescent="0.25">
      <c r="A22" s="18"/>
      <c r="B22" s="38" t="s">
        <v>70</v>
      </c>
      <c r="C22" s="75">
        <v>2</v>
      </c>
      <c r="D22" s="74">
        <f>(1.8)</f>
        <v>1.8</v>
      </c>
      <c r="E22" s="74">
        <v>1.8</v>
      </c>
      <c r="F22" s="74">
        <v>0.15</v>
      </c>
      <c r="G22" s="40">
        <f>C22*(PI())*(D22)*E22*F22/4</f>
        <v>0.76340701482231976</v>
      </c>
      <c r="H22" s="41"/>
      <c r="I22" s="41"/>
      <c r="J22" s="41"/>
      <c r="K22" s="21"/>
    </row>
    <row r="23" spans="1:11" ht="15" customHeight="1" x14ac:dyDescent="0.25">
      <c r="A23" s="41"/>
      <c r="B23" s="38" t="s">
        <v>42</v>
      </c>
      <c r="C23" s="43"/>
      <c r="D23" s="44"/>
      <c r="E23" s="44"/>
      <c r="F23" s="44"/>
      <c r="G23" s="34">
        <f>SUM(G20:G22)</f>
        <v>26.745729477486137</v>
      </c>
      <c r="H23" s="34" t="s">
        <v>41</v>
      </c>
      <c r="I23" s="34">
        <f>1.15*4434.52</f>
        <v>5099.6980000000003</v>
      </c>
      <c r="J23" s="45">
        <f>G23*I23</f>
        <v>136395.1431248771</v>
      </c>
      <c r="K23" s="37"/>
    </row>
    <row r="24" spans="1:11" x14ac:dyDescent="0.25">
      <c r="A24" s="41"/>
      <c r="B24" s="38"/>
      <c r="C24" s="43"/>
      <c r="D24" s="44"/>
      <c r="E24" s="44"/>
      <c r="F24" s="44"/>
      <c r="G24" s="44"/>
      <c r="H24" s="44"/>
      <c r="I24" s="44"/>
      <c r="J24" s="46"/>
      <c r="K24" s="37"/>
    </row>
    <row r="25" spans="1:11" ht="75" x14ac:dyDescent="0.25">
      <c r="A25" s="18">
        <v>4</v>
      </c>
      <c r="B25" s="30" t="s">
        <v>63</v>
      </c>
      <c r="C25" s="19"/>
      <c r="D25" s="20"/>
      <c r="E25" s="21"/>
      <c r="F25" s="21"/>
      <c r="G25" s="23"/>
      <c r="H25" s="22"/>
      <c r="I25" s="23"/>
      <c r="J25" s="42"/>
      <c r="K25" s="21"/>
    </row>
    <row r="26" spans="1:11" ht="15" customHeight="1" x14ac:dyDescent="0.25">
      <c r="A26" s="18"/>
      <c r="B26" s="38" t="str">
        <f>B21</f>
        <v>-for road</v>
      </c>
      <c r="C26" s="37">
        <v>1</v>
      </c>
      <c r="D26" s="39">
        <f>D21</f>
        <v>30</v>
      </c>
      <c r="E26" s="39">
        <f>E21</f>
        <v>4.8671136848521792</v>
      </c>
      <c r="F26" s="39">
        <v>0.15</v>
      </c>
      <c r="G26" s="40">
        <f>PRODUCT(C26:F26)</f>
        <v>21.902011581834802</v>
      </c>
      <c r="H26" s="41"/>
      <c r="I26" s="41"/>
      <c r="J26" s="41"/>
      <c r="K26" s="21"/>
    </row>
    <row r="27" spans="1:11" ht="15" customHeight="1" x14ac:dyDescent="0.25">
      <c r="A27" s="41"/>
      <c r="B27" s="38" t="s">
        <v>42</v>
      </c>
      <c r="C27" s="43"/>
      <c r="D27" s="44"/>
      <c r="E27" s="44"/>
      <c r="F27" s="44"/>
      <c r="G27" s="34">
        <f>SUM(G26:G26)</f>
        <v>21.902011581834802</v>
      </c>
      <c r="H27" s="34" t="s">
        <v>41</v>
      </c>
      <c r="I27" s="34">
        <f>1.15*11588.17</f>
        <v>13326.395499999999</v>
      </c>
      <c r="J27" s="45">
        <f>G27*I27</f>
        <v>291874.86858511117</v>
      </c>
      <c r="K27" s="37"/>
    </row>
    <row r="28" spans="1:11" ht="15" customHeight="1" x14ac:dyDescent="0.25">
      <c r="A28" s="41"/>
      <c r="B28" s="38"/>
      <c r="C28" s="43"/>
      <c r="D28" s="44"/>
      <c r="E28" s="44"/>
      <c r="F28" s="44"/>
      <c r="G28" s="44"/>
      <c r="H28" s="44"/>
      <c r="I28" s="44"/>
      <c r="J28" s="46"/>
      <c r="K28" s="37"/>
    </row>
    <row r="29" spans="1:11" ht="75" x14ac:dyDescent="0.25">
      <c r="A29" s="18">
        <v>5</v>
      </c>
      <c r="B29" s="30" t="s">
        <v>43</v>
      </c>
      <c r="C29" s="19"/>
      <c r="D29" s="20"/>
      <c r="E29" s="21"/>
      <c r="F29" s="21"/>
      <c r="G29" s="23"/>
      <c r="H29" s="22"/>
      <c r="I29" s="23"/>
      <c r="J29" s="42"/>
      <c r="K29" s="21"/>
    </row>
    <row r="30" spans="1:11" ht="15" customHeight="1" x14ac:dyDescent="0.25">
      <c r="A30" s="18"/>
      <c r="B30" s="38" t="s">
        <v>54</v>
      </c>
      <c r="C30" s="37">
        <v>1</v>
      </c>
      <c r="D30" s="39">
        <f>D36</f>
        <v>30</v>
      </c>
      <c r="E30" s="39">
        <f>F36/2</f>
        <v>0.90673575129533679</v>
      </c>
      <c r="F30" s="39">
        <v>7.4999999999999997E-2</v>
      </c>
      <c r="G30" s="40">
        <f>PRODUCT(C30:F30)</f>
        <v>2.0401554404145079</v>
      </c>
      <c r="H30" s="41"/>
      <c r="I30" s="41"/>
      <c r="J30" s="41"/>
      <c r="K30" s="21"/>
    </row>
    <row r="31" spans="1:11" ht="15" customHeight="1" x14ac:dyDescent="0.25">
      <c r="A31" s="18"/>
      <c r="B31" s="38"/>
      <c r="C31" s="37">
        <v>1</v>
      </c>
      <c r="D31" s="39">
        <f>D30</f>
        <v>30</v>
      </c>
      <c r="E31" s="39">
        <v>0.5</v>
      </c>
      <c r="F31" s="39">
        <v>0.05</v>
      </c>
      <c r="G31" s="40">
        <f>PRODUCT(C31:F31)</f>
        <v>0.75</v>
      </c>
      <c r="H31" s="41"/>
      <c r="I31" s="41"/>
      <c r="J31" s="41"/>
      <c r="K31" s="21"/>
    </row>
    <row r="32" spans="1:11" ht="15" customHeight="1" x14ac:dyDescent="0.25">
      <c r="A32" s="18"/>
      <c r="B32" s="38" t="s">
        <v>70</v>
      </c>
      <c r="C32" s="75">
        <v>2</v>
      </c>
      <c r="D32" s="74">
        <f>(1.8)</f>
        <v>1.8</v>
      </c>
      <c r="E32" s="74">
        <v>1.8</v>
      </c>
      <c r="F32" s="74">
        <v>0.08</v>
      </c>
      <c r="G32" s="40">
        <f>C32*(PI())*(D32)*E32*F32/4</f>
        <v>0.40715040790523727</v>
      </c>
      <c r="H32" s="41"/>
      <c r="I32" s="41"/>
      <c r="J32" s="41"/>
      <c r="K32" s="21"/>
    </row>
    <row r="33" spans="1:11" ht="15" customHeight="1" x14ac:dyDescent="0.25">
      <c r="A33" s="41"/>
      <c r="B33" s="38" t="s">
        <v>42</v>
      </c>
      <c r="C33" s="43"/>
      <c r="D33" s="44"/>
      <c r="E33" s="44"/>
      <c r="F33" s="44"/>
      <c r="G33" s="34">
        <f>SUM(G30:G32)</f>
        <v>3.1973058483197452</v>
      </c>
      <c r="H33" s="34" t="s">
        <v>41</v>
      </c>
      <c r="I33" s="34">
        <f>1.15*10634.5</f>
        <v>12229.674999999999</v>
      </c>
      <c r="J33" s="45">
        <f>G33*I33</f>
        <v>39102.011400549774</v>
      </c>
      <c r="K33" s="37"/>
    </row>
    <row r="34" spans="1:11" ht="15" customHeight="1" x14ac:dyDescent="0.25">
      <c r="A34" s="41"/>
      <c r="B34" s="38"/>
      <c r="C34" s="43"/>
      <c r="D34" s="44"/>
      <c r="E34" s="44"/>
      <c r="F34" s="44"/>
      <c r="G34" s="44"/>
      <c r="H34" s="44"/>
      <c r="I34" s="44"/>
      <c r="J34" s="46"/>
      <c r="K34" s="37"/>
    </row>
    <row r="35" spans="1:11" s="1" customFormat="1" ht="90" x14ac:dyDescent="0.25">
      <c r="A35" s="64">
        <v>6</v>
      </c>
      <c r="B35" s="30" t="s">
        <v>49</v>
      </c>
      <c r="C35" s="65"/>
      <c r="D35" s="40"/>
      <c r="E35" s="40"/>
      <c r="F35" s="40"/>
      <c r="G35" s="40"/>
      <c r="H35" s="40"/>
      <c r="I35" s="40"/>
      <c r="J35" s="46"/>
      <c r="K35" s="29"/>
    </row>
    <row r="36" spans="1:11" ht="15" customHeight="1" x14ac:dyDescent="0.25">
      <c r="A36" s="18"/>
      <c r="B36" s="38" t="s">
        <v>54</v>
      </c>
      <c r="C36" s="37">
        <v>1</v>
      </c>
      <c r="D36" s="39">
        <v>30</v>
      </c>
      <c r="E36" s="39">
        <f>((F36/2+0.5)/2)</f>
        <v>0.70336787564766845</v>
      </c>
      <c r="F36" s="39">
        <f>((11+0.9)/3.281)/2</f>
        <v>1.8134715025906736</v>
      </c>
      <c r="G36" s="40">
        <f>PRODUCT(C36:F36)</f>
        <v>38.26612794974362</v>
      </c>
      <c r="H36" s="41"/>
      <c r="I36" s="41"/>
      <c r="J36" s="41"/>
      <c r="K36" s="21"/>
    </row>
    <row r="37" spans="1:11" ht="15" customHeight="1" x14ac:dyDescent="0.25">
      <c r="A37" s="41"/>
      <c r="B37" s="38" t="s">
        <v>42</v>
      </c>
      <c r="C37" s="43"/>
      <c r="D37" s="44"/>
      <c r="E37" s="44"/>
      <c r="F37" s="44"/>
      <c r="G37" s="34">
        <f>SUM(G36:G36)</f>
        <v>38.26612794974362</v>
      </c>
      <c r="H37" s="34" t="s">
        <v>41</v>
      </c>
      <c r="I37" s="34">
        <f>1.15*9709.43</f>
        <v>11165.844499999999</v>
      </c>
      <c r="J37" s="45">
        <f>G37*I37</f>
        <v>427273.63430394104</v>
      </c>
      <c r="K37" s="37"/>
    </row>
    <row r="38" spans="1:11" ht="15" customHeight="1" x14ac:dyDescent="0.25">
      <c r="A38" s="41"/>
      <c r="B38" s="38"/>
      <c r="C38" s="43"/>
      <c r="D38" s="44"/>
      <c r="E38" s="44"/>
      <c r="F38" s="44"/>
      <c r="G38" s="34"/>
      <c r="H38" s="34"/>
      <c r="I38" s="34"/>
      <c r="J38" s="45"/>
      <c r="K38" s="37"/>
    </row>
    <row r="39" spans="1:11" ht="45" x14ac:dyDescent="0.25">
      <c r="A39" s="18">
        <v>7</v>
      </c>
      <c r="B39" s="66" t="s">
        <v>55</v>
      </c>
      <c r="C39" s="19" t="s">
        <v>7</v>
      </c>
      <c r="D39" s="67" t="s">
        <v>52</v>
      </c>
      <c r="E39" s="68" t="s">
        <v>56</v>
      </c>
      <c r="F39" s="68" t="s">
        <v>57</v>
      </c>
      <c r="G39" s="68" t="s">
        <v>58</v>
      </c>
      <c r="H39" s="22"/>
      <c r="I39" s="23"/>
      <c r="J39" s="42"/>
      <c r="K39" s="21"/>
    </row>
    <row r="40" spans="1:11" ht="15" customHeight="1" x14ac:dyDescent="0.25">
      <c r="A40" s="18"/>
      <c r="B40" s="38" t="str">
        <f>B21</f>
        <v>-for road</v>
      </c>
      <c r="C40" s="20">
        <f>TRUNC((D21-0.1)/0.15,0)+1</f>
        <v>200</v>
      </c>
      <c r="D40" s="20">
        <f>(D21-0.1)</f>
        <v>29.9</v>
      </c>
      <c r="E40" s="21">
        <f>12*12/162</f>
        <v>0.88888888888888884</v>
      </c>
      <c r="F40" s="21">
        <f>PRODUCT(C40:E40)</f>
        <v>5315.5555555555557</v>
      </c>
      <c r="G40" s="69">
        <f>F40/1000</f>
        <v>5.315555555555556</v>
      </c>
      <c r="H40" s="22"/>
      <c r="I40" s="23"/>
      <c r="J40" s="42"/>
      <c r="K40" s="21"/>
    </row>
    <row r="41" spans="1:11" ht="15" customHeight="1" x14ac:dyDescent="0.25">
      <c r="A41" s="18"/>
      <c r="B41" s="38" t="s">
        <v>59</v>
      </c>
      <c r="C41" s="20">
        <f>TRUNC((E21-0.1)/0.15,0)+1</f>
        <v>32</v>
      </c>
      <c r="D41" s="20">
        <f>(E21-0.1)</f>
        <v>4.7671136848521796</v>
      </c>
      <c r="E41" s="21">
        <f>12*12/162</f>
        <v>0.88888888888888884</v>
      </c>
      <c r="F41" s="21">
        <f>PRODUCT(C41:E41)</f>
        <v>135.59790036912867</v>
      </c>
      <c r="G41" s="69">
        <f>F41/1000</f>
        <v>0.13559790036912867</v>
      </c>
      <c r="H41" s="22"/>
      <c r="I41" s="23"/>
      <c r="J41" s="42"/>
      <c r="K41" s="21"/>
    </row>
    <row r="42" spans="1:11" ht="15" customHeight="1" x14ac:dyDescent="0.25">
      <c r="A42" s="18"/>
      <c r="B42" s="38" t="s">
        <v>42</v>
      </c>
      <c r="C42" s="19"/>
      <c r="D42" s="20"/>
      <c r="E42" s="21"/>
      <c r="F42" s="21"/>
      <c r="G42" s="23">
        <f>SUM(G40:G41)</f>
        <v>5.4511534559246844</v>
      </c>
      <c r="H42" s="22" t="s">
        <v>53</v>
      </c>
      <c r="I42" s="23">
        <f>1.15*131940</f>
        <v>151731</v>
      </c>
      <c r="J42" s="42">
        <f>G42*I42</f>
        <v>827108.96502090828</v>
      </c>
      <c r="K42" s="21"/>
    </row>
    <row r="43" spans="1:11" ht="15" customHeight="1" x14ac:dyDescent="0.25">
      <c r="A43" s="18"/>
      <c r="B43" s="38"/>
      <c r="C43" s="19"/>
      <c r="D43" s="20"/>
      <c r="E43" s="21"/>
      <c r="F43" s="21"/>
      <c r="G43" s="23"/>
      <c r="H43" s="22"/>
      <c r="I43" s="23"/>
      <c r="J43" s="42"/>
      <c r="K43" s="21"/>
    </row>
    <row r="44" spans="1:11" ht="105" x14ac:dyDescent="0.25">
      <c r="A44" s="18">
        <v>8</v>
      </c>
      <c r="B44" s="30" t="s">
        <v>65</v>
      </c>
      <c r="C44" s="19">
        <f>D36/2.5</f>
        <v>12</v>
      </c>
      <c r="D44" s="20">
        <v>2.5</v>
      </c>
      <c r="E44" s="21"/>
      <c r="F44" s="21"/>
      <c r="G44" s="40">
        <f>PRODUCT(C44:F44)</f>
        <v>30</v>
      </c>
      <c r="H44" s="5"/>
      <c r="I44" s="5"/>
      <c r="J44" s="5"/>
      <c r="K44" s="21"/>
    </row>
    <row r="45" spans="1:11" ht="15" customHeight="1" x14ac:dyDescent="0.25">
      <c r="A45" s="18"/>
      <c r="B45" s="38" t="s">
        <v>42</v>
      </c>
      <c r="C45" s="37"/>
      <c r="D45" s="39"/>
      <c r="E45" s="39"/>
      <c r="F45" s="39"/>
      <c r="G45" s="35">
        <f>SUM(G44)</f>
        <v>30</v>
      </c>
      <c r="H45" s="22" t="s">
        <v>66</v>
      </c>
      <c r="I45" s="23">
        <f>1.15*5144.96</f>
        <v>5916.7039999999997</v>
      </c>
      <c r="J45" s="35">
        <f>G45*I45</f>
        <v>177501.12</v>
      </c>
      <c r="K45" s="21"/>
    </row>
    <row r="46" spans="1:11" ht="15" customHeight="1" x14ac:dyDescent="0.25">
      <c r="A46" s="18"/>
      <c r="B46" s="38"/>
      <c r="C46" s="37"/>
      <c r="D46" s="39"/>
      <c r="E46" s="39"/>
      <c r="F46" s="39"/>
      <c r="G46" s="40"/>
      <c r="H46" s="41"/>
      <c r="I46" s="41"/>
      <c r="J46" s="46"/>
      <c r="K46" s="21"/>
    </row>
    <row r="47" spans="1:11" ht="105" x14ac:dyDescent="0.25">
      <c r="A47" s="18">
        <v>9</v>
      </c>
      <c r="B47" s="30" t="s">
        <v>68</v>
      </c>
      <c r="C47" s="37"/>
      <c r="D47" s="39"/>
      <c r="E47" s="39"/>
      <c r="F47" s="39"/>
      <c r="G47" s="40"/>
      <c r="H47" s="41"/>
      <c r="I47" s="41"/>
      <c r="J47" s="46"/>
      <c r="K47" s="21"/>
    </row>
    <row r="48" spans="1:11" ht="15" customHeight="1" x14ac:dyDescent="0.25">
      <c r="A48" s="18"/>
      <c r="B48" s="38" t="s">
        <v>70</v>
      </c>
      <c r="C48" s="75">
        <v>1</v>
      </c>
      <c r="D48" s="74">
        <f>((1.8-0.35)+(((33)/12/3.281)-0.35))/2</f>
        <v>0.96907954891801285</v>
      </c>
      <c r="E48" s="74">
        <v>0.35</v>
      </c>
      <c r="F48" s="74">
        <f>11/3.281</f>
        <v>3.3526363913441024</v>
      </c>
      <c r="G48" s="40">
        <f>C48*(PI())*(D48)*E48*F48</f>
        <v>3.572430596694915</v>
      </c>
      <c r="H48" s="41"/>
      <c r="I48" s="41"/>
      <c r="J48" s="41"/>
      <c r="K48" s="21"/>
    </row>
    <row r="49" spans="1:11" ht="15" customHeight="1" x14ac:dyDescent="0.25">
      <c r="A49" s="18"/>
      <c r="B49" s="38" t="s">
        <v>69</v>
      </c>
      <c r="C49" s="75">
        <v>-3</v>
      </c>
      <c r="D49" s="74">
        <v>0.6</v>
      </c>
      <c r="E49" s="74">
        <v>0.35</v>
      </c>
      <c r="F49" s="74">
        <v>0.6</v>
      </c>
      <c r="G49" s="40">
        <f>C49*(PI())*(D49*F49/4)*E49</f>
        <v>-0.29688050576423541</v>
      </c>
      <c r="H49" s="41"/>
      <c r="I49" s="41"/>
      <c r="J49" s="41"/>
      <c r="K49" s="21"/>
    </row>
    <row r="50" spans="1:11" ht="15" customHeight="1" x14ac:dyDescent="0.25">
      <c r="A50" s="18"/>
      <c r="B50" s="38" t="str">
        <f>B48</f>
        <v>-manhole</v>
      </c>
      <c r="C50" s="75">
        <v>1</v>
      </c>
      <c r="D50" s="74">
        <f>((1.5-0.35)+((24/12/3.281)-0.35))/2</f>
        <v>0.70478512648582736</v>
      </c>
      <c r="E50" s="74">
        <v>0.35</v>
      </c>
      <c r="F50" s="74">
        <f>7/3.281</f>
        <v>2.1334958854007922</v>
      </c>
      <c r="G50" s="40">
        <f>C50*(PI())*(D50)*E50*F50</f>
        <v>1.653356309214175</v>
      </c>
      <c r="H50" s="41"/>
      <c r="I50" s="41"/>
      <c r="J50" s="41"/>
      <c r="K50" s="21"/>
    </row>
    <row r="51" spans="1:11" ht="15" customHeight="1" x14ac:dyDescent="0.25">
      <c r="A51" s="18"/>
      <c r="B51" s="38" t="s">
        <v>69</v>
      </c>
      <c r="C51" s="75">
        <v>-2</v>
      </c>
      <c r="D51" s="74">
        <v>0.6</v>
      </c>
      <c r="E51" s="74">
        <v>0.35</v>
      </c>
      <c r="F51" s="74">
        <v>0.6</v>
      </c>
      <c r="G51" s="40">
        <f>C51*(PI())*(D51*F51/4)*E51</f>
        <v>-0.19792033717615695</v>
      </c>
      <c r="H51" s="41"/>
      <c r="I51" s="41"/>
      <c r="J51" s="41"/>
      <c r="K51" s="21"/>
    </row>
    <row r="52" spans="1:11" ht="15" customHeight="1" x14ac:dyDescent="0.25">
      <c r="A52" s="41"/>
      <c r="B52" s="38" t="s">
        <v>42</v>
      </c>
      <c r="C52" s="43"/>
      <c r="D52" s="44"/>
      <c r="E52" s="44"/>
      <c r="F52" s="44"/>
      <c r="G52" s="34">
        <f>SUM(G48:G51)</f>
        <v>4.7309860629686975</v>
      </c>
      <c r="H52" s="34" t="s">
        <v>41</v>
      </c>
      <c r="I52" s="34">
        <f>17546.88</f>
        <v>17546.88</v>
      </c>
      <c r="J52" s="45">
        <f>G52*I52</f>
        <v>83014.04472858418</v>
      </c>
      <c r="K52" s="37"/>
    </row>
    <row r="53" spans="1:11" ht="15" customHeight="1" x14ac:dyDescent="0.25">
      <c r="A53" s="41"/>
      <c r="B53" s="38"/>
      <c r="C53" s="43"/>
      <c r="D53" s="44"/>
      <c r="E53" s="44"/>
      <c r="F53" s="44"/>
      <c r="G53" s="44"/>
      <c r="H53" s="44"/>
      <c r="I53" s="44"/>
      <c r="J53" s="46"/>
      <c r="K53" s="37"/>
    </row>
    <row r="54" spans="1:11" ht="15" customHeight="1" x14ac:dyDescent="0.25">
      <c r="A54" s="41">
        <v>10</v>
      </c>
      <c r="B54" s="76" t="s">
        <v>71</v>
      </c>
      <c r="C54" s="43"/>
      <c r="D54" s="44"/>
      <c r="E54" s="44"/>
      <c r="F54" s="44"/>
      <c r="G54" s="34"/>
      <c r="H54" s="34"/>
      <c r="I54" s="34"/>
      <c r="J54" s="45"/>
      <c r="K54" s="37"/>
    </row>
    <row r="55" spans="1:11" ht="30" x14ac:dyDescent="0.25">
      <c r="A55" s="18"/>
      <c r="B55" s="38" t="s">
        <v>72</v>
      </c>
      <c r="C55" s="73">
        <v>2</v>
      </c>
      <c r="D55" s="73"/>
      <c r="E55" s="73"/>
      <c r="F55" s="73"/>
      <c r="G55" s="40">
        <f>PRODUCT(C55:F55)</f>
        <v>2</v>
      </c>
      <c r="H55" s="41"/>
      <c r="I55" s="41"/>
      <c r="J55" s="41"/>
      <c r="K55" s="21"/>
    </row>
    <row r="56" spans="1:11" ht="15" customHeight="1" x14ac:dyDescent="0.25">
      <c r="A56" s="41"/>
      <c r="B56" s="38" t="s">
        <v>42</v>
      </c>
      <c r="C56" s="43"/>
      <c r="D56" s="44"/>
      <c r="E56" s="44"/>
      <c r="F56" s="44"/>
      <c r="G56" s="34">
        <f>SUM(G55:G55)</f>
        <v>2</v>
      </c>
      <c r="H56" s="34" t="s">
        <v>73</v>
      </c>
      <c r="I56" s="34">
        <f>7063</f>
        <v>7063</v>
      </c>
      <c r="J56" s="45">
        <f>G56*I56</f>
        <v>14126</v>
      </c>
      <c r="K56" s="37"/>
    </row>
    <row r="57" spans="1:11" ht="15" customHeight="1" x14ac:dyDescent="0.25">
      <c r="A57" s="41"/>
      <c r="B57" s="38"/>
      <c r="C57" s="43"/>
      <c r="D57" s="44"/>
      <c r="E57" s="44"/>
      <c r="F57" s="44"/>
      <c r="G57" s="44"/>
      <c r="H57" s="44"/>
      <c r="I57" s="44"/>
      <c r="J57" s="46"/>
      <c r="K57" s="37"/>
    </row>
    <row r="58" spans="1:11" ht="15" customHeight="1" x14ac:dyDescent="0.25">
      <c r="A58" s="18">
        <v>11</v>
      </c>
      <c r="B58" s="30" t="s">
        <v>30</v>
      </c>
      <c r="C58" s="19">
        <v>1</v>
      </c>
      <c r="D58" s="20"/>
      <c r="E58" s="21"/>
      <c r="F58" s="21"/>
      <c r="G58" s="35">
        <f t="shared" ref="G58" si="0">PRODUCT(C58:F58)</f>
        <v>1</v>
      </c>
      <c r="H58" s="22" t="s">
        <v>31</v>
      </c>
      <c r="I58" s="23">
        <v>500</v>
      </c>
      <c r="J58" s="35">
        <f>G58*I58</f>
        <v>500</v>
      </c>
      <c r="K58" s="21"/>
    </row>
    <row r="59" spans="1:11" ht="15" customHeight="1" x14ac:dyDescent="0.25">
      <c r="A59" s="18"/>
      <c r="B59" s="24"/>
      <c r="C59" s="19"/>
      <c r="D59" s="20"/>
      <c r="E59" s="21"/>
      <c r="F59" s="21"/>
      <c r="G59" s="23"/>
      <c r="H59" s="22"/>
      <c r="I59" s="23"/>
      <c r="J59" s="42"/>
      <c r="K59" s="21"/>
    </row>
    <row r="60" spans="1:11" x14ac:dyDescent="0.25">
      <c r="A60" s="41"/>
      <c r="B60" s="47" t="s">
        <v>17</v>
      </c>
      <c r="C60" s="48"/>
      <c r="D60" s="39"/>
      <c r="E60" s="39"/>
      <c r="F60" s="39"/>
      <c r="G60" s="42"/>
      <c r="H60" s="42"/>
      <c r="I60" s="42"/>
      <c r="J60" s="42">
        <f>SUM(J10:J58)</f>
        <v>2033393.6592604597</v>
      </c>
      <c r="K60" s="37"/>
    </row>
    <row r="61" spans="1:11" x14ac:dyDescent="0.25">
      <c r="A61" s="59"/>
      <c r="B61" s="62"/>
      <c r="C61" s="63"/>
      <c r="D61" s="60"/>
      <c r="E61" s="60"/>
      <c r="F61" s="60"/>
      <c r="G61" s="61"/>
      <c r="H61" s="61"/>
      <c r="I61" s="61"/>
      <c r="J61" s="61"/>
      <c r="K61" s="58"/>
    </row>
    <row r="62" spans="1:11" s="1" customFormat="1" x14ac:dyDescent="0.25">
      <c r="A62" s="51"/>
      <c r="B62" s="29" t="s">
        <v>27</v>
      </c>
      <c r="C62" s="91">
        <f>J60</f>
        <v>2033393.6592604597</v>
      </c>
      <c r="D62" s="91"/>
      <c r="E62" s="53"/>
      <c r="F62" s="52"/>
      <c r="G62" s="53"/>
      <c r="H62" s="52"/>
      <c r="I62" s="54"/>
      <c r="J62" s="55"/>
      <c r="K62" s="56"/>
    </row>
    <row r="63" spans="1:11" s="36" customFormat="1" x14ac:dyDescent="0.25">
      <c r="A63" s="58"/>
      <c r="B63" s="37" t="s">
        <v>74</v>
      </c>
      <c r="C63" s="99">
        <f>0.13*C62</f>
        <v>264341.17570385977</v>
      </c>
      <c r="D63" s="99"/>
      <c r="E63" s="58"/>
      <c r="F63" s="58"/>
      <c r="G63" s="58"/>
      <c r="H63" s="58"/>
      <c r="I63" s="58"/>
      <c r="J63" s="58"/>
      <c r="K63" s="58"/>
    </row>
    <row r="64" spans="1:11" s="36" customFormat="1" x14ac:dyDescent="0.25">
      <c r="B64" s="5" t="s">
        <v>75</v>
      </c>
      <c r="C64" s="100">
        <f>SUM(C62:D63)</f>
        <v>2297734.8349643196</v>
      </c>
      <c r="D64" s="101"/>
    </row>
    <row r="65" s="36" customFormat="1" x14ac:dyDescent="0.25"/>
    <row r="66" s="36" customFormat="1" x14ac:dyDescent="0.25"/>
    <row r="67" s="36" customFormat="1" x14ac:dyDescent="0.25"/>
    <row r="68" s="36" customFormat="1" x14ac:dyDescent="0.25"/>
    <row r="69" s="36" customFormat="1" x14ac:dyDescent="0.25"/>
    <row r="70" s="36" customFormat="1" x14ac:dyDescent="0.25"/>
    <row r="71" s="36" customFormat="1" x14ac:dyDescent="0.25"/>
    <row r="72" s="36" customFormat="1" x14ac:dyDescent="0.25"/>
    <row r="73" s="36" customFormat="1" x14ac:dyDescent="0.25"/>
    <row r="74" s="36" customFormat="1" x14ac:dyDescent="0.25"/>
    <row r="75" s="36" customFormat="1" x14ac:dyDescent="0.25"/>
    <row r="76" s="36" customFormat="1" x14ac:dyDescent="0.25"/>
    <row r="77" s="36" customFormat="1" x14ac:dyDescent="0.25"/>
    <row r="78" s="36" customFormat="1" x14ac:dyDescent="0.25"/>
    <row r="79" s="36" customFormat="1" x14ac:dyDescent="0.25"/>
    <row r="80" s="36" customFormat="1" x14ac:dyDescent="0.25"/>
    <row r="81" s="36" customFormat="1" x14ac:dyDescent="0.25"/>
    <row r="82" s="36" customFormat="1" x14ac:dyDescent="0.25"/>
    <row r="83" s="36" customFormat="1" x14ac:dyDescent="0.25"/>
    <row r="84" s="36" customFormat="1" x14ac:dyDescent="0.25"/>
    <row r="85" s="36" customFormat="1" x14ac:dyDescent="0.25"/>
    <row r="86" s="36" customFormat="1" x14ac:dyDescent="0.25"/>
    <row r="87" s="36" customFormat="1" x14ac:dyDescent="0.25"/>
    <row r="88" s="36" customFormat="1" x14ac:dyDescent="0.25"/>
    <row r="89" s="36" customFormat="1" x14ac:dyDescent="0.25"/>
    <row r="90" s="36" customFormat="1" x14ac:dyDescent="0.25"/>
    <row r="91" s="36" customFormat="1" x14ac:dyDescent="0.25"/>
    <row r="92" s="36" customFormat="1" x14ac:dyDescent="0.25"/>
    <row r="93" s="36" customFormat="1" x14ac:dyDescent="0.25"/>
    <row r="94" s="36" customFormat="1" x14ac:dyDescent="0.25"/>
    <row r="95" s="36" customFormat="1" x14ac:dyDescent="0.25"/>
    <row r="96" s="36" customFormat="1" x14ac:dyDescent="0.25"/>
    <row r="97" s="36" customFormat="1" x14ac:dyDescent="0.25"/>
    <row r="98" s="36" customFormat="1" x14ac:dyDescent="0.25"/>
    <row r="99" s="36" customFormat="1" x14ac:dyDescent="0.25"/>
    <row r="100" s="36" customFormat="1" x14ac:dyDescent="0.25"/>
    <row r="101" s="36" customFormat="1" x14ac:dyDescent="0.25"/>
    <row r="102" s="36" customFormat="1" x14ac:dyDescent="0.25"/>
    <row r="103" s="36" customFormat="1" x14ac:dyDescent="0.25"/>
    <row r="104" s="36" customFormat="1" x14ac:dyDescent="0.25"/>
    <row r="105" s="36" customFormat="1" x14ac:dyDescent="0.25"/>
    <row r="106" s="36" customFormat="1" x14ac:dyDescent="0.25"/>
    <row r="107" s="36" customFormat="1" x14ac:dyDescent="0.25"/>
    <row r="108" s="36" customFormat="1" x14ac:dyDescent="0.25"/>
    <row r="109" s="36" customFormat="1" x14ac:dyDescent="0.25"/>
    <row r="110" s="36" customFormat="1" x14ac:dyDescent="0.25"/>
    <row r="111" s="36" customFormat="1" x14ac:dyDescent="0.25"/>
    <row r="112" s="36" customFormat="1" x14ac:dyDescent="0.25"/>
    <row r="113" s="36" customFormat="1" x14ac:dyDescent="0.25"/>
    <row r="114" s="36" customFormat="1" x14ac:dyDescent="0.25"/>
    <row r="115" s="36" customFormat="1" x14ac:dyDescent="0.25"/>
    <row r="116" s="36" customFormat="1" x14ac:dyDescent="0.25"/>
    <row r="117" s="36" customFormat="1" x14ac:dyDescent="0.25"/>
    <row r="118" s="36" customFormat="1" x14ac:dyDescent="0.25"/>
    <row r="119" s="36" customFormat="1" x14ac:dyDescent="0.25"/>
  </sheetData>
  <mergeCells count="12">
    <mergeCell ref="A6:F6"/>
    <mergeCell ref="H6:K6"/>
    <mergeCell ref="A1:K1"/>
    <mergeCell ref="A2:K2"/>
    <mergeCell ref="A3:K3"/>
    <mergeCell ref="A4:K4"/>
    <mergeCell ref="A5:K5"/>
    <mergeCell ref="C63:D63"/>
    <mergeCell ref="C64:D64"/>
    <mergeCell ref="A7:F7"/>
    <mergeCell ref="H7:K7"/>
    <mergeCell ref="C62:D62"/>
  </mergeCells>
  <pageMargins left="0.70866141732283505" right="0.70866141732283505" top="0.74803149606299202" bottom="0.74803149606299202" header="0.31496062992126" footer="0.31496062992126"/>
  <pageSetup paperSize="9" scale="75" orientation="portrait" r:id="rId1"/>
  <headerFooter>
    <oddFooter>&amp;LPrepared By:&amp;CChecked By:&amp;RApproved By:</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9"/>
  <sheetViews>
    <sheetView topLeftCell="A55" zoomScaleNormal="100" workbookViewId="0">
      <selection activeCell="I67" sqref="I67"/>
    </sheetView>
  </sheetViews>
  <sheetFormatPr defaultRowHeight="15" x14ac:dyDescent="0.25"/>
  <cols>
    <col min="1" max="1" width="4.7109375" customWidth="1"/>
    <col min="2" max="2" width="31.28515625" customWidth="1"/>
    <col min="3" max="3" width="6.5703125" bestFit="1" customWidth="1"/>
    <col min="4" max="4" width="7.5703125" customWidth="1"/>
    <col min="5" max="5" width="8.5703125" customWidth="1"/>
    <col min="6" max="6" width="8" customWidth="1"/>
    <col min="7" max="7" width="8.5703125" customWidth="1"/>
    <col min="8" max="8" width="5" bestFit="1" customWidth="1"/>
    <col min="9" max="9" width="10.7109375" bestFit="1" customWidth="1"/>
    <col min="10" max="10" width="11.85546875" bestFit="1" customWidth="1"/>
  </cols>
  <sheetData>
    <row r="1" spans="1:11" s="1" customFormat="1" x14ac:dyDescent="0.25">
      <c r="A1" s="96" t="s">
        <v>0</v>
      </c>
      <c r="B1" s="96"/>
      <c r="C1" s="96"/>
      <c r="D1" s="96"/>
      <c r="E1" s="96"/>
      <c r="F1" s="96"/>
      <c r="G1" s="96"/>
      <c r="H1" s="96"/>
      <c r="I1" s="96"/>
      <c r="J1" s="96"/>
      <c r="K1" s="96"/>
    </row>
    <row r="2" spans="1:11" s="1" customFormat="1" ht="22.5" x14ac:dyDescent="0.25">
      <c r="A2" s="97" t="s">
        <v>1</v>
      </c>
      <c r="B2" s="97"/>
      <c r="C2" s="97"/>
      <c r="D2" s="97"/>
      <c r="E2" s="97"/>
      <c r="F2" s="97"/>
      <c r="G2" s="97"/>
      <c r="H2" s="97"/>
      <c r="I2" s="97"/>
      <c r="J2" s="97"/>
      <c r="K2" s="97"/>
    </row>
    <row r="3" spans="1:11" s="1" customFormat="1" x14ac:dyDescent="0.25">
      <c r="A3" s="89" t="s">
        <v>2</v>
      </c>
      <c r="B3" s="89"/>
      <c r="C3" s="89"/>
      <c r="D3" s="89"/>
      <c r="E3" s="89"/>
      <c r="F3" s="89"/>
      <c r="G3" s="89"/>
      <c r="H3" s="89"/>
      <c r="I3" s="89"/>
      <c r="J3" s="89"/>
      <c r="K3" s="89"/>
    </row>
    <row r="4" spans="1:11" s="1" customFormat="1" x14ac:dyDescent="0.25">
      <c r="A4" s="89" t="s">
        <v>3</v>
      </c>
      <c r="B4" s="89"/>
      <c r="C4" s="89"/>
      <c r="D4" s="89"/>
      <c r="E4" s="89"/>
      <c r="F4" s="89"/>
      <c r="G4" s="89"/>
      <c r="H4" s="89"/>
      <c r="I4" s="89"/>
      <c r="J4" s="89"/>
      <c r="K4" s="89"/>
    </row>
    <row r="5" spans="1:11" ht="18.75" x14ac:dyDescent="0.3">
      <c r="A5" s="98" t="s">
        <v>4</v>
      </c>
      <c r="B5" s="98"/>
      <c r="C5" s="98"/>
      <c r="D5" s="98"/>
      <c r="E5" s="98"/>
      <c r="F5" s="98"/>
      <c r="G5" s="98"/>
      <c r="H5" s="98"/>
      <c r="I5" s="98"/>
      <c r="J5" s="98"/>
      <c r="K5" s="98"/>
    </row>
    <row r="6" spans="1:11" ht="15.75" x14ac:dyDescent="0.25">
      <c r="A6" s="79" t="s">
        <v>61</v>
      </c>
      <c r="B6" s="79"/>
      <c r="C6" s="79"/>
      <c r="D6" s="79"/>
      <c r="E6" s="79"/>
      <c r="F6" s="79"/>
      <c r="G6" s="2"/>
      <c r="H6" s="95" t="s">
        <v>45</v>
      </c>
      <c r="I6" s="95"/>
      <c r="J6" s="95"/>
      <c r="K6" s="95"/>
    </row>
    <row r="7" spans="1:11" ht="15.75" x14ac:dyDescent="0.25">
      <c r="A7" s="92" t="s">
        <v>28</v>
      </c>
      <c r="B7" s="92"/>
      <c r="C7" s="92"/>
      <c r="D7" s="92"/>
      <c r="E7" s="92"/>
      <c r="F7" s="92"/>
      <c r="G7" s="3"/>
      <c r="H7" s="93"/>
      <c r="I7" s="93"/>
      <c r="J7" s="93"/>
      <c r="K7" s="93"/>
    </row>
    <row r="8" spans="1:11" ht="15" customHeight="1" x14ac:dyDescent="0.25">
      <c r="A8" s="4" t="s">
        <v>5</v>
      </c>
      <c r="B8" s="15" t="s">
        <v>6</v>
      </c>
      <c r="C8" s="4" t="s">
        <v>7</v>
      </c>
      <c r="D8" s="16" t="s">
        <v>8</v>
      </c>
      <c r="E8" s="16" t="s">
        <v>9</v>
      </c>
      <c r="F8" s="16" t="s">
        <v>10</v>
      </c>
      <c r="G8" s="16" t="s">
        <v>11</v>
      </c>
      <c r="H8" s="4" t="s">
        <v>12</v>
      </c>
      <c r="I8" s="16" t="s">
        <v>13</v>
      </c>
      <c r="J8" s="16" t="s">
        <v>14</v>
      </c>
      <c r="K8" s="17" t="s">
        <v>15</v>
      </c>
    </row>
    <row r="9" spans="1:11" ht="155.25" x14ac:dyDescent="0.25">
      <c r="A9" s="64">
        <v>1</v>
      </c>
      <c r="B9" s="30" t="s">
        <v>79</v>
      </c>
      <c r="C9" s="37"/>
      <c r="D9" s="37"/>
      <c r="E9" s="37"/>
      <c r="F9" s="37"/>
      <c r="G9" s="37"/>
      <c r="H9" s="37"/>
      <c r="I9" s="37"/>
      <c r="J9" s="37"/>
      <c r="K9" s="37"/>
    </row>
    <row r="10" spans="1:11" ht="15" customHeight="1" x14ac:dyDescent="0.25">
      <c r="A10" s="18"/>
      <c r="B10" s="38" t="str">
        <f>B20</f>
        <v>-For stone masonary</v>
      </c>
      <c r="C10" s="37">
        <f>2*0.5</f>
        <v>1</v>
      </c>
      <c r="D10" s="39">
        <f>D36-20</f>
        <v>10</v>
      </c>
      <c r="E10" s="39">
        <f>F36/2</f>
        <v>0.90673575129533679</v>
      </c>
      <c r="F10" s="39">
        <f>F36</f>
        <v>1.8134715025906736</v>
      </c>
      <c r="G10" s="40">
        <f>PRODUCT(C10:F10)</f>
        <v>16.443394453542378</v>
      </c>
      <c r="H10" s="41"/>
      <c r="I10" s="41"/>
      <c r="J10" s="41"/>
      <c r="K10" s="21"/>
    </row>
    <row r="11" spans="1:11" ht="15" customHeight="1" x14ac:dyDescent="0.25">
      <c r="A11" s="18"/>
      <c r="B11" s="38"/>
      <c r="C11" s="37">
        <f>2*0.5</f>
        <v>1</v>
      </c>
      <c r="D11" s="39">
        <f>D36-D10</f>
        <v>20</v>
      </c>
      <c r="E11" s="39">
        <f>F36/2</f>
        <v>0.90673575129533679</v>
      </c>
      <c r="F11" s="39">
        <f>0.9</f>
        <v>0.9</v>
      </c>
      <c r="G11" s="40">
        <f>PRODUCT(C11:F11)</f>
        <v>16.321243523316063</v>
      </c>
      <c r="H11" s="41"/>
      <c r="I11" s="41"/>
      <c r="J11" s="41"/>
      <c r="K11" s="21"/>
    </row>
    <row r="12" spans="1:11" ht="15" customHeight="1" x14ac:dyDescent="0.25">
      <c r="A12" s="18"/>
      <c r="B12" s="38" t="s">
        <v>67</v>
      </c>
      <c r="C12" s="37">
        <v>2</v>
      </c>
      <c r="D12" s="39">
        <f>C44*D44</f>
        <v>30</v>
      </c>
      <c r="E12" s="39">
        <v>0.5</v>
      </c>
      <c r="F12" s="39">
        <f>(F48+F50)/2</f>
        <v>2.7430661383724475</v>
      </c>
      <c r="G12" s="40">
        <f>PRODUCT(C12:F12)</f>
        <v>82.291984151173423</v>
      </c>
      <c r="H12" s="41"/>
      <c r="I12" s="41"/>
      <c r="J12" s="41"/>
      <c r="K12" s="21"/>
    </row>
    <row r="13" spans="1:11" ht="15" customHeight="1" x14ac:dyDescent="0.25">
      <c r="A13" s="18"/>
      <c r="B13" s="38" t="s">
        <v>42</v>
      </c>
      <c r="C13" s="19"/>
      <c r="D13" s="20"/>
      <c r="E13" s="21"/>
      <c r="F13" s="21"/>
      <c r="G13" s="23">
        <f>SUM(G10:G12)</f>
        <v>115.05662212803186</v>
      </c>
      <c r="H13" s="22" t="s">
        <v>41</v>
      </c>
      <c r="I13" s="23">
        <f>64.63*1.15</f>
        <v>74.324499999999986</v>
      </c>
      <c r="J13" s="42">
        <f>G13*I13</f>
        <v>8551.5259113549018</v>
      </c>
      <c r="K13" s="21"/>
    </row>
    <row r="14" spans="1:11" ht="15" customHeight="1" x14ac:dyDescent="0.25">
      <c r="A14" s="18"/>
      <c r="B14" s="38"/>
      <c r="C14" s="19"/>
      <c r="D14" s="20"/>
      <c r="E14" s="21"/>
      <c r="F14" s="21"/>
      <c r="G14" s="23"/>
      <c r="H14" s="22"/>
      <c r="I14" s="23"/>
      <c r="J14" s="42"/>
      <c r="K14" s="21"/>
    </row>
    <row r="15" spans="1:11" ht="125.25" x14ac:dyDescent="0.25">
      <c r="A15" s="18">
        <v>2</v>
      </c>
      <c r="B15" s="30" t="s">
        <v>76</v>
      </c>
      <c r="C15" s="19"/>
      <c r="D15" s="20"/>
      <c r="E15" s="21"/>
      <c r="F15" s="21"/>
      <c r="G15" s="23"/>
      <c r="H15" s="22"/>
      <c r="I15" s="23"/>
      <c r="J15" s="42"/>
      <c r="K15" s="21"/>
    </row>
    <row r="16" spans="1:11" ht="15" customHeight="1" x14ac:dyDescent="0.25">
      <c r="A16" s="18"/>
      <c r="B16" s="38" t="s">
        <v>62</v>
      </c>
      <c r="C16" s="37">
        <v>0.5</v>
      </c>
      <c r="D16" s="39">
        <v>20</v>
      </c>
      <c r="E16" s="39">
        <f>E26</f>
        <v>4.8671136848521792</v>
      </c>
      <c r="F16" s="39">
        <f>1.5</f>
        <v>1.5</v>
      </c>
      <c r="G16" s="40">
        <f>PRODUCT(C16:F16)</f>
        <v>73.006705272782682</v>
      </c>
      <c r="H16" s="41"/>
      <c r="I16" s="41"/>
      <c r="J16" s="41"/>
      <c r="K16" s="21"/>
    </row>
    <row r="17" spans="1:14" ht="15" customHeight="1" x14ac:dyDescent="0.25">
      <c r="A17" s="41"/>
      <c r="B17" s="38" t="s">
        <v>42</v>
      </c>
      <c r="C17" s="43"/>
      <c r="D17" s="44"/>
      <c r="E17" s="44"/>
      <c r="F17" s="44"/>
      <c r="G17" s="34">
        <f>SUM(G16:G16)</f>
        <v>73.006705272782682</v>
      </c>
      <c r="H17" s="34" t="s">
        <v>41</v>
      </c>
      <c r="I17" s="34">
        <f>1.15*404.28</f>
        <v>464.92199999999991</v>
      </c>
      <c r="J17" s="45">
        <f>G17*I17</f>
        <v>33942.423428832662</v>
      </c>
      <c r="K17" s="37"/>
    </row>
    <row r="18" spans="1:14" x14ac:dyDescent="0.25">
      <c r="A18" s="41"/>
      <c r="B18" s="38"/>
      <c r="C18" s="43"/>
      <c r="D18" s="44"/>
      <c r="E18" s="44"/>
      <c r="F18" s="44"/>
      <c r="G18" s="44"/>
      <c r="H18" s="44"/>
      <c r="I18" s="44"/>
      <c r="J18" s="46"/>
      <c r="K18" s="37"/>
    </row>
    <row r="19" spans="1:14" ht="97.5" x14ac:dyDescent="0.25">
      <c r="A19" s="18">
        <v>3</v>
      </c>
      <c r="B19" s="30" t="s">
        <v>77</v>
      </c>
      <c r="C19" s="19"/>
      <c r="D19" s="20"/>
      <c r="E19" s="21"/>
      <c r="F19" s="21"/>
      <c r="G19" s="23"/>
      <c r="H19" s="22"/>
      <c r="I19" s="23"/>
      <c r="J19" s="42"/>
      <c r="K19" s="21"/>
    </row>
    <row r="20" spans="1:14" ht="15" customHeight="1" x14ac:dyDescent="0.25">
      <c r="A20" s="18"/>
      <c r="B20" s="38" t="str">
        <f>B30</f>
        <v>-For stone masonary</v>
      </c>
      <c r="C20" s="37">
        <v>2</v>
      </c>
      <c r="D20" s="39">
        <f>D30</f>
        <v>30</v>
      </c>
      <c r="E20" s="39">
        <f>E30</f>
        <v>0.90673575129533679</v>
      </c>
      <c r="F20" s="39">
        <v>0.15</v>
      </c>
      <c r="G20" s="40">
        <f>PRODUCT(C20:F20)</f>
        <v>8.1606217616580317</v>
      </c>
      <c r="H20" s="41"/>
      <c r="I20" s="41"/>
      <c r="J20" s="41"/>
      <c r="K20" s="21"/>
    </row>
    <row r="21" spans="1:14" ht="15" customHeight="1" x14ac:dyDescent="0.25">
      <c r="A21" s="18"/>
      <c r="B21" s="38" t="s">
        <v>62</v>
      </c>
      <c r="C21" s="37">
        <v>1</v>
      </c>
      <c r="D21" s="39">
        <f>D36</f>
        <v>30</v>
      </c>
      <c r="E21" s="39">
        <f>(19.25/3.281)-1</f>
        <v>4.8671136848521792</v>
      </c>
      <c r="F21" s="39">
        <v>0.15</v>
      </c>
      <c r="G21" s="40">
        <f>PRODUCT(C21:F21)</f>
        <v>21.902011581834802</v>
      </c>
      <c r="H21" s="41"/>
      <c r="I21" s="41"/>
      <c r="J21" s="41"/>
      <c r="K21" s="21"/>
      <c r="M21">
        <f>J13+J17+(G20+G22)*I23+J33+J37+J52+J56+J58+J45</f>
        <v>1290916.9400163144</v>
      </c>
      <c r="N21">
        <f>M21*1.13</f>
        <v>1458736.1422184352</v>
      </c>
    </row>
    <row r="22" spans="1:14" ht="15" customHeight="1" x14ac:dyDescent="0.25">
      <c r="A22" s="18"/>
      <c r="B22" s="38" t="s">
        <v>70</v>
      </c>
      <c r="C22" s="75">
        <v>2</v>
      </c>
      <c r="D22" s="74">
        <f>(1.8)</f>
        <v>1.8</v>
      </c>
      <c r="E22" s="74">
        <v>1.8</v>
      </c>
      <c r="F22" s="74">
        <v>0.15</v>
      </c>
      <c r="G22" s="40">
        <f>C22*(PI())*(D22)*E22*F22/4</f>
        <v>0.76340701482231976</v>
      </c>
      <c r="H22" s="41"/>
      <c r="I22" s="41"/>
      <c r="J22" s="41"/>
      <c r="K22" s="21"/>
      <c r="M22">
        <f>0.13*M21</f>
        <v>167819.20220212088</v>
      </c>
    </row>
    <row r="23" spans="1:14" ht="15" customHeight="1" x14ac:dyDescent="0.25">
      <c r="A23" s="41"/>
      <c r="B23" s="38" t="s">
        <v>42</v>
      </c>
      <c r="C23" s="43"/>
      <c r="D23" s="44"/>
      <c r="E23" s="44"/>
      <c r="F23" s="44"/>
      <c r="G23" s="34">
        <f>SUM(G20:G22)</f>
        <v>30.826040358315154</v>
      </c>
      <c r="H23" s="34" t="s">
        <v>41</v>
      </c>
      <c r="I23" s="34">
        <f>1.15*4434.52</f>
        <v>5099.6980000000003</v>
      </c>
      <c r="J23" s="45">
        <f>G23*I23</f>
        <v>157203.49636321908</v>
      </c>
      <c r="K23" s="37"/>
    </row>
    <row r="24" spans="1:14" x14ac:dyDescent="0.25">
      <c r="A24" s="41"/>
      <c r="B24" s="38"/>
      <c r="C24" s="43"/>
      <c r="D24" s="44"/>
      <c r="E24" s="44"/>
      <c r="F24" s="44"/>
      <c r="G24" s="44"/>
      <c r="H24" s="44"/>
      <c r="I24" s="44"/>
      <c r="J24" s="46"/>
      <c r="K24" s="37"/>
    </row>
    <row r="25" spans="1:14" ht="100.5" x14ac:dyDescent="0.25">
      <c r="A25" s="18">
        <v>4</v>
      </c>
      <c r="B25" s="30" t="s">
        <v>78</v>
      </c>
      <c r="C25" s="19"/>
      <c r="D25" s="20"/>
      <c r="E25" s="21"/>
      <c r="F25" s="21"/>
      <c r="G25" s="23"/>
      <c r="H25" s="22"/>
      <c r="I25" s="23"/>
      <c r="J25" s="42"/>
      <c r="K25" s="21"/>
    </row>
    <row r="26" spans="1:14" ht="15" customHeight="1" x14ac:dyDescent="0.25">
      <c r="A26" s="18"/>
      <c r="B26" s="38" t="str">
        <f>B21</f>
        <v>-for road</v>
      </c>
      <c r="C26" s="37">
        <v>1</v>
      </c>
      <c r="D26" s="39">
        <f>D21</f>
        <v>30</v>
      </c>
      <c r="E26" s="39">
        <f>E21</f>
        <v>4.8671136848521792</v>
      </c>
      <c r="F26" s="39">
        <v>0.15</v>
      </c>
      <c r="G26" s="40">
        <f>PRODUCT(C26:F26)</f>
        <v>21.902011581834802</v>
      </c>
      <c r="H26" s="41"/>
      <c r="I26" s="41"/>
      <c r="J26" s="41"/>
      <c r="K26" s="21"/>
    </row>
    <row r="27" spans="1:14" ht="15" customHeight="1" x14ac:dyDescent="0.25">
      <c r="A27" s="41"/>
      <c r="B27" s="38" t="s">
        <v>42</v>
      </c>
      <c r="C27" s="43"/>
      <c r="D27" s="44"/>
      <c r="E27" s="44"/>
      <c r="F27" s="44"/>
      <c r="G27" s="34">
        <f>SUM(G26:G26)</f>
        <v>21.902011581834802</v>
      </c>
      <c r="H27" s="34" t="s">
        <v>41</v>
      </c>
      <c r="I27" s="34">
        <f>1.15*11588.17</f>
        <v>13326.395499999999</v>
      </c>
      <c r="J27" s="45">
        <f>G27*I27</f>
        <v>291874.86858511117</v>
      </c>
      <c r="K27" s="37"/>
    </row>
    <row r="28" spans="1:14" ht="15" customHeight="1" x14ac:dyDescent="0.25">
      <c r="A28" s="41"/>
      <c r="B28" s="38"/>
      <c r="C28" s="43"/>
      <c r="D28" s="44"/>
      <c r="E28" s="44"/>
      <c r="F28" s="44"/>
      <c r="G28" s="44"/>
      <c r="H28" s="44"/>
      <c r="I28" s="44"/>
      <c r="J28" s="46"/>
      <c r="K28" s="37"/>
    </row>
    <row r="29" spans="1:14" ht="97.5" x14ac:dyDescent="0.25">
      <c r="A29" s="18">
        <v>5</v>
      </c>
      <c r="B29" s="30" t="s">
        <v>80</v>
      </c>
      <c r="C29" s="19"/>
      <c r="D29" s="20"/>
      <c r="E29" s="21"/>
      <c r="F29" s="21"/>
      <c r="G29" s="23"/>
      <c r="H29" s="22"/>
      <c r="I29" s="23"/>
      <c r="J29" s="42"/>
      <c r="K29" s="21"/>
    </row>
    <row r="30" spans="1:14" ht="15" customHeight="1" x14ac:dyDescent="0.25">
      <c r="A30" s="18"/>
      <c r="B30" s="38" t="s">
        <v>54</v>
      </c>
      <c r="C30" s="37">
        <v>2</v>
      </c>
      <c r="D30" s="39">
        <f>D36</f>
        <v>30</v>
      </c>
      <c r="E30" s="39">
        <f>F36/2</f>
        <v>0.90673575129533679</v>
      </c>
      <c r="F30" s="39">
        <v>7.4999999999999997E-2</v>
      </c>
      <c r="G30" s="40">
        <f>PRODUCT(C30:F30)</f>
        <v>4.0803108808290158</v>
      </c>
      <c r="H30" s="41"/>
      <c r="I30" s="41"/>
      <c r="J30" s="41"/>
      <c r="K30" s="21"/>
    </row>
    <row r="31" spans="1:14" ht="15" customHeight="1" x14ac:dyDescent="0.25">
      <c r="A31" s="18"/>
      <c r="B31" s="38"/>
      <c r="C31" s="37">
        <v>2</v>
      </c>
      <c r="D31" s="39">
        <f>D30</f>
        <v>30</v>
      </c>
      <c r="E31" s="39">
        <v>0.5</v>
      </c>
      <c r="F31" s="39">
        <v>0.05</v>
      </c>
      <c r="G31" s="40">
        <f>PRODUCT(C31:F31)</f>
        <v>1.5</v>
      </c>
      <c r="H31" s="41"/>
      <c r="I31" s="41"/>
      <c r="J31" s="41"/>
      <c r="K31" s="21"/>
    </row>
    <row r="32" spans="1:14" ht="15" customHeight="1" x14ac:dyDescent="0.25">
      <c r="A32" s="18"/>
      <c r="B32" s="38" t="s">
        <v>70</v>
      </c>
      <c r="C32" s="75">
        <v>2</v>
      </c>
      <c r="D32" s="74">
        <f>(1.8)</f>
        <v>1.8</v>
      </c>
      <c r="E32" s="74">
        <v>1.8</v>
      </c>
      <c r="F32" s="74">
        <v>0.08</v>
      </c>
      <c r="G32" s="40">
        <f>C32*(PI())*(D32)*E32*F32/4</f>
        <v>0.40715040790523727</v>
      </c>
      <c r="H32" s="41"/>
      <c r="I32" s="41"/>
      <c r="J32" s="41"/>
      <c r="K32" s="21"/>
    </row>
    <row r="33" spans="1:11" ht="15" customHeight="1" x14ac:dyDescent="0.25">
      <c r="A33" s="41"/>
      <c r="B33" s="38" t="s">
        <v>42</v>
      </c>
      <c r="C33" s="43"/>
      <c r="D33" s="44"/>
      <c r="E33" s="44"/>
      <c r="F33" s="44"/>
      <c r="G33" s="34">
        <f>SUM(G30:G32)</f>
        <v>5.9874612887342531</v>
      </c>
      <c r="H33" s="34" t="s">
        <v>41</v>
      </c>
      <c r="I33" s="34">
        <f>1.15*10634.5</f>
        <v>12229.674999999999</v>
      </c>
      <c r="J33" s="45">
        <f>G33*I33</f>
        <v>73224.705636301078</v>
      </c>
      <c r="K33" s="37"/>
    </row>
    <row r="34" spans="1:11" ht="15" customHeight="1" x14ac:dyDescent="0.25">
      <c r="A34" s="41"/>
      <c r="B34" s="38"/>
      <c r="C34" s="43"/>
      <c r="D34" s="44"/>
      <c r="E34" s="44"/>
      <c r="F34" s="44"/>
      <c r="G34" s="44"/>
      <c r="H34" s="44"/>
      <c r="I34" s="44"/>
      <c r="J34" s="46"/>
      <c r="K34" s="37"/>
    </row>
    <row r="35" spans="1:11" s="1" customFormat="1" ht="97.5" x14ac:dyDescent="0.25">
      <c r="A35" s="64">
        <v>6</v>
      </c>
      <c r="B35" s="30" t="s">
        <v>81</v>
      </c>
      <c r="C35" s="65"/>
      <c r="D35" s="40"/>
      <c r="E35" s="40"/>
      <c r="F35" s="40"/>
      <c r="G35" s="40"/>
      <c r="H35" s="40"/>
      <c r="I35" s="40"/>
      <c r="J35" s="46"/>
      <c r="K35" s="29"/>
    </row>
    <row r="36" spans="1:11" ht="15" customHeight="1" x14ac:dyDescent="0.25">
      <c r="A36" s="18"/>
      <c r="B36" s="38" t="s">
        <v>54</v>
      </c>
      <c r="C36" s="37">
        <v>2</v>
      </c>
      <c r="D36" s="39">
        <v>30</v>
      </c>
      <c r="E36" s="39">
        <f>((F36/2+0.5)/2)</f>
        <v>0.70336787564766845</v>
      </c>
      <c r="F36" s="39">
        <f>((11+0.9)/3.281)/2</f>
        <v>1.8134715025906736</v>
      </c>
      <c r="G36" s="40">
        <f>PRODUCT(C36:F36)</f>
        <v>76.53225589948724</v>
      </c>
      <c r="H36" s="41"/>
      <c r="I36" s="41"/>
      <c r="J36" s="41"/>
      <c r="K36" s="21"/>
    </row>
    <row r="37" spans="1:11" ht="15" customHeight="1" x14ac:dyDescent="0.25">
      <c r="A37" s="41"/>
      <c r="B37" s="38" t="s">
        <v>42</v>
      </c>
      <c r="C37" s="43"/>
      <c r="D37" s="44"/>
      <c r="E37" s="44"/>
      <c r="F37" s="44"/>
      <c r="G37" s="34">
        <f>SUM(G36:G36)</f>
        <v>76.53225589948724</v>
      </c>
      <c r="H37" s="34" t="s">
        <v>41</v>
      </c>
      <c r="I37" s="34">
        <f>1.15*9709.43</f>
        <v>11165.844499999999</v>
      </c>
      <c r="J37" s="45">
        <f>G37*I37</f>
        <v>854547.26860788208</v>
      </c>
      <c r="K37" s="37"/>
    </row>
    <row r="38" spans="1:11" ht="15" customHeight="1" x14ac:dyDescent="0.25">
      <c r="A38" s="41"/>
      <c r="B38" s="38"/>
      <c r="C38" s="43"/>
      <c r="D38" s="44"/>
      <c r="E38" s="44"/>
      <c r="F38" s="44"/>
      <c r="G38" s="34"/>
      <c r="H38" s="34"/>
      <c r="I38" s="34"/>
      <c r="J38" s="45"/>
      <c r="K38" s="37"/>
    </row>
    <row r="39" spans="1:11" ht="45" x14ac:dyDescent="0.25">
      <c r="A39" s="18">
        <v>7</v>
      </c>
      <c r="B39" s="66" t="s">
        <v>55</v>
      </c>
      <c r="C39" s="19" t="s">
        <v>7</v>
      </c>
      <c r="D39" s="67" t="s">
        <v>52</v>
      </c>
      <c r="E39" s="68" t="s">
        <v>56</v>
      </c>
      <c r="F39" s="68" t="s">
        <v>57</v>
      </c>
      <c r="G39" s="68" t="s">
        <v>58</v>
      </c>
      <c r="H39" s="22"/>
      <c r="I39" s="23"/>
      <c r="J39" s="42"/>
      <c r="K39" s="21"/>
    </row>
    <row r="40" spans="1:11" ht="15" customHeight="1" x14ac:dyDescent="0.25">
      <c r="A40" s="18"/>
      <c r="B40" s="38" t="str">
        <f>B21</f>
        <v>-for road</v>
      </c>
      <c r="C40" s="20">
        <f>TRUNC((D21-0.1)/0.15,0)+1</f>
        <v>200</v>
      </c>
      <c r="D40" s="20">
        <f>(D21-0.1)</f>
        <v>29.9</v>
      </c>
      <c r="E40" s="21">
        <f>12*12/162</f>
        <v>0.88888888888888884</v>
      </c>
      <c r="F40" s="21">
        <f>PRODUCT(C40:E40)</f>
        <v>5315.5555555555557</v>
      </c>
      <c r="G40" s="69">
        <f>F40/1000</f>
        <v>5.315555555555556</v>
      </c>
      <c r="H40" s="22"/>
      <c r="I40" s="23"/>
      <c r="J40" s="42"/>
      <c r="K40" s="21"/>
    </row>
    <row r="41" spans="1:11" ht="15" customHeight="1" x14ac:dyDescent="0.25">
      <c r="A41" s="18"/>
      <c r="B41" s="38" t="s">
        <v>59</v>
      </c>
      <c r="C41" s="20">
        <f>TRUNC((E21-0.1)/0.15,0)+1</f>
        <v>32</v>
      </c>
      <c r="D41" s="20">
        <f>(E21-0.1)</f>
        <v>4.7671136848521796</v>
      </c>
      <c r="E41" s="21">
        <f>12*12/162</f>
        <v>0.88888888888888884</v>
      </c>
      <c r="F41" s="21">
        <f>PRODUCT(C41:E41)</f>
        <v>135.59790036912867</v>
      </c>
      <c r="G41" s="69">
        <f>F41/1000</f>
        <v>0.13559790036912867</v>
      </c>
      <c r="H41" s="22"/>
      <c r="I41" s="23"/>
      <c r="J41" s="42"/>
      <c r="K41" s="21"/>
    </row>
    <row r="42" spans="1:11" ht="15" customHeight="1" x14ac:dyDescent="0.25">
      <c r="A42" s="18"/>
      <c r="B42" s="38" t="s">
        <v>42</v>
      </c>
      <c r="C42" s="19"/>
      <c r="D42" s="20"/>
      <c r="E42" s="21"/>
      <c r="F42" s="21"/>
      <c r="G42" s="23">
        <f>SUM(G40:G41)</f>
        <v>5.4511534559246844</v>
      </c>
      <c r="H42" s="22" t="s">
        <v>53</v>
      </c>
      <c r="I42" s="23">
        <f>1.15*131940</f>
        <v>151731</v>
      </c>
      <c r="J42" s="42">
        <f>G42*I42</f>
        <v>827108.96502090828</v>
      </c>
      <c r="K42" s="21"/>
    </row>
    <row r="43" spans="1:11" ht="15" customHeight="1" x14ac:dyDescent="0.25">
      <c r="A43" s="18"/>
      <c r="B43" s="38"/>
      <c r="C43" s="19"/>
      <c r="D43" s="20"/>
      <c r="E43" s="21"/>
      <c r="F43" s="21"/>
      <c r="G43" s="23"/>
      <c r="H43" s="22"/>
      <c r="I43" s="23"/>
      <c r="J43" s="42"/>
      <c r="K43" s="21"/>
    </row>
    <row r="44" spans="1:11" ht="115.5" x14ac:dyDescent="0.25">
      <c r="A44" s="18">
        <v>8</v>
      </c>
      <c r="B44" s="30" t="s">
        <v>82</v>
      </c>
      <c r="C44" s="19">
        <f>D36/2.5</f>
        <v>12</v>
      </c>
      <c r="D44" s="20">
        <v>2.5</v>
      </c>
      <c r="E44" s="21"/>
      <c r="F44" s="21"/>
      <c r="G44" s="40">
        <f>PRODUCT(C44:F44)</f>
        <v>30</v>
      </c>
      <c r="H44" s="5"/>
      <c r="I44" s="5"/>
      <c r="J44" s="5"/>
      <c r="K44" s="21"/>
    </row>
    <row r="45" spans="1:11" ht="15" customHeight="1" x14ac:dyDescent="0.25">
      <c r="A45" s="18"/>
      <c r="B45" s="38" t="s">
        <v>42</v>
      </c>
      <c r="C45" s="37"/>
      <c r="D45" s="39"/>
      <c r="E45" s="39"/>
      <c r="F45" s="39"/>
      <c r="G45" s="35">
        <f>SUM(G44)</f>
        <v>30</v>
      </c>
      <c r="H45" s="22" t="s">
        <v>66</v>
      </c>
      <c r="I45" s="23">
        <f>1.15*5144.96</f>
        <v>5916.7039999999997</v>
      </c>
      <c r="J45" s="35">
        <f>G45*I45</f>
        <v>177501.12</v>
      </c>
      <c r="K45" s="21"/>
    </row>
    <row r="46" spans="1:11" ht="15" customHeight="1" x14ac:dyDescent="0.25">
      <c r="A46" s="18"/>
      <c r="B46" s="38"/>
      <c r="C46" s="37"/>
      <c r="D46" s="39"/>
      <c r="E46" s="39"/>
      <c r="F46" s="39"/>
      <c r="G46" s="40"/>
      <c r="H46" s="41"/>
      <c r="I46" s="41"/>
      <c r="J46" s="46"/>
      <c r="K46" s="21"/>
    </row>
    <row r="47" spans="1:11" ht="130.5" x14ac:dyDescent="0.25">
      <c r="A47" s="18">
        <v>9</v>
      </c>
      <c r="B47" s="30" t="s">
        <v>83</v>
      </c>
      <c r="C47" s="37"/>
      <c r="D47" s="39"/>
      <c r="E47" s="39"/>
      <c r="F47" s="39"/>
      <c r="G47" s="40"/>
      <c r="H47" s="41"/>
      <c r="I47" s="41"/>
      <c r="J47" s="46"/>
      <c r="K47" s="21"/>
    </row>
    <row r="48" spans="1:11" ht="15" customHeight="1" x14ac:dyDescent="0.25">
      <c r="A48" s="18"/>
      <c r="B48" s="38" t="s">
        <v>70</v>
      </c>
      <c r="C48" s="75">
        <v>1</v>
      </c>
      <c r="D48" s="74">
        <f>((1.8-0.35)+(((33)/12/3.281)-0.35))/2</f>
        <v>0.96907954891801285</v>
      </c>
      <c r="E48" s="74">
        <v>0.35</v>
      </c>
      <c r="F48" s="74">
        <f>11/3.281</f>
        <v>3.3526363913441024</v>
      </c>
      <c r="G48" s="40">
        <f>C48*(PI())*(D48)*E48*F48</f>
        <v>3.572430596694915</v>
      </c>
      <c r="H48" s="41"/>
      <c r="I48" s="41"/>
      <c r="J48" s="41"/>
      <c r="K48" s="21"/>
    </row>
    <row r="49" spans="1:11" ht="15" customHeight="1" x14ac:dyDescent="0.25">
      <c r="A49" s="18"/>
      <c r="B49" s="38" t="s">
        <v>69</v>
      </c>
      <c r="C49" s="75">
        <v>-3</v>
      </c>
      <c r="D49" s="74">
        <v>0.6</v>
      </c>
      <c r="E49" s="74">
        <v>0.35</v>
      </c>
      <c r="F49" s="74">
        <v>0.6</v>
      </c>
      <c r="G49" s="40">
        <f>C49*(PI())*(D49*F49/4)*E49</f>
        <v>-0.29688050576423541</v>
      </c>
      <c r="H49" s="41"/>
      <c r="I49" s="41"/>
      <c r="J49" s="41"/>
      <c r="K49" s="21"/>
    </row>
    <row r="50" spans="1:11" ht="15" customHeight="1" x14ac:dyDescent="0.25">
      <c r="A50" s="18"/>
      <c r="B50" s="38" t="str">
        <f>B48</f>
        <v>-manhole</v>
      </c>
      <c r="C50" s="75">
        <v>1</v>
      </c>
      <c r="D50" s="74">
        <f>((1.5-0.35)+((24/12/3.281)-0.35))/2</f>
        <v>0.70478512648582736</v>
      </c>
      <c r="E50" s="74">
        <v>0.35</v>
      </c>
      <c r="F50" s="74">
        <f>7/3.281</f>
        <v>2.1334958854007922</v>
      </c>
      <c r="G50" s="40">
        <f>C50*(PI())*(D50)*E50*F50</f>
        <v>1.653356309214175</v>
      </c>
      <c r="H50" s="41"/>
      <c r="I50" s="41"/>
      <c r="J50" s="41"/>
      <c r="K50" s="21"/>
    </row>
    <row r="51" spans="1:11" ht="15" customHeight="1" x14ac:dyDescent="0.25">
      <c r="A51" s="18"/>
      <c r="B51" s="38" t="s">
        <v>69</v>
      </c>
      <c r="C51" s="75">
        <v>-2</v>
      </c>
      <c r="D51" s="74">
        <v>0.6</v>
      </c>
      <c r="E51" s="74">
        <v>0.35</v>
      </c>
      <c r="F51" s="74">
        <v>0.6</v>
      </c>
      <c r="G51" s="40">
        <f>C51*(PI())*(D51*F51/4)*E51</f>
        <v>-0.19792033717615695</v>
      </c>
      <c r="H51" s="41"/>
      <c r="I51" s="41"/>
      <c r="J51" s="41"/>
      <c r="K51" s="21"/>
    </row>
    <row r="52" spans="1:11" ht="15" customHeight="1" x14ac:dyDescent="0.25">
      <c r="A52" s="41"/>
      <c r="B52" s="38" t="s">
        <v>42</v>
      </c>
      <c r="C52" s="43"/>
      <c r="D52" s="44"/>
      <c r="E52" s="44"/>
      <c r="F52" s="44"/>
      <c r="G52" s="34">
        <f>SUM(G48:G51)</f>
        <v>4.7309860629686975</v>
      </c>
      <c r="H52" s="34" t="s">
        <v>41</v>
      </c>
      <c r="I52" s="34">
        <f>17546.88</f>
        <v>17546.88</v>
      </c>
      <c r="J52" s="45">
        <f>G52*I52</f>
        <v>83014.04472858418</v>
      </c>
      <c r="K52" s="37"/>
    </row>
    <row r="53" spans="1:11" ht="15" customHeight="1" x14ac:dyDescent="0.25">
      <c r="A53" s="41"/>
      <c r="B53" s="38"/>
      <c r="C53" s="43"/>
      <c r="D53" s="44"/>
      <c r="E53" s="44"/>
      <c r="F53" s="44"/>
      <c r="G53" s="44"/>
      <c r="H53" s="44"/>
      <c r="I53" s="44"/>
      <c r="J53" s="46"/>
      <c r="K53" s="37"/>
    </row>
    <row r="54" spans="1:11" ht="35.25" x14ac:dyDescent="0.3">
      <c r="A54" s="41">
        <v>10</v>
      </c>
      <c r="B54" s="76" t="s">
        <v>84</v>
      </c>
      <c r="C54" s="43"/>
      <c r="D54" s="44"/>
      <c r="E54" s="44"/>
      <c r="F54" s="44"/>
      <c r="G54" s="34"/>
      <c r="H54" s="34"/>
      <c r="I54" s="34"/>
      <c r="J54" s="45"/>
      <c r="K54" s="37"/>
    </row>
    <row r="55" spans="1:11" ht="30" x14ac:dyDescent="0.25">
      <c r="A55" s="18"/>
      <c r="B55" s="38" t="s">
        <v>72</v>
      </c>
      <c r="C55" s="73">
        <v>2</v>
      </c>
      <c r="D55" s="73"/>
      <c r="E55" s="73"/>
      <c r="F55" s="73"/>
      <c r="G55" s="40">
        <f>PRODUCT(C55:F55)</f>
        <v>2</v>
      </c>
      <c r="H55" s="41"/>
      <c r="I55" s="41"/>
      <c r="J55" s="41"/>
      <c r="K55" s="21"/>
    </row>
    <row r="56" spans="1:11" ht="15" customHeight="1" x14ac:dyDescent="0.25">
      <c r="A56" s="41"/>
      <c r="B56" s="38" t="s">
        <v>42</v>
      </c>
      <c r="C56" s="43"/>
      <c r="D56" s="44"/>
      <c r="E56" s="44"/>
      <c r="F56" s="44"/>
      <c r="G56" s="34">
        <f>SUM(G55:G55)</f>
        <v>2</v>
      </c>
      <c r="H56" s="34" t="s">
        <v>73</v>
      </c>
      <c r="I56" s="34">
        <f>7063</f>
        <v>7063</v>
      </c>
      <c r="J56" s="45">
        <f>G56*I56</f>
        <v>14126</v>
      </c>
      <c r="K56" s="37"/>
    </row>
    <row r="57" spans="1:11" ht="15" customHeight="1" x14ac:dyDescent="0.25">
      <c r="A57" s="41"/>
      <c r="B57" s="38"/>
      <c r="C57" s="43"/>
      <c r="D57" s="44"/>
      <c r="E57" s="44"/>
      <c r="F57" s="44"/>
      <c r="G57" s="44"/>
      <c r="H57" s="44"/>
      <c r="I57" s="44"/>
      <c r="J57" s="46"/>
      <c r="K57" s="37"/>
    </row>
    <row r="58" spans="1:11" ht="15" customHeight="1" x14ac:dyDescent="0.25">
      <c r="A58" s="18">
        <v>11</v>
      </c>
      <c r="B58" s="30" t="s">
        <v>85</v>
      </c>
      <c r="C58" s="19">
        <v>1</v>
      </c>
      <c r="D58" s="20"/>
      <c r="E58" s="21"/>
      <c r="F58" s="21"/>
      <c r="G58" s="35">
        <f t="shared" ref="G58" si="0">PRODUCT(C58:F58)</f>
        <v>1</v>
      </c>
      <c r="H58" s="22" t="s">
        <v>31</v>
      </c>
      <c r="I58" s="23">
        <v>500</v>
      </c>
      <c r="J58" s="35">
        <f>G58*I58</f>
        <v>500</v>
      </c>
      <c r="K58" s="21"/>
    </row>
    <row r="59" spans="1:11" ht="15" customHeight="1" x14ac:dyDescent="0.25">
      <c r="A59" s="18"/>
      <c r="B59" s="24"/>
      <c r="C59" s="19"/>
      <c r="D59" s="20"/>
      <c r="E59" s="21"/>
      <c r="F59" s="21"/>
      <c r="G59" s="23"/>
      <c r="H59" s="22"/>
      <c r="I59" s="23"/>
      <c r="J59" s="42"/>
      <c r="K59" s="21"/>
    </row>
    <row r="60" spans="1:11" x14ac:dyDescent="0.25">
      <c r="A60" s="41"/>
      <c r="B60" s="47" t="s">
        <v>17</v>
      </c>
      <c r="C60" s="48"/>
      <c r="D60" s="39"/>
      <c r="E60" s="39"/>
      <c r="F60" s="39"/>
      <c r="G60" s="42"/>
      <c r="H60" s="42"/>
      <c r="I60" s="42"/>
      <c r="J60" s="42">
        <f>SUM(J10:J58)</f>
        <v>2521594.4182821936</v>
      </c>
      <c r="K60" s="37"/>
    </row>
    <row r="61" spans="1:11" x14ac:dyDescent="0.25">
      <c r="A61" s="59"/>
      <c r="B61" s="62"/>
      <c r="C61" s="63"/>
      <c r="D61" s="60"/>
      <c r="E61" s="60"/>
      <c r="F61" s="60"/>
      <c r="G61" s="61"/>
      <c r="H61" s="61"/>
      <c r="I61" s="61"/>
      <c r="J61" s="61"/>
      <c r="K61" s="58"/>
    </row>
    <row r="62" spans="1:11" s="1" customFormat="1" x14ac:dyDescent="0.25">
      <c r="A62" s="51"/>
      <c r="B62" s="29" t="s">
        <v>27</v>
      </c>
      <c r="C62" s="91">
        <f>J60</f>
        <v>2521594.4182821936</v>
      </c>
      <c r="D62" s="91"/>
      <c r="E62" s="53"/>
      <c r="F62" s="52"/>
      <c r="G62" s="53"/>
      <c r="H62" s="52"/>
      <c r="I62" s="54"/>
      <c r="J62" s="55"/>
      <c r="K62" s="56"/>
    </row>
    <row r="63" spans="1:11" s="36" customFormat="1" x14ac:dyDescent="0.25">
      <c r="A63" s="58"/>
      <c r="B63" s="37" t="s">
        <v>74</v>
      </c>
      <c r="C63" s="99">
        <f>0.13*C62</f>
        <v>327807.27437668521</v>
      </c>
      <c r="D63" s="99"/>
      <c r="E63" s="58"/>
      <c r="F63" s="58"/>
      <c r="G63" s="58"/>
      <c r="H63" s="58"/>
      <c r="I63" s="58"/>
      <c r="J63" s="58"/>
      <c r="K63" s="58"/>
    </row>
    <row r="64" spans="1:11" s="36" customFormat="1" x14ac:dyDescent="0.25">
      <c r="B64" s="5" t="s">
        <v>75</v>
      </c>
      <c r="C64" s="100">
        <f>SUM(C62:D63)</f>
        <v>2849401.6926588789</v>
      </c>
      <c r="D64" s="101"/>
    </row>
    <row r="65" s="36" customFormat="1" x14ac:dyDescent="0.25"/>
    <row r="66" s="36" customFormat="1" x14ac:dyDescent="0.25"/>
    <row r="67" s="36" customFormat="1" x14ac:dyDescent="0.25"/>
    <row r="68" s="36" customFormat="1" x14ac:dyDescent="0.25"/>
    <row r="69" s="36" customFormat="1" x14ac:dyDescent="0.25"/>
    <row r="70" s="36" customFormat="1" x14ac:dyDescent="0.25"/>
    <row r="71" s="36" customFormat="1" x14ac:dyDescent="0.25"/>
    <row r="72" s="36" customFormat="1" x14ac:dyDescent="0.25"/>
    <row r="73" s="36" customFormat="1" x14ac:dyDescent="0.25"/>
    <row r="74" s="36" customFormat="1" x14ac:dyDescent="0.25"/>
    <row r="75" s="36" customFormat="1" x14ac:dyDescent="0.25"/>
    <row r="76" s="36" customFormat="1" x14ac:dyDescent="0.25"/>
    <row r="77" s="36" customFormat="1" x14ac:dyDescent="0.25"/>
    <row r="78" s="36" customFormat="1" x14ac:dyDescent="0.25"/>
    <row r="79" s="36" customFormat="1" x14ac:dyDescent="0.25"/>
    <row r="80" s="36" customFormat="1" x14ac:dyDescent="0.25"/>
    <row r="81" s="36" customFormat="1" x14ac:dyDescent="0.25"/>
    <row r="82" s="36" customFormat="1" x14ac:dyDescent="0.25"/>
    <row r="83" s="36" customFormat="1" x14ac:dyDescent="0.25"/>
    <row r="84" s="36" customFormat="1" x14ac:dyDescent="0.25"/>
    <row r="85" s="36" customFormat="1" x14ac:dyDescent="0.25"/>
    <row r="86" s="36" customFormat="1" x14ac:dyDescent="0.25"/>
    <row r="87" s="36" customFormat="1" x14ac:dyDescent="0.25"/>
    <row r="88" s="36" customFormat="1" x14ac:dyDescent="0.25"/>
    <row r="89" s="36" customFormat="1" x14ac:dyDescent="0.25"/>
    <row r="90" s="36" customFormat="1" x14ac:dyDescent="0.25"/>
    <row r="91" s="36" customFormat="1" x14ac:dyDescent="0.25"/>
    <row r="92" s="36" customFormat="1" x14ac:dyDescent="0.25"/>
    <row r="93" s="36" customFormat="1" x14ac:dyDescent="0.25"/>
    <row r="94" s="36" customFormat="1" x14ac:dyDescent="0.25"/>
    <row r="95" s="36" customFormat="1" x14ac:dyDescent="0.25"/>
    <row r="96" s="36" customFormat="1" x14ac:dyDescent="0.25"/>
    <row r="97" s="36" customFormat="1" x14ac:dyDescent="0.25"/>
    <row r="98" s="36" customFormat="1" x14ac:dyDescent="0.25"/>
    <row r="99" s="36" customFormat="1" x14ac:dyDescent="0.25"/>
    <row r="100" s="36" customFormat="1" x14ac:dyDescent="0.25"/>
    <row r="101" s="36" customFormat="1" x14ac:dyDescent="0.25"/>
    <row r="102" s="36" customFormat="1" x14ac:dyDescent="0.25"/>
    <row r="103" s="36" customFormat="1" x14ac:dyDescent="0.25"/>
    <row r="104" s="36" customFormat="1" x14ac:dyDescent="0.25"/>
    <row r="105" s="36" customFormat="1" x14ac:dyDescent="0.25"/>
    <row r="106" s="36" customFormat="1" x14ac:dyDescent="0.25"/>
    <row r="107" s="36" customFormat="1" x14ac:dyDescent="0.25"/>
    <row r="108" s="36" customFormat="1" x14ac:dyDescent="0.25"/>
    <row r="109" s="36" customFormat="1" x14ac:dyDescent="0.25"/>
    <row r="110" s="36" customFormat="1" x14ac:dyDescent="0.25"/>
    <row r="111" s="36" customFormat="1" x14ac:dyDescent="0.25"/>
    <row r="112" s="36" customFormat="1" x14ac:dyDescent="0.25"/>
    <row r="113" s="36" customFormat="1" x14ac:dyDescent="0.25"/>
    <row r="114" s="36" customFormat="1" x14ac:dyDescent="0.25"/>
    <row r="115" s="36" customFormat="1" x14ac:dyDescent="0.25"/>
    <row r="116" s="36" customFormat="1" x14ac:dyDescent="0.25"/>
    <row r="117" s="36" customFormat="1" x14ac:dyDescent="0.25"/>
    <row r="118" s="36" customFormat="1" x14ac:dyDescent="0.25"/>
    <row r="119" s="36" customFormat="1" x14ac:dyDescent="0.25"/>
  </sheetData>
  <mergeCells count="12">
    <mergeCell ref="A6:F6"/>
    <mergeCell ref="H6:K6"/>
    <mergeCell ref="A1:K1"/>
    <mergeCell ref="A2:K2"/>
    <mergeCell ref="A3:K3"/>
    <mergeCell ref="A4:K4"/>
    <mergeCell ref="A5:K5"/>
    <mergeCell ref="A7:F7"/>
    <mergeCell ref="H7:K7"/>
    <mergeCell ref="C62:D62"/>
    <mergeCell ref="C63:D63"/>
    <mergeCell ref="C64:D64"/>
  </mergeCells>
  <pageMargins left="0.70866141732283505" right="0.70866141732283505" top="0.74803149606299202" bottom="0.74803149606299202" header="0.31496062992126" footer="0.31496062992126"/>
  <pageSetup paperSize="9" scale="75" orientation="portrait" r:id="rId1"/>
  <headerFooter>
    <oddFooter>&amp;LPrepared By:&amp;CChecked By:&amp;RApproved By: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WCR</vt:lpstr>
      <vt:lpstr>Estimate (3)</vt:lpstr>
      <vt:lpstr>quotation single wall</vt:lpstr>
      <vt:lpstr>in nepali</vt:lpstr>
      <vt:lpstr>'Estimate (3)'!Print_Area</vt:lpstr>
      <vt:lpstr>'in nepali'!Print_Area</vt:lpstr>
      <vt:lpstr>'quotation single wall'!Print_Area</vt:lpstr>
      <vt:lpstr>'Estimate (3)'!Print_Titles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2025-03-25T08:37:32Z</cp:lastPrinted>
  <dcterms:created xsi:type="dcterms:W3CDTF">2015-06-05T18:17:20Z</dcterms:created>
  <dcterms:modified xsi:type="dcterms:W3CDTF">2025-03-25T08:46:18Z</dcterms:modified>
</cp:coreProperties>
</file>