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081-082\ofc\estimates\भैपरी कालिका मन्दिर शौचालय\"/>
    </mc:Choice>
  </mc:AlternateContent>
  <bookViews>
    <workbookView xWindow="-120" yWindow="-120" windowWidth="20730" windowHeight="11160" activeTab="3"/>
  </bookViews>
  <sheets>
    <sheet name="just 15%" sheetId="18" r:id="rId1"/>
    <sheet name="WCR" sheetId="6" r:id="rId2"/>
    <sheet name="V" sheetId="19" r:id="rId3"/>
    <sheet name="M" sheetId="20" r:id="rId4"/>
  </sheets>
  <externalReferences>
    <externalReference r:id="rId5"/>
    <externalReference r:id="rId6"/>
    <externalReference r:id="rId7"/>
    <externalReference r:id="rId8"/>
  </externalReferences>
  <definedNames>
    <definedName name="description_103">[1]Abstract!$B$16</definedName>
    <definedName name="description_124" localSheetId="0">#REF!</definedName>
    <definedName name="description_124" localSheetId="3">#REF!</definedName>
    <definedName name="description_124" localSheetId="2">#REF!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3">[1]Abstract!$B$301</definedName>
    <definedName name="_xlnm.Print_Area" localSheetId="0">'just 15%'!$A$1:$K$83</definedName>
    <definedName name="_xlnm.Print_Area" localSheetId="3">M!$A$1:$K$89</definedName>
    <definedName name="_xlnm.Print_Area" localSheetId="2">V!$A$1:$K$89</definedName>
    <definedName name="_xlnm.Print_Area" localSheetId="1">WCR!$A$1:$K$44</definedName>
    <definedName name="_xlnm.Print_Titles" localSheetId="0">'just 15%'!$1:$8</definedName>
    <definedName name="_xlnm.Print_Titles" localSheetId="3">M!$1:$8</definedName>
    <definedName name="_xlnm.Print_Titles" localSheetId="2">V!$1:$8</definedName>
    <definedName name="_xlnm.Print_Titles" localSheetId="1">WCR!$1:$12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89" i="20" l="1"/>
  <c r="C88" i="20"/>
  <c r="C86" i="20"/>
  <c r="G80" i="20"/>
  <c r="J80" i="20" s="1"/>
  <c r="E76" i="20"/>
  <c r="D76" i="20"/>
  <c r="G76" i="20" s="1"/>
  <c r="D75" i="20"/>
  <c r="G75" i="20" s="1"/>
  <c r="B75" i="20"/>
  <c r="G74" i="20"/>
  <c r="D74" i="20"/>
  <c r="E69" i="20"/>
  <c r="D69" i="20"/>
  <c r="G69" i="20" s="1"/>
  <c r="G70" i="20" s="1"/>
  <c r="D64" i="20"/>
  <c r="G64" i="20" s="1"/>
  <c r="F63" i="20"/>
  <c r="D63" i="20"/>
  <c r="G63" i="20" s="1"/>
  <c r="G62" i="20"/>
  <c r="F62" i="20"/>
  <c r="D62" i="20"/>
  <c r="D61" i="20"/>
  <c r="G61" i="20" s="1"/>
  <c r="G65" i="20" s="1"/>
  <c r="G56" i="20"/>
  <c r="F56" i="20"/>
  <c r="D56" i="20"/>
  <c r="F55" i="20"/>
  <c r="G55" i="20" s="1"/>
  <c r="G54" i="20"/>
  <c r="C54" i="20"/>
  <c r="F53" i="20"/>
  <c r="E53" i="20"/>
  <c r="D53" i="20"/>
  <c r="C53" i="20"/>
  <c r="G53" i="20" s="1"/>
  <c r="G52" i="20"/>
  <c r="F52" i="20"/>
  <c r="E52" i="20"/>
  <c r="D52" i="20"/>
  <c r="G51" i="20"/>
  <c r="F51" i="20"/>
  <c r="E51" i="20"/>
  <c r="D51" i="20"/>
  <c r="G50" i="20"/>
  <c r="F50" i="20"/>
  <c r="D50" i="20"/>
  <c r="F49" i="20"/>
  <c r="G49" i="20" s="1"/>
  <c r="D49" i="20"/>
  <c r="F48" i="20"/>
  <c r="D48" i="20"/>
  <c r="G48" i="20" s="1"/>
  <c r="G57" i="20" s="1"/>
  <c r="G42" i="20"/>
  <c r="G41" i="20"/>
  <c r="E41" i="20"/>
  <c r="D41" i="20"/>
  <c r="E40" i="20"/>
  <c r="G40" i="20" s="1"/>
  <c r="D40" i="20"/>
  <c r="B40" i="20"/>
  <c r="E35" i="20"/>
  <c r="D35" i="20"/>
  <c r="C35" i="20"/>
  <c r="F35" i="20" s="1"/>
  <c r="G35" i="20" s="1"/>
  <c r="F34" i="20"/>
  <c r="G34" i="20" s="1"/>
  <c r="E34" i="20"/>
  <c r="D34" i="20"/>
  <c r="C34" i="20"/>
  <c r="E33" i="20"/>
  <c r="D33" i="20"/>
  <c r="C33" i="20"/>
  <c r="F33" i="20" s="1"/>
  <c r="G33" i="20" s="1"/>
  <c r="E32" i="20"/>
  <c r="D32" i="20"/>
  <c r="F32" i="20" s="1"/>
  <c r="G32" i="20" s="1"/>
  <c r="C32" i="20"/>
  <c r="E31" i="20"/>
  <c r="D31" i="20"/>
  <c r="C31" i="20"/>
  <c r="F31" i="20" s="1"/>
  <c r="G31" i="20" s="1"/>
  <c r="F30" i="20"/>
  <c r="G30" i="20" s="1"/>
  <c r="E30" i="20"/>
  <c r="D30" i="20"/>
  <c r="C30" i="20"/>
  <c r="E25" i="20"/>
  <c r="D25" i="20"/>
  <c r="C25" i="20"/>
  <c r="G25" i="20" s="1"/>
  <c r="E24" i="20"/>
  <c r="G24" i="20" s="1"/>
  <c r="G26" i="20" s="1"/>
  <c r="D24" i="20"/>
  <c r="B24" i="20"/>
  <c r="B19" i="20"/>
  <c r="F14" i="20"/>
  <c r="B14" i="20"/>
  <c r="F10" i="20"/>
  <c r="E10" i="20"/>
  <c r="E19" i="20" s="1"/>
  <c r="E43" i="20" s="1"/>
  <c r="D10" i="20"/>
  <c r="G10" i="20" s="1"/>
  <c r="G11" i="20" s="1"/>
  <c r="J11" i="20" s="1"/>
  <c r="M13" i="6"/>
  <c r="F10" i="19"/>
  <c r="G42" i="19"/>
  <c r="M27" i="6"/>
  <c r="M30" i="6"/>
  <c r="F55" i="19"/>
  <c r="G55" i="19" s="1"/>
  <c r="D51" i="19"/>
  <c r="D75" i="19"/>
  <c r="B75" i="19"/>
  <c r="D64" i="19"/>
  <c r="G64" i="19" s="1"/>
  <c r="F63" i="19"/>
  <c r="D63" i="19"/>
  <c r="F62" i="19"/>
  <c r="D62" i="19"/>
  <c r="G36" i="20" l="1"/>
  <c r="J26" i="20"/>
  <c r="J27" i="20"/>
  <c r="J65" i="20"/>
  <c r="J66" i="20"/>
  <c r="J58" i="20"/>
  <c r="J57" i="20"/>
  <c r="J71" i="20"/>
  <c r="J70" i="20"/>
  <c r="G77" i="20"/>
  <c r="E14" i="20"/>
  <c r="D19" i="20"/>
  <c r="N10" i="20"/>
  <c r="D14" i="20"/>
  <c r="G63" i="19"/>
  <c r="E24" i="6"/>
  <c r="H42" i="6"/>
  <c r="E42" i="6"/>
  <c r="C42" i="6"/>
  <c r="B42" i="6"/>
  <c r="A42" i="6"/>
  <c r="H39" i="6"/>
  <c r="E39" i="6"/>
  <c r="C39" i="6"/>
  <c r="B40" i="6"/>
  <c r="B39" i="6"/>
  <c r="A39" i="6"/>
  <c r="H36" i="6"/>
  <c r="E36" i="6"/>
  <c r="C36" i="6"/>
  <c r="B37" i="6"/>
  <c r="A36" i="6"/>
  <c r="H33" i="6"/>
  <c r="E33" i="6"/>
  <c r="C33" i="6"/>
  <c r="B34" i="6"/>
  <c r="B33" i="6"/>
  <c r="A33" i="6"/>
  <c r="H30" i="6"/>
  <c r="E30" i="6"/>
  <c r="C30" i="6"/>
  <c r="B31" i="6"/>
  <c r="B30" i="6"/>
  <c r="A30" i="6"/>
  <c r="H27" i="6"/>
  <c r="E27" i="6"/>
  <c r="C27" i="6"/>
  <c r="B28" i="6"/>
  <c r="B27" i="6"/>
  <c r="A27" i="6"/>
  <c r="H24" i="6"/>
  <c r="C24" i="6"/>
  <c r="B25" i="6"/>
  <c r="B24" i="6"/>
  <c r="A24" i="6"/>
  <c r="H21" i="6"/>
  <c r="E21" i="6"/>
  <c r="C21" i="6"/>
  <c r="B22" i="6"/>
  <c r="B21" i="6"/>
  <c r="A21" i="6"/>
  <c r="H18" i="6"/>
  <c r="E18" i="6"/>
  <c r="C18" i="6"/>
  <c r="B19" i="6"/>
  <c r="B18" i="6"/>
  <c r="A18" i="6"/>
  <c r="H15" i="6"/>
  <c r="E15" i="6"/>
  <c r="C15" i="6"/>
  <c r="B16" i="6"/>
  <c r="A15" i="6"/>
  <c r="H13" i="6"/>
  <c r="E13" i="6"/>
  <c r="C13" i="6"/>
  <c r="B13" i="6"/>
  <c r="A13" i="6"/>
  <c r="A9" i="6"/>
  <c r="A8" i="6"/>
  <c r="D43" i="20" l="1"/>
  <c r="G43" i="20" s="1"/>
  <c r="G44" i="20" s="1"/>
  <c r="G19" i="20"/>
  <c r="G20" i="20" s="1"/>
  <c r="G14" i="20"/>
  <c r="G15" i="20" s="1"/>
  <c r="J78" i="20"/>
  <c r="J77" i="20"/>
  <c r="J37" i="20"/>
  <c r="J36" i="20"/>
  <c r="D53" i="19"/>
  <c r="D52" i="19"/>
  <c r="D49" i="19"/>
  <c r="D48" i="19"/>
  <c r="E41" i="19"/>
  <c r="D41" i="19"/>
  <c r="G41" i="19" s="1"/>
  <c r="E40" i="19"/>
  <c r="D40" i="19"/>
  <c r="C35" i="19"/>
  <c r="C33" i="19"/>
  <c r="C31" i="19"/>
  <c r="C30" i="19"/>
  <c r="E31" i="19"/>
  <c r="E32" i="19"/>
  <c r="E33" i="19"/>
  <c r="E34" i="19"/>
  <c r="E35" i="19"/>
  <c r="E30" i="19"/>
  <c r="D35" i="19"/>
  <c r="D34" i="19"/>
  <c r="D33" i="19"/>
  <c r="D32" i="19"/>
  <c r="D31" i="19"/>
  <c r="D30" i="19"/>
  <c r="C34" i="19"/>
  <c r="C32" i="19"/>
  <c r="E24" i="19"/>
  <c r="D24" i="19"/>
  <c r="E10" i="19"/>
  <c r="E19" i="19" s="1"/>
  <c r="E43" i="19" s="1"/>
  <c r="D10" i="19"/>
  <c r="C89" i="19"/>
  <c r="C88" i="19"/>
  <c r="G80" i="19"/>
  <c r="E76" i="19"/>
  <c r="D76" i="19"/>
  <c r="G75" i="19"/>
  <c r="D74" i="19"/>
  <c r="G74" i="19" s="1"/>
  <c r="E69" i="19"/>
  <c r="D69" i="19"/>
  <c r="G62" i="19"/>
  <c r="D61" i="19"/>
  <c r="G61" i="19" s="1"/>
  <c r="F56" i="19"/>
  <c r="D56" i="19"/>
  <c r="C54" i="19"/>
  <c r="F53" i="19"/>
  <c r="E53" i="19"/>
  <c r="C53" i="19"/>
  <c r="F52" i="19"/>
  <c r="E52" i="19"/>
  <c r="F51" i="19"/>
  <c r="E51" i="19"/>
  <c r="F50" i="19"/>
  <c r="D50" i="19"/>
  <c r="F49" i="19"/>
  <c r="F48" i="19"/>
  <c r="B40" i="19"/>
  <c r="E25" i="19"/>
  <c r="D25" i="19"/>
  <c r="C25" i="19"/>
  <c r="B24" i="19"/>
  <c r="B19" i="19"/>
  <c r="F14" i="19"/>
  <c r="B14" i="19"/>
  <c r="D10" i="18"/>
  <c r="J16" i="20" l="1"/>
  <c r="J15" i="20"/>
  <c r="J20" i="20"/>
  <c r="J21" i="20"/>
  <c r="J45" i="20"/>
  <c r="J44" i="20"/>
  <c r="G65" i="19"/>
  <c r="F34" i="19"/>
  <c r="G34" i="19" s="1"/>
  <c r="J80" i="19"/>
  <c r="G42" i="6"/>
  <c r="F35" i="19"/>
  <c r="G35" i="19" s="1"/>
  <c r="G25" i="19"/>
  <c r="F32" i="19"/>
  <c r="G32" i="19" s="1"/>
  <c r="F33" i="19"/>
  <c r="G33" i="19" s="1"/>
  <c r="F30" i="19"/>
  <c r="G30" i="19" s="1"/>
  <c r="F31" i="19"/>
  <c r="G31" i="19" s="1"/>
  <c r="G69" i="19"/>
  <c r="G70" i="19" s="1"/>
  <c r="G56" i="19"/>
  <c r="G52" i="19"/>
  <c r="G50" i="19"/>
  <c r="G76" i="19"/>
  <c r="G54" i="19"/>
  <c r="C86" i="19"/>
  <c r="G40" i="19"/>
  <c r="N10" i="19"/>
  <c r="G51" i="19"/>
  <c r="G48" i="19"/>
  <c r="D14" i="19"/>
  <c r="D19" i="19"/>
  <c r="G19" i="19" s="1"/>
  <c r="G20" i="19" s="1"/>
  <c r="G53" i="19"/>
  <c r="E14" i="19"/>
  <c r="G24" i="19"/>
  <c r="G26" i="19" s="1"/>
  <c r="G49" i="19"/>
  <c r="G10" i="19"/>
  <c r="G11" i="19" s="1"/>
  <c r="C52" i="18"/>
  <c r="C51" i="18"/>
  <c r="C49" i="18"/>
  <c r="C48" i="18"/>
  <c r="C83" i="18"/>
  <c r="C80" i="18" s="1"/>
  <c r="C82" i="18"/>
  <c r="G74" i="18"/>
  <c r="E70" i="18"/>
  <c r="D70" i="18"/>
  <c r="D69" i="18"/>
  <c r="G69" i="18" s="1"/>
  <c r="D68" i="18"/>
  <c r="G68" i="18" s="1"/>
  <c r="E63" i="18"/>
  <c r="D63" i="18"/>
  <c r="D58" i="18"/>
  <c r="G58" i="18" s="1"/>
  <c r="D57" i="18"/>
  <c r="G57" i="18" s="1"/>
  <c r="F52" i="18"/>
  <c r="D52" i="18"/>
  <c r="F51" i="18"/>
  <c r="D51" i="18"/>
  <c r="F50" i="18"/>
  <c r="E50" i="18"/>
  <c r="C50" i="18"/>
  <c r="F49" i="18"/>
  <c r="E49" i="18"/>
  <c r="F48" i="18"/>
  <c r="E48" i="18"/>
  <c r="F47" i="18"/>
  <c r="D47" i="18"/>
  <c r="D50" i="18" s="1"/>
  <c r="F46" i="18"/>
  <c r="D46" i="18"/>
  <c r="D49" i="18" s="1"/>
  <c r="F45" i="18"/>
  <c r="G40" i="18"/>
  <c r="B39" i="18"/>
  <c r="B38" i="18"/>
  <c r="B37" i="18"/>
  <c r="E32" i="18"/>
  <c r="B32" i="18"/>
  <c r="E31" i="18"/>
  <c r="E30" i="18"/>
  <c r="E25" i="18"/>
  <c r="E39" i="18" s="1"/>
  <c r="D25" i="18"/>
  <c r="D39" i="18" s="1"/>
  <c r="C25" i="18"/>
  <c r="E24" i="18"/>
  <c r="E38" i="18" s="1"/>
  <c r="D24" i="18"/>
  <c r="D31" i="18" s="1"/>
  <c r="C31" i="18" s="1"/>
  <c r="F31" i="18" s="1"/>
  <c r="G31" i="18" s="1"/>
  <c r="B24" i="18"/>
  <c r="B19" i="18"/>
  <c r="F14" i="18"/>
  <c r="B14" i="18"/>
  <c r="F10" i="18"/>
  <c r="E10" i="18"/>
  <c r="E37" i="18" s="1"/>
  <c r="J82" i="20" l="1"/>
  <c r="C84" i="20" s="1"/>
  <c r="G36" i="19"/>
  <c r="D43" i="19"/>
  <c r="G18" i="6"/>
  <c r="I18" i="6" s="1"/>
  <c r="G77" i="19"/>
  <c r="G39" i="6" s="1"/>
  <c r="I39" i="6" s="1"/>
  <c r="G51" i="18"/>
  <c r="G52" i="18"/>
  <c r="D38" i="18"/>
  <c r="G38" i="18" s="1"/>
  <c r="J11" i="19"/>
  <c r="G13" i="6"/>
  <c r="J66" i="19"/>
  <c r="I34" i="6" s="1"/>
  <c r="G33" i="6"/>
  <c r="I33" i="6" s="1"/>
  <c r="J71" i="19"/>
  <c r="I37" i="6" s="1"/>
  <c r="G36" i="6"/>
  <c r="I36" i="6" s="1"/>
  <c r="G57" i="19"/>
  <c r="G30" i="6" s="1"/>
  <c r="I30" i="6" s="1"/>
  <c r="D30" i="18"/>
  <c r="C30" i="18" s="1"/>
  <c r="F30" i="18" s="1"/>
  <c r="G30" i="18" s="1"/>
  <c r="J74" i="18"/>
  <c r="D42" i="6"/>
  <c r="D45" i="18"/>
  <c r="D48" i="18" s="1"/>
  <c r="G63" i="18"/>
  <c r="G64" i="18" s="1"/>
  <c r="D36" i="6" s="1"/>
  <c r="F36" i="6" s="1"/>
  <c r="G70" i="18"/>
  <c r="G71" i="18" s="1"/>
  <c r="J65" i="19"/>
  <c r="J70" i="19"/>
  <c r="J78" i="19"/>
  <c r="I40" i="6" s="1"/>
  <c r="G14" i="19"/>
  <c r="G15" i="19" s="1"/>
  <c r="J20" i="19"/>
  <c r="D32" i="18"/>
  <c r="C32" i="18" s="1"/>
  <c r="F32" i="18" s="1"/>
  <c r="G32" i="18" s="1"/>
  <c r="G46" i="18"/>
  <c r="G50" i="18"/>
  <c r="G48" i="18"/>
  <c r="G10" i="18"/>
  <c r="G11" i="18" s="1"/>
  <c r="G47" i="18"/>
  <c r="G39" i="18"/>
  <c r="G49" i="18"/>
  <c r="G33" i="18"/>
  <c r="D24" i="6" s="1"/>
  <c r="F24" i="6" s="1"/>
  <c r="G59" i="18"/>
  <c r="D33" i="6" s="1"/>
  <c r="F33" i="6" s="1"/>
  <c r="J64" i="18"/>
  <c r="N10" i="18"/>
  <c r="D14" i="18"/>
  <c r="D19" i="18"/>
  <c r="E14" i="18"/>
  <c r="E19" i="18"/>
  <c r="G24" i="18"/>
  <c r="G25" i="18"/>
  <c r="D37" i="18"/>
  <c r="G37" i="18" s="1"/>
  <c r="G45" i="18"/>
  <c r="C87" i="20" l="1"/>
  <c r="E86" i="20"/>
  <c r="E87" i="20" s="1"/>
  <c r="G43" i="19"/>
  <c r="G44" i="19" s="1"/>
  <c r="J45" i="19" s="1"/>
  <c r="I28" i="6" s="1"/>
  <c r="J21" i="19"/>
  <c r="I19" i="6" s="1"/>
  <c r="J77" i="19"/>
  <c r="J36" i="6"/>
  <c r="J33" i="6"/>
  <c r="J26" i="19"/>
  <c r="G21" i="6"/>
  <c r="I21" i="6" s="1"/>
  <c r="J15" i="19"/>
  <c r="G15" i="6"/>
  <c r="I15" i="6" s="1"/>
  <c r="J37" i="19"/>
  <c r="I25" i="6" s="1"/>
  <c r="G24" i="6"/>
  <c r="I24" i="6" s="1"/>
  <c r="J24" i="6" s="1"/>
  <c r="J36" i="19"/>
  <c r="J65" i="18"/>
  <c r="F37" i="6" s="1"/>
  <c r="J37" i="6" s="1"/>
  <c r="J72" i="18"/>
  <c r="F40" i="6" s="1"/>
  <c r="J40" i="6" s="1"/>
  <c r="D39" i="6"/>
  <c r="F39" i="6" s="1"/>
  <c r="J39" i="6" s="1"/>
  <c r="J11" i="18"/>
  <c r="D13" i="6"/>
  <c r="J27" i="19"/>
  <c r="I22" i="6" s="1"/>
  <c r="J44" i="19"/>
  <c r="J16" i="19"/>
  <c r="I16" i="6" s="1"/>
  <c r="J58" i="19"/>
  <c r="I31" i="6" s="1"/>
  <c r="J57" i="19"/>
  <c r="J71" i="18"/>
  <c r="G53" i="18"/>
  <c r="J54" i="18" s="1"/>
  <c r="F31" i="6" s="1"/>
  <c r="G41" i="18"/>
  <c r="D27" i="6" s="1"/>
  <c r="F27" i="6" s="1"/>
  <c r="J34" i="18"/>
  <c r="F25" i="6" s="1"/>
  <c r="J33" i="18"/>
  <c r="G19" i="18"/>
  <c r="G20" i="18" s="1"/>
  <c r="D18" i="6" s="1"/>
  <c r="F18" i="6" s="1"/>
  <c r="J18" i="6" s="1"/>
  <c r="G26" i="18"/>
  <c r="D21" i="6" s="1"/>
  <c r="F21" i="6" s="1"/>
  <c r="G14" i="18"/>
  <c r="G15" i="18" s="1"/>
  <c r="D15" i="6" s="1"/>
  <c r="F15" i="6" s="1"/>
  <c r="J60" i="18"/>
  <c r="F34" i="6" s="1"/>
  <c r="J34" i="6" s="1"/>
  <c r="J59" i="18"/>
  <c r="G27" i="6" l="1"/>
  <c r="I27" i="6" s="1"/>
  <c r="J27" i="6" s="1"/>
  <c r="J15" i="6"/>
  <c r="J82" i="19"/>
  <c r="C84" i="19" s="1"/>
  <c r="E86" i="19" s="1"/>
  <c r="E87" i="19" s="1"/>
  <c r="J25" i="6"/>
  <c r="J21" i="6"/>
  <c r="J31" i="6"/>
  <c r="J53" i="18"/>
  <c r="D30" i="6"/>
  <c r="F30" i="6" s="1"/>
  <c r="J30" i="6" s="1"/>
  <c r="J26" i="18"/>
  <c r="J27" i="18"/>
  <c r="F22" i="6" s="1"/>
  <c r="J22" i="6" s="1"/>
  <c r="J42" i="18"/>
  <c r="F28" i="6" s="1"/>
  <c r="J28" i="6" s="1"/>
  <c r="J41" i="18"/>
  <c r="J21" i="18"/>
  <c r="F19" i="6" s="1"/>
  <c r="J19" i="6" s="1"/>
  <c r="J20" i="18"/>
  <c r="J16" i="18"/>
  <c r="F16" i="6" s="1"/>
  <c r="J16" i="6" s="1"/>
  <c r="J15" i="18"/>
  <c r="C87" i="19" l="1"/>
  <c r="J76" i="18"/>
  <c r="C78" i="18" s="1"/>
  <c r="C81" i="18" l="1"/>
  <c r="E80" i="18"/>
  <c r="E81" i="18" s="1"/>
  <c r="I42" i="6" l="1"/>
  <c r="F42" i="6"/>
  <c r="J42" i="6" l="1"/>
  <c r="I13" i="6"/>
  <c r="I44" i="6" s="1"/>
  <c r="F13" i="6" l="1"/>
  <c r="J13" i="6" s="1"/>
  <c r="F44" i="6" l="1"/>
  <c r="J6" i="6" l="1"/>
  <c r="J44" i="6" l="1"/>
  <c r="C6" i="6" l="1"/>
</calcChain>
</file>

<file path=xl/sharedStrings.xml><?xml version="1.0" encoding="utf-8"?>
<sst xmlns="http://schemas.openxmlformats.org/spreadsheetml/2006/main" count="295" uniqueCount="84">
  <si>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</si>
  <si>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</si>
  <si>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</si>
  <si>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</si>
  <si>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</si>
  <si>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</si>
  <si>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</si>
  <si>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</si>
  <si>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</si>
  <si>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</si>
  <si>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</si>
  <si>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</si>
  <si>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</si>
  <si>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</si>
  <si>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</si>
  <si>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</si>
  <si>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</si>
  <si>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</si>
  <si>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</si>
  <si>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</si>
  <si>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</si>
  <si>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</si>
  <si>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</si>
  <si>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</si>
  <si>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</si>
  <si>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</si>
  <si>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</si>
  <si>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</si>
  <si>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</si>
  <si>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</si>
  <si>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</si>
  <si>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</si>
  <si>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</si>
  <si>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</si>
  <si>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</si>
  <si>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</si>
  <si>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</si>
  <si>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</si>
  <si>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VAT calculation</t>
  </si>
  <si>
    <t>m3</t>
  </si>
  <si>
    <t>Sub-total</t>
  </si>
  <si>
    <t>F.Y.: 2081/2082</t>
  </si>
  <si>
    <t>g/d k|sf/sf] Sn] / l;N6L df6f]df ;j} lsl;dsf] vGg] sfd</t>
  </si>
  <si>
    <t>husf] vf8ndf 9'+uf eg]{ / n]en ug]{ sfddf</t>
  </si>
  <si>
    <t>hu leQf kvf{ndf l;d]G6 s+lqm6 ug]{ sfd -lk=;L=;L= !M@M$_</t>
  </si>
  <si>
    <t>sqm</t>
  </si>
  <si>
    <t>!@=% dL=dL= l;d]G6 afn'jf -!M$_ Knfi6/</t>
  </si>
  <si>
    <t>-Outer walls</t>
  </si>
  <si>
    <t>-Inner walls</t>
  </si>
  <si>
    <t>-for toilet</t>
  </si>
  <si>
    <t>d]lzgsf] k|of]u u/L ;'k/ :6«Sr/df l;d]G6 s+lqm6 ug]{ sfd -!M!=%M#_</t>
  </si>
  <si>
    <t xml:space="preserve">cf/=;L=;L= nflu kmnfd] 808L sf6\g], df]8\g] #) dL6/ ;Dd </t>
  </si>
  <si>
    <t>Length (m)</t>
  </si>
  <si>
    <t>Unit length (kg/m)</t>
  </si>
  <si>
    <t>Weight (kg)</t>
  </si>
  <si>
    <t>Weight (MT)</t>
  </si>
  <si>
    <t>-for toilet base</t>
  </si>
  <si>
    <t>kmnfd]sf] kfOk / KnfOaf]8{af6 kmdf{ agfpg] sfd</t>
  </si>
  <si>
    <t>m2</t>
  </si>
  <si>
    <t>MT</t>
  </si>
  <si>
    <t>-for toilet footing</t>
  </si>
  <si>
    <t>-for toilet roof</t>
  </si>
  <si>
    <t>e'O{+tNnfdf lrDgL e§fsf] O{+6fsf] uf/f] l;d]G6 d;nf -!M^_ df</t>
  </si>
  <si>
    <t>-for septic tank</t>
  </si>
  <si>
    <t>-deduction for windows</t>
  </si>
  <si>
    <t>-deduction for door</t>
  </si>
  <si>
    <t># dL=dL= df]6fO{ d;Lgf] l;d]G6 3f]6\g] sfd</t>
  </si>
  <si>
    <t>-flooring at footing</t>
  </si>
  <si>
    <t>l;d]G6 s+qmL6 ˆnf]l/Ë -!M@M$_ -%) dL=dL=_</t>
  </si>
  <si>
    <t>-deduction for toilet fixture</t>
  </si>
  <si>
    <t xml:space="preserve">Project:- कालिका भगवती मन्दिर परिसरमा विभिन्न भौतिक संरचना निर्माण </t>
  </si>
  <si>
    <t>Date:2081/10/15</t>
  </si>
  <si>
    <t>-void</t>
  </si>
  <si>
    <t>husf] vf8ndf 9'+uf eg]{ / n]en ug]{ sfd</t>
  </si>
  <si>
    <t>l;d]G6 s+qmL6 ˆnf]l/Ë -!M@M$_-%) dL=dL=_</t>
  </si>
  <si>
    <t>-footing</t>
  </si>
  <si>
    <t>-Toilet walls</t>
  </si>
  <si>
    <t>-deduction for window</t>
  </si>
  <si>
    <t>Detail Valuated Sheet</t>
  </si>
  <si>
    <t>Date:2082/01/04</t>
  </si>
  <si>
    <t>Total Valuated</t>
  </si>
  <si>
    <t>Detail Quantity Measurement Sheet</t>
  </si>
  <si>
    <t xml:space="preserve">F.Y:2081/2082             </t>
  </si>
  <si>
    <t xml:space="preserve">Date:2082/01/04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</si>
</sst>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0.000"/>
  </numFmts>
  <fonts count="17"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b/>
      <sz val="12"/>
      <name val="Preeti"/>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97">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43"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xf numFmtId="2" fontId="3" fillId="0" borderId="1" xfId="0" applyNumberFormat="1"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4"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horizontal="right" wrapText="1"/>
    </xf>
    <xf numFmtId="164"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4" fontId="15" fillId="0" borderId="0" xfId="0" applyNumberFormat="1" applyFont="1" applyBorder="1"/>
    <xf numFmtId="0" fontId="16" fillId="3" borderId="1" xfId="0" applyFont="1" applyFill="1" applyBorder="1" applyAlignment="1">
      <alignment wrapText="1"/>
    </xf>
    <xf numFmtId="2" fontId="13" fillId="0" borderId="1" xfId="1" applyNumberFormat="1" applyFont="1" applyFill="1" applyBorder="1" applyAlignment="1">
      <alignment vertical="center" wrapText="1"/>
    </xf>
    <xf numFmtId="2" fontId="13" fillId="0" borderId="1" xfId="0" applyNumberFormat="1" applyFont="1" applyFill="1" applyBorder="1" applyAlignment="1">
      <alignment vertical="center" wrapText="1"/>
    </xf>
    <xf numFmtId="2" fontId="12" fillId="0" borderId="1" xfId="1" applyNumberFormat="1" applyFont="1" applyFill="1" applyBorder="1" applyAlignment="1">
      <alignment vertical="center" wrapText="1"/>
    </xf>
    <xf numFmtId="0" fontId="3" fillId="0" borderId="1" xfId="0" applyFont="1" applyBorder="1" applyAlignment="1">
      <alignment vertical="center"/>
    </xf>
    <xf numFmtId="165" fontId="15" fillId="0" borderId="1" xfId="0" applyNumberFormat="1" applyFont="1" applyBorder="1" applyAlignment="1">
      <alignment vertical="center"/>
    </xf>
    <xf numFmtId="0" fontId="6" fillId="0" borderId="2" xfId="0" applyFont="1" applyBorder="1" applyAlignment="1">
      <alignment horizontal="right"/>
    </xf>
    <xf numFmtId="0" fontId="6" fillId="0" borderId="0" xfId="0" applyFont="1" applyAlignment="1">
      <alignment horizontal="right"/>
    </xf>
    <xf numFmtId="1" fontId="6" fillId="0" borderId="1" xfId="0" applyNumberFormat="1" applyFont="1" applyFill="1" applyBorder="1" applyAlignment="1">
      <alignment horizontal="right" vertical="center" wrapText="1"/>
    </xf>
    <xf numFmtId="0" fontId="16" fillId="3" borderId="1" xfId="0" applyFont="1" applyFill="1" applyBorder="1" applyAlignment="1">
      <alignment vertical="center" wrapText="1"/>
    </xf>
    <xf numFmtId="0" fontId="6" fillId="0" borderId="0" xfId="0" applyFont="1" applyAlignment="1">
      <alignment horizontal="left"/>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2" borderId="1" xfId="0" applyFill="1" applyBorder="1" applyAlignment="1">
      <alignment horizontal="center"/>
    </xf>
    <xf numFmtId="0" fontId="14" fillId="0" borderId="0" xfId="0" applyFont="1" applyBorder="1" applyAlignment="1">
      <alignment vertical="center"/>
    </xf>
    <xf numFmtId="0" fontId="6" fillId="0" borderId="0" xfId="0" applyFont="1" applyAlignment="1"/>
    <xf numFmtId="0" fontId="6" fillId="0" borderId="2" xfId="0" applyFont="1" applyBorder="1" applyAlignme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081-082/ofc/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0"/>
  <sheetViews>
    <sheetView topLeftCell="A4" zoomScaleNormal="100" workbookViewId="0">
      <selection activeCell="F10" sqref="F10"/>
    </sheetView>
  </sheetViews>
  <sheetFormatPr defaultRowHeight="15" x14ac:dyDescent="0.25"/>
  <cols>
    <col min="1" max="1" width="4.7109375" customWidth="1"/>
    <col min="2" max="2" width="31.28515625" customWidth="1"/>
    <col min="3" max="3" width="4.5703125" bestFit="1" customWidth="1"/>
    <col min="4" max="4" width="7.5703125" customWidth="1"/>
    <col min="5" max="6" width="8" customWidth="1"/>
    <col min="7" max="7" width="9.42578125" customWidth="1"/>
    <col min="8" max="8" width="5" bestFit="1" customWidth="1"/>
    <col min="9" max="9" width="9.85546875" customWidth="1"/>
    <col min="10" max="10" width="10.7109375" bestFit="1" customWidth="1"/>
  </cols>
  <sheetData>
    <row r="1" spans="1:19" s="1" customFormat="1" x14ac:dyDescent="0.25">
      <c r="A1" s="75" t="s">
        <v>0</v>
      </c>
      <c r="B1" s="75"/>
      <c r="C1" s="75"/>
      <c r="D1" s="75"/>
      <c r="E1" s="75"/>
      <c r="F1" s="75"/>
      <c r="G1" s="75"/>
      <c r="H1" s="75"/>
      <c r="I1" s="75"/>
      <c r="J1" s="75"/>
      <c r="K1" s="75"/>
    </row>
    <row r="2" spans="1:19" s="1" customFormat="1" ht="22.5" x14ac:dyDescent="0.25">
      <c r="A2" s="76" t="s">
        <v>1</v>
      </c>
      <c r="B2" s="76"/>
      <c r="C2" s="76"/>
      <c r="D2" s="76"/>
      <c r="E2" s="76"/>
      <c r="F2" s="76"/>
      <c r="G2" s="76"/>
      <c r="H2" s="76"/>
      <c r="I2" s="76"/>
      <c r="J2" s="76"/>
      <c r="K2" s="76"/>
    </row>
    <row r="3" spans="1:19" s="1" customFormat="1" x14ac:dyDescent="0.25">
      <c r="A3" s="77" t="s">
        <v>2</v>
      </c>
      <c r="B3" s="77"/>
      <c r="C3" s="77"/>
      <c r="D3" s="77"/>
      <c r="E3" s="77"/>
      <c r="F3" s="77"/>
      <c r="G3" s="77"/>
      <c r="H3" s="77"/>
      <c r="I3" s="77"/>
      <c r="J3" s="77"/>
      <c r="K3" s="77"/>
    </row>
    <row r="4" spans="1:19" s="1" customFormat="1" x14ac:dyDescent="0.25">
      <c r="A4" s="77" t="s">
        <v>3</v>
      </c>
      <c r="B4" s="77"/>
      <c r="C4" s="77"/>
      <c r="D4" s="77"/>
      <c r="E4" s="77"/>
      <c r="F4" s="77"/>
      <c r="G4" s="77"/>
      <c r="H4" s="77"/>
      <c r="I4" s="77"/>
      <c r="J4" s="77"/>
      <c r="K4" s="77"/>
    </row>
    <row r="5" spans="1:19" ht="18.75" x14ac:dyDescent="0.3">
      <c r="A5" s="78" t="s">
        <v>4</v>
      </c>
      <c r="B5" s="78"/>
      <c r="C5" s="78"/>
      <c r="D5" s="78"/>
      <c r="E5" s="78"/>
      <c r="F5" s="78"/>
      <c r="G5" s="78"/>
      <c r="H5" s="78"/>
      <c r="I5" s="78"/>
      <c r="J5" s="78"/>
      <c r="K5" s="78"/>
    </row>
    <row r="6" spans="1:19" ht="15.75" x14ac:dyDescent="0.25">
      <c r="A6" s="73" t="s">
        <v>70</v>
      </c>
      <c r="B6" s="73"/>
      <c r="C6" s="73"/>
      <c r="D6" s="73"/>
      <c r="E6" s="73"/>
      <c r="F6" s="73"/>
      <c r="G6" s="2"/>
      <c r="H6" s="74" t="s">
        <v>41</v>
      </c>
      <c r="I6" s="74"/>
      <c r="J6" s="74"/>
      <c r="K6" s="74"/>
    </row>
    <row r="7" spans="1:19" ht="15.75" x14ac:dyDescent="0.25">
      <c r="A7" s="80" t="s">
        <v>28</v>
      </c>
      <c r="B7" s="80"/>
      <c r="C7" s="80"/>
      <c r="D7" s="80"/>
      <c r="E7" s="80"/>
      <c r="F7" s="80"/>
      <c r="G7" s="3"/>
      <c r="H7" s="81" t="s">
        <v>71</v>
      </c>
      <c r="I7" s="81"/>
      <c r="J7" s="81"/>
      <c r="K7" s="81"/>
    </row>
    <row r="8" spans="1:19" ht="15" customHeight="1" x14ac:dyDescent="0.25">
      <c r="A8" s="4" t="s">
        <v>5</v>
      </c>
      <c r="B8" s="15" t="s">
        <v>6</v>
      </c>
      <c r="C8" s="4" t="s">
        <v>7</v>
      </c>
      <c r="D8" s="16" t="s">
        <v>8</v>
      </c>
      <c r="E8" s="16" t="s">
        <v>9</v>
      </c>
      <c r="F8" s="16" t="s">
        <v>10</v>
      </c>
      <c r="G8" s="16" t="s">
        <v>11</v>
      </c>
      <c r="H8" s="4" t="s">
        <v>12</v>
      </c>
      <c r="I8" s="16" t="s">
        <v>13</v>
      </c>
      <c r="J8" s="16" t="s">
        <v>14</v>
      </c>
      <c r="K8" s="17" t="s">
        <v>15</v>
      </c>
    </row>
    <row r="9" spans="1:19" ht="30.75" x14ac:dyDescent="0.25">
      <c r="A9" s="67">
        <v>1</v>
      </c>
      <c r="B9" s="63" t="s">
        <v>42</v>
      </c>
      <c r="C9" s="36"/>
      <c r="D9" s="36"/>
      <c r="E9" s="36"/>
      <c r="F9" s="36"/>
      <c r="G9" s="36"/>
      <c r="H9" s="36"/>
      <c r="I9" s="36"/>
      <c r="J9" s="36"/>
      <c r="K9" s="36"/>
    </row>
    <row r="10" spans="1:19" ht="15" customHeight="1" x14ac:dyDescent="0.25">
      <c r="A10" s="18"/>
      <c r="B10" s="37" t="s">
        <v>49</v>
      </c>
      <c r="C10" s="36">
        <v>1</v>
      </c>
      <c r="D10" s="38">
        <f>(10+0.333)/3.281</f>
        <v>3.1493447119780553</v>
      </c>
      <c r="E10" s="38">
        <f>(10+0.333)/3.281</f>
        <v>3.1493447119780553</v>
      </c>
      <c r="F10" s="38">
        <f>(5+0.333+0.667)/3.281</f>
        <v>1.8287107589149649</v>
      </c>
      <c r="G10" s="39">
        <f>PRODUCT(C10:F10)</f>
        <v>18.137833797374228</v>
      </c>
      <c r="H10" s="40"/>
      <c r="I10" s="40"/>
      <c r="J10" s="40"/>
      <c r="K10" s="21"/>
      <c r="M10" s="25"/>
      <c r="N10" s="1">
        <f>CONVERT((D10*E10),"m2","ft2")</f>
        <v>106.76046892398936</v>
      </c>
      <c r="O10" s="1"/>
      <c r="P10" s="1"/>
      <c r="Q10" s="1"/>
      <c r="R10" s="25"/>
      <c r="S10" s="25"/>
    </row>
    <row r="11" spans="1:19" ht="15" customHeight="1" x14ac:dyDescent="0.25">
      <c r="A11" s="18"/>
      <c r="B11" s="37" t="s">
        <v>40</v>
      </c>
      <c r="C11" s="19"/>
      <c r="D11" s="20"/>
      <c r="E11" s="21"/>
      <c r="F11" s="21"/>
      <c r="G11" s="23">
        <f>SUM(G10:G10)</f>
        <v>18.137833797374228</v>
      </c>
      <c r="H11" s="22" t="s">
        <v>39</v>
      </c>
      <c r="I11" s="23">
        <v>663.31</v>
      </c>
      <c r="J11" s="41">
        <f>G11*I11</f>
        <v>12031.006536136298</v>
      </c>
      <c r="K11" s="21"/>
      <c r="M11" s="25"/>
      <c r="N11" s="1"/>
      <c r="O11" s="1"/>
      <c r="P11" s="1"/>
      <c r="Q11" s="1"/>
      <c r="R11" s="25"/>
      <c r="S11" s="25"/>
    </row>
    <row r="12" spans="1:19" ht="15" customHeight="1" x14ac:dyDescent="0.25">
      <c r="A12" s="18"/>
      <c r="B12" s="24"/>
      <c r="C12" s="19"/>
      <c r="D12" s="20"/>
      <c r="E12" s="21"/>
      <c r="F12" s="21"/>
      <c r="G12" s="23"/>
      <c r="H12" s="22"/>
      <c r="I12" s="23"/>
      <c r="J12" s="41"/>
      <c r="K12" s="21"/>
      <c r="M12" s="25"/>
      <c r="N12" s="1"/>
      <c r="O12" s="1"/>
      <c r="P12" s="1"/>
      <c r="Q12" s="1"/>
      <c r="R12" s="25"/>
      <c r="S12" s="25"/>
    </row>
    <row r="13" spans="1:19" ht="30.75" x14ac:dyDescent="0.25">
      <c r="A13" s="18">
        <v>2</v>
      </c>
      <c r="B13" s="63" t="s">
        <v>43</v>
      </c>
      <c r="C13" s="19"/>
      <c r="D13" s="20"/>
      <c r="E13" s="21"/>
      <c r="F13" s="21"/>
      <c r="G13" s="23"/>
      <c r="H13" s="22"/>
      <c r="I13" s="23"/>
      <c r="J13" s="41"/>
      <c r="K13" s="21"/>
      <c r="M13" s="25"/>
      <c r="N13" s="1"/>
      <c r="O13" s="1"/>
      <c r="P13" s="1"/>
      <c r="Q13" s="25"/>
      <c r="R13" s="25"/>
    </row>
    <row r="14" spans="1:19" ht="15" customHeight="1" x14ac:dyDescent="0.25">
      <c r="A14" s="18"/>
      <c r="B14" s="37" t="str">
        <f>B10</f>
        <v>-for toilet</v>
      </c>
      <c r="C14" s="36">
        <v>1</v>
      </c>
      <c r="D14" s="38">
        <f>D10</f>
        <v>3.1493447119780553</v>
      </c>
      <c r="E14" s="38">
        <f>E10</f>
        <v>3.1493447119780553</v>
      </c>
      <c r="F14" s="38">
        <f>0.15</f>
        <v>0.15</v>
      </c>
      <c r="G14" s="39">
        <f>PRODUCT(C14:F14)</f>
        <v>1.487755817229621</v>
      </c>
      <c r="H14" s="40"/>
      <c r="I14" s="40"/>
      <c r="J14" s="40"/>
      <c r="K14" s="21"/>
      <c r="M14" s="25"/>
      <c r="N14" s="1"/>
      <c r="O14" s="1"/>
      <c r="P14" s="1"/>
      <c r="Q14" s="25"/>
      <c r="R14" s="25"/>
    </row>
    <row r="15" spans="1:19" ht="15" customHeight="1" x14ac:dyDescent="0.25">
      <c r="A15" s="40"/>
      <c r="B15" s="37" t="s">
        <v>40</v>
      </c>
      <c r="C15" s="42"/>
      <c r="D15" s="43"/>
      <c r="E15" s="43"/>
      <c r="F15" s="43"/>
      <c r="G15" s="33">
        <f>SUM(G14:G14)</f>
        <v>1.487755817229621</v>
      </c>
      <c r="H15" s="33" t="s">
        <v>39</v>
      </c>
      <c r="I15" s="33">
        <v>4473.1499999999996</v>
      </c>
      <c r="J15" s="44">
        <f>G15*I15</f>
        <v>6654.9549338406787</v>
      </c>
      <c r="K15" s="36"/>
    </row>
    <row r="16" spans="1:19" x14ac:dyDescent="0.25">
      <c r="A16" s="40"/>
      <c r="B16" s="37" t="s">
        <v>38</v>
      </c>
      <c r="C16" s="42"/>
      <c r="D16" s="43"/>
      <c r="E16" s="43"/>
      <c r="F16" s="43"/>
      <c r="G16" s="43"/>
      <c r="H16" s="43"/>
      <c r="I16" s="43"/>
      <c r="J16" s="45">
        <f>0.13*G15*(3093.15)</f>
        <v>598.24074778829436</v>
      </c>
      <c r="K16" s="36"/>
    </row>
    <row r="17" spans="1:18" x14ac:dyDescent="0.25">
      <c r="A17" s="40"/>
      <c r="B17" s="37"/>
      <c r="C17" s="42"/>
      <c r="D17" s="43"/>
      <c r="E17" s="43"/>
      <c r="F17" s="43"/>
      <c r="G17" s="43"/>
      <c r="H17" s="43"/>
      <c r="I17" s="43"/>
      <c r="J17" s="45"/>
      <c r="K17" s="36"/>
    </row>
    <row r="18" spans="1:18" ht="30.75" x14ac:dyDescent="0.25">
      <c r="A18" s="18">
        <v>3</v>
      </c>
      <c r="B18" s="63" t="s">
        <v>44</v>
      </c>
      <c r="C18" s="19"/>
      <c r="D18" s="20"/>
      <c r="E18" s="21"/>
      <c r="F18" s="21"/>
      <c r="G18" s="23"/>
      <c r="H18" s="22"/>
      <c r="I18" s="23"/>
      <c r="J18" s="41"/>
      <c r="K18" s="21"/>
      <c r="M18" s="25"/>
      <c r="N18" s="1"/>
      <c r="O18" s="1"/>
      <c r="P18" s="1"/>
      <c r="Q18" s="25"/>
      <c r="R18" s="25"/>
    </row>
    <row r="19" spans="1:18" ht="15" customHeight="1" x14ac:dyDescent="0.25">
      <c r="A19" s="18"/>
      <c r="B19" s="37" t="str">
        <f>B10</f>
        <v>-for toilet</v>
      </c>
      <c r="C19" s="36">
        <v>1</v>
      </c>
      <c r="D19" s="38">
        <f>D10</f>
        <v>3.1493447119780553</v>
      </c>
      <c r="E19" s="38">
        <f>E10</f>
        <v>3.1493447119780553</v>
      </c>
      <c r="F19" s="38">
        <v>7.4999999999999997E-2</v>
      </c>
      <c r="G19" s="39">
        <f>PRODUCT(C19:F19)</f>
        <v>0.74387790861481051</v>
      </c>
      <c r="H19" s="40"/>
      <c r="I19" s="40"/>
      <c r="J19" s="40"/>
      <c r="K19" s="21"/>
      <c r="M19" s="25"/>
      <c r="N19" s="1"/>
      <c r="O19" s="1"/>
      <c r="P19" s="1"/>
      <c r="Q19" s="25"/>
      <c r="R19" s="25"/>
    </row>
    <row r="20" spans="1:18" ht="15" customHeight="1" x14ac:dyDescent="0.25">
      <c r="A20" s="40"/>
      <c r="B20" s="37" t="s">
        <v>40</v>
      </c>
      <c r="C20" s="42"/>
      <c r="D20" s="43"/>
      <c r="E20" s="43"/>
      <c r="F20" s="43"/>
      <c r="G20" s="33">
        <f>SUM(G19:G19)</f>
        <v>0.74387790861481051</v>
      </c>
      <c r="H20" s="33" t="s">
        <v>39</v>
      </c>
      <c r="I20" s="33">
        <v>12983.1</v>
      </c>
      <c r="J20" s="44">
        <f>G20*I20</f>
        <v>9657.8412753369466</v>
      </c>
      <c r="K20" s="36"/>
    </row>
    <row r="21" spans="1:18" ht="15" customHeight="1" x14ac:dyDescent="0.25">
      <c r="A21" s="40"/>
      <c r="B21" s="37" t="s">
        <v>38</v>
      </c>
      <c r="C21" s="42"/>
      <c r="D21" s="43"/>
      <c r="E21" s="43"/>
      <c r="F21" s="43"/>
      <c r="G21" s="43"/>
      <c r="H21" s="43"/>
      <c r="I21" s="43"/>
      <c r="J21" s="45">
        <f>0.13*G20*(8078.11)</f>
        <v>781.18658440685033</v>
      </c>
      <c r="K21" s="36"/>
    </row>
    <row r="22" spans="1:18" ht="15" customHeight="1" x14ac:dyDescent="0.25">
      <c r="A22" s="40"/>
      <c r="B22" s="37"/>
      <c r="C22" s="42"/>
      <c r="D22" s="43"/>
      <c r="E22" s="43"/>
      <c r="F22" s="43"/>
      <c r="G22" s="43"/>
      <c r="H22" s="43"/>
      <c r="I22" s="43"/>
      <c r="J22" s="45"/>
      <c r="K22" s="36"/>
    </row>
    <row r="23" spans="1:18" ht="30.75" x14ac:dyDescent="0.25">
      <c r="A23" s="18">
        <v>4</v>
      </c>
      <c r="B23" s="63" t="s">
        <v>57</v>
      </c>
      <c r="C23" s="19"/>
      <c r="D23" s="20"/>
      <c r="E23" s="21"/>
      <c r="F23" s="21"/>
      <c r="G23" s="23"/>
      <c r="H23" s="22"/>
      <c r="I23" s="23"/>
      <c r="J23" s="41"/>
      <c r="K23" s="21"/>
      <c r="M23" s="25"/>
      <c r="N23" s="1"/>
      <c r="O23" s="1"/>
      <c r="P23" s="1"/>
      <c r="Q23" s="25"/>
      <c r="R23" s="25"/>
    </row>
    <row r="24" spans="1:18" ht="15" customHeight="1" x14ac:dyDescent="0.25">
      <c r="A24" s="18"/>
      <c r="B24" s="37" t="str">
        <f>B10</f>
        <v>-for toilet</v>
      </c>
      <c r="C24" s="36">
        <v>1</v>
      </c>
      <c r="D24" s="38">
        <f>10/3.281</f>
        <v>3.047851264858275</v>
      </c>
      <c r="E24" s="38">
        <f>10/3.281</f>
        <v>3.047851264858275</v>
      </c>
      <c r="F24" s="38"/>
      <c r="G24" s="39">
        <f>PRODUCT(C24:F24)</f>
        <v>9.2893973326981865</v>
      </c>
      <c r="H24" s="40"/>
      <c r="I24" s="40"/>
      <c r="J24" s="40"/>
      <c r="K24" s="21"/>
      <c r="M24" s="25"/>
      <c r="N24" s="1"/>
      <c r="O24" s="1"/>
      <c r="P24" s="1"/>
      <c r="Q24" s="25"/>
      <c r="R24" s="25"/>
    </row>
    <row r="25" spans="1:18" ht="15" hidden="1" customHeight="1" x14ac:dyDescent="0.25">
      <c r="A25" s="18"/>
      <c r="B25" s="37" t="s">
        <v>61</v>
      </c>
      <c r="C25" s="36">
        <f>0*1</f>
        <v>0</v>
      </c>
      <c r="D25" s="38">
        <f>(1+10+1)/3.281</f>
        <v>3.6574215178299299</v>
      </c>
      <c r="E25" s="38">
        <f>(1+10+1)/3.281</f>
        <v>3.6574215178299299</v>
      </c>
      <c r="F25" s="38"/>
      <c r="G25" s="39">
        <f>PRODUCT(C25:F25)</f>
        <v>0</v>
      </c>
      <c r="H25" s="40"/>
      <c r="I25" s="40"/>
      <c r="J25" s="40"/>
      <c r="K25" s="21"/>
      <c r="M25" s="25"/>
      <c r="N25" s="1"/>
      <c r="O25" s="1"/>
      <c r="P25" s="1"/>
      <c r="Q25" s="25"/>
      <c r="R25" s="25"/>
    </row>
    <row r="26" spans="1:18" ht="15" customHeight="1" x14ac:dyDescent="0.25">
      <c r="A26" s="40"/>
      <c r="B26" s="37" t="s">
        <v>40</v>
      </c>
      <c r="C26" s="42"/>
      <c r="D26" s="43"/>
      <c r="E26" s="43"/>
      <c r="F26" s="43"/>
      <c r="G26" s="33">
        <f>SUM(G24:G25)</f>
        <v>9.2893973326981865</v>
      </c>
      <c r="H26" s="33" t="s">
        <v>58</v>
      </c>
      <c r="I26" s="33">
        <v>915.42</v>
      </c>
      <c r="J26" s="44">
        <f>G26*I26</f>
        <v>8503.7001062985728</v>
      </c>
      <c r="K26" s="36"/>
    </row>
    <row r="27" spans="1:18" ht="15" customHeight="1" x14ac:dyDescent="0.25">
      <c r="A27" s="40"/>
      <c r="B27" s="37" t="s">
        <v>38</v>
      </c>
      <c r="C27" s="42"/>
      <c r="D27" s="43"/>
      <c r="E27" s="43"/>
      <c r="F27" s="43"/>
      <c r="G27" s="43"/>
      <c r="H27" s="43"/>
      <c r="I27" s="43"/>
      <c r="J27" s="45">
        <f>0.13*G26*46827.87/100</f>
        <v>565.50349787611867</v>
      </c>
      <c r="K27" s="36"/>
    </row>
    <row r="28" spans="1:18" ht="15" customHeight="1" x14ac:dyDescent="0.25">
      <c r="A28" s="40"/>
      <c r="B28" s="37"/>
      <c r="C28" s="42"/>
      <c r="D28" s="43"/>
      <c r="E28" s="43"/>
      <c r="F28" s="43"/>
      <c r="G28" s="43"/>
      <c r="H28" s="43"/>
      <c r="I28" s="43"/>
      <c r="J28" s="45"/>
      <c r="K28" s="36"/>
    </row>
    <row r="29" spans="1:18" ht="45" x14ac:dyDescent="0.25">
      <c r="A29" s="18">
        <v>5</v>
      </c>
      <c r="B29" s="63" t="s">
        <v>51</v>
      </c>
      <c r="C29" s="19" t="s">
        <v>7</v>
      </c>
      <c r="D29" s="64" t="s">
        <v>52</v>
      </c>
      <c r="E29" s="65" t="s">
        <v>53</v>
      </c>
      <c r="F29" s="65" t="s">
        <v>54</v>
      </c>
      <c r="G29" s="66" t="s">
        <v>55</v>
      </c>
      <c r="H29" s="22"/>
      <c r="I29" s="23"/>
      <c r="J29" s="41"/>
      <c r="K29" s="21"/>
      <c r="M29" s="25"/>
      <c r="N29" s="1"/>
      <c r="O29" s="1"/>
      <c r="P29" s="1"/>
      <c r="Q29" s="25"/>
      <c r="R29" s="25"/>
    </row>
    <row r="30" spans="1:18" ht="15" customHeight="1" x14ac:dyDescent="0.25">
      <c r="A30" s="18"/>
      <c r="B30" s="37" t="s">
        <v>60</v>
      </c>
      <c r="C30" s="36">
        <f>2*(TRUNC((D30-0.1)/0.15,0)+1)</f>
        <v>40</v>
      </c>
      <c r="D30" s="38">
        <f>D24</f>
        <v>3.047851264858275</v>
      </c>
      <c r="E30" s="38">
        <f>8*8/162</f>
        <v>0.39506172839506171</v>
      </c>
      <c r="F30" s="38">
        <f>PRODUCT(C30:E30)</f>
        <v>48.163575543439407</v>
      </c>
      <c r="G30" s="39">
        <f>F30/1000</f>
        <v>4.8163575543439405E-2</v>
      </c>
      <c r="H30" s="40"/>
      <c r="I30" s="40"/>
      <c r="J30" s="40"/>
      <c r="K30" s="21"/>
      <c r="M30" s="25"/>
      <c r="N30" s="1"/>
      <c r="O30" s="1"/>
      <c r="P30" s="1"/>
      <c r="Q30" s="25"/>
      <c r="R30" s="25"/>
    </row>
    <row r="31" spans="1:18" ht="15" customHeight="1" x14ac:dyDescent="0.25">
      <c r="A31" s="18"/>
      <c r="B31" s="37" t="s">
        <v>56</v>
      </c>
      <c r="C31" s="36">
        <f>2*2*(TRUNC((D31-0.1)/0.15,0)+1)</f>
        <v>80</v>
      </c>
      <c r="D31" s="38">
        <f>D24</f>
        <v>3.047851264858275</v>
      </c>
      <c r="E31" s="38">
        <f>8*8/162</f>
        <v>0.39506172839506171</v>
      </c>
      <c r="F31" s="38">
        <f>PRODUCT(C31:E31)</f>
        <v>96.327151086878814</v>
      </c>
      <c r="G31" s="39">
        <f>F31/1000</f>
        <v>9.6327151086878809E-2</v>
      </c>
      <c r="H31" s="40"/>
      <c r="I31" s="40"/>
      <c r="J31" s="40"/>
      <c r="K31" s="21"/>
      <c r="M31" s="25"/>
      <c r="N31" s="1"/>
      <c r="O31" s="1"/>
      <c r="P31" s="1"/>
      <c r="Q31" s="25"/>
      <c r="R31" s="25"/>
    </row>
    <row r="32" spans="1:18" ht="15" hidden="1" customHeight="1" x14ac:dyDescent="0.25">
      <c r="A32" s="18"/>
      <c r="B32" s="37" t="str">
        <f>B25</f>
        <v>-for toilet roof</v>
      </c>
      <c r="C32" s="36">
        <f>0*2*2*(TRUNC((D32-0.1)/0.15,0)+1)</f>
        <v>0</v>
      </c>
      <c r="D32" s="38">
        <f>D25</f>
        <v>3.6574215178299299</v>
      </c>
      <c r="E32" s="38">
        <f>8*8/162</f>
        <v>0.39506172839506171</v>
      </c>
      <c r="F32" s="38">
        <f>PRODUCT(C32:E32)</f>
        <v>0</v>
      </c>
      <c r="G32" s="39">
        <f>F32/1000</f>
        <v>0</v>
      </c>
      <c r="H32" s="40"/>
      <c r="I32" s="40"/>
      <c r="J32" s="40"/>
      <c r="K32" s="21"/>
      <c r="M32" s="25"/>
      <c r="N32" s="1"/>
      <c r="O32" s="1"/>
      <c r="P32" s="1"/>
      <c r="Q32" s="25"/>
      <c r="R32" s="25"/>
    </row>
    <row r="33" spans="1:11" ht="15" customHeight="1" x14ac:dyDescent="0.25">
      <c r="A33" s="40"/>
      <c r="B33" s="37" t="s">
        <v>40</v>
      </c>
      <c r="C33" s="42"/>
      <c r="D33" s="43"/>
      <c r="E33" s="43"/>
      <c r="F33" s="43"/>
      <c r="G33" s="33">
        <f>SUM(G30:G32)</f>
        <v>0.1444907266303182</v>
      </c>
      <c r="H33" s="33" t="s">
        <v>59</v>
      </c>
      <c r="I33" s="33">
        <v>131940</v>
      </c>
      <c r="J33" s="44">
        <f>G33*I33</f>
        <v>19064.106471604184</v>
      </c>
      <c r="K33" s="36"/>
    </row>
    <row r="34" spans="1:11" ht="15" customHeight="1" x14ac:dyDescent="0.25">
      <c r="A34" s="40"/>
      <c r="B34" s="37" t="s">
        <v>38</v>
      </c>
      <c r="C34" s="42"/>
      <c r="D34" s="43"/>
      <c r="E34" s="43"/>
      <c r="F34" s="43"/>
      <c r="G34" s="43"/>
      <c r="H34" s="43"/>
      <c r="I34" s="43"/>
      <c r="J34" s="45">
        <f>0.13*G33*106200</f>
        <v>1994.8389718581732</v>
      </c>
      <c r="K34" s="36"/>
    </row>
    <row r="35" spans="1:11" ht="15" customHeight="1" x14ac:dyDescent="0.25">
      <c r="A35" s="40"/>
      <c r="B35" s="37"/>
      <c r="C35" s="42"/>
      <c r="D35" s="43"/>
      <c r="E35" s="43"/>
      <c r="F35" s="43"/>
      <c r="G35" s="43"/>
      <c r="H35" s="43"/>
      <c r="I35" s="43"/>
      <c r="J35" s="45"/>
      <c r="K35" s="36"/>
    </row>
    <row r="36" spans="1:11" ht="30.75" x14ac:dyDescent="0.25">
      <c r="A36" s="67">
        <v>6</v>
      </c>
      <c r="B36" s="63" t="s">
        <v>50</v>
      </c>
      <c r="C36" s="42"/>
      <c r="D36" s="43"/>
      <c r="E36" s="43"/>
      <c r="F36" s="43"/>
      <c r="G36" s="43"/>
      <c r="H36" s="43"/>
      <c r="I36" s="43"/>
      <c r="J36" s="45"/>
      <c r="K36" s="36"/>
    </row>
    <row r="37" spans="1:11" ht="15" customHeight="1" x14ac:dyDescent="0.25">
      <c r="A37" s="40"/>
      <c r="B37" s="37" t="str">
        <f>B30</f>
        <v>-for toilet footing</v>
      </c>
      <c r="C37" s="42">
        <v>1</v>
      </c>
      <c r="D37" s="43">
        <f>(D10-0.1)</f>
        <v>3.0493447119780552</v>
      </c>
      <c r="E37" s="43">
        <f>(E10-0.1)</f>
        <v>3.0493447119780552</v>
      </c>
      <c r="F37" s="43">
        <v>0.1</v>
      </c>
      <c r="G37" s="39">
        <f>PRODUCT(C37:F37)</f>
        <v>0.92985031724685285</v>
      </c>
      <c r="H37" s="43"/>
      <c r="I37" s="43"/>
      <c r="J37" s="45"/>
      <c r="K37" s="36"/>
    </row>
    <row r="38" spans="1:11" ht="15" customHeight="1" x14ac:dyDescent="0.25">
      <c r="A38" s="40"/>
      <c r="B38" s="37" t="str">
        <f>B31</f>
        <v>-for toilet base</v>
      </c>
      <c r="C38" s="42">
        <v>1</v>
      </c>
      <c r="D38" s="43">
        <f>D24</f>
        <v>3.047851264858275</v>
      </c>
      <c r="E38" s="43">
        <f>E24</f>
        <v>3.047851264858275</v>
      </c>
      <c r="F38" s="43">
        <v>0.125</v>
      </c>
      <c r="G38" s="39">
        <f t="shared" ref="G38:G39" si="0">PRODUCT(C38:F38)</f>
        <v>1.1611746665872733</v>
      </c>
      <c r="H38" s="43"/>
      <c r="I38" s="43"/>
      <c r="J38" s="45"/>
      <c r="K38" s="36"/>
    </row>
    <row r="39" spans="1:11" ht="15" hidden="1" customHeight="1" x14ac:dyDescent="0.25">
      <c r="A39" s="40"/>
      <c r="B39" s="37" t="str">
        <f>B25</f>
        <v>-for toilet roof</v>
      </c>
      <c r="C39" s="42">
        <v>0</v>
      </c>
      <c r="D39" s="43">
        <f>D25</f>
        <v>3.6574215178299299</v>
      </c>
      <c r="E39" s="43">
        <f>E25</f>
        <v>3.6574215178299299</v>
      </c>
      <c r="F39" s="43">
        <v>0.125</v>
      </c>
      <c r="G39" s="39">
        <f t="shared" si="0"/>
        <v>0</v>
      </c>
      <c r="H39" s="43"/>
      <c r="I39" s="43"/>
      <c r="J39" s="45"/>
      <c r="K39" s="36"/>
    </row>
    <row r="40" spans="1:11" ht="15" customHeight="1" x14ac:dyDescent="0.25">
      <c r="A40" s="40"/>
      <c r="B40" s="37" t="s">
        <v>69</v>
      </c>
      <c r="C40" s="42">
        <v>-1</v>
      </c>
      <c r="D40" s="43">
        <v>0.1</v>
      </c>
      <c r="E40" s="43">
        <v>0.1</v>
      </c>
      <c r="F40" s="43">
        <v>0.125</v>
      </c>
      <c r="G40" s="68">
        <f>C40*F40*D40*E40*PI()</f>
        <v>-3.9269908169872417E-3</v>
      </c>
      <c r="H40" s="43"/>
      <c r="I40" s="43"/>
      <c r="J40" s="45"/>
      <c r="K40" s="36"/>
    </row>
    <row r="41" spans="1:11" ht="15" customHeight="1" x14ac:dyDescent="0.25">
      <c r="A41" s="40"/>
      <c r="B41" s="37" t="s">
        <v>40</v>
      </c>
      <c r="C41" s="42"/>
      <c r="D41" s="43"/>
      <c r="E41" s="43"/>
      <c r="F41" s="43"/>
      <c r="G41" s="33">
        <f>SUM(G37:G40)</f>
        <v>2.0870979930171387</v>
      </c>
      <c r="H41" s="33" t="s">
        <v>39</v>
      </c>
      <c r="I41" s="33">
        <v>13568.9</v>
      </c>
      <c r="J41" s="44">
        <f>G41*I41</f>
        <v>28319.623957450254</v>
      </c>
      <c r="K41" s="36"/>
    </row>
    <row r="42" spans="1:11" ht="15" customHeight="1" x14ac:dyDescent="0.25">
      <c r="A42" s="40"/>
      <c r="B42" s="37" t="s">
        <v>38</v>
      </c>
      <c r="C42" s="42"/>
      <c r="D42" s="43"/>
      <c r="E42" s="43"/>
      <c r="F42" s="43"/>
      <c r="G42" s="43"/>
      <c r="H42" s="43"/>
      <c r="I42" s="43"/>
      <c r="J42" s="45">
        <f>0.13*G41*(9524.2)</f>
        <v>2584.1320316621986</v>
      </c>
      <c r="K42" s="36"/>
    </row>
    <row r="43" spans="1:11" ht="15" customHeight="1" x14ac:dyDescent="0.25">
      <c r="A43" s="40"/>
      <c r="B43" s="37"/>
      <c r="C43" s="42"/>
      <c r="D43" s="43"/>
      <c r="E43" s="43"/>
      <c r="F43" s="43"/>
      <c r="G43" s="43"/>
      <c r="H43" s="43"/>
      <c r="I43" s="43"/>
      <c r="J43" s="45"/>
      <c r="K43" s="36"/>
    </row>
    <row r="44" spans="1:11" ht="30.75" x14ac:dyDescent="0.25">
      <c r="A44" s="18">
        <v>7</v>
      </c>
      <c r="B44" s="63" t="s">
        <v>62</v>
      </c>
      <c r="C44" s="42"/>
      <c r="D44" s="43"/>
      <c r="E44" s="43"/>
      <c r="F44" s="43"/>
      <c r="G44" s="43"/>
      <c r="H44" s="43"/>
      <c r="I44" s="43"/>
      <c r="J44" s="45"/>
      <c r="K44" s="36"/>
    </row>
    <row r="45" spans="1:11" ht="15" customHeight="1" x14ac:dyDescent="0.25">
      <c r="A45" s="40"/>
      <c r="B45" s="37" t="s">
        <v>63</v>
      </c>
      <c r="C45" s="42">
        <v>2</v>
      </c>
      <c r="D45" s="43">
        <f>D24</f>
        <v>3.047851264858275</v>
      </c>
      <c r="E45" s="43">
        <v>0.23</v>
      </c>
      <c r="F45" s="43">
        <f>6/3.281</f>
        <v>1.8287107589149649</v>
      </c>
      <c r="G45" s="39">
        <f>PRODUCT(C45:F45)</f>
        <v>2.5638736638246993</v>
      </c>
      <c r="H45" s="43"/>
      <c r="I45" s="43"/>
      <c r="J45" s="45"/>
      <c r="K45" s="36"/>
    </row>
    <row r="46" spans="1:11" ht="15" customHeight="1" x14ac:dyDescent="0.25">
      <c r="A46" s="40"/>
      <c r="B46" s="37"/>
      <c r="C46" s="42">
        <v>2</v>
      </c>
      <c r="D46" s="43">
        <f>8.5/3.281</f>
        <v>2.5906735751295336</v>
      </c>
      <c r="E46" s="43">
        <v>0.23</v>
      </c>
      <c r="F46" s="43">
        <f>6/3.281</f>
        <v>1.8287107589149649</v>
      </c>
      <c r="G46" s="39">
        <f>PRODUCT(C46:F46)</f>
        <v>2.1792926142509943</v>
      </c>
      <c r="H46" s="43"/>
      <c r="I46" s="43"/>
      <c r="J46" s="45"/>
      <c r="K46" s="36"/>
    </row>
    <row r="47" spans="1:11" ht="15" customHeight="1" x14ac:dyDescent="0.25">
      <c r="A47" s="40"/>
      <c r="B47" s="37"/>
      <c r="C47" s="42">
        <v>1</v>
      </c>
      <c r="D47" s="43">
        <f>8.5/3.281</f>
        <v>2.5906735751295336</v>
      </c>
      <c r="E47" s="43">
        <v>0.1</v>
      </c>
      <c r="F47" s="43">
        <f>6/3.281</f>
        <v>1.8287107589149649</v>
      </c>
      <c r="G47" s="39">
        <f>PRODUCT(C47:F47)</f>
        <v>0.47375926396760742</v>
      </c>
      <c r="H47" s="43"/>
      <c r="I47" s="43"/>
      <c r="J47" s="45"/>
      <c r="K47" s="36"/>
    </row>
    <row r="48" spans="1:11" ht="15" customHeight="1" x14ac:dyDescent="0.25">
      <c r="A48" s="40"/>
      <c r="B48" s="37" t="s">
        <v>49</v>
      </c>
      <c r="C48" s="42">
        <f>C45</f>
        <v>2</v>
      </c>
      <c r="D48" s="43">
        <f>D45-4.8333/3.281</f>
        <v>1.5747333130143248</v>
      </c>
      <c r="E48" s="43">
        <f t="shared" ref="C48:E50" si="1">E45</f>
        <v>0.23</v>
      </c>
      <c r="F48" s="43">
        <f>7/3.281</f>
        <v>2.1334958854007922</v>
      </c>
      <c r="G48" s="39">
        <f t="shared" ref="G48:G52" si="2">PRODUCT(C48:F48)</f>
        <v>1.5454560402030253</v>
      </c>
      <c r="H48" s="43"/>
      <c r="I48" s="43"/>
      <c r="J48" s="45"/>
      <c r="K48" s="36"/>
    </row>
    <row r="49" spans="1:19" ht="15" customHeight="1" x14ac:dyDescent="0.25">
      <c r="A49" s="40"/>
      <c r="B49" s="37"/>
      <c r="C49" s="42">
        <f>C46-1</f>
        <v>1</v>
      </c>
      <c r="D49" s="43">
        <f t="shared" si="1"/>
        <v>2.5906735751295336</v>
      </c>
      <c r="E49" s="43">
        <f t="shared" si="1"/>
        <v>0.23</v>
      </c>
      <c r="F49" s="43">
        <f t="shared" ref="F49:F50" si="3">7/3.281</f>
        <v>2.1334958854007922</v>
      </c>
      <c r="G49" s="39">
        <f t="shared" si="2"/>
        <v>1.2712540249797466</v>
      </c>
      <c r="H49" s="43"/>
      <c r="I49" s="43"/>
      <c r="J49" s="45"/>
      <c r="K49" s="36"/>
    </row>
    <row r="50" spans="1:19" ht="15" customHeight="1" x14ac:dyDescent="0.25">
      <c r="A50" s="40"/>
      <c r="B50" s="37"/>
      <c r="C50" s="42">
        <f t="shared" si="1"/>
        <v>1</v>
      </c>
      <c r="D50" s="43">
        <f t="shared" si="1"/>
        <v>2.5906735751295336</v>
      </c>
      <c r="E50" s="43">
        <f t="shared" si="1"/>
        <v>0.1</v>
      </c>
      <c r="F50" s="43">
        <f t="shared" si="3"/>
        <v>2.1334958854007922</v>
      </c>
      <c r="G50" s="39">
        <f t="shared" si="2"/>
        <v>0.552719141295542</v>
      </c>
      <c r="H50" s="43"/>
      <c r="I50" s="43"/>
      <c r="J50" s="45"/>
      <c r="K50" s="36"/>
    </row>
    <row r="51" spans="1:19" ht="15" customHeight="1" x14ac:dyDescent="0.25">
      <c r="A51" s="40"/>
      <c r="B51" s="37" t="s">
        <v>64</v>
      </c>
      <c r="C51" s="42">
        <f>-1</f>
        <v>-1</v>
      </c>
      <c r="D51" s="43">
        <f>0.45</f>
        <v>0.45</v>
      </c>
      <c r="E51" s="43">
        <v>0.23</v>
      </c>
      <c r="F51" s="43">
        <f>2/3.281</f>
        <v>0.6095702529716549</v>
      </c>
      <c r="G51" s="39">
        <f t="shared" si="2"/>
        <v>-6.3090521182566292E-2</v>
      </c>
      <c r="H51" s="43"/>
      <c r="I51" s="43"/>
      <c r="J51" s="45"/>
      <c r="K51" s="36"/>
    </row>
    <row r="52" spans="1:19" ht="15" customHeight="1" x14ac:dyDescent="0.25">
      <c r="A52" s="40"/>
      <c r="B52" s="37" t="s">
        <v>65</v>
      </c>
      <c r="C52" s="42">
        <f>-1</f>
        <v>-1</v>
      </c>
      <c r="D52" s="43">
        <f>0.75</f>
        <v>0.75</v>
      </c>
      <c r="E52" s="43">
        <v>0.23</v>
      </c>
      <c r="F52" s="43">
        <f>6/3.281</f>
        <v>1.8287107589149649</v>
      </c>
      <c r="G52" s="39">
        <f t="shared" si="2"/>
        <v>-0.31545260591283147</v>
      </c>
      <c r="H52" s="43"/>
      <c r="I52" s="43"/>
      <c r="J52" s="45"/>
      <c r="K52" s="36"/>
    </row>
    <row r="53" spans="1:19" ht="15" customHeight="1" x14ac:dyDescent="0.25">
      <c r="A53" s="40"/>
      <c r="B53" s="37" t="s">
        <v>40</v>
      </c>
      <c r="C53" s="42"/>
      <c r="D53" s="43"/>
      <c r="E53" s="43"/>
      <c r="F53" s="43"/>
      <c r="G53" s="33">
        <f>SUM(G45:G52)</f>
        <v>8.2078116214262167</v>
      </c>
      <c r="H53" s="33" t="s">
        <v>39</v>
      </c>
      <c r="I53" s="33">
        <v>14362.76</v>
      </c>
      <c r="J53" s="44">
        <f>G53*I53</f>
        <v>117886.82844375561</v>
      </c>
      <c r="K53" s="36"/>
    </row>
    <row r="54" spans="1:19" ht="15" customHeight="1" x14ac:dyDescent="0.25">
      <c r="A54" s="40"/>
      <c r="B54" s="37" t="s">
        <v>38</v>
      </c>
      <c r="C54" s="42"/>
      <c r="D54" s="43"/>
      <c r="E54" s="43"/>
      <c r="F54" s="43"/>
      <c r="G54" s="43"/>
      <c r="H54" s="43"/>
      <c r="I54" s="43"/>
      <c r="J54" s="45">
        <f>0.13*G53*10311.74</f>
        <v>11002.786523186325</v>
      </c>
      <c r="K54" s="36"/>
    </row>
    <row r="55" spans="1:19" ht="15" customHeight="1" x14ac:dyDescent="0.25">
      <c r="A55" s="40"/>
      <c r="B55" s="37"/>
      <c r="C55" s="42"/>
      <c r="D55" s="43"/>
      <c r="E55" s="43"/>
      <c r="F55" s="43"/>
      <c r="G55" s="43"/>
      <c r="H55" s="43"/>
      <c r="I55" s="43"/>
      <c r="J55" s="45"/>
      <c r="K55" s="36"/>
    </row>
    <row r="56" spans="1:19" ht="30.75" x14ac:dyDescent="0.25">
      <c r="A56" s="67">
        <v>8</v>
      </c>
      <c r="B56" s="63" t="s">
        <v>46</v>
      </c>
      <c r="C56" s="42"/>
      <c r="D56" s="43"/>
      <c r="E56" s="43"/>
      <c r="F56" s="43"/>
      <c r="G56" s="43"/>
      <c r="H56" s="43"/>
      <c r="I56" s="43"/>
      <c r="J56" s="45"/>
      <c r="K56" s="36"/>
    </row>
    <row r="57" spans="1:19" ht="15" customHeight="1" x14ac:dyDescent="0.25">
      <c r="A57" s="18"/>
      <c r="B57" s="37" t="s">
        <v>48</v>
      </c>
      <c r="C57" s="36">
        <v>1</v>
      </c>
      <c r="D57" s="38">
        <f>(8.5*4+4*4)/3.281</f>
        <v>15.239256324291373</v>
      </c>
      <c r="E57" s="38"/>
      <c r="F57" s="38">
        <v>1.8</v>
      </c>
      <c r="G57" s="39">
        <f>PRODUCT(C57:F57)</f>
        <v>27.430661383724473</v>
      </c>
      <c r="H57" s="40"/>
      <c r="I57" s="40"/>
      <c r="J57" s="40"/>
      <c r="K57" s="21"/>
      <c r="M57" s="25"/>
      <c r="N57" s="1"/>
      <c r="O57" s="1"/>
      <c r="P57" s="1"/>
      <c r="Q57" s="1"/>
      <c r="R57" s="25"/>
      <c r="S57" s="25"/>
    </row>
    <row r="58" spans="1:19" ht="15" customHeight="1" x14ac:dyDescent="0.25">
      <c r="A58" s="18"/>
      <c r="B58" s="37" t="s">
        <v>47</v>
      </c>
      <c r="C58" s="36">
        <v>1</v>
      </c>
      <c r="D58" s="38">
        <f>(10*4)/3.281</f>
        <v>12.1914050594331</v>
      </c>
      <c r="E58" s="38"/>
      <c r="F58" s="38">
        <v>1.8</v>
      </c>
      <c r="G58" s="39">
        <f>PRODUCT(C58:F58)</f>
        <v>21.94452910697958</v>
      </c>
      <c r="H58" s="40"/>
      <c r="I58" s="40"/>
      <c r="J58" s="40"/>
      <c r="K58" s="21"/>
      <c r="M58" s="25"/>
      <c r="N58" s="1"/>
      <c r="O58" s="1"/>
      <c r="P58" s="1"/>
      <c r="Q58" s="1"/>
      <c r="R58" s="25"/>
      <c r="S58" s="25"/>
    </row>
    <row r="59" spans="1:19" ht="15" customHeight="1" x14ac:dyDescent="0.25">
      <c r="A59" s="18"/>
      <c r="B59" s="37" t="s">
        <v>40</v>
      </c>
      <c r="C59" s="36"/>
      <c r="D59" s="38"/>
      <c r="E59" s="38"/>
      <c r="F59" s="38"/>
      <c r="G59" s="34">
        <f>SUM(G57:G58)</f>
        <v>49.375190490704057</v>
      </c>
      <c r="H59" s="40" t="s">
        <v>45</v>
      </c>
      <c r="I59" s="40">
        <v>405.86</v>
      </c>
      <c r="J59" s="45">
        <f>G59*I59</f>
        <v>20039.414812557148</v>
      </c>
      <c r="K59" s="21"/>
      <c r="M59" s="25"/>
      <c r="N59" s="1"/>
      <c r="O59" s="1"/>
      <c r="P59" s="1"/>
      <c r="Q59" s="1"/>
      <c r="R59" s="25"/>
      <c r="S59" s="25"/>
    </row>
    <row r="60" spans="1:19" ht="15" customHeight="1" x14ac:dyDescent="0.25">
      <c r="A60" s="18"/>
      <c r="B60" s="37" t="s">
        <v>38</v>
      </c>
      <c r="C60" s="36"/>
      <c r="D60" s="38"/>
      <c r="E60" s="38"/>
      <c r="F60" s="38"/>
      <c r="G60" s="39"/>
      <c r="H60" s="40"/>
      <c r="I60" s="40"/>
      <c r="J60" s="45">
        <f>0.13*G59*(11166.2/100)</f>
        <v>716.73322767448963</v>
      </c>
      <c r="K60" s="21"/>
      <c r="M60" s="25"/>
      <c r="N60" s="1"/>
      <c r="O60" s="1"/>
      <c r="P60" s="1"/>
      <c r="Q60" s="1"/>
      <c r="R60" s="25"/>
      <c r="S60" s="25"/>
    </row>
    <row r="61" spans="1:19" ht="15" customHeight="1" x14ac:dyDescent="0.25">
      <c r="A61" s="18"/>
      <c r="B61" s="37"/>
      <c r="C61" s="36"/>
      <c r="D61" s="38"/>
      <c r="E61" s="38"/>
      <c r="F61" s="38"/>
      <c r="G61" s="39"/>
      <c r="H61" s="40"/>
      <c r="I61" s="40"/>
      <c r="J61" s="45"/>
      <c r="K61" s="21"/>
      <c r="M61" s="25"/>
      <c r="N61" s="1"/>
      <c r="O61" s="1"/>
      <c r="P61" s="1"/>
      <c r="Q61" s="1"/>
      <c r="R61" s="25"/>
      <c r="S61" s="25"/>
    </row>
    <row r="62" spans="1:19" ht="30.75" x14ac:dyDescent="0.25">
      <c r="A62" s="67">
        <v>9</v>
      </c>
      <c r="B62" s="63" t="s">
        <v>68</v>
      </c>
      <c r="C62" s="42"/>
      <c r="D62" s="43"/>
      <c r="E62" s="43"/>
      <c r="F62" s="43"/>
      <c r="G62" s="43"/>
      <c r="H62" s="43"/>
      <c r="I62" s="43"/>
      <c r="J62" s="45"/>
      <c r="K62" s="36"/>
    </row>
    <row r="63" spans="1:19" ht="15" customHeight="1" x14ac:dyDescent="0.25">
      <c r="A63" s="18"/>
      <c r="B63" s="37" t="s">
        <v>67</v>
      </c>
      <c r="C63" s="36">
        <v>2</v>
      </c>
      <c r="D63" s="38">
        <f>4/3.281</f>
        <v>1.2191405059433098</v>
      </c>
      <c r="E63" s="38">
        <f>8.5/3.281</f>
        <v>2.5906735751295336</v>
      </c>
      <c r="F63" s="38"/>
      <c r="G63" s="39">
        <f>PRODUCT(C63:F63)</f>
        <v>6.3167901862347655</v>
      </c>
      <c r="H63" s="40"/>
      <c r="I63" s="40"/>
      <c r="J63" s="40"/>
      <c r="K63" s="21"/>
      <c r="M63" s="25"/>
      <c r="N63" s="1"/>
      <c r="O63" s="1"/>
      <c r="P63" s="1"/>
      <c r="Q63" s="1"/>
      <c r="R63" s="25"/>
      <c r="S63" s="25"/>
    </row>
    <row r="64" spans="1:19" ht="15" customHeight="1" x14ac:dyDescent="0.25">
      <c r="A64" s="18"/>
      <c r="B64" s="37" t="s">
        <v>40</v>
      </c>
      <c r="C64" s="36"/>
      <c r="D64" s="38"/>
      <c r="E64" s="38"/>
      <c r="F64" s="38"/>
      <c r="G64" s="34">
        <f>SUM(G63:G63)</f>
        <v>6.3167901862347655</v>
      </c>
      <c r="H64" s="40" t="s">
        <v>45</v>
      </c>
      <c r="I64" s="40">
        <v>816.74</v>
      </c>
      <c r="J64" s="45">
        <f>G64*I64</f>
        <v>5159.1752167053828</v>
      </c>
      <c r="K64" s="21"/>
      <c r="M64" s="25"/>
      <c r="N64" s="1"/>
      <c r="O64" s="1"/>
      <c r="P64" s="1"/>
      <c r="Q64" s="1"/>
      <c r="R64" s="25"/>
      <c r="S64" s="25"/>
    </row>
    <row r="65" spans="1:19" ht="15" customHeight="1" x14ac:dyDescent="0.25">
      <c r="A65" s="18"/>
      <c r="B65" s="37" t="s">
        <v>38</v>
      </c>
      <c r="C65" s="36"/>
      <c r="D65" s="38"/>
      <c r="E65" s="38"/>
      <c r="F65" s="38"/>
      <c r="G65" s="39"/>
      <c r="H65" s="40"/>
      <c r="I65" s="40"/>
      <c r="J65" s="45">
        <f>0.13*G64*(4336.62/10)</f>
        <v>356.11574254658228</v>
      </c>
      <c r="K65" s="21"/>
      <c r="M65" s="25"/>
      <c r="N65" s="1"/>
      <c r="O65" s="1"/>
      <c r="P65" s="1"/>
      <c r="Q65" s="1"/>
      <c r="R65" s="25"/>
      <c r="S65" s="25"/>
    </row>
    <row r="66" spans="1:19" ht="15" customHeight="1" x14ac:dyDescent="0.25">
      <c r="A66" s="40"/>
      <c r="B66" s="37"/>
      <c r="C66" s="42"/>
      <c r="D66" s="43"/>
      <c r="E66" s="43"/>
      <c r="F66" s="43"/>
      <c r="G66" s="43"/>
      <c r="H66" s="43"/>
      <c r="I66" s="43"/>
      <c r="J66" s="45"/>
      <c r="K66" s="36"/>
    </row>
    <row r="67" spans="1:19" ht="30.75" x14ac:dyDescent="0.25">
      <c r="A67" s="67">
        <v>10</v>
      </c>
      <c r="B67" s="63" t="s">
        <v>66</v>
      </c>
      <c r="C67" s="42"/>
      <c r="D67" s="43"/>
      <c r="E67" s="43"/>
      <c r="F67" s="43"/>
      <c r="G67" s="43"/>
      <c r="H67" s="43"/>
      <c r="I67" s="43"/>
      <c r="J67" s="45"/>
      <c r="K67" s="36"/>
    </row>
    <row r="68" spans="1:19" ht="15" customHeight="1" x14ac:dyDescent="0.25">
      <c r="A68" s="18"/>
      <c r="B68" s="37" t="s">
        <v>48</v>
      </c>
      <c r="C68" s="36">
        <v>1</v>
      </c>
      <c r="D68" s="38">
        <f>(8.5*4+4*4)/3.281</f>
        <v>15.239256324291373</v>
      </c>
      <c r="E68" s="38"/>
      <c r="F68" s="38">
        <v>1.8</v>
      </c>
      <c r="G68" s="39">
        <f>PRODUCT(C68:F68)</f>
        <v>27.430661383724473</v>
      </c>
      <c r="H68" s="40"/>
      <c r="I68" s="40"/>
      <c r="J68" s="40"/>
      <c r="K68" s="21"/>
      <c r="M68" s="25"/>
      <c r="N68" s="1"/>
      <c r="O68" s="1"/>
      <c r="P68" s="1"/>
      <c r="Q68" s="1"/>
      <c r="R68" s="25"/>
      <c r="S68" s="25"/>
    </row>
    <row r="69" spans="1:19" ht="15" customHeight="1" x14ac:dyDescent="0.25">
      <c r="A69" s="18"/>
      <c r="B69" s="37" t="s">
        <v>47</v>
      </c>
      <c r="C69" s="36">
        <v>1</v>
      </c>
      <c r="D69" s="38">
        <f>(10*4)/3.281</f>
        <v>12.1914050594331</v>
      </c>
      <c r="E69" s="38"/>
      <c r="F69" s="38">
        <v>1.8</v>
      </c>
      <c r="G69" s="39">
        <f>PRODUCT(C69:F69)</f>
        <v>21.94452910697958</v>
      </c>
      <c r="H69" s="40"/>
      <c r="I69" s="40"/>
      <c r="J69" s="40"/>
      <c r="K69" s="21"/>
      <c r="M69" s="25"/>
      <c r="N69" s="1"/>
      <c r="O69" s="1"/>
      <c r="P69" s="1"/>
      <c r="Q69" s="1"/>
      <c r="R69" s="25"/>
      <c r="S69" s="25"/>
    </row>
    <row r="70" spans="1:19" ht="15" customHeight="1" x14ac:dyDescent="0.25">
      <c r="A70" s="18"/>
      <c r="B70" s="37" t="s">
        <v>67</v>
      </c>
      <c r="C70" s="36">
        <v>2</v>
      </c>
      <c r="D70" s="38">
        <f>4/3.281</f>
        <v>1.2191405059433098</v>
      </c>
      <c r="E70" s="38">
        <f>8.5/3.281</f>
        <v>2.5906735751295336</v>
      </c>
      <c r="F70" s="38"/>
      <c r="G70" s="39">
        <f>PRODUCT(C70:F70)</f>
        <v>6.3167901862347655</v>
      </c>
      <c r="H70" s="40"/>
      <c r="I70" s="40"/>
      <c r="J70" s="40"/>
      <c r="K70" s="21"/>
      <c r="M70" s="25"/>
      <c r="N70" s="1"/>
      <c r="O70" s="1"/>
      <c r="P70" s="1"/>
      <c r="Q70" s="1"/>
      <c r="R70" s="25"/>
      <c r="S70" s="25"/>
    </row>
    <row r="71" spans="1:19" ht="15" customHeight="1" x14ac:dyDescent="0.25">
      <c r="A71" s="18"/>
      <c r="B71" s="37" t="s">
        <v>40</v>
      </c>
      <c r="C71" s="36"/>
      <c r="D71" s="38"/>
      <c r="E71" s="38"/>
      <c r="F71" s="38"/>
      <c r="G71" s="34">
        <f>SUM(G68:G70)</f>
        <v>55.691980676938826</v>
      </c>
      <c r="H71" s="40" t="s">
        <v>45</v>
      </c>
      <c r="I71" s="40">
        <v>279.02999999999997</v>
      </c>
      <c r="J71" s="45">
        <f>G71*I71</f>
        <v>15539.733368286239</v>
      </c>
      <c r="K71" s="21"/>
      <c r="M71" s="25"/>
      <c r="N71" s="1"/>
      <c r="O71" s="1"/>
      <c r="P71" s="1"/>
      <c r="Q71" s="1"/>
      <c r="R71" s="25"/>
      <c r="S71" s="25"/>
    </row>
    <row r="72" spans="1:19" ht="15" customHeight="1" x14ac:dyDescent="0.25">
      <c r="A72" s="18"/>
      <c r="B72" s="37" t="s">
        <v>38</v>
      </c>
      <c r="C72" s="36"/>
      <c r="D72" s="38"/>
      <c r="E72" s="38"/>
      <c r="F72" s="38"/>
      <c r="G72" s="39"/>
      <c r="H72" s="40"/>
      <c r="I72" s="40"/>
      <c r="J72" s="45">
        <f>0.13*G71*(645.36/10)</f>
        <v>467.23789644570013</v>
      </c>
      <c r="K72" s="21"/>
      <c r="M72" s="25"/>
      <c r="N72" s="1"/>
      <c r="O72" s="1"/>
      <c r="P72" s="1"/>
      <c r="Q72" s="1"/>
      <c r="R72" s="25"/>
      <c r="S72" s="25"/>
    </row>
    <row r="73" spans="1:19" ht="15" customHeight="1" x14ac:dyDescent="0.25">
      <c r="A73" s="18"/>
      <c r="B73" s="37"/>
      <c r="C73" s="36"/>
      <c r="D73" s="38"/>
      <c r="E73" s="38"/>
      <c r="F73" s="38"/>
      <c r="G73" s="39"/>
      <c r="H73" s="40"/>
      <c r="I73" s="40"/>
      <c r="J73" s="45"/>
      <c r="K73" s="21"/>
      <c r="M73" s="25"/>
      <c r="N73" s="1"/>
      <c r="O73" s="1"/>
      <c r="P73" s="1"/>
      <c r="Q73" s="1"/>
      <c r="R73" s="25"/>
      <c r="S73" s="25"/>
    </row>
    <row r="74" spans="1:19" ht="15" customHeight="1" x14ac:dyDescent="0.25">
      <c r="A74" s="18">
        <v>11</v>
      </c>
      <c r="B74" s="30" t="s">
        <v>30</v>
      </c>
      <c r="C74" s="19">
        <v>1</v>
      </c>
      <c r="D74" s="20"/>
      <c r="E74" s="21"/>
      <c r="F74" s="21"/>
      <c r="G74" s="34">
        <f t="shared" ref="G74" si="4">PRODUCT(C74:F74)</f>
        <v>1</v>
      </c>
      <c r="H74" s="22" t="s">
        <v>31</v>
      </c>
      <c r="I74" s="23">
        <v>500</v>
      </c>
      <c r="J74" s="34">
        <f>G74*I74</f>
        <v>500</v>
      </c>
      <c r="K74" s="21"/>
      <c r="M74" s="25"/>
      <c r="N74" s="1"/>
      <c r="O74" s="1"/>
      <c r="P74" s="1"/>
      <c r="Q74" s="1"/>
      <c r="R74" s="25"/>
      <c r="S74" s="25"/>
    </row>
    <row r="75" spans="1:19" ht="15" customHeight="1" x14ac:dyDescent="0.25">
      <c r="A75" s="18"/>
      <c r="B75" s="24"/>
      <c r="C75" s="19"/>
      <c r="D75" s="20"/>
      <c r="E75" s="21"/>
      <c r="F75" s="21"/>
      <c r="G75" s="23"/>
      <c r="H75" s="22"/>
      <c r="I75" s="23"/>
      <c r="J75" s="41"/>
      <c r="K75" s="21"/>
      <c r="M75" s="25"/>
      <c r="N75" s="1"/>
      <c r="O75" s="1"/>
      <c r="P75" s="1"/>
      <c r="Q75" s="1"/>
      <c r="R75" s="25"/>
      <c r="S75" s="25"/>
    </row>
    <row r="76" spans="1:19" x14ac:dyDescent="0.25">
      <c r="A76" s="40"/>
      <c r="B76" s="46" t="s">
        <v>17</v>
      </c>
      <c r="C76" s="47"/>
      <c r="D76" s="38"/>
      <c r="E76" s="38"/>
      <c r="F76" s="38"/>
      <c r="G76" s="41"/>
      <c r="H76" s="41"/>
      <c r="I76" s="41"/>
      <c r="J76" s="41">
        <f>SUM(J10:J74)</f>
        <v>262423.16034541605</v>
      </c>
      <c r="K76" s="36"/>
    </row>
    <row r="77" spans="1:19" x14ac:dyDescent="0.25">
      <c r="A77" s="58"/>
      <c r="B77" s="61"/>
      <c r="C77" s="62"/>
      <c r="D77" s="59"/>
      <c r="E77" s="59"/>
      <c r="F77" s="59"/>
      <c r="G77" s="60"/>
      <c r="H77" s="60"/>
      <c r="I77" s="60"/>
      <c r="J77" s="60"/>
      <c r="K77" s="57"/>
    </row>
    <row r="78" spans="1:19" s="1" customFormat="1" x14ac:dyDescent="0.25">
      <c r="A78" s="50"/>
      <c r="B78" s="29" t="s">
        <v>27</v>
      </c>
      <c r="C78" s="79">
        <f>J76</f>
        <v>262423.16034541605</v>
      </c>
      <c r="D78" s="79"/>
      <c r="E78" s="39">
        <v>100</v>
      </c>
      <c r="F78" s="51"/>
      <c r="G78" s="52"/>
      <c r="H78" s="51"/>
      <c r="I78" s="53"/>
      <c r="J78" s="54"/>
      <c r="K78" s="55"/>
    </row>
    <row r="79" spans="1:19" x14ac:dyDescent="0.25">
      <c r="A79" s="56"/>
      <c r="B79" s="29" t="s">
        <v>32</v>
      </c>
      <c r="C79" s="82">
        <v>200000</v>
      </c>
      <c r="D79" s="82"/>
      <c r="E79" s="39"/>
      <c r="F79" s="49"/>
      <c r="G79" s="48"/>
      <c r="H79" s="48"/>
      <c r="I79" s="48"/>
      <c r="J79" s="48"/>
      <c r="K79" s="49"/>
    </row>
    <row r="80" spans="1:19" x14ac:dyDescent="0.25">
      <c r="A80" s="56"/>
      <c r="B80" s="29" t="s">
        <v>33</v>
      </c>
      <c r="C80" s="82">
        <f>C79-C82-C83</f>
        <v>190000</v>
      </c>
      <c r="D80" s="82"/>
      <c r="E80" s="39">
        <f>C80/C78*100</f>
        <v>72.402146117709805</v>
      </c>
      <c r="F80" s="49"/>
      <c r="G80" s="48"/>
      <c r="H80" s="48"/>
      <c r="I80" s="48"/>
      <c r="J80" s="48"/>
      <c r="K80" s="49"/>
    </row>
    <row r="81" spans="1:11" x14ac:dyDescent="0.25">
      <c r="A81" s="56"/>
      <c r="B81" s="29" t="s">
        <v>34</v>
      </c>
      <c r="C81" s="79">
        <f>C78-C80</f>
        <v>72423.16034541605</v>
      </c>
      <c r="D81" s="79"/>
      <c r="E81" s="39">
        <f>100-E80</f>
        <v>27.597853882290195</v>
      </c>
      <c r="F81" s="49"/>
      <c r="G81" s="48"/>
      <c r="H81" s="48"/>
      <c r="I81" s="48"/>
      <c r="J81" s="48"/>
      <c r="K81" s="49"/>
    </row>
    <row r="82" spans="1:11" x14ac:dyDescent="0.25">
      <c r="A82" s="56"/>
      <c r="B82" s="29" t="s">
        <v>35</v>
      </c>
      <c r="C82" s="79">
        <f>C79*0.03</f>
        <v>6000</v>
      </c>
      <c r="D82" s="79"/>
      <c r="E82" s="39">
        <v>3</v>
      </c>
      <c r="F82" s="49"/>
      <c r="G82" s="48"/>
      <c r="H82" s="48"/>
      <c r="I82" s="48"/>
      <c r="J82" s="48"/>
      <c r="K82" s="49"/>
    </row>
    <row r="83" spans="1:11" x14ac:dyDescent="0.25">
      <c r="A83" s="56"/>
      <c r="B83" s="29" t="s">
        <v>36</v>
      </c>
      <c r="C83" s="79">
        <f>C79*0.02</f>
        <v>4000</v>
      </c>
      <c r="D83" s="79"/>
      <c r="E83" s="39">
        <v>2</v>
      </c>
      <c r="F83" s="49"/>
      <c r="G83" s="48"/>
      <c r="H83" s="48"/>
      <c r="I83" s="48"/>
      <c r="J83" s="48"/>
      <c r="K83" s="49"/>
    </row>
    <row r="84" spans="1:11" s="35" customFormat="1" x14ac:dyDescent="0.25">
      <c r="A84" s="57"/>
      <c r="B84" s="57"/>
      <c r="C84" s="57"/>
      <c r="D84" s="57"/>
      <c r="E84" s="57"/>
      <c r="F84" s="57"/>
      <c r="G84" s="57"/>
      <c r="H84" s="57"/>
      <c r="I84" s="57"/>
      <c r="J84" s="57"/>
      <c r="K84" s="57"/>
    </row>
    <row r="85" spans="1:11" s="35" customFormat="1" x14ac:dyDescent="0.25"/>
    <row r="86" spans="1:11" s="35" customFormat="1" x14ac:dyDescent="0.25"/>
    <row r="87" spans="1:11" s="35" customFormat="1" x14ac:dyDescent="0.25"/>
    <row r="88" spans="1:11" s="35" customFormat="1" x14ac:dyDescent="0.25"/>
    <row r="89" spans="1:11" s="35" customFormat="1" x14ac:dyDescent="0.25"/>
    <row r="90" spans="1:11" s="35" customFormat="1" x14ac:dyDescent="0.25"/>
    <row r="91" spans="1:11" s="35" customFormat="1" x14ac:dyDescent="0.25"/>
    <row r="92" spans="1:11" s="35" customFormat="1" x14ac:dyDescent="0.25"/>
    <row r="93" spans="1:11" s="35" customFormat="1" x14ac:dyDescent="0.25"/>
    <row r="94" spans="1:11" s="35" customFormat="1" x14ac:dyDescent="0.25"/>
    <row r="95" spans="1:11" s="35" customFormat="1" x14ac:dyDescent="0.25"/>
    <row r="96" spans="1:11" s="35" customFormat="1" x14ac:dyDescent="0.25"/>
    <row r="97" s="35" customFormat="1" x14ac:dyDescent="0.25"/>
    <row r="98" s="35" customFormat="1" x14ac:dyDescent="0.25"/>
    <row r="99" s="35" customFormat="1" x14ac:dyDescent="0.25"/>
    <row r="100" s="35" customFormat="1" x14ac:dyDescent="0.25"/>
    <row r="101" s="35" customFormat="1" x14ac:dyDescent="0.25"/>
    <row r="102" s="35" customFormat="1" x14ac:dyDescent="0.25"/>
    <row r="103" s="35" customFormat="1" x14ac:dyDescent="0.25"/>
    <row r="104" s="35" customFormat="1" x14ac:dyDescent="0.25"/>
    <row r="105" s="35" customFormat="1" x14ac:dyDescent="0.25"/>
    <row r="106" s="35" customFormat="1" x14ac:dyDescent="0.25"/>
    <row r="107" s="35" customFormat="1" x14ac:dyDescent="0.25"/>
    <row r="108" s="35" customFormat="1" x14ac:dyDescent="0.25"/>
    <row r="109" s="35" customFormat="1" x14ac:dyDescent="0.25"/>
    <row r="110" s="35" customFormat="1" x14ac:dyDescent="0.25"/>
    <row r="111" s="35" customFormat="1" x14ac:dyDescent="0.25"/>
    <row r="112" s="35" customFormat="1" x14ac:dyDescent="0.25"/>
    <row r="113" s="35" customFormat="1" x14ac:dyDescent="0.25"/>
    <row r="114" s="35" customFormat="1" x14ac:dyDescent="0.25"/>
    <row r="115" s="35" customFormat="1" x14ac:dyDescent="0.25"/>
    <row r="116" s="35" customFormat="1" x14ac:dyDescent="0.25"/>
    <row r="117" s="35" customFormat="1" x14ac:dyDescent="0.25"/>
    <row r="118" s="35" customFormat="1" x14ac:dyDescent="0.25"/>
    <row r="119" s="35" customFormat="1" x14ac:dyDescent="0.25"/>
    <row r="120" s="35" customFormat="1" x14ac:dyDescent="0.25"/>
    <row r="121" s="35" customFormat="1" x14ac:dyDescent="0.25"/>
    <row r="122" s="35" customFormat="1" x14ac:dyDescent="0.25"/>
    <row r="123" s="35" customFormat="1" x14ac:dyDescent="0.25"/>
    <row r="124" s="35" customFormat="1" x14ac:dyDescent="0.25"/>
    <row r="125" s="35" customFormat="1" x14ac:dyDescent="0.25"/>
    <row r="126" s="35" customFormat="1" x14ac:dyDescent="0.25"/>
    <row r="127" s="35" customFormat="1" x14ac:dyDescent="0.25"/>
    <row r="128" s="35" customFormat="1" x14ac:dyDescent="0.25"/>
    <row r="129" s="35" customFormat="1" x14ac:dyDescent="0.25"/>
    <row r="130" s="35" customFormat="1" x14ac:dyDescent="0.25"/>
    <row r="131" s="35" customFormat="1" x14ac:dyDescent="0.25"/>
    <row r="132" s="35" customFormat="1" x14ac:dyDescent="0.25"/>
    <row r="133" s="35" customFormat="1" x14ac:dyDescent="0.25"/>
    <row r="134" s="35" customFormat="1" x14ac:dyDescent="0.25"/>
    <row r="135" s="35" customFormat="1" x14ac:dyDescent="0.25"/>
    <row r="136" s="35" customFormat="1" x14ac:dyDescent="0.25"/>
    <row r="137" s="35" customFormat="1" x14ac:dyDescent="0.25"/>
    <row r="138" s="35" customFormat="1" x14ac:dyDescent="0.25"/>
    <row r="139" s="35" customFormat="1" x14ac:dyDescent="0.25"/>
    <row r="140" s="35" customFormat="1" x14ac:dyDescent="0.25"/>
  </sheetData>
  <mergeCells count="15">
    <mergeCell ref="C82:D82"/>
    <mergeCell ref="C83:D83"/>
    <mergeCell ref="A7:F7"/>
    <mergeCell ref="H7:K7"/>
    <mergeCell ref="C78:D78"/>
    <mergeCell ref="C79:D79"/>
    <mergeCell ref="C80:D80"/>
    <mergeCell ref="C81:D81"/>
    <mergeCell ref="A6:F6"/>
    <mergeCell ref="H6:K6"/>
    <mergeCell ref="A1:K1"/>
    <mergeCell ref="A2:K2"/>
    <mergeCell ref="A3:K3"/>
    <mergeCell ref="A4:K4"/>
    <mergeCell ref="A5:K5"/>
  </mergeCells>
  <pageMargins left="0.7" right="0.7" top="0.75" bottom="0.75" header="0.3" footer="0.3"/>
  <pageSetup paperSize="9" scale="80" orientation="portrait" r:id="rId1"/>
  <headerFooter>
    <oddFooter xml:space="preserve">&amp;LPrepared By:
&amp;CChecked By:
&amp;RApproved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4"/>
  <sheetViews>
    <sheetView view="pageBreakPreview" topLeftCell="A25" zoomScale="60" zoomScaleNormal="100" workbookViewId="0">
      <selection activeCell="F30" sqref="F30"/>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3" x14ac:dyDescent="0.25">
      <c r="A1" s="85" t="s">
        <v>0</v>
      </c>
      <c r="B1" s="85"/>
      <c r="C1" s="85"/>
      <c r="D1" s="85"/>
      <c r="E1" s="85"/>
      <c r="F1" s="85"/>
      <c r="G1" s="85"/>
      <c r="H1" s="85"/>
      <c r="I1" s="85"/>
      <c r="J1" s="85"/>
      <c r="K1" s="85"/>
    </row>
    <row r="2" spans="1:13" ht="25.5" x14ac:dyDescent="0.35">
      <c r="A2" s="86" t="s">
        <v>1</v>
      </c>
      <c r="B2" s="86"/>
      <c r="C2" s="86"/>
      <c r="D2" s="86"/>
      <c r="E2" s="86"/>
      <c r="F2" s="86"/>
      <c r="G2" s="86"/>
      <c r="H2" s="86"/>
      <c r="I2" s="86"/>
      <c r="J2" s="86"/>
      <c r="K2" s="86"/>
    </row>
    <row r="3" spans="1:13" s="1" customFormat="1" x14ac:dyDescent="0.25">
      <c r="A3" s="77" t="s">
        <v>2</v>
      </c>
      <c r="B3" s="77"/>
      <c r="C3" s="77"/>
      <c r="D3" s="77"/>
      <c r="E3" s="77"/>
      <c r="F3" s="77"/>
      <c r="G3" s="77"/>
      <c r="H3" s="77"/>
      <c r="I3" s="77"/>
      <c r="J3" s="77"/>
      <c r="K3" s="77"/>
    </row>
    <row r="4" spans="1:13" s="1" customFormat="1" x14ac:dyDescent="0.25">
      <c r="A4" s="77" t="s">
        <v>3</v>
      </c>
      <c r="B4" s="77"/>
      <c r="C4" s="77"/>
      <c r="D4" s="77"/>
      <c r="E4" s="77"/>
      <c r="F4" s="77"/>
      <c r="G4" s="77"/>
      <c r="H4" s="77"/>
      <c r="I4" s="77"/>
      <c r="J4" s="77"/>
      <c r="K4" s="77"/>
    </row>
    <row r="5" spans="1:13" ht="18.75" x14ac:dyDescent="0.3">
      <c r="A5" s="87" t="s">
        <v>18</v>
      </c>
      <c r="B5" s="87"/>
      <c r="C5" s="87"/>
      <c r="D5" s="87"/>
      <c r="E5" s="87"/>
      <c r="F5" s="87"/>
      <c r="G5" s="87"/>
      <c r="H5" s="87"/>
      <c r="I5" s="87"/>
      <c r="J5" s="87"/>
      <c r="K5" s="87"/>
    </row>
    <row r="6" spans="1:13" ht="18.75" x14ac:dyDescent="0.3">
      <c r="A6" s="8" t="s">
        <v>19</v>
      </c>
      <c r="B6" s="8"/>
      <c r="C6" s="83">
        <f>F44</f>
        <v>262423.16034541605</v>
      </c>
      <c r="D6" s="84"/>
      <c r="E6" s="9"/>
      <c r="F6" s="8"/>
      <c r="G6" s="8"/>
      <c r="H6" s="8" t="s">
        <v>20</v>
      </c>
      <c r="I6" s="8"/>
      <c r="J6" s="83">
        <f>I44</f>
        <v>262719.82518484857</v>
      </c>
      <c r="K6" s="84"/>
    </row>
    <row r="7" spans="1:13" x14ac:dyDescent="0.25">
      <c r="A7" s="26" t="s">
        <v>29</v>
      </c>
      <c r="B7" s="10"/>
      <c r="C7" s="10"/>
      <c r="D7" s="10"/>
      <c r="F7" s="90"/>
      <c r="G7" s="90"/>
      <c r="I7" s="91" t="s">
        <v>37</v>
      </c>
      <c r="J7" s="91"/>
      <c r="K7" s="91"/>
    </row>
    <row r="8" spans="1:13" ht="15.75" x14ac:dyDescent="0.25">
      <c r="A8" s="73" t="str">
        <f>'just 15%'!A6:F6</f>
        <v xml:space="preserve">Project:- कालिका भगवती मन्दिर परिसरमा विभिन्न भौतिक संरचना निर्माण </v>
      </c>
      <c r="B8" s="73"/>
      <c r="C8" s="73"/>
      <c r="D8" s="73"/>
      <c r="E8" s="73"/>
      <c r="F8" s="73"/>
      <c r="I8" s="92" t="s">
        <v>82</v>
      </c>
      <c r="J8" s="92"/>
      <c r="K8" s="92"/>
    </row>
    <row r="9" spans="1:13" ht="15.75" x14ac:dyDescent="0.25">
      <c r="A9" s="73" t="str">
        <f>'just 15%'!A7:F7</f>
        <v>Location:- Shankharapur Municipality 9</v>
      </c>
      <c r="B9" s="73"/>
      <c r="C9" s="73"/>
      <c r="D9" s="73"/>
      <c r="E9" s="73"/>
      <c r="F9" s="73"/>
      <c r="I9" s="92" t="s">
        <v>83</v>
      </c>
      <c r="J9" s="92"/>
      <c r="K9" s="92"/>
    </row>
    <row r="11" spans="1:13" x14ac:dyDescent="0.25">
      <c r="A11" s="88" t="s">
        <v>21</v>
      </c>
      <c r="B11" s="88" t="s">
        <v>22</v>
      </c>
      <c r="C11" s="88" t="s">
        <v>12</v>
      </c>
      <c r="D11" s="93" t="s">
        <v>23</v>
      </c>
      <c r="E11" s="93"/>
      <c r="F11" s="93"/>
      <c r="G11" s="93" t="s">
        <v>24</v>
      </c>
      <c r="H11" s="93"/>
      <c r="I11" s="93"/>
      <c r="J11" s="88" t="s">
        <v>25</v>
      </c>
      <c r="K11" s="89" t="s">
        <v>15</v>
      </c>
    </row>
    <row r="12" spans="1:13" x14ac:dyDescent="0.25">
      <c r="A12" s="88"/>
      <c r="B12" s="88"/>
      <c r="C12" s="88"/>
      <c r="D12" s="11" t="s">
        <v>26</v>
      </c>
      <c r="E12" s="11" t="s">
        <v>13</v>
      </c>
      <c r="F12" s="11" t="s">
        <v>14</v>
      </c>
      <c r="G12" s="11" t="s">
        <v>26</v>
      </c>
      <c r="H12" s="11" t="s">
        <v>13</v>
      </c>
      <c r="I12" s="11" t="s">
        <v>14</v>
      </c>
      <c r="J12" s="88"/>
      <c r="K12" s="89"/>
    </row>
    <row r="13" spans="1:13" s="1" customFormat="1" ht="30" x14ac:dyDescent="0.2">
      <c r="A13" s="27">
        <f>'just 15%'!A9</f>
        <v>1</v>
      </c>
      <c r="B13" s="63" t="str">
        <f>'just 15%'!B9</f>
        <v>g/d k|sf/sf] Sn] / l;N6L df6f]df ;j} lsl;dsf] vGg] sfd</v>
      </c>
      <c r="C13" s="12" t="str">
        <f>'just 15%'!H11</f>
        <v>m3</v>
      </c>
      <c r="D13" s="12">
        <f>'just 15%'!G11</f>
        <v>18.137833797374228</v>
      </c>
      <c r="E13" s="12">
        <f>'just 15%'!I11</f>
        <v>663.31</v>
      </c>
      <c r="F13" s="12">
        <f>D13*E13</f>
        <v>12031.006536136298</v>
      </c>
      <c r="G13" s="12">
        <f>V!G11</f>
        <v>18.403255916652913</v>
      </c>
      <c r="H13" s="12">
        <f>V!I11</f>
        <v>663.31</v>
      </c>
      <c r="I13" s="12">
        <f>G13*H13</f>
        <v>12207.063682075042</v>
      </c>
      <c r="J13" s="28">
        <f>I13-F13</f>
        <v>176.05714593874472</v>
      </c>
      <c r="K13" s="14"/>
      <c r="M13" s="1">
        <f>1.25*F13</f>
        <v>15038.758170170371</v>
      </c>
    </row>
    <row r="14" spans="1:13" s="1" customFormat="1" x14ac:dyDescent="0.25">
      <c r="A14" s="29"/>
      <c r="B14" s="29"/>
      <c r="C14" s="12"/>
      <c r="D14" s="12"/>
      <c r="E14" s="12"/>
      <c r="F14" s="12"/>
      <c r="G14" s="12"/>
      <c r="H14" s="12"/>
      <c r="I14" s="12"/>
      <c r="J14" s="28"/>
      <c r="K14" s="14"/>
    </row>
    <row r="15" spans="1:13" s="1" customFormat="1" x14ac:dyDescent="0.25">
      <c r="A15" s="27">
        <f>'just 15%'!A13</f>
        <v>2</v>
      </c>
      <c r="B15" s="72" t="s">
        <v>73</v>
      </c>
      <c r="C15" s="12" t="str">
        <f>'just 15%'!H15</f>
        <v>m3</v>
      </c>
      <c r="D15" s="12">
        <f>'just 15%'!G15</f>
        <v>1.487755817229621</v>
      </c>
      <c r="E15" s="12">
        <f>'just 15%'!I15</f>
        <v>4473.1499999999996</v>
      </c>
      <c r="F15" s="12">
        <f>D15*E15</f>
        <v>6654.9549338406787</v>
      </c>
      <c r="G15" s="12">
        <f>V!G15</f>
        <v>1.393409599904728</v>
      </c>
      <c r="H15" s="12">
        <f>V!I15</f>
        <v>4473.1499999999996</v>
      </c>
      <c r="I15" s="12">
        <f>G15*H15</f>
        <v>6232.9301518138336</v>
      </c>
      <c r="J15" s="28">
        <f>I15-F15</f>
        <v>-422.02478202684506</v>
      </c>
      <c r="K15" s="14"/>
    </row>
    <row r="16" spans="1:13" s="1" customFormat="1" ht="15.75" x14ac:dyDescent="0.25">
      <c r="A16" s="27"/>
      <c r="B16" s="71" t="str">
        <f>'just 15%'!B16</f>
        <v>VAT calculation</v>
      </c>
      <c r="C16" s="12"/>
      <c r="D16" s="12"/>
      <c r="E16" s="12"/>
      <c r="F16" s="12">
        <f>'just 15%'!J16</f>
        <v>598.24074778829436</v>
      </c>
      <c r="G16" s="12"/>
      <c r="H16" s="12"/>
      <c r="I16" s="12">
        <f>V!J16</f>
        <v>560.30323751289018</v>
      </c>
      <c r="J16" s="28">
        <f>I16-F16</f>
        <v>-37.937510275404179</v>
      </c>
      <c r="K16" s="14"/>
    </row>
    <row r="17" spans="1:13" s="1" customFormat="1" x14ac:dyDescent="0.25">
      <c r="A17" s="29"/>
      <c r="B17" s="29"/>
      <c r="C17" s="12"/>
      <c r="D17" s="12"/>
      <c r="E17" s="12"/>
      <c r="F17" s="12"/>
      <c r="G17" s="12"/>
      <c r="H17" s="12"/>
      <c r="I17" s="12"/>
      <c r="J17" s="28"/>
      <c r="K17" s="14"/>
    </row>
    <row r="18" spans="1:13" s="1" customFormat="1" ht="30" x14ac:dyDescent="0.25">
      <c r="A18" s="27">
        <f>'just 15%'!A18</f>
        <v>3</v>
      </c>
      <c r="B18" s="72" t="str">
        <f>'just 15%'!B18</f>
        <v>hu leQf kvf{ndf l;d]G6 s+lqm6 ug]{ sfd -lk=;L=;L= !M@M$_</v>
      </c>
      <c r="C18" s="12" t="str">
        <f>'just 15%'!H20</f>
        <v>m3</v>
      </c>
      <c r="D18" s="12">
        <f>'just 15%'!G20</f>
        <v>0.74387790861481051</v>
      </c>
      <c r="E18" s="12">
        <f>'just 15%'!I20</f>
        <v>12983.1</v>
      </c>
      <c r="F18" s="12">
        <f>D18*E18</f>
        <v>9657.8412753369466</v>
      </c>
      <c r="G18" s="12">
        <f>V!G20</f>
        <v>0</v>
      </c>
      <c r="H18" s="12">
        <f>V!I20</f>
        <v>12983.1</v>
      </c>
      <c r="I18" s="12">
        <f>G18*H18</f>
        <v>0</v>
      </c>
      <c r="J18" s="28">
        <f>I18-F18</f>
        <v>-9657.8412753369466</v>
      </c>
      <c r="K18" s="14"/>
    </row>
    <row r="19" spans="1:13" s="1" customFormat="1" ht="15.75" x14ac:dyDescent="0.25">
      <c r="A19" s="27"/>
      <c r="B19" s="71" t="str">
        <f>'just 15%'!B21</f>
        <v>VAT calculation</v>
      </c>
      <c r="C19" s="12"/>
      <c r="D19" s="12"/>
      <c r="E19" s="12"/>
      <c r="F19" s="12">
        <f>'just 15%'!J21</f>
        <v>781.18658440685033</v>
      </c>
      <c r="G19" s="12"/>
      <c r="H19" s="12"/>
      <c r="I19" s="12">
        <f>V!J21</f>
        <v>0</v>
      </c>
      <c r="J19" s="28">
        <f>I19-F19</f>
        <v>-781.18658440685033</v>
      </c>
      <c r="K19" s="14"/>
    </row>
    <row r="20" spans="1:13" s="1" customFormat="1" x14ac:dyDescent="0.25">
      <c r="A20" s="29"/>
      <c r="B20" s="29"/>
      <c r="C20" s="12"/>
      <c r="D20" s="12"/>
      <c r="E20" s="12"/>
      <c r="F20" s="12"/>
      <c r="G20" s="12"/>
      <c r="H20" s="12"/>
      <c r="I20" s="12"/>
      <c r="J20" s="28"/>
      <c r="K20" s="14"/>
    </row>
    <row r="21" spans="1:13" s="1" customFormat="1" ht="30" x14ac:dyDescent="0.25">
      <c r="A21" s="27">
        <f>'just 15%'!A23</f>
        <v>4</v>
      </c>
      <c r="B21" s="72" t="str">
        <f>'just 15%'!B23</f>
        <v>kmnfd]sf] kfOk / KnfOaf]8{af6 kmdf{ agfpg] sfd</v>
      </c>
      <c r="C21" s="12" t="str">
        <f>'just 15%'!H26</f>
        <v>m2</v>
      </c>
      <c r="D21" s="12">
        <f>'just 15%'!G26</f>
        <v>9.2893973326981865</v>
      </c>
      <c r="E21" s="12">
        <f>'just 15%'!I26</f>
        <v>915.42</v>
      </c>
      <c r="F21" s="12">
        <f>D21*E21</f>
        <v>8503.7001062985728</v>
      </c>
      <c r="G21" s="12">
        <f>V!G26</f>
        <v>6.4478635825991377</v>
      </c>
      <c r="H21" s="12">
        <f>V!I26</f>
        <v>915.42</v>
      </c>
      <c r="I21" s="12">
        <f>G21*H21</f>
        <v>5902.503280782902</v>
      </c>
      <c r="J21" s="28">
        <f>I21-F21</f>
        <v>-2601.1968255156708</v>
      </c>
      <c r="K21" s="14"/>
    </row>
    <row r="22" spans="1:13" s="1" customFormat="1" ht="15.75" x14ac:dyDescent="0.25">
      <c r="A22" s="27"/>
      <c r="B22" s="71" t="str">
        <f>'just 15%'!B27</f>
        <v>VAT calculation</v>
      </c>
      <c r="C22" s="12"/>
      <c r="D22" s="12"/>
      <c r="E22" s="12"/>
      <c r="F22" s="12">
        <f>'just 15%'!J27</f>
        <v>565.50349787611867</v>
      </c>
      <c r="G22" s="12"/>
      <c r="H22" s="12"/>
      <c r="I22" s="12">
        <f>V!J27</f>
        <v>392.52163291079273</v>
      </c>
      <c r="J22" s="28">
        <f>I22-F22</f>
        <v>-172.98186496532594</v>
      </c>
      <c r="K22" s="14"/>
    </row>
    <row r="23" spans="1:13" s="1" customFormat="1" x14ac:dyDescent="0.25">
      <c r="A23" s="29"/>
      <c r="B23" s="29"/>
      <c r="C23" s="12"/>
      <c r="D23" s="12"/>
      <c r="E23" s="12"/>
      <c r="F23" s="12"/>
      <c r="G23" s="12"/>
      <c r="H23" s="12"/>
      <c r="I23" s="12"/>
      <c r="J23" s="28"/>
      <c r="K23" s="14"/>
    </row>
    <row r="24" spans="1:13" s="1" customFormat="1" ht="30" x14ac:dyDescent="0.25">
      <c r="A24" s="27">
        <f>'just 15%'!A29</f>
        <v>5</v>
      </c>
      <c r="B24" s="72" t="str">
        <f>'just 15%'!B29</f>
        <v xml:space="preserve">cf/=;L=;L= nflu kmnfd] 808L sf6\g], df]8\g] #) dL6/ ;Dd </v>
      </c>
      <c r="C24" s="12" t="str">
        <f>'just 15%'!H33</f>
        <v>MT</v>
      </c>
      <c r="D24" s="12">
        <f>'just 15%'!G33</f>
        <v>0.1444907266303182</v>
      </c>
      <c r="E24" s="12">
        <f>'just 15%'!I33</f>
        <v>131940</v>
      </c>
      <c r="F24" s="12">
        <f>D24*E24</f>
        <v>19064.106471604184</v>
      </c>
      <c r="G24" s="12">
        <f>V!G36</f>
        <v>0.1097371933428908</v>
      </c>
      <c r="H24" s="12">
        <f>V!I36</f>
        <v>131940</v>
      </c>
      <c r="I24" s="12">
        <f>G24*H24</f>
        <v>14478.725289661012</v>
      </c>
      <c r="J24" s="28">
        <f>I24-F24</f>
        <v>-4585.3811819431721</v>
      </c>
      <c r="K24" s="14"/>
    </row>
    <row r="25" spans="1:13" s="1" customFormat="1" ht="15.75" x14ac:dyDescent="0.25">
      <c r="A25" s="27"/>
      <c r="B25" s="71" t="str">
        <f>'just 15%'!B34</f>
        <v>VAT calculation</v>
      </c>
      <c r="C25" s="12"/>
      <c r="D25" s="12"/>
      <c r="E25" s="12"/>
      <c r="F25" s="12">
        <f>'just 15%'!J34</f>
        <v>1994.8389718581732</v>
      </c>
      <c r="G25" s="12"/>
      <c r="H25" s="12"/>
      <c r="I25" s="12">
        <f>V!J37</f>
        <v>1515.0316912919504</v>
      </c>
      <c r="J25" s="28">
        <f>I25-F25</f>
        <v>-479.80728056622274</v>
      </c>
      <c r="K25" s="14"/>
    </row>
    <row r="26" spans="1:13" s="1" customFormat="1" x14ac:dyDescent="0.25">
      <c r="A26" s="29"/>
      <c r="B26" s="29"/>
      <c r="C26" s="12"/>
      <c r="D26" s="12"/>
      <c r="E26" s="12"/>
      <c r="F26" s="12"/>
      <c r="G26" s="12"/>
      <c r="H26" s="12"/>
      <c r="I26" s="12"/>
      <c r="J26" s="28"/>
      <c r="K26" s="14"/>
    </row>
    <row r="27" spans="1:13" s="1" customFormat="1" ht="30" x14ac:dyDescent="0.25">
      <c r="A27" s="27">
        <f>'just 15%'!A36</f>
        <v>6</v>
      </c>
      <c r="B27" s="72" t="str">
        <f>'just 15%'!B36</f>
        <v>d]lzgsf] k|of]u u/L ;'k/ :6«Sr/df l;d]G6 s+lqm6 ug]{ sfd -!M!=%M#_</v>
      </c>
      <c r="C27" s="12" t="str">
        <f>'just 15%'!H41</f>
        <v>m3</v>
      </c>
      <c r="D27" s="12">
        <f>'just 15%'!G41</f>
        <v>2.0870979930171387</v>
      </c>
      <c r="E27" s="12">
        <f>'just 15%'!I41</f>
        <v>13568.9</v>
      </c>
      <c r="F27" s="12">
        <f>D27*E27</f>
        <v>28319.623957450254</v>
      </c>
      <c r="G27" s="12">
        <f>V!G44</f>
        <v>1.9541037907158025</v>
      </c>
      <c r="H27" s="12">
        <f>V!I44</f>
        <v>13568.9</v>
      </c>
      <c r="I27" s="12">
        <f>G27*H27</f>
        <v>26515.038925843652</v>
      </c>
      <c r="J27" s="28">
        <f>I27-F27</f>
        <v>-1804.5850316066026</v>
      </c>
      <c r="K27" s="14"/>
      <c r="M27" s="1">
        <f>1.25*F27</f>
        <v>35399.529946812821</v>
      </c>
    </row>
    <row r="28" spans="1:13" s="1" customFormat="1" ht="15.75" x14ac:dyDescent="0.25">
      <c r="A28" s="27"/>
      <c r="B28" s="71" t="str">
        <f>'just 15%'!B42</f>
        <v>VAT calculation</v>
      </c>
      <c r="C28" s="12"/>
      <c r="D28" s="12"/>
      <c r="E28" s="12"/>
      <c r="F28" s="12">
        <f>'just 15%'!J42</f>
        <v>2584.1320316621986</v>
      </c>
      <c r="G28" s="12"/>
      <c r="H28" s="12"/>
      <c r="I28" s="12">
        <f>V!J45</f>
        <v>2419.4657920596082</v>
      </c>
      <c r="J28" s="28">
        <f>I28-F28</f>
        <v>-164.66623960259039</v>
      </c>
      <c r="K28" s="14"/>
    </row>
    <row r="29" spans="1:13" s="1" customFormat="1" x14ac:dyDescent="0.25">
      <c r="A29" s="29"/>
      <c r="B29" s="29"/>
      <c r="C29" s="12"/>
      <c r="D29" s="12"/>
      <c r="E29" s="12"/>
      <c r="F29" s="12"/>
      <c r="G29" s="12"/>
      <c r="H29" s="12"/>
      <c r="I29" s="12"/>
      <c r="J29" s="28"/>
      <c r="K29" s="14"/>
    </row>
    <row r="30" spans="1:13" s="1" customFormat="1" ht="30" x14ac:dyDescent="0.25">
      <c r="A30" s="27">
        <f>'just 15%'!A44</f>
        <v>7</v>
      </c>
      <c r="B30" s="72" t="str">
        <f>'just 15%'!B44</f>
        <v>e'O{+tNnfdf lrDgL e§fsf] O{+6fsf] uf/f] l;d]G6 d;nf -!M^_ df</v>
      </c>
      <c r="C30" s="12" t="str">
        <f>'just 15%'!H53</f>
        <v>m3</v>
      </c>
      <c r="D30" s="12">
        <f>'just 15%'!G53</f>
        <v>8.2078116214262167</v>
      </c>
      <c r="E30" s="12">
        <f>'just 15%'!I53</f>
        <v>14362.76</v>
      </c>
      <c r="F30" s="12">
        <f>D30*E30</f>
        <v>117886.82844375561</v>
      </c>
      <c r="G30" s="12">
        <f>V!G57</f>
        <v>10.015234273988543</v>
      </c>
      <c r="H30" s="12">
        <f>V!I57</f>
        <v>14362.76</v>
      </c>
      <c r="I30" s="12">
        <f>G30*H30</f>
        <v>143846.40622107169</v>
      </c>
      <c r="J30" s="28">
        <f>I30-F30</f>
        <v>25959.577777316081</v>
      </c>
      <c r="K30" s="14"/>
      <c r="M30" s="1">
        <f>1.25*F30</f>
        <v>147358.53555469451</v>
      </c>
    </row>
    <row r="31" spans="1:13" s="1" customFormat="1" ht="15.75" x14ac:dyDescent="0.25">
      <c r="A31" s="27"/>
      <c r="B31" s="32" t="str">
        <f>'just 15%'!B54</f>
        <v>VAT calculation</v>
      </c>
      <c r="C31" s="12"/>
      <c r="D31" s="12"/>
      <c r="E31" s="12"/>
      <c r="F31" s="12">
        <f>'just 15%'!J54</f>
        <v>11002.786523186325</v>
      </c>
      <c r="G31" s="12"/>
      <c r="H31" s="12"/>
      <c r="I31" s="12">
        <f>V!J58</f>
        <v>13425.683943419621</v>
      </c>
      <c r="J31" s="28">
        <f>I31-F31</f>
        <v>2422.8974202332956</v>
      </c>
      <c r="K31" s="14"/>
    </row>
    <row r="32" spans="1:13" s="1" customFormat="1" x14ac:dyDescent="0.25">
      <c r="A32" s="29"/>
      <c r="B32" s="29"/>
      <c r="C32" s="12"/>
      <c r="D32" s="12"/>
      <c r="E32" s="12"/>
      <c r="F32" s="12"/>
      <c r="G32" s="12"/>
      <c r="H32" s="12"/>
      <c r="I32" s="12"/>
      <c r="J32" s="28"/>
      <c r="K32" s="14"/>
    </row>
    <row r="33" spans="1:11" s="1" customFormat="1" x14ac:dyDescent="0.25">
      <c r="A33" s="27">
        <f>'just 15%'!A56</f>
        <v>8</v>
      </c>
      <c r="B33" s="72" t="str">
        <f>'just 15%'!B56</f>
        <v>!@=% dL=dL= l;d]G6 afn'jf -!M$_ Knfi6/</v>
      </c>
      <c r="C33" s="12" t="str">
        <f>'just 15%'!H59</f>
        <v>sqm</v>
      </c>
      <c r="D33" s="12">
        <f>'just 15%'!G59</f>
        <v>49.375190490704057</v>
      </c>
      <c r="E33" s="12">
        <f>'just 15%'!I59</f>
        <v>405.86</v>
      </c>
      <c r="F33" s="12">
        <f>D33*E33</f>
        <v>20039.414812557148</v>
      </c>
      <c r="G33" s="12">
        <f>V!G65</f>
        <v>51.013380355024033</v>
      </c>
      <c r="H33" s="12">
        <f>V!I65</f>
        <v>405.86</v>
      </c>
      <c r="I33" s="12">
        <f>G33*H33</f>
        <v>20704.290550890055</v>
      </c>
      <c r="J33" s="28">
        <f>I33-F33</f>
        <v>664.87573833290662</v>
      </c>
      <c r="K33" s="14"/>
    </row>
    <row r="34" spans="1:11" s="1" customFormat="1" ht="15.75" x14ac:dyDescent="0.25">
      <c r="A34" s="27"/>
      <c r="B34" s="32" t="str">
        <f>'just 15%'!B60</f>
        <v>VAT calculation</v>
      </c>
      <c r="C34" s="12"/>
      <c r="D34" s="12"/>
      <c r="E34" s="12"/>
      <c r="F34" s="12">
        <f>'just 15%'!J60</f>
        <v>716.73322767448963</v>
      </c>
      <c r="G34" s="12"/>
      <c r="H34" s="12"/>
      <c r="I34" s="12">
        <f>V!J66</f>
        <v>740.51329003635021</v>
      </c>
      <c r="J34" s="28">
        <f>I34-F34</f>
        <v>23.780062361860587</v>
      </c>
      <c r="K34" s="14"/>
    </row>
    <row r="35" spans="1:11" s="1" customFormat="1" x14ac:dyDescent="0.25">
      <c r="A35" s="29"/>
      <c r="B35" s="29"/>
      <c r="C35" s="12"/>
      <c r="D35" s="12"/>
      <c r="E35" s="12"/>
      <c r="F35" s="12"/>
      <c r="G35" s="12"/>
      <c r="H35" s="12"/>
      <c r="I35" s="12"/>
      <c r="J35" s="28"/>
      <c r="K35" s="14"/>
    </row>
    <row r="36" spans="1:11" s="1" customFormat="1" x14ac:dyDescent="0.25">
      <c r="A36" s="27">
        <f>'just 15%'!A62</f>
        <v>9</v>
      </c>
      <c r="B36" s="72" t="s">
        <v>74</v>
      </c>
      <c r="C36" s="12" t="str">
        <f>'just 15%'!H64</f>
        <v>sqm</v>
      </c>
      <c r="D36" s="12">
        <f>'just 15%'!G64</f>
        <v>6.3167901862347655</v>
      </c>
      <c r="E36" s="12">
        <f>'just 15%'!I64</f>
        <v>816.74</v>
      </c>
      <c r="F36" s="12">
        <f>D36*E36</f>
        <v>5159.1752167053828</v>
      </c>
      <c r="G36" s="12">
        <f>V!G70</f>
        <v>3.1583950931173828</v>
      </c>
      <c r="H36" s="12">
        <f>V!I70</f>
        <v>816.74</v>
      </c>
      <c r="I36" s="12">
        <f>G36*H36</f>
        <v>2579.5876083526914</v>
      </c>
      <c r="J36" s="28">
        <f>I36-F36</f>
        <v>-2579.5876083526914</v>
      </c>
      <c r="K36" s="14"/>
    </row>
    <row r="37" spans="1:11" s="1" customFormat="1" ht="15.75" x14ac:dyDescent="0.25">
      <c r="A37" s="27"/>
      <c r="B37" s="32" t="str">
        <f>'just 15%'!B65</f>
        <v>VAT calculation</v>
      </c>
      <c r="C37" s="12"/>
      <c r="D37" s="12"/>
      <c r="E37" s="12"/>
      <c r="F37" s="12">
        <f>'just 15%'!J65</f>
        <v>356.11574254658228</v>
      </c>
      <c r="G37" s="12"/>
      <c r="H37" s="12"/>
      <c r="I37" s="12">
        <f>V!J71</f>
        <v>178.05787127329114</v>
      </c>
      <c r="J37" s="28">
        <f>I37-F37</f>
        <v>-178.05787127329114</v>
      </c>
      <c r="K37" s="14"/>
    </row>
    <row r="38" spans="1:11" s="1" customFormat="1" x14ac:dyDescent="0.25">
      <c r="A38" s="29"/>
      <c r="B38" s="29"/>
      <c r="C38" s="12"/>
      <c r="D38" s="12"/>
      <c r="E38" s="12"/>
      <c r="F38" s="12"/>
      <c r="G38" s="12"/>
      <c r="H38" s="12"/>
      <c r="I38" s="12"/>
      <c r="J38" s="28"/>
      <c r="K38" s="14"/>
    </row>
    <row r="39" spans="1:11" s="1" customFormat="1" x14ac:dyDescent="0.25">
      <c r="A39" s="27">
        <f>'just 15%'!A67</f>
        <v>10</v>
      </c>
      <c r="B39" s="72" t="str">
        <f>'just 15%'!B67</f>
        <v># dL=dL= df]6fO{ d;Lgf] l;d]G6 3f]6\g] sfd</v>
      </c>
      <c r="C39" s="12" t="str">
        <f>'just 15%'!H71</f>
        <v>sqm</v>
      </c>
      <c r="D39" s="12">
        <f>'just 15%'!G71</f>
        <v>55.691980676938826</v>
      </c>
      <c r="E39" s="12">
        <f>'just 15%'!I71</f>
        <v>279.02999999999997</v>
      </c>
      <c r="F39" s="12">
        <f>D39*E39</f>
        <v>15539.733368286239</v>
      </c>
      <c r="G39" s="12">
        <f>V!G77</f>
        <v>36.607451569959238</v>
      </c>
      <c r="H39" s="12">
        <f>V!I77</f>
        <v>279.02999999999997</v>
      </c>
      <c r="I39" s="12">
        <f>G39*H39</f>
        <v>10214.577211565726</v>
      </c>
      <c r="J39" s="28">
        <f>I39-F39</f>
        <v>-5325.1561567205135</v>
      </c>
      <c r="K39" s="14"/>
    </row>
    <row r="40" spans="1:11" s="1" customFormat="1" ht="15.75" x14ac:dyDescent="0.25">
      <c r="A40" s="27"/>
      <c r="B40" s="32" t="str">
        <f>'just 15%'!B72</f>
        <v>VAT calculation</v>
      </c>
      <c r="C40" s="12"/>
      <c r="D40" s="12"/>
      <c r="E40" s="12"/>
      <c r="F40" s="12">
        <f>'just 15%'!J72</f>
        <v>467.23789644570013</v>
      </c>
      <c r="G40" s="12"/>
      <c r="H40" s="12"/>
      <c r="I40" s="12">
        <f>V!J78</f>
        <v>307.12480428745562</v>
      </c>
      <c r="J40" s="28">
        <f>I40-F40</f>
        <v>-160.11309215824451</v>
      </c>
      <c r="K40" s="14"/>
    </row>
    <row r="41" spans="1:11" s="1" customFormat="1" x14ac:dyDescent="0.25">
      <c r="A41" s="29"/>
      <c r="B41" s="29"/>
      <c r="C41" s="12"/>
      <c r="D41" s="12"/>
      <c r="E41" s="12"/>
      <c r="F41" s="12"/>
      <c r="G41" s="12"/>
      <c r="H41" s="12"/>
      <c r="I41" s="12"/>
      <c r="J41" s="28"/>
      <c r="K41" s="14"/>
    </row>
    <row r="42" spans="1:11" s="1" customFormat="1" x14ac:dyDescent="0.25">
      <c r="A42" s="27">
        <f>'just 15%'!A74</f>
        <v>11</v>
      </c>
      <c r="B42" s="31" t="str">
        <f>'just 15%'!B74</f>
        <v>Information board (सुचना पाटि)</v>
      </c>
      <c r="C42" s="12" t="str">
        <f>'just 15%'!H74</f>
        <v>no.</v>
      </c>
      <c r="D42" s="12">
        <f>'just 15%'!G74</f>
        <v>1</v>
      </c>
      <c r="E42" s="12">
        <f>'just 15%'!I74</f>
        <v>500</v>
      </c>
      <c r="F42" s="12">
        <f>D42*E42</f>
        <v>500</v>
      </c>
      <c r="G42" s="12">
        <f>V!G80</f>
        <v>1</v>
      </c>
      <c r="H42" s="12">
        <f>V!I80</f>
        <v>500</v>
      </c>
      <c r="I42" s="12">
        <f>G42*H42</f>
        <v>500</v>
      </c>
      <c r="J42" s="28">
        <f>I42-F42</f>
        <v>0</v>
      </c>
      <c r="K42" s="14"/>
    </row>
    <row r="43" spans="1:11" s="1" customFormat="1" x14ac:dyDescent="0.25">
      <c r="A43" s="29"/>
      <c r="B43" s="29"/>
      <c r="C43" s="12"/>
      <c r="D43" s="12"/>
      <c r="E43" s="12"/>
      <c r="F43" s="12"/>
      <c r="G43" s="12"/>
      <c r="H43" s="12"/>
      <c r="I43" s="12"/>
      <c r="J43" s="28"/>
      <c r="K43" s="14"/>
    </row>
    <row r="44" spans="1:11" x14ac:dyDescent="0.25">
      <c r="A44" s="5"/>
      <c r="B44" s="6" t="s">
        <v>16</v>
      </c>
      <c r="C44" s="6"/>
      <c r="D44" s="7"/>
      <c r="E44" s="7"/>
      <c r="F44" s="7">
        <f>SUM(F13:F42)</f>
        <v>262423.16034541605</v>
      </c>
      <c r="G44" s="7"/>
      <c r="H44" s="7"/>
      <c r="I44" s="7">
        <f>SUM(I13:I42)</f>
        <v>262719.82518484857</v>
      </c>
      <c r="J44" s="13">
        <f>I44-F44</f>
        <v>296.6648394325166</v>
      </c>
      <c r="K44" s="5"/>
    </row>
  </sheetData>
  <mergeCells count="20">
    <mergeCell ref="J11:J12"/>
    <mergeCell ref="K11:K12"/>
    <mergeCell ref="A8:F8"/>
    <mergeCell ref="F7:G7"/>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rowBreaks count="1" manualBreakCount="1">
    <brk id="32" max="10"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6"/>
  <sheetViews>
    <sheetView view="pageBreakPreview" zoomScale="60" zoomScaleNormal="100" workbookViewId="0">
      <selection activeCell="B85" sqref="B85"/>
    </sheetView>
  </sheetViews>
  <sheetFormatPr defaultRowHeight="15" x14ac:dyDescent="0.25"/>
  <cols>
    <col min="1" max="1" width="4.7109375" customWidth="1"/>
    <col min="2" max="2" width="31.28515625" customWidth="1"/>
    <col min="3" max="3" width="4.5703125" bestFit="1" customWidth="1"/>
    <col min="4" max="4" width="7.5703125" customWidth="1"/>
    <col min="5" max="6" width="8" customWidth="1"/>
    <col min="7" max="7" width="9.42578125" customWidth="1"/>
    <col min="8" max="8" width="5" bestFit="1" customWidth="1"/>
    <col min="9" max="9" width="9.85546875" customWidth="1"/>
    <col min="10" max="10" width="10.7109375" bestFit="1" customWidth="1"/>
  </cols>
  <sheetData>
    <row r="1" spans="1:19" s="1" customFormat="1" x14ac:dyDescent="0.25">
      <c r="A1" s="75" t="s">
        <v>0</v>
      </c>
      <c r="B1" s="75"/>
      <c r="C1" s="75"/>
      <c r="D1" s="75"/>
      <c r="E1" s="75"/>
      <c r="F1" s="75"/>
      <c r="G1" s="75"/>
      <c r="H1" s="75"/>
      <c r="I1" s="75"/>
      <c r="J1" s="75"/>
      <c r="K1" s="75"/>
    </row>
    <row r="2" spans="1:19" s="1" customFormat="1" ht="22.5" x14ac:dyDescent="0.25">
      <c r="A2" s="76" t="s">
        <v>1</v>
      </c>
      <c r="B2" s="76"/>
      <c r="C2" s="76"/>
      <c r="D2" s="76"/>
      <c r="E2" s="76"/>
      <c r="F2" s="76"/>
      <c r="G2" s="76"/>
      <c r="H2" s="76"/>
      <c r="I2" s="76"/>
      <c r="J2" s="76"/>
      <c r="K2" s="76"/>
    </row>
    <row r="3" spans="1:19" s="1" customFormat="1" x14ac:dyDescent="0.25">
      <c r="A3" s="77" t="s">
        <v>2</v>
      </c>
      <c r="B3" s="77"/>
      <c r="C3" s="77"/>
      <c r="D3" s="77"/>
      <c r="E3" s="77"/>
      <c r="F3" s="77"/>
      <c r="G3" s="77"/>
      <c r="H3" s="77"/>
      <c r="I3" s="77"/>
      <c r="J3" s="77"/>
      <c r="K3" s="77"/>
    </row>
    <row r="4" spans="1:19" s="1" customFormat="1" x14ac:dyDescent="0.25">
      <c r="A4" s="77" t="s">
        <v>3</v>
      </c>
      <c r="B4" s="77"/>
      <c r="C4" s="77"/>
      <c r="D4" s="77"/>
      <c r="E4" s="77"/>
      <c r="F4" s="77"/>
      <c r="G4" s="77"/>
      <c r="H4" s="77"/>
      <c r="I4" s="77"/>
      <c r="J4" s="77"/>
      <c r="K4" s="77"/>
    </row>
    <row r="5" spans="1:19" ht="18.75" x14ac:dyDescent="0.3">
      <c r="A5" s="78" t="s">
        <v>78</v>
      </c>
      <c r="B5" s="78"/>
      <c r="C5" s="78"/>
      <c r="D5" s="78"/>
      <c r="E5" s="78"/>
      <c r="F5" s="78"/>
      <c r="G5" s="78"/>
      <c r="H5" s="78"/>
      <c r="I5" s="78"/>
      <c r="J5" s="78"/>
      <c r="K5" s="78"/>
    </row>
    <row r="6" spans="1:19" ht="15.75" x14ac:dyDescent="0.25">
      <c r="A6" s="73" t="s">
        <v>70</v>
      </c>
      <c r="B6" s="73"/>
      <c r="C6" s="73"/>
      <c r="D6" s="73"/>
      <c r="E6" s="73"/>
      <c r="F6" s="73"/>
      <c r="G6" s="2"/>
      <c r="H6" s="74" t="s">
        <v>41</v>
      </c>
      <c r="I6" s="74"/>
      <c r="J6" s="74"/>
      <c r="K6" s="74"/>
    </row>
    <row r="7" spans="1:19" ht="15.75" x14ac:dyDescent="0.25">
      <c r="A7" s="80" t="s">
        <v>28</v>
      </c>
      <c r="B7" s="80"/>
      <c r="C7" s="80"/>
      <c r="D7" s="80"/>
      <c r="E7" s="80"/>
      <c r="F7" s="80"/>
      <c r="G7" s="3"/>
      <c r="H7" s="81" t="s">
        <v>79</v>
      </c>
      <c r="I7" s="81"/>
      <c r="J7" s="81"/>
      <c r="K7" s="81"/>
    </row>
    <row r="8" spans="1:19" ht="15" customHeight="1" x14ac:dyDescent="0.25">
      <c r="A8" s="4" t="s">
        <v>5</v>
      </c>
      <c r="B8" s="15" t="s">
        <v>6</v>
      </c>
      <c r="C8" s="4" t="s">
        <v>7</v>
      </c>
      <c r="D8" s="16" t="s">
        <v>8</v>
      </c>
      <c r="E8" s="16" t="s">
        <v>9</v>
      </c>
      <c r="F8" s="16" t="s">
        <v>10</v>
      </c>
      <c r="G8" s="16" t="s">
        <v>11</v>
      </c>
      <c r="H8" s="4" t="s">
        <v>12</v>
      </c>
      <c r="I8" s="16" t="s">
        <v>13</v>
      </c>
      <c r="J8" s="16" t="s">
        <v>14</v>
      </c>
      <c r="K8" s="17" t="s">
        <v>15</v>
      </c>
    </row>
    <row r="9" spans="1:19" ht="30.75" x14ac:dyDescent="0.25">
      <c r="A9" s="67">
        <v>1</v>
      </c>
      <c r="B9" s="63" t="s">
        <v>42</v>
      </c>
      <c r="C9" s="36"/>
      <c r="D9" s="36"/>
      <c r="E9" s="36"/>
      <c r="F9" s="36"/>
      <c r="G9" s="36"/>
      <c r="H9" s="36"/>
      <c r="I9" s="36"/>
      <c r="J9" s="36"/>
      <c r="K9" s="36"/>
    </row>
    <row r="10" spans="1:19" ht="15" customHeight="1" x14ac:dyDescent="0.25">
      <c r="A10" s="18"/>
      <c r="B10" s="37" t="s">
        <v>49</v>
      </c>
      <c r="C10" s="36">
        <v>1</v>
      </c>
      <c r="D10" s="38">
        <f>(10)/3.281</f>
        <v>3.047851264858275</v>
      </c>
      <c r="E10" s="38">
        <f>(10)/3.281</f>
        <v>3.047851264858275</v>
      </c>
      <c r="F10" s="38">
        <f>6.5/3.281</f>
        <v>1.9811033221578787</v>
      </c>
      <c r="G10" s="39">
        <f>PRODUCT(C10:F10)</f>
        <v>18.403255916652913</v>
      </c>
      <c r="H10" s="40"/>
      <c r="I10" s="40"/>
      <c r="J10" s="40"/>
      <c r="K10" s="21"/>
      <c r="M10" s="25"/>
      <c r="N10" s="1">
        <f>CONVERT((D10*E10),"m2","ft2")</f>
        <v>99.990240714385521</v>
      </c>
      <c r="O10" s="1"/>
      <c r="P10" s="1"/>
      <c r="Q10" s="1"/>
      <c r="R10" s="25"/>
      <c r="S10" s="25"/>
    </row>
    <row r="11" spans="1:19" ht="15" customHeight="1" x14ac:dyDescent="0.25">
      <c r="A11" s="18"/>
      <c r="B11" s="37" t="s">
        <v>40</v>
      </c>
      <c r="C11" s="19"/>
      <c r="D11" s="20"/>
      <c r="E11" s="21"/>
      <c r="F11" s="21"/>
      <c r="G11" s="23">
        <f>SUM(G10:G10)</f>
        <v>18.403255916652913</v>
      </c>
      <c r="H11" s="22" t="s">
        <v>39</v>
      </c>
      <c r="I11" s="23">
        <v>663.31</v>
      </c>
      <c r="J11" s="41">
        <f>G11*I11</f>
        <v>12207.063682075042</v>
      </c>
      <c r="K11" s="21"/>
      <c r="M11" s="25"/>
      <c r="N11" s="1"/>
      <c r="O11" s="1"/>
      <c r="P11" s="1"/>
      <c r="Q11" s="1"/>
      <c r="R11" s="25"/>
      <c r="S11" s="25"/>
    </row>
    <row r="12" spans="1:19" ht="15" customHeight="1" x14ac:dyDescent="0.25">
      <c r="A12" s="18"/>
      <c r="B12" s="24"/>
      <c r="C12" s="19"/>
      <c r="D12" s="20"/>
      <c r="E12" s="21"/>
      <c r="F12" s="21"/>
      <c r="G12" s="23"/>
      <c r="H12" s="22"/>
      <c r="I12" s="23"/>
      <c r="J12" s="41"/>
      <c r="K12" s="21"/>
      <c r="M12" s="25"/>
      <c r="N12" s="1"/>
      <c r="O12" s="1"/>
      <c r="P12" s="1"/>
      <c r="Q12" s="1"/>
      <c r="R12" s="25"/>
      <c r="S12" s="25"/>
    </row>
    <row r="13" spans="1:19" ht="30.75" x14ac:dyDescent="0.25">
      <c r="A13" s="18">
        <v>2</v>
      </c>
      <c r="B13" s="63" t="s">
        <v>43</v>
      </c>
      <c r="C13" s="19"/>
      <c r="D13" s="20"/>
      <c r="E13" s="21"/>
      <c r="F13" s="21"/>
      <c r="G13" s="23"/>
      <c r="H13" s="22"/>
      <c r="I13" s="23"/>
      <c r="J13" s="41"/>
      <c r="K13" s="21"/>
      <c r="M13" s="25"/>
      <c r="N13" s="1"/>
      <c r="O13" s="1"/>
      <c r="P13" s="1"/>
      <c r="Q13" s="25"/>
      <c r="R13" s="25"/>
    </row>
    <row r="14" spans="1:19" ht="15" customHeight="1" x14ac:dyDescent="0.25">
      <c r="A14" s="18"/>
      <c r="B14" s="37" t="str">
        <f>B10</f>
        <v>-for toilet</v>
      </c>
      <c r="C14" s="36">
        <v>1</v>
      </c>
      <c r="D14" s="38">
        <f>D10</f>
        <v>3.047851264858275</v>
      </c>
      <c r="E14" s="38">
        <f>E10</f>
        <v>3.047851264858275</v>
      </c>
      <c r="F14" s="38">
        <f>0.15</f>
        <v>0.15</v>
      </c>
      <c r="G14" s="39">
        <f>PRODUCT(C14:F14)</f>
        <v>1.393409599904728</v>
      </c>
      <c r="H14" s="40"/>
      <c r="I14" s="40"/>
      <c r="J14" s="40"/>
      <c r="K14" s="21"/>
      <c r="M14" s="25"/>
      <c r="N14" s="1"/>
      <c r="O14" s="1"/>
      <c r="P14" s="1"/>
      <c r="Q14" s="25"/>
      <c r="R14" s="25"/>
    </row>
    <row r="15" spans="1:19" ht="15" customHeight="1" x14ac:dyDescent="0.25">
      <c r="A15" s="40"/>
      <c r="B15" s="37" t="s">
        <v>40</v>
      </c>
      <c r="C15" s="42"/>
      <c r="D15" s="43"/>
      <c r="E15" s="43"/>
      <c r="F15" s="43"/>
      <c r="G15" s="33">
        <f>SUM(G14:G14)</f>
        <v>1.393409599904728</v>
      </c>
      <c r="H15" s="33" t="s">
        <v>39</v>
      </c>
      <c r="I15" s="33">
        <v>4473.1499999999996</v>
      </c>
      <c r="J15" s="44">
        <f>G15*I15</f>
        <v>6232.9301518138336</v>
      </c>
      <c r="K15" s="36"/>
    </row>
    <row r="16" spans="1:19" x14ac:dyDescent="0.25">
      <c r="A16" s="40"/>
      <c r="B16" s="37" t="s">
        <v>38</v>
      </c>
      <c r="C16" s="42"/>
      <c r="D16" s="43"/>
      <c r="E16" s="43"/>
      <c r="F16" s="43"/>
      <c r="G16" s="43"/>
      <c r="H16" s="43"/>
      <c r="I16" s="43"/>
      <c r="J16" s="45">
        <f>0.13*G15*(3093.15)</f>
        <v>560.30323751289018</v>
      </c>
      <c r="K16" s="36"/>
    </row>
    <row r="17" spans="1:18" x14ac:dyDescent="0.25">
      <c r="A17" s="40"/>
      <c r="B17" s="37"/>
      <c r="C17" s="42"/>
      <c r="D17" s="43"/>
      <c r="E17" s="43"/>
      <c r="F17" s="43"/>
      <c r="G17" s="43"/>
      <c r="H17" s="43"/>
      <c r="I17" s="43"/>
      <c r="J17" s="45"/>
      <c r="K17" s="36"/>
    </row>
    <row r="18" spans="1:18" ht="30.75" x14ac:dyDescent="0.25">
      <c r="A18" s="18">
        <v>3</v>
      </c>
      <c r="B18" s="63" t="s">
        <v>44</v>
      </c>
      <c r="C18" s="19"/>
      <c r="D18" s="20"/>
      <c r="E18" s="21"/>
      <c r="F18" s="21"/>
      <c r="G18" s="23"/>
      <c r="H18" s="22"/>
      <c r="I18" s="23"/>
      <c r="J18" s="41"/>
      <c r="K18" s="21"/>
      <c r="M18" s="25"/>
      <c r="N18" s="1"/>
      <c r="O18" s="1"/>
      <c r="P18" s="1"/>
      <c r="Q18" s="25"/>
      <c r="R18" s="25"/>
    </row>
    <row r="19" spans="1:18" ht="15" customHeight="1" x14ac:dyDescent="0.25">
      <c r="A19" s="18"/>
      <c r="B19" s="37" t="str">
        <f>B10</f>
        <v>-for toilet</v>
      </c>
      <c r="C19" s="36">
        <v>0</v>
      </c>
      <c r="D19" s="38">
        <f>D10</f>
        <v>3.047851264858275</v>
      </c>
      <c r="E19" s="38">
        <f>E10</f>
        <v>3.047851264858275</v>
      </c>
      <c r="F19" s="38">
        <v>7.4999999999999997E-2</v>
      </c>
      <c r="G19" s="39">
        <f>PRODUCT(C19:F19)</f>
        <v>0</v>
      </c>
      <c r="H19" s="40"/>
      <c r="I19" s="40"/>
      <c r="J19" s="40"/>
      <c r="K19" s="21"/>
      <c r="M19" s="25"/>
      <c r="N19" s="1"/>
      <c r="O19" s="1"/>
      <c r="P19" s="1"/>
      <c r="Q19" s="25"/>
      <c r="R19" s="25"/>
    </row>
    <row r="20" spans="1:18" ht="15" customHeight="1" x14ac:dyDescent="0.25">
      <c r="A20" s="40"/>
      <c r="B20" s="37" t="s">
        <v>40</v>
      </c>
      <c r="C20" s="42"/>
      <c r="D20" s="43"/>
      <c r="E20" s="43"/>
      <c r="F20" s="43"/>
      <c r="G20" s="33">
        <f>SUM(G19:G19)</f>
        <v>0</v>
      </c>
      <c r="H20" s="33" t="s">
        <v>39</v>
      </c>
      <c r="I20" s="33">
        <v>12983.1</v>
      </c>
      <c r="J20" s="44">
        <f>G20*I20</f>
        <v>0</v>
      </c>
      <c r="K20" s="36"/>
    </row>
    <row r="21" spans="1:18" ht="15" customHeight="1" x14ac:dyDescent="0.25">
      <c r="A21" s="40"/>
      <c r="B21" s="37" t="s">
        <v>38</v>
      </c>
      <c r="C21" s="42"/>
      <c r="D21" s="43"/>
      <c r="E21" s="43"/>
      <c r="F21" s="43"/>
      <c r="G21" s="43"/>
      <c r="H21" s="43"/>
      <c r="I21" s="43"/>
      <c r="J21" s="45">
        <f>0.13*G20*(8078.11)</f>
        <v>0</v>
      </c>
      <c r="K21" s="36"/>
    </row>
    <row r="22" spans="1:18" ht="15" customHeight="1" x14ac:dyDescent="0.25">
      <c r="A22" s="40"/>
      <c r="B22" s="37"/>
      <c r="C22" s="42"/>
      <c r="D22" s="43"/>
      <c r="E22" s="43"/>
      <c r="F22" s="43"/>
      <c r="G22" s="43"/>
      <c r="H22" s="43"/>
      <c r="I22" s="43"/>
      <c r="J22" s="45"/>
      <c r="K22" s="36"/>
    </row>
    <row r="23" spans="1:18" ht="30.75" x14ac:dyDescent="0.25">
      <c r="A23" s="18">
        <v>4</v>
      </c>
      <c r="B23" s="63" t="s">
        <v>57</v>
      </c>
      <c r="C23" s="19"/>
      <c r="D23" s="20"/>
      <c r="E23" s="21"/>
      <c r="F23" s="21"/>
      <c r="G23" s="23"/>
      <c r="H23" s="22"/>
      <c r="I23" s="23"/>
      <c r="J23" s="41"/>
      <c r="K23" s="21"/>
      <c r="M23" s="25"/>
      <c r="N23" s="1"/>
      <c r="O23" s="1"/>
      <c r="P23" s="1"/>
      <c r="Q23" s="25"/>
      <c r="R23" s="25"/>
    </row>
    <row r="24" spans="1:18" ht="15" customHeight="1" x14ac:dyDescent="0.25">
      <c r="A24" s="18"/>
      <c r="B24" s="37" t="str">
        <f>B10</f>
        <v>-for toilet</v>
      </c>
      <c r="C24" s="36">
        <v>2</v>
      </c>
      <c r="D24" s="38">
        <f>8.5/3.281</f>
        <v>2.5906735751295336</v>
      </c>
      <c r="E24" s="38">
        <f>4.083/3.281</f>
        <v>1.2444376714416336</v>
      </c>
      <c r="F24" s="38"/>
      <c r="G24" s="39">
        <f>PRODUCT(C24:F24)</f>
        <v>6.4478635825991377</v>
      </c>
      <c r="H24" s="40"/>
      <c r="I24" s="40"/>
      <c r="J24" s="40"/>
      <c r="K24" s="21"/>
      <c r="M24" s="25"/>
      <c r="N24" s="1"/>
      <c r="O24" s="1"/>
      <c r="P24" s="1"/>
      <c r="Q24" s="25"/>
      <c r="R24" s="25"/>
    </row>
    <row r="25" spans="1:18" ht="15" hidden="1" customHeight="1" x14ac:dyDescent="0.25">
      <c r="A25" s="18"/>
      <c r="B25" s="37" t="s">
        <v>61</v>
      </c>
      <c r="C25" s="36">
        <f>0*1</f>
        <v>0</v>
      </c>
      <c r="D25" s="38">
        <f>(1+10+1)/3.281</f>
        <v>3.6574215178299299</v>
      </c>
      <c r="E25" s="38">
        <f>(1+10+1)/3.281</f>
        <v>3.6574215178299299</v>
      </c>
      <c r="F25" s="38"/>
      <c r="G25" s="39">
        <f>PRODUCT(C25:F25)</f>
        <v>0</v>
      </c>
      <c r="H25" s="40"/>
      <c r="I25" s="40"/>
      <c r="J25" s="40"/>
      <c r="K25" s="21"/>
      <c r="M25" s="25"/>
      <c r="N25" s="1"/>
      <c r="O25" s="1"/>
      <c r="P25" s="1"/>
      <c r="Q25" s="25"/>
      <c r="R25" s="25"/>
    </row>
    <row r="26" spans="1:18" ht="15" customHeight="1" x14ac:dyDescent="0.25">
      <c r="A26" s="40"/>
      <c r="B26" s="37" t="s">
        <v>40</v>
      </c>
      <c r="C26" s="42"/>
      <c r="D26" s="43"/>
      <c r="E26" s="43"/>
      <c r="F26" s="43"/>
      <c r="G26" s="33">
        <f>SUM(G24:G25)</f>
        <v>6.4478635825991377</v>
      </c>
      <c r="H26" s="33" t="s">
        <v>58</v>
      </c>
      <c r="I26" s="33">
        <v>915.42</v>
      </c>
      <c r="J26" s="44">
        <f>G26*I26</f>
        <v>5902.503280782902</v>
      </c>
      <c r="K26" s="36"/>
    </row>
    <row r="27" spans="1:18" ht="15" customHeight="1" x14ac:dyDescent="0.25">
      <c r="A27" s="40"/>
      <c r="B27" s="37" t="s">
        <v>38</v>
      </c>
      <c r="C27" s="42"/>
      <c r="D27" s="43"/>
      <c r="E27" s="43"/>
      <c r="F27" s="43"/>
      <c r="G27" s="43"/>
      <c r="H27" s="43"/>
      <c r="I27" s="43"/>
      <c r="J27" s="45">
        <f>0.13*G26*46827.87/100</f>
        <v>392.52163291079273</v>
      </c>
      <c r="K27" s="36"/>
    </row>
    <row r="28" spans="1:18" ht="15" customHeight="1" x14ac:dyDescent="0.25">
      <c r="A28" s="40"/>
      <c r="B28" s="37"/>
      <c r="C28" s="42"/>
      <c r="D28" s="43"/>
      <c r="E28" s="43"/>
      <c r="F28" s="43"/>
      <c r="G28" s="43"/>
      <c r="H28" s="43"/>
      <c r="I28" s="43"/>
      <c r="J28" s="45"/>
      <c r="K28" s="36"/>
    </row>
    <row r="29" spans="1:18" s="1" customFormat="1" ht="45" x14ac:dyDescent="0.25">
      <c r="A29" s="18">
        <v>5</v>
      </c>
      <c r="B29" s="72" t="s">
        <v>51</v>
      </c>
      <c r="C29" s="19" t="s">
        <v>7</v>
      </c>
      <c r="D29" s="64" t="s">
        <v>52</v>
      </c>
      <c r="E29" s="65" t="s">
        <v>53</v>
      </c>
      <c r="F29" s="65" t="s">
        <v>54</v>
      </c>
      <c r="G29" s="66" t="s">
        <v>55</v>
      </c>
      <c r="H29" s="22"/>
      <c r="I29" s="23"/>
      <c r="J29" s="34"/>
      <c r="K29" s="21"/>
      <c r="M29" s="94"/>
      <c r="Q29" s="94"/>
      <c r="R29" s="94"/>
    </row>
    <row r="30" spans="1:18" ht="15" customHeight="1" x14ac:dyDescent="0.25">
      <c r="A30" s="18"/>
      <c r="B30" s="37" t="s">
        <v>60</v>
      </c>
      <c r="C30" s="36">
        <f>3*2</f>
        <v>6</v>
      </c>
      <c r="D30" s="38">
        <f>3.583/3.281</f>
        <v>1.0920451081987199</v>
      </c>
      <c r="E30" s="38">
        <f>8*8/162</f>
        <v>0.39506172839506171</v>
      </c>
      <c r="F30" s="38">
        <f>PRODUCT(C30:E30)</f>
        <v>2.5885513675821508</v>
      </c>
      <c r="G30" s="68">
        <f>F30/1000</f>
        <v>2.5885513675821506E-3</v>
      </c>
      <c r="H30" s="40"/>
      <c r="I30" s="40"/>
      <c r="J30" s="40"/>
      <c r="K30" s="21"/>
      <c r="M30" s="25"/>
      <c r="N30" s="1"/>
      <c r="O30" s="1"/>
      <c r="P30" s="1"/>
      <c r="Q30" s="25"/>
      <c r="R30" s="25"/>
    </row>
    <row r="31" spans="1:18" ht="15" customHeight="1" x14ac:dyDescent="0.25">
      <c r="A31" s="18"/>
      <c r="B31" s="37"/>
      <c r="C31" s="36">
        <f>7*2</f>
        <v>14</v>
      </c>
      <c r="D31" s="38">
        <f>2.46</f>
        <v>2.46</v>
      </c>
      <c r="E31" s="38">
        <f t="shared" ref="E31:E35" si="0">8*8/162</f>
        <v>0.39506172839506171</v>
      </c>
      <c r="F31" s="38">
        <f t="shared" ref="F31:F35" si="1">PRODUCT(C31:E31)</f>
        <v>13.605925925925924</v>
      </c>
      <c r="G31" s="68">
        <f t="shared" ref="G31:G35" si="2">F31/1000</f>
        <v>1.3605925925925924E-2</v>
      </c>
      <c r="H31" s="40"/>
      <c r="I31" s="40"/>
      <c r="J31" s="40"/>
      <c r="K31" s="21"/>
      <c r="M31" s="25"/>
      <c r="N31" s="1"/>
      <c r="O31" s="1"/>
      <c r="P31" s="1"/>
      <c r="Q31" s="25"/>
      <c r="R31" s="25"/>
    </row>
    <row r="32" spans="1:18" ht="15" customHeight="1" x14ac:dyDescent="0.25">
      <c r="A32" s="18"/>
      <c r="B32" s="37"/>
      <c r="C32" s="36">
        <f>16*2</f>
        <v>32</v>
      </c>
      <c r="D32" s="38">
        <f>3.18</f>
        <v>3.18</v>
      </c>
      <c r="E32" s="38">
        <f t="shared" si="0"/>
        <v>0.39506172839506171</v>
      </c>
      <c r="F32" s="38">
        <f t="shared" si="1"/>
        <v>40.20148148148148</v>
      </c>
      <c r="G32" s="68">
        <f t="shared" si="2"/>
        <v>4.0201481481481477E-2</v>
      </c>
      <c r="H32" s="40"/>
      <c r="I32" s="40"/>
      <c r="J32" s="40"/>
      <c r="K32" s="21"/>
      <c r="M32" s="25"/>
      <c r="N32" s="1"/>
      <c r="O32" s="1"/>
      <c r="P32" s="1"/>
      <c r="Q32" s="25"/>
      <c r="R32" s="25"/>
    </row>
    <row r="33" spans="1:18" ht="15" customHeight="1" x14ac:dyDescent="0.25">
      <c r="A33" s="18"/>
      <c r="B33" s="37"/>
      <c r="C33" s="36">
        <f>3*2</f>
        <v>6</v>
      </c>
      <c r="D33" s="38">
        <f>1.15</f>
        <v>1.1499999999999999</v>
      </c>
      <c r="E33" s="38">
        <f t="shared" si="0"/>
        <v>0.39506172839506171</v>
      </c>
      <c r="F33" s="38">
        <f t="shared" si="1"/>
        <v>2.7259259259259254</v>
      </c>
      <c r="G33" s="68">
        <f t="shared" si="2"/>
        <v>2.7259259259259255E-3</v>
      </c>
      <c r="H33" s="40"/>
      <c r="I33" s="40"/>
      <c r="J33" s="40"/>
      <c r="K33" s="21"/>
      <c r="M33" s="25"/>
      <c r="N33" s="1"/>
      <c r="O33" s="1"/>
      <c r="P33" s="1"/>
      <c r="Q33" s="25"/>
      <c r="R33" s="25"/>
    </row>
    <row r="34" spans="1:18" ht="15" customHeight="1" x14ac:dyDescent="0.25">
      <c r="A34" s="18"/>
      <c r="B34" s="37"/>
      <c r="C34" s="36">
        <f>19*2</f>
        <v>38</v>
      </c>
      <c r="D34" s="38">
        <f>3.3</f>
        <v>3.3</v>
      </c>
      <c r="E34" s="38">
        <f t="shared" si="0"/>
        <v>0.39506172839506171</v>
      </c>
      <c r="F34" s="38">
        <f t="shared" si="1"/>
        <v>49.540740740740738</v>
      </c>
      <c r="G34" s="68">
        <f t="shared" si="2"/>
        <v>4.9540740740740739E-2</v>
      </c>
      <c r="H34" s="40"/>
      <c r="I34" s="40"/>
      <c r="J34" s="40"/>
      <c r="K34" s="21"/>
      <c r="M34" s="25"/>
      <c r="N34" s="1"/>
      <c r="O34" s="1"/>
      <c r="P34" s="1"/>
      <c r="Q34" s="25"/>
      <c r="R34" s="25"/>
    </row>
    <row r="35" spans="1:18" ht="15" customHeight="1" x14ac:dyDescent="0.25">
      <c r="A35" s="18"/>
      <c r="B35" s="37"/>
      <c r="C35" s="36">
        <f>8*2</f>
        <v>16</v>
      </c>
      <c r="D35" s="38">
        <f>0.17</f>
        <v>0.17</v>
      </c>
      <c r="E35" s="38">
        <f t="shared" si="0"/>
        <v>0.39506172839506171</v>
      </c>
      <c r="F35" s="38">
        <f t="shared" si="1"/>
        <v>1.0745679012345679</v>
      </c>
      <c r="G35" s="68">
        <f t="shared" si="2"/>
        <v>1.0745679012345679E-3</v>
      </c>
      <c r="H35" s="40"/>
      <c r="I35" s="40"/>
      <c r="J35" s="40"/>
      <c r="K35" s="21"/>
      <c r="M35" s="25"/>
      <c r="N35" s="1"/>
      <c r="O35" s="1"/>
      <c r="P35" s="1"/>
      <c r="Q35" s="25"/>
      <c r="R35" s="25"/>
    </row>
    <row r="36" spans="1:18" ht="15" customHeight="1" x14ac:dyDescent="0.25">
      <c r="A36" s="40"/>
      <c r="B36" s="37" t="s">
        <v>40</v>
      </c>
      <c r="C36" s="42"/>
      <c r="D36" s="43"/>
      <c r="E36" s="43"/>
      <c r="F36" s="43"/>
      <c r="G36" s="33">
        <f>SUM(G30:G35)</f>
        <v>0.1097371933428908</v>
      </c>
      <c r="H36" s="33" t="s">
        <v>59</v>
      </c>
      <c r="I36" s="33">
        <v>131940</v>
      </c>
      <c r="J36" s="44">
        <f>G36*I36</f>
        <v>14478.725289661012</v>
      </c>
      <c r="K36" s="36"/>
    </row>
    <row r="37" spans="1:18" ht="15" customHeight="1" x14ac:dyDescent="0.25">
      <c r="A37" s="40"/>
      <c r="B37" s="37" t="s">
        <v>38</v>
      </c>
      <c r="C37" s="42"/>
      <c r="D37" s="43"/>
      <c r="E37" s="43"/>
      <c r="F37" s="43"/>
      <c r="G37" s="43"/>
      <c r="H37" s="43"/>
      <c r="I37" s="43"/>
      <c r="J37" s="45">
        <f>0.13*G36*106200</f>
        <v>1515.0316912919504</v>
      </c>
      <c r="K37" s="36"/>
    </row>
    <row r="38" spans="1:18" ht="15" customHeight="1" x14ac:dyDescent="0.25">
      <c r="A38" s="40"/>
      <c r="B38" s="37"/>
      <c r="C38" s="42"/>
      <c r="D38" s="43"/>
      <c r="E38" s="43"/>
      <c r="F38" s="43"/>
      <c r="G38" s="43"/>
      <c r="H38" s="43"/>
      <c r="I38" s="43"/>
      <c r="J38" s="45"/>
      <c r="K38" s="36"/>
    </row>
    <row r="39" spans="1:18" ht="30.75" x14ac:dyDescent="0.25">
      <c r="A39" s="67">
        <v>6</v>
      </c>
      <c r="B39" s="63" t="s">
        <v>50</v>
      </c>
      <c r="C39" s="42"/>
      <c r="D39" s="43"/>
      <c r="E39" s="43"/>
      <c r="F39" s="43"/>
      <c r="G39" s="43"/>
      <c r="H39" s="43"/>
      <c r="I39" s="43"/>
      <c r="J39" s="45"/>
      <c r="K39" s="36"/>
    </row>
    <row r="40" spans="1:18" ht="15" customHeight="1" x14ac:dyDescent="0.25">
      <c r="A40" s="40"/>
      <c r="B40" s="37" t="str">
        <f>B30</f>
        <v>-for toilet footing</v>
      </c>
      <c r="C40" s="42">
        <v>1</v>
      </c>
      <c r="D40" s="43">
        <f>11/3.281</f>
        <v>3.3526363913441024</v>
      </c>
      <c r="E40" s="43">
        <f>10.5/3.281</f>
        <v>3.2002438281011885</v>
      </c>
      <c r="F40" s="43">
        <v>0.125</v>
      </c>
      <c r="G40" s="39">
        <f>PRODUCT(C40:F40)</f>
        <v>1.3411567399083006</v>
      </c>
      <c r="H40" s="43"/>
      <c r="I40" s="43"/>
      <c r="J40" s="45"/>
      <c r="K40" s="36"/>
    </row>
    <row r="41" spans="1:18" ht="15" customHeight="1" x14ac:dyDescent="0.25">
      <c r="A41" s="40"/>
      <c r="B41" s="37" t="s">
        <v>72</v>
      </c>
      <c r="C41" s="42">
        <v>-1</v>
      </c>
      <c r="D41" s="43">
        <f>22/12/3.281</f>
        <v>0.55877273189068366</v>
      </c>
      <c r="E41" s="43">
        <f>45/12/3.281</f>
        <v>1.1429442243218531</v>
      </c>
      <c r="F41" s="43">
        <v>0.125</v>
      </c>
      <c r="G41" s="39">
        <f>PRODUCT(C41:F41)</f>
        <v>-7.983075832787502E-2</v>
      </c>
      <c r="H41" s="43"/>
      <c r="I41" s="43"/>
      <c r="J41" s="45"/>
      <c r="K41" s="36"/>
    </row>
    <row r="42" spans="1:18" ht="15" customHeight="1" x14ac:dyDescent="0.25">
      <c r="A42" s="40"/>
      <c r="B42" s="37" t="s">
        <v>69</v>
      </c>
      <c r="C42" s="42">
        <v>-1</v>
      </c>
      <c r="D42" s="43">
        <v>0.1</v>
      </c>
      <c r="E42" s="43">
        <v>0.1</v>
      </c>
      <c r="F42" s="43">
        <v>0.125</v>
      </c>
      <c r="G42" s="68">
        <f>C42*F42*D42*E42*PI()</f>
        <v>-3.9269908169872417E-3</v>
      </c>
      <c r="H42" s="43"/>
      <c r="I42" s="43"/>
      <c r="J42" s="45"/>
      <c r="K42" s="36"/>
    </row>
    <row r="43" spans="1:18" ht="15" customHeight="1" x14ac:dyDescent="0.25">
      <c r="A43" s="40"/>
      <c r="B43" s="37" t="s">
        <v>75</v>
      </c>
      <c r="C43" s="42">
        <v>1</v>
      </c>
      <c r="D43" s="43">
        <f>D19</f>
        <v>3.047851264858275</v>
      </c>
      <c r="E43" s="43">
        <f>E19</f>
        <v>3.047851264858275</v>
      </c>
      <c r="F43" s="43">
        <v>7.4999999999999997E-2</v>
      </c>
      <c r="G43" s="39">
        <f>PRODUCT(C43:F43)</f>
        <v>0.69670479995236401</v>
      </c>
      <c r="H43" s="43"/>
      <c r="I43" s="43"/>
      <c r="J43" s="45"/>
      <c r="K43" s="36"/>
    </row>
    <row r="44" spans="1:18" ht="15" customHeight="1" x14ac:dyDescent="0.25">
      <c r="A44" s="40"/>
      <c r="B44" s="37" t="s">
        <v>40</v>
      </c>
      <c r="C44" s="42"/>
      <c r="D44" s="43"/>
      <c r="E44" s="43"/>
      <c r="F44" s="43"/>
      <c r="G44" s="33">
        <f>SUM(G40:G43)</f>
        <v>1.9541037907158025</v>
      </c>
      <c r="H44" s="33" t="s">
        <v>39</v>
      </c>
      <c r="I44" s="33">
        <v>13568.9</v>
      </c>
      <c r="J44" s="44">
        <f>G44*I44</f>
        <v>26515.038925843652</v>
      </c>
      <c r="K44" s="36"/>
    </row>
    <row r="45" spans="1:18" ht="15" customHeight="1" x14ac:dyDescent="0.25">
      <c r="A45" s="40"/>
      <c r="B45" s="37" t="s">
        <v>38</v>
      </c>
      <c r="C45" s="42"/>
      <c r="D45" s="43"/>
      <c r="E45" s="43"/>
      <c r="F45" s="43"/>
      <c r="G45" s="43"/>
      <c r="H45" s="43"/>
      <c r="I45" s="43"/>
      <c r="J45" s="45">
        <f>0.13*G44*(9524.2)</f>
        <v>2419.4657920596082</v>
      </c>
      <c r="K45" s="36"/>
    </row>
    <row r="46" spans="1:18" ht="15" customHeight="1" x14ac:dyDescent="0.25">
      <c r="A46" s="40"/>
      <c r="B46" s="37"/>
      <c r="C46" s="42"/>
      <c r="D46" s="43"/>
      <c r="E46" s="43"/>
      <c r="F46" s="43"/>
      <c r="G46" s="43"/>
      <c r="H46" s="43"/>
      <c r="I46" s="43"/>
      <c r="J46" s="45"/>
      <c r="K46" s="36"/>
    </row>
    <row r="47" spans="1:18" ht="30.75" x14ac:dyDescent="0.25">
      <c r="A47" s="18">
        <v>7</v>
      </c>
      <c r="B47" s="63" t="s">
        <v>62</v>
      </c>
      <c r="C47" s="42"/>
      <c r="D47" s="43"/>
      <c r="E47" s="43"/>
      <c r="F47" s="43"/>
      <c r="G47" s="43"/>
      <c r="H47" s="43"/>
      <c r="I47" s="43"/>
      <c r="J47" s="45"/>
      <c r="K47" s="36"/>
    </row>
    <row r="48" spans="1:18" ht="15" customHeight="1" x14ac:dyDescent="0.25">
      <c r="A48" s="40"/>
      <c r="B48" s="37" t="s">
        <v>63</v>
      </c>
      <c r="C48" s="42">
        <v>2</v>
      </c>
      <c r="D48" s="43">
        <f>10/3.281</f>
        <v>3.047851264858275</v>
      </c>
      <c r="E48" s="43">
        <v>0.23</v>
      </c>
      <c r="F48" s="43">
        <f>6/3.281</f>
        <v>1.8287107589149649</v>
      </c>
      <c r="G48" s="39">
        <f>PRODUCT(C48:F48)</f>
        <v>2.5638736638246993</v>
      </c>
      <c r="H48" s="43"/>
      <c r="I48" s="43"/>
      <c r="J48" s="45"/>
      <c r="K48" s="36"/>
    </row>
    <row r="49" spans="1:19" ht="15" customHeight="1" x14ac:dyDescent="0.25">
      <c r="A49" s="40"/>
      <c r="B49" s="37"/>
      <c r="C49" s="42">
        <v>2</v>
      </c>
      <c r="D49" s="43">
        <f>(10-1.5)/3.281</f>
        <v>2.5906735751295336</v>
      </c>
      <c r="E49" s="43">
        <v>0.23</v>
      </c>
      <c r="F49" s="43">
        <f>6/3.281</f>
        <v>1.8287107589149649</v>
      </c>
      <c r="G49" s="39">
        <f>PRODUCT(C49:F49)</f>
        <v>2.1792926142509943</v>
      </c>
      <c r="H49" s="43"/>
      <c r="I49" s="43"/>
      <c r="J49" s="45"/>
      <c r="K49" s="36"/>
    </row>
    <row r="50" spans="1:19" ht="15" customHeight="1" x14ac:dyDescent="0.25">
      <c r="A50" s="40"/>
      <c r="B50" s="37"/>
      <c r="C50" s="42">
        <v>1</v>
      </c>
      <c r="D50" s="43">
        <f>8.5/3.281</f>
        <v>2.5906735751295336</v>
      </c>
      <c r="E50" s="43">
        <v>0.1</v>
      </c>
      <c r="F50" s="43">
        <f>6/3.281</f>
        <v>1.8287107589149649</v>
      </c>
      <c r="G50" s="39">
        <f>PRODUCT(C50:F50)</f>
        <v>0.47375926396760742</v>
      </c>
      <c r="H50" s="43"/>
      <c r="I50" s="43"/>
      <c r="J50" s="45"/>
      <c r="K50" s="36"/>
    </row>
    <row r="51" spans="1:19" ht="15" customHeight="1" x14ac:dyDescent="0.25">
      <c r="A51" s="40"/>
      <c r="B51" s="37" t="s">
        <v>49</v>
      </c>
      <c r="C51" s="42">
        <v>1</v>
      </c>
      <c r="D51" s="43">
        <f>3.27+10.75/3.281</f>
        <v>6.5464401097226457</v>
      </c>
      <c r="E51" s="43">
        <f t="shared" ref="C51:E53" si="3">E48</f>
        <v>0.23</v>
      </c>
      <c r="F51" s="43">
        <f>7/3.281</f>
        <v>2.1334958854007922</v>
      </c>
      <c r="G51" s="39">
        <f t="shared" ref="G51:G56" si="4">PRODUCT(C51:F51)</f>
        <v>3.2123646987666743</v>
      </c>
      <c r="H51" s="43"/>
      <c r="I51" s="43"/>
      <c r="J51" s="45"/>
      <c r="K51" s="36"/>
    </row>
    <row r="52" spans="1:19" ht="15" customHeight="1" x14ac:dyDescent="0.25">
      <c r="A52" s="40"/>
      <c r="B52" s="37"/>
      <c r="C52" s="42">
        <v>2</v>
      </c>
      <c r="D52" s="43">
        <f>(8-1.5)/3.281</f>
        <v>1.9811033221578787</v>
      </c>
      <c r="E52" s="43">
        <f t="shared" si="3"/>
        <v>0.23</v>
      </c>
      <c r="F52" s="43">
        <f t="shared" ref="F52:F53" si="5">7/3.281</f>
        <v>2.1334958854007922</v>
      </c>
      <c r="G52" s="39">
        <f t="shared" si="4"/>
        <v>1.9442708617337301</v>
      </c>
      <c r="H52" s="43"/>
      <c r="I52" s="43"/>
      <c r="J52" s="45"/>
      <c r="K52" s="36"/>
    </row>
    <row r="53" spans="1:19" ht="15" customHeight="1" x14ac:dyDescent="0.25">
      <c r="A53" s="40"/>
      <c r="B53" s="37"/>
      <c r="C53" s="42">
        <f t="shared" si="3"/>
        <v>1</v>
      </c>
      <c r="D53" s="43">
        <f>(8-1.5)/3.281</f>
        <v>1.9811033221578787</v>
      </c>
      <c r="E53" s="43">
        <f t="shared" si="3"/>
        <v>0.1</v>
      </c>
      <c r="F53" s="43">
        <f t="shared" si="5"/>
        <v>2.1334958854007922</v>
      </c>
      <c r="G53" s="39">
        <f t="shared" si="4"/>
        <v>0.42266757863776744</v>
      </c>
      <c r="H53" s="43"/>
      <c r="I53" s="43"/>
      <c r="J53" s="45"/>
      <c r="K53" s="36"/>
    </row>
    <row r="54" spans="1:19" ht="15" customHeight="1" x14ac:dyDescent="0.25">
      <c r="A54" s="40"/>
      <c r="B54" s="37" t="s">
        <v>64</v>
      </c>
      <c r="C54" s="42">
        <f>-1</f>
        <v>-1</v>
      </c>
      <c r="D54" s="43">
        <v>0.9</v>
      </c>
      <c r="E54" s="43">
        <v>0.23</v>
      </c>
      <c r="F54" s="43">
        <v>0.45</v>
      </c>
      <c r="G54" s="39">
        <f t="shared" si="4"/>
        <v>-9.3150000000000011E-2</v>
      </c>
      <c r="H54" s="43"/>
      <c r="I54" s="43"/>
      <c r="J54" s="45"/>
      <c r="K54" s="36"/>
    </row>
    <row r="55" spans="1:19" ht="15" customHeight="1" x14ac:dyDescent="0.25">
      <c r="A55" s="40"/>
      <c r="B55" s="37"/>
      <c r="C55" s="42">
        <v>-1</v>
      </c>
      <c r="D55" s="43">
        <v>0.75</v>
      </c>
      <c r="E55" s="43">
        <v>0.23</v>
      </c>
      <c r="F55" s="43">
        <f>1.083/3.281</f>
        <v>0.33008229198415112</v>
      </c>
      <c r="G55" s="39">
        <f t="shared" si="4"/>
        <v>-5.6939195367266077E-2</v>
      </c>
      <c r="H55" s="43"/>
      <c r="I55" s="43"/>
      <c r="J55" s="45"/>
      <c r="K55" s="36"/>
    </row>
    <row r="56" spans="1:19" ht="15" customHeight="1" x14ac:dyDescent="0.25">
      <c r="A56" s="40"/>
      <c r="B56" s="37" t="s">
        <v>65</v>
      </c>
      <c r="C56" s="42">
        <v>-2</v>
      </c>
      <c r="D56" s="43">
        <f>0.75</f>
        <v>0.75</v>
      </c>
      <c r="E56" s="43">
        <v>0.23</v>
      </c>
      <c r="F56" s="43">
        <f>6/3.281</f>
        <v>1.8287107589149649</v>
      </c>
      <c r="G56" s="39">
        <f t="shared" si="4"/>
        <v>-0.63090521182566295</v>
      </c>
      <c r="H56" s="43"/>
      <c r="I56" s="43"/>
      <c r="J56" s="45"/>
      <c r="K56" s="36"/>
    </row>
    <row r="57" spans="1:19" ht="15" customHeight="1" x14ac:dyDescent="0.25">
      <c r="A57" s="40"/>
      <c r="B57" s="37" t="s">
        <v>40</v>
      </c>
      <c r="C57" s="42"/>
      <c r="D57" s="43"/>
      <c r="E57" s="43"/>
      <c r="F57" s="43"/>
      <c r="G57" s="33">
        <f>SUM(G48:G56)</f>
        <v>10.015234273988543</v>
      </c>
      <c r="H57" s="33" t="s">
        <v>39</v>
      </c>
      <c r="I57" s="33">
        <v>14362.76</v>
      </c>
      <c r="J57" s="44">
        <f>G57*I57</f>
        <v>143846.40622107169</v>
      </c>
      <c r="K57" s="36"/>
    </row>
    <row r="58" spans="1:19" ht="15" customHeight="1" x14ac:dyDescent="0.25">
      <c r="A58" s="40"/>
      <c r="B58" s="37" t="s">
        <v>38</v>
      </c>
      <c r="C58" s="42"/>
      <c r="D58" s="43"/>
      <c r="E58" s="43"/>
      <c r="F58" s="43"/>
      <c r="G58" s="43"/>
      <c r="H58" s="43"/>
      <c r="I58" s="43"/>
      <c r="J58" s="45">
        <f>0.13*G57*10311.74</f>
        <v>13425.683943419621</v>
      </c>
      <c r="K58" s="36"/>
    </row>
    <row r="59" spans="1:19" ht="15" customHeight="1" x14ac:dyDescent="0.25">
      <c r="A59" s="40"/>
      <c r="B59" s="37"/>
      <c r="C59" s="42"/>
      <c r="D59" s="43"/>
      <c r="E59" s="43"/>
      <c r="F59" s="43"/>
      <c r="G59" s="43"/>
      <c r="H59" s="43"/>
      <c r="I59" s="43"/>
      <c r="J59" s="45"/>
      <c r="K59" s="36"/>
    </row>
    <row r="60" spans="1:19" ht="30.75" x14ac:dyDescent="0.25">
      <c r="A60" s="67">
        <v>8</v>
      </c>
      <c r="B60" s="63" t="s">
        <v>46</v>
      </c>
      <c r="C60" s="42"/>
      <c r="D60" s="43"/>
      <c r="E60" s="43"/>
      <c r="F60" s="43"/>
      <c r="G60" s="43"/>
      <c r="H60" s="43"/>
      <c r="I60" s="43"/>
      <c r="J60" s="45"/>
      <c r="K60" s="36"/>
    </row>
    <row r="61" spans="1:19" ht="15" customHeight="1" x14ac:dyDescent="0.25">
      <c r="A61" s="18"/>
      <c r="B61" s="37" t="s">
        <v>48</v>
      </c>
      <c r="C61" s="36">
        <v>1</v>
      </c>
      <c r="D61" s="38">
        <f>(8.5*4+4*4)/3.281</f>
        <v>15.239256324291373</v>
      </c>
      <c r="E61" s="38"/>
      <c r="F61" s="38">
        <v>1.8</v>
      </c>
      <c r="G61" s="39">
        <f>PRODUCT(C61:F61)</f>
        <v>27.430661383724473</v>
      </c>
      <c r="H61" s="40"/>
      <c r="I61" s="40"/>
      <c r="J61" s="40"/>
      <c r="K61" s="21"/>
      <c r="M61" s="25"/>
      <c r="N61" s="1"/>
      <c r="O61" s="1"/>
      <c r="P61" s="1"/>
      <c r="Q61" s="1"/>
      <c r="R61" s="25"/>
      <c r="S61" s="25"/>
    </row>
    <row r="62" spans="1:19" ht="15" customHeight="1" x14ac:dyDescent="0.25">
      <c r="A62" s="18"/>
      <c r="B62" s="37" t="s">
        <v>76</v>
      </c>
      <c r="C62" s="36">
        <v>1</v>
      </c>
      <c r="D62" s="38">
        <f>2.6+(5.5/3.281)*2+1.97+1.33+1.97+1.33</f>
        <v>12.552636391344102</v>
      </c>
      <c r="E62" s="38"/>
      <c r="F62" s="38">
        <f>7/3.281</f>
        <v>2.1334958854007922</v>
      </c>
      <c r="G62" s="39">
        <f>PRODUCT(C62:F62)</f>
        <v>26.780998091864888</v>
      </c>
      <c r="H62" s="40"/>
      <c r="I62" s="40"/>
      <c r="J62" s="40"/>
      <c r="K62" s="21"/>
      <c r="M62" s="25"/>
      <c r="N62" s="1"/>
      <c r="O62" s="1"/>
      <c r="P62" s="1"/>
      <c r="Q62" s="1"/>
      <c r="R62" s="25"/>
      <c r="S62" s="25"/>
    </row>
    <row r="63" spans="1:19" ht="15" customHeight="1" x14ac:dyDescent="0.25">
      <c r="A63" s="18"/>
      <c r="B63" s="37" t="s">
        <v>65</v>
      </c>
      <c r="C63" s="36">
        <v>-2</v>
      </c>
      <c r="D63" s="38">
        <f>2.5/3.281</f>
        <v>0.76196281621456874</v>
      </c>
      <c r="E63" s="38"/>
      <c r="F63" s="38">
        <f>6/3.281</f>
        <v>1.8287107589149649</v>
      </c>
      <c r="G63" s="39">
        <f t="shared" ref="G63:G64" si="6">PRODUCT(C63:F63)</f>
        <v>-2.786819199809456</v>
      </c>
      <c r="H63" s="40"/>
      <c r="I63" s="40"/>
      <c r="J63" s="40"/>
      <c r="K63" s="21"/>
      <c r="M63" s="25"/>
      <c r="N63" s="1"/>
      <c r="O63" s="1"/>
      <c r="P63" s="1"/>
      <c r="Q63" s="1"/>
      <c r="R63" s="25"/>
      <c r="S63" s="25"/>
    </row>
    <row r="64" spans="1:19" ht="15" customHeight="1" x14ac:dyDescent="0.25">
      <c r="A64" s="18"/>
      <c r="B64" s="37" t="s">
        <v>77</v>
      </c>
      <c r="C64" s="36">
        <v>-2</v>
      </c>
      <c r="D64" s="38">
        <f>1.5/3.281</f>
        <v>0.45717768972874123</v>
      </c>
      <c r="E64" s="38"/>
      <c r="F64" s="38">
        <v>0.45</v>
      </c>
      <c r="G64" s="39">
        <f t="shared" si="6"/>
        <v>-0.41145992075586713</v>
      </c>
      <c r="H64" s="40"/>
      <c r="I64" s="40"/>
      <c r="J64" s="40"/>
      <c r="K64" s="21"/>
      <c r="M64" s="25"/>
      <c r="N64" s="1"/>
      <c r="O64" s="1"/>
      <c r="P64" s="1"/>
      <c r="Q64" s="1"/>
      <c r="R64" s="25"/>
      <c r="S64" s="25"/>
    </row>
    <row r="65" spans="1:19" ht="15" customHeight="1" x14ac:dyDescent="0.25">
      <c r="A65" s="18"/>
      <c r="B65" s="37" t="s">
        <v>40</v>
      </c>
      <c r="C65" s="36"/>
      <c r="D65" s="38"/>
      <c r="E65" s="38"/>
      <c r="F65" s="38"/>
      <c r="G65" s="34">
        <f>SUM(G61:G64)</f>
        <v>51.013380355024033</v>
      </c>
      <c r="H65" s="40" t="s">
        <v>45</v>
      </c>
      <c r="I65" s="40">
        <v>405.86</v>
      </c>
      <c r="J65" s="45">
        <f>G65*I65</f>
        <v>20704.290550890055</v>
      </c>
      <c r="K65" s="21"/>
      <c r="M65" s="25"/>
      <c r="N65" s="1"/>
      <c r="O65" s="1"/>
      <c r="P65" s="1"/>
      <c r="Q65" s="1"/>
      <c r="R65" s="25"/>
      <c r="S65" s="25"/>
    </row>
    <row r="66" spans="1:19" ht="15" customHeight="1" x14ac:dyDescent="0.25">
      <c r="A66" s="18"/>
      <c r="B66" s="37" t="s">
        <v>38</v>
      </c>
      <c r="C66" s="36"/>
      <c r="D66" s="38"/>
      <c r="E66" s="38"/>
      <c r="F66" s="38"/>
      <c r="G66" s="39"/>
      <c r="H66" s="40"/>
      <c r="I66" s="40"/>
      <c r="J66" s="45">
        <f>0.13*G65*(11166.2/100)</f>
        <v>740.51329003635021</v>
      </c>
      <c r="K66" s="21"/>
      <c r="M66" s="25"/>
      <c r="N66" s="1"/>
      <c r="O66" s="1"/>
      <c r="P66" s="1"/>
      <c r="Q66" s="1"/>
      <c r="R66" s="25"/>
      <c r="S66" s="25"/>
    </row>
    <row r="67" spans="1:19" ht="15" customHeight="1" x14ac:dyDescent="0.25">
      <c r="A67" s="18"/>
      <c r="B67" s="37"/>
      <c r="C67" s="36"/>
      <c r="D67" s="38"/>
      <c r="E67" s="38"/>
      <c r="F67" s="38"/>
      <c r="G67" s="39"/>
      <c r="H67" s="40"/>
      <c r="I67" s="40"/>
      <c r="J67" s="45"/>
      <c r="K67" s="21"/>
      <c r="M67" s="25"/>
      <c r="N67" s="1"/>
      <c r="O67" s="1"/>
      <c r="P67" s="1"/>
      <c r="Q67" s="1"/>
      <c r="R67" s="25"/>
      <c r="S67" s="25"/>
    </row>
    <row r="68" spans="1:19" ht="30.75" x14ac:dyDescent="0.25">
      <c r="A68" s="67">
        <v>9</v>
      </c>
      <c r="B68" s="63" t="s">
        <v>68</v>
      </c>
      <c r="C68" s="42"/>
      <c r="D68" s="43"/>
      <c r="E68" s="43"/>
      <c r="F68" s="43"/>
      <c r="G68" s="43"/>
      <c r="H68" s="43"/>
      <c r="I68" s="43"/>
      <c r="J68" s="45"/>
      <c r="K68" s="36"/>
    </row>
    <row r="69" spans="1:19" ht="15" customHeight="1" x14ac:dyDescent="0.25">
      <c r="A69" s="18"/>
      <c r="B69" s="37" t="s">
        <v>67</v>
      </c>
      <c r="C69" s="36">
        <v>1</v>
      </c>
      <c r="D69" s="38">
        <f>4/3.281</f>
        <v>1.2191405059433098</v>
      </c>
      <c r="E69" s="38">
        <f>8.5/3.281</f>
        <v>2.5906735751295336</v>
      </c>
      <c r="F69" s="38"/>
      <c r="G69" s="39">
        <f>PRODUCT(C69:F69)</f>
        <v>3.1583950931173828</v>
      </c>
      <c r="H69" s="40"/>
      <c r="I69" s="40"/>
      <c r="J69" s="40"/>
      <c r="K69" s="21"/>
      <c r="M69" s="25"/>
      <c r="N69" s="1"/>
      <c r="O69" s="1"/>
      <c r="P69" s="1"/>
      <c r="Q69" s="1"/>
      <c r="R69" s="25"/>
      <c r="S69" s="25"/>
    </row>
    <row r="70" spans="1:19" ht="15" customHeight="1" x14ac:dyDescent="0.25">
      <c r="A70" s="18"/>
      <c r="B70" s="37" t="s">
        <v>40</v>
      </c>
      <c r="C70" s="36"/>
      <c r="D70" s="38"/>
      <c r="E70" s="38"/>
      <c r="F70" s="38"/>
      <c r="G70" s="34">
        <f>SUM(G69:G69)</f>
        <v>3.1583950931173828</v>
      </c>
      <c r="H70" s="40" t="s">
        <v>45</v>
      </c>
      <c r="I70" s="40">
        <v>816.74</v>
      </c>
      <c r="J70" s="45">
        <f>G70*I70</f>
        <v>2579.5876083526914</v>
      </c>
      <c r="K70" s="21"/>
      <c r="M70" s="25"/>
      <c r="N70" s="1"/>
      <c r="O70" s="1"/>
      <c r="P70" s="1"/>
      <c r="Q70" s="1"/>
      <c r="R70" s="25"/>
      <c r="S70" s="25"/>
    </row>
    <row r="71" spans="1:19" ht="15" customHeight="1" x14ac:dyDescent="0.25">
      <c r="A71" s="18"/>
      <c r="B71" s="37" t="s">
        <v>38</v>
      </c>
      <c r="C71" s="36"/>
      <c r="D71" s="38"/>
      <c r="E71" s="38"/>
      <c r="F71" s="38"/>
      <c r="G71" s="39"/>
      <c r="H71" s="40"/>
      <c r="I71" s="40"/>
      <c r="J71" s="45">
        <f>0.13*G70*(4336.62/10)</f>
        <v>178.05787127329114</v>
      </c>
      <c r="K71" s="21"/>
      <c r="M71" s="25"/>
      <c r="N71" s="1"/>
      <c r="O71" s="1"/>
      <c r="P71" s="1"/>
      <c r="Q71" s="1"/>
      <c r="R71" s="25"/>
      <c r="S71" s="25"/>
    </row>
    <row r="72" spans="1:19" ht="15" customHeight="1" x14ac:dyDescent="0.25">
      <c r="A72" s="40"/>
      <c r="B72" s="37"/>
      <c r="C72" s="42"/>
      <c r="D72" s="43"/>
      <c r="E72" s="43"/>
      <c r="F72" s="43"/>
      <c r="G72" s="43"/>
      <c r="H72" s="43"/>
      <c r="I72" s="43"/>
      <c r="J72" s="45"/>
      <c r="K72" s="36"/>
    </row>
    <row r="73" spans="1:19" ht="30.75" x14ac:dyDescent="0.25">
      <c r="A73" s="67">
        <v>10</v>
      </c>
      <c r="B73" s="63" t="s">
        <v>66</v>
      </c>
      <c r="C73" s="42"/>
      <c r="D73" s="43"/>
      <c r="E73" s="43"/>
      <c r="F73" s="43"/>
      <c r="G73" s="43"/>
      <c r="H73" s="43"/>
      <c r="I73" s="43"/>
      <c r="J73" s="45"/>
      <c r="K73" s="36"/>
    </row>
    <row r="74" spans="1:19" ht="15" customHeight="1" x14ac:dyDescent="0.25">
      <c r="A74" s="18"/>
      <c r="B74" s="37" t="s">
        <v>48</v>
      </c>
      <c r="C74" s="36">
        <v>1</v>
      </c>
      <c r="D74" s="38">
        <f>(8.5*4+4*4)/3.281</f>
        <v>15.239256324291373</v>
      </c>
      <c r="E74" s="38"/>
      <c r="F74" s="38">
        <v>1.8</v>
      </c>
      <c r="G74" s="39">
        <f>PRODUCT(C74:F74)</f>
        <v>27.430661383724473</v>
      </c>
      <c r="H74" s="40"/>
      <c r="I74" s="40"/>
      <c r="J74" s="40"/>
      <c r="K74" s="21"/>
      <c r="M74" s="25"/>
      <c r="N74" s="1"/>
      <c r="O74" s="1"/>
      <c r="P74" s="1"/>
      <c r="Q74" s="1"/>
      <c r="R74" s="25"/>
      <c r="S74" s="25"/>
    </row>
    <row r="75" spans="1:19" ht="15" customHeight="1" x14ac:dyDescent="0.25">
      <c r="A75" s="18"/>
      <c r="B75" s="37" t="str">
        <f>B62</f>
        <v>-Toilet walls</v>
      </c>
      <c r="C75" s="36">
        <v>1</v>
      </c>
      <c r="D75" s="38">
        <f>2.6</f>
        <v>2.6</v>
      </c>
      <c r="E75" s="38"/>
      <c r="F75" s="38">
        <v>1.1000000000000001</v>
      </c>
      <c r="G75" s="39">
        <f>PRODUCT(C75:F75)</f>
        <v>2.8600000000000003</v>
      </c>
      <c r="H75" s="40"/>
      <c r="I75" s="40"/>
      <c r="J75" s="40"/>
      <c r="K75" s="21"/>
      <c r="M75" s="25"/>
      <c r="N75" s="1"/>
      <c r="O75" s="1"/>
      <c r="P75" s="1"/>
      <c r="Q75" s="1"/>
      <c r="R75" s="25"/>
      <c r="S75" s="25"/>
    </row>
    <row r="76" spans="1:19" ht="15" customHeight="1" x14ac:dyDescent="0.25">
      <c r="A76" s="18"/>
      <c r="B76" s="37" t="s">
        <v>67</v>
      </c>
      <c r="C76" s="36">
        <v>2</v>
      </c>
      <c r="D76" s="38">
        <f>4/3.281</f>
        <v>1.2191405059433098</v>
      </c>
      <c r="E76" s="38">
        <f>8.5/3.281</f>
        <v>2.5906735751295336</v>
      </c>
      <c r="F76" s="38"/>
      <c r="G76" s="39">
        <f>PRODUCT(C76:F76)</f>
        <v>6.3167901862347655</v>
      </c>
      <c r="H76" s="40"/>
      <c r="I76" s="40"/>
      <c r="J76" s="40"/>
      <c r="K76" s="21"/>
      <c r="M76" s="25"/>
      <c r="N76" s="1"/>
      <c r="O76" s="1"/>
      <c r="P76" s="1"/>
      <c r="Q76" s="1"/>
      <c r="R76" s="25"/>
      <c r="S76" s="25"/>
    </row>
    <row r="77" spans="1:19" ht="15" customHeight="1" x14ac:dyDescent="0.25">
      <c r="A77" s="18"/>
      <c r="B77" s="37" t="s">
        <v>40</v>
      </c>
      <c r="C77" s="36"/>
      <c r="D77" s="38"/>
      <c r="E77" s="38"/>
      <c r="F77" s="38"/>
      <c r="G77" s="34">
        <f>SUM(G74:G76)</f>
        <v>36.607451569959238</v>
      </c>
      <c r="H77" s="40" t="s">
        <v>45</v>
      </c>
      <c r="I77" s="40">
        <v>279.02999999999997</v>
      </c>
      <c r="J77" s="45">
        <f>G77*I77</f>
        <v>10214.577211565726</v>
      </c>
      <c r="K77" s="21"/>
      <c r="M77" s="25"/>
      <c r="N77" s="1"/>
      <c r="O77" s="1"/>
      <c r="P77" s="1"/>
      <c r="Q77" s="1"/>
      <c r="R77" s="25"/>
      <c r="S77" s="25"/>
    </row>
    <row r="78" spans="1:19" ht="15" customHeight="1" x14ac:dyDescent="0.25">
      <c r="A78" s="18"/>
      <c r="B78" s="37" t="s">
        <v>38</v>
      </c>
      <c r="C78" s="36"/>
      <c r="D78" s="38"/>
      <c r="E78" s="38"/>
      <c r="F78" s="38"/>
      <c r="G78" s="39"/>
      <c r="H78" s="40"/>
      <c r="I78" s="40"/>
      <c r="J78" s="45">
        <f>0.13*G77*(645.36/10)</f>
        <v>307.12480428745562</v>
      </c>
      <c r="K78" s="21"/>
      <c r="M78" s="25"/>
      <c r="N78" s="1"/>
      <c r="O78" s="1"/>
      <c r="P78" s="1"/>
      <c r="Q78" s="1"/>
      <c r="R78" s="25"/>
      <c r="S78" s="25"/>
    </row>
    <row r="79" spans="1:19" ht="15" customHeight="1" x14ac:dyDescent="0.25">
      <c r="A79" s="18"/>
      <c r="B79" s="37"/>
      <c r="C79" s="36"/>
      <c r="D79" s="38"/>
      <c r="E79" s="38"/>
      <c r="F79" s="38"/>
      <c r="G79" s="39"/>
      <c r="H79" s="40"/>
      <c r="I79" s="40"/>
      <c r="J79" s="45"/>
      <c r="K79" s="21"/>
      <c r="M79" s="25"/>
      <c r="N79" s="1"/>
      <c r="O79" s="1"/>
      <c r="P79" s="1"/>
      <c r="Q79" s="1"/>
      <c r="R79" s="25"/>
      <c r="S79" s="25"/>
    </row>
    <row r="80" spans="1:19" ht="15" customHeight="1" x14ac:dyDescent="0.25">
      <c r="A80" s="18">
        <v>11</v>
      </c>
      <c r="B80" s="30" t="s">
        <v>30</v>
      </c>
      <c r="C80" s="19">
        <v>1</v>
      </c>
      <c r="D80" s="20"/>
      <c r="E80" s="21"/>
      <c r="F80" s="21"/>
      <c r="G80" s="34">
        <f t="shared" ref="G80" si="7">PRODUCT(C80:F80)</f>
        <v>1</v>
      </c>
      <c r="H80" s="22" t="s">
        <v>31</v>
      </c>
      <c r="I80" s="23">
        <v>500</v>
      </c>
      <c r="J80" s="34">
        <f>G80*I80</f>
        <v>500</v>
      </c>
      <c r="K80" s="21"/>
      <c r="M80" s="25"/>
      <c r="N80" s="1"/>
      <c r="O80" s="1"/>
      <c r="P80" s="1"/>
      <c r="Q80" s="1"/>
      <c r="R80" s="25"/>
      <c r="S80" s="25"/>
    </row>
    <row r="81" spans="1:19" ht="15" customHeight="1" x14ac:dyDescent="0.25">
      <c r="A81" s="18"/>
      <c r="B81" s="24"/>
      <c r="C81" s="19"/>
      <c r="D81" s="20"/>
      <c r="E81" s="21"/>
      <c r="F81" s="21"/>
      <c r="G81" s="23"/>
      <c r="H81" s="22"/>
      <c r="I81" s="23"/>
      <c r="J81" s="41"/>
      <c r="K81" s="21"/>
      <c r="M81" s="25"/>
      <c r="N81" s="1"/>
      <c r="O81" s="1"/>
      <c r="P81" s="1"/>
      <c r="Q81" s="1"/>
      <c r="R81" s="25"/>
      <c r="S81" s="25"/>
    </row>
    <row r="82" spans="1:19" x14ac:dyDescent="0.25">
      <c r="A82" s="40"/>
      <c r="B82" s="46" t="s">
        <v>17</v>
      </c>
      <c r="C82" s="47"/>
      <c r="D82" s="38"/>
      <c r="E82" s="38"/>
      <c r="F82" s="38"/>
      <c r="G82" s="41"/>
      <c r="H82" s="41"/>
      <c r="I82" s="41"/>
      <c r="J82" s="41">
        <f>SUM(J10:J80)</f>
        <v>262719.82518484857</v>
      </c>
      <c r="K82" s="36"/>
    </row>
    <row r="83" spans="1:19" x14ac:dyDescent="0.25">
      <c r="A83" s="58"/>
      <c r="B83" s="61"/>
      <c r="C83" s="62"/>
      <c r="D83" s="59"/>
      <c r="E83" s="59"/>
      <c r="F83" s="59"/>
      <c r="G83" s="60"/>
      <c r="H83" s="60"/>
      <c r="I83" s="60"/>
      <c r="J83" s="60"/>
      <c r="K83" s="57"/>
    </row>
    <row r="84" spans="1:19" s="1" customFormat="1" x14ac:dyDescent="0.25">
      <c r="A84" s="50"/>
      <c r="B84" s="29" t="s">
        <v>80</v>
      </c>
      <c r="C84" s="79">
        <f>J82</f>
        <v>262719.82518484857</v>
      </c>
      <c r="D84" s="79"/>
      <c r="E84" s="39">
        <v>100</v>
      </c>
      <c r="F84" s="51"/>
      <c r="G84" s="52"/>
      <c r="H84" s="51"/>
      <c r="I84" s="53"/>
      <c r="J84" s="54"/>
      <c r="K84" s="55"/>
    </row>
    <row r="85" spans="1:19" x14ac:dyDescent="0.25">
      <c r="A85" s="56"/>
      <c r="B85" s="29" t="s">
        <v>32</v>
      </c>
      <c r="C85" s="82">
        <v>200000</v>
      </c>
      <c r="D85" s="82"/>
      <c r="E85" s="39"/>
      <c r="F85" s="49"/>
      <c r="G85" s="48"/>
      <c r="H85" s="48"/>
      <c r="I85" s="48"/>
      <c r="J85" s="48"/>
      <c r="K85" s="49"/>
    </row>
    <row r="86" spans="1:19" x14ac:dyDescent="0.25">
      <c r="A86" s="56"/>
      <c r="B86" s="29" t="s">
        <v>33</v>
      </c>
      <c r="C86" s="82">
        <f>C85-C88-C89</f>
        <v>190000</v>
      </c>
      <c r="D86" s="82"/>
      <c r="E86" s="39">
        <f>C86/C84*100</f>
        <v>72.320389169837796</v>
      </c>
      <c r="F86" s="49"/>
      <c r="G86" s="48"/>
      <c r="H86" s="48"/>
      <c r="I86" s="48"/>
      <c r="J86" s="48"/>
      <c r="K86" s="49"/>
    </row>
    <row r="87" spans="1:19" x14ac:dyDescent="0.25">
      <c r="A87" s="56"/>
      <c r="B87" s="29" t="s">
        <v>34</v>
      </c>
      <c r="C87" s="79">
        <f>C84-C86</f>
        <v>72719.825184848567</v>
      </c>
      <c r="D87" s="79"/>
      <c r="E87" s="39">
        <f>100-E86</f>
        <v>27.679610830162204</v>
      </c>
      <c r="F87" s="49"/>
      <c r="G87" s="48"/>
      <c r="H87" s="48"/>
      <c r="I87" s="48"/>
      <c r="J87" s="48"/>
      <c r="K87" s="49"/>
    </row>
    <row r="88" spans="1:19" x14ac:dyDescent="0.25">
      <c r="A88" s="56"/>
      <c r="B88" s="29" t="s">
        <v>35</v>
      </c>
      <c r="C88" s="79">
        <f>C85*0.03</f>
        <v>6000</v>
      </c>
      <c r="D88" s="79"/>
      <c r="E88" s="39">
        <v>3</v>
      </c>
      <c r="F88" s="49"/>
      <c r="G88" s="48"/>
      <c r="H88" s="48"/>
      <c r="I88" s="48"/>
      <c r="J88" s="48"/>
      <c r="K88" s="49"/>
    </row>
    <row r="89" spans="1:19" x14ac:dyDescent="0.25">
      <c r="A89" s="56"/>
      <c r="B89" s="29" t="s">
        <v>36</v>
      </c>
      <c r="C89" s="79">
        <f>C85*0.02</f>
        <v>4000</v>
      </c>
      <c r="D89" s="79"/>
      <c r="E89" s="39">
        <v>2</v>
      </c>
      <c r="F89" s="49"/>
      <c r="G89" s="48"/>
      <c r="H89" s="48"/>
      <c r="I89" s="48"/>
      <c r="J89" s="48"/>
      <c r="K89" s="49"/>
    </row>
    <row r="90" spans="1:19" s="35" customFormat="1" x14ac:dyDescent="0.25">
      <c r="A90" s="57"/>
      <c r="B90" s="57"/>
      <c r="C90" s="57"/>
      <c r="D90" s="57"/>
      <c r="E90" s="57"/>
      <c r="F90" s="57"/>
      <c r="G90" s="57"/>
      <c r="H90" s="57"/>
      <c r="I90" s="57"/>
      <c r="J90" s="57"/>
      <c r="K90" s="57"/>
    </row>
    <row r="91" spans="1:19" s="35" customFormat="1" x14ac:dyDescent="0.25"/>
    <row r="92" spans="1:19" s="35" customFormat="1" x14ac:dyDescent="0.25"/>
    <row r="93" spans="1:19" s="35" customFormat="1" x14ac:dyDescent="0.25"/>
    <row r="94" spans="1:19" s="35" customFormat="1" x14ac:dyDescent="0.25"/>
    <row r="95" spans="1:19" s="35" customFormat="1" x14ac:dyDescent="0.25"/>
    <row r="96" spans="1:19" s="35" customFormat="1" x14ac:dyDescent="0.25"/>
    <row r="97" s="35" customFormat="1" x14ac:dyDescent="0.25"/>
    <row r="98" s="35" customFormat="1" x14ac:dyDescent="0.25"/>
    <row r="99" s="35" customFormat="1" x14ac:dyDescent="0.25"/>
    <row r="100" s="35" customFormat="1" x14ac:dyDescent="0.25"/>
    <row r="101" s="35" customFormat="1" x14ac:dyDescent="0.25"/>
    <row r="102" s="35" customFormat="1" x14ac:dyDescent="0.25"/>
    <row r="103" s="35" customFormat="1" x14ac:dyDescent="0.25"/>
    <row r="104" s="35" customFormat="1" x14ac:dyDescent="0.25"/>
    <row r="105" s="35" customFormat="1" x14ac:dyDescent="0.25"/>
    <row r="106" s="35" customFormat="1" x14ac:dyDescent="0.25"/>
    <row r="107" s="35" customFormat="1" x14ac:dyDescent="0.25"/>
    <row r="108" s="35" customFormat="1" x14ac:dyDescent="0.25"/>
    <row r="109" s="35" customFormat="1" x14ac:dyDescent="0.25"/>
    <row r="110" s="35" customFormat="1" x14ac:dyDescent="0.25"/>
    <row r="111" s="35" customFormat="1" x14ac:dyDescent="0.25"/>
    <row r="112" s="35" customFormat="1" x14ac:dyDescent="0.25"/>
    <row r="113" s="35" customFormat="1" x14ac:dyDescent="0.25"/>
    <row r="114" s="35" customFormat="1" x14ac:dyDescent="0.25"/>
    <row r="115" s="35" customFormat="1" x14ac:dyDescent="0.25"/>
    <row r="116" s="35" customFormat="1" x14ac:dyDescent="0.25"/>
    <row r="117" s="35" customFormat="1" x14ac:dyDescent="0.25"/>
    <row r="118" s="35" customFormat="1" x14ac:dyDescent="0.25"/>
    <row r="119" s="35" customFormat="1" x14ac:dyDescent="0.25"/>
    <row r="120" s="35" customFormat="1" x14ac:dyDescent="0.25"/>
    <row r="121" s="35" customFormat="1" x14ac:dyDescent="0.25"/>
    <row r="122" s="35" customFormat="1" x14ac:dyDescent="0.25"/>
    <row r="123" s="35" customFormat="1" x14ac:dyDescent="0.25"/>
    <row r="124" s="35" customFormat="1" x14ac:dyDescent="0.25"/>
    <row r="125" s="35" customFormat="1" x14ac:dyDescent="0.25"/>
    <row r="126" s="35" customFormat="1" x14ac:dyDescent="0.25"/>
    <row r="127" s="35" customFormat="1" x14ac:dyDescent="0.25"/>
    <row r="128" s="35" customFormat="1" x14ac:dyDescent="0.25"/>
    <row r="129" s="35" customFormat="1" x14ac:dyDescent="0.25"/>
    <row r="130" s="35" customFormat="1" x14ac:dyDescent="0.25"/>
    <row r="131" s="35" customFormat="1" x14ac:dyDescent="0.25"/>
    <row r="132" s="35" customFormat="1" x14ac:dyDescent="0.25"/>
    <row r="133" s="35" customFormat="1" x14ac:dyDescent="0.25"/>
    <row r="134" s="35" customFormat="1" x14ac:dyDescent="0.25"/>
    <row r="135" s="35" customFormat="1" x14ac:dyDescent="0.25"/>
    <row r="136" s="35" customFormat="1" x14ac:dyDescent="0.25"/>
    <row r="137" s="35" customFormat="1" x14ac:dyDescent="0.25"/>
    <row r="138" s="35" customFormat="1" x14ac:dyDescent="0.25"/>
    <row r="139" s="35" customFormat="1" x14ac:dyDescent="0.25"/>
    <row r="140" s="35" customFormat="1" x14ac:dyDescent="0.25"/>
    <row r="141" s="35" customFormat="1" x14ac:dyDescent="0.25"/>
    <row r="142" s="35" customFormat="1" x14ac:dyDescent="0.25"/>
    <row r="143" s="35" customFormat="1" x14ac:dyDescent="0.25"/>
    <row r="144" s="35" customFormat="1" x14ac:dyDescent="0.25"/>
    <row r="145" s="35" customFormat="1" x14ac:dyDescent="0.25"/>
    <row r="146" s="35" customFormat="1" x14ac:dyDescent="0.25"/>
  </sheetData>
  <mergeCells count="15">
    <mergeCell ref="C88:D88"/>
    <mergeCell ref="C89:D89"/>
    <mergeCell ref="A7:F7"/>
    <mergeCell ref="H7:K7"/>
    <mergeCell ref="C84:D84"/>
    <mergeCell ref="C85:D85"/>
    <mergeCell ref="C86:D86"/>
    <mergeCell ref="C87:D87"/>
    <mergeCell ref="A6:F6"/>
    <mergeCell ref="H6:K6"/>
    <mergeCell ref="A1:K1"/>
    <mergeCell ref="A2:K2"/>
    <mergeCell ref="A3:K3"/>
    <mergeCell ref="A4:K4"/>
    <mergeCell ref="A5:K5"/>
  </mergeCells>
  <pageMargins left="0.7" right="0.7" top="0.75" bottom="0.75" header="0.3" footer="0.3"/>
  <pageSetup paperSize="9" scale="80" orientation="portrait" r:id="rId1"/>
  <headerFooter>
    <oddFooter xml:space="preserve">&amp;LPrepared By:
&amp;CChecked By:
&amp;RApproved By:
</oddFooter>
  </headerFooter>
  <rowBreaks count="1" manualBreakCount="1">
    <brk id="53" max="10"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6"/>
  <sheetViews>
    <sheetView tabSelected="1" zoomScaleNormal="100" workbookViewId="0">
      <selection activeCell="K35" sqref="K35"/>
    </sheetView>
  </sheetViews>
  <sheetFormatPr defaultRowHeight="15" x14ac:dyDescent="0.25"/>
  <cols>
    <col min="1" max="1" width="4.7109375" customWidth="1"/>
    <col min="2" max="2" width="31.28515625" customWidth="1"/>
    <col min="3" max="3" width="4.5703125" bestFit="1" customWidth="1"/>
    <col min="4" max="4" width="7.5703125" customWidth="1"/>
    <col min="5" max="6" width="8" customWidth="1"/>
    <col min="7" max="7" width="9.42578125" customWidth="1"/>
    <col min="8" max="8" width="5" bestFit="1" customWidth="1"/>
    <col min="9" max="9" width="9.85546875" hidden="1" customWidth="1"/>
    <col min="10" max="10" width="10.7109375" hidden="1" customWidth="1"/>
  </cols>
  <sheetData>
    <row r="1" spans="1:19" s="1" customFormat="1" x14ac:dyDescent="0.25">
      <c r="A1" s="75" t="s">
        <v>0</v>
      </c>
      <c r="B1" s="75"/>
      <c r="C1" s="75"/>
      <c r="D1" s="75"/>
      <c r="E1" s="75"/>
      <c r="F1" s="75"/>
      <c r="G1" s="75"/>
      <c r="H1" s="75"/>
      <c r="I1" s="75"/>
      <c r="J1" s="75"/>
      <c r="K1" s="75"/>
    </row>
    <row r="2" spans="1:19" s="1" customFormat="1" ht="22.5" x14ac:dyDescent="0.25">
      <c r="A2" s="76" t="s">
        <v>1</v>
      </c>
      <c r="B2" s="76"/>
      <c r="C2" s="76"/>
      <c r="D2" s="76"/>
      <c r="E2" s="76"/>
      <c r="F2" s="76"/>
      <c r="G2" s="76"/>
      <c r="H2" s="76"/>
      <c r="I2" s="76"/>
      <c r="J2" s="76"/>
      <c r="K2" s="76"/>
    </row>
    <row r="3" spans="1:19" s="1" customFormat="1" x14ac:dyDescent="0.25">
      <c r="A3" s="77" t="s">
        <v>2</v>
      </c>
      <c r="B3" s="77"/>
      <c r="C3" s="77"/>
      <c r="D3" s="77"/>
      <c r="E3" s="77"/>
      <c r="F3" s="77"/>
      <c r="G3" s="77"/>
      <c r="H3" s="77"/>
      <c r="I3" s="77"/>
      <c r="J3" s="77"/>
      <c r="K3" s="77"/>
    </row>
    <row r="4" spans="1:19" s="1" customFormat="1" x14ac:dyDescent="0.25">
      <c r="A4" s="77" t="s">
        <v>3</v>
      </c>
      <c r="B4" s="77"/>
      <c r="C4" s="77"/>
      <c r="D4" s="77"/>
      <c r="E4" s="77"/>
      <c r="F4" s="77"/>
      <c r="G4" s="77"/>
      <c r="H4" s="77"/>
      <c r="I4" s="77"/>
      <c r="J4" s="77"/>
      <c r="K4" s="77"/>
    </row>
    <row r="5" spans="1:19" ht="18.75" x14ac:dyDescent="0.3">
      <c r="A5" s="78" t="s">
        <v>81</v>
      </c>
      <c r="B5" s="78"/>
      <c r="C5" s="78"/>
      <c r="D5" s="78"/>
      <c r="E5" s="78"/>
      <c r="F5" s="78"/>
      <c r="G5" s="78"/>
      <c r="H5" s="78"/>
      <c r="I5" s="78"/>
      <c r="J5" s="78"/>
      <c r="K5" s="78"/>
    </row>
    <row r="6" spans="1:19" ht="15.75" x14ac:dyDescent="0.25">
      <c r="A6" s="73" t="s">
        <v>70</v>
      </c>
      <c r="B6" s="73"/>
      <c r="C6" s="73"/>
      <c r="D6" s="73"/>
      <c r="E6" s="73"/>
      <c r="F6" s="73"/>
      <c r="G6" s="2"/>
      <c r="I6" s="95"/>
      <c r="J6" s="95"/>
      <c r="K6" s="70" t="s">
        <v>41</v>
      </c>
    </row>
    <row r="7" spans="1:19" ht="15.75" x14ac:dyDescent="0.25">
      <c r="A7" s="80" t="s">
        <v>28</v>
      </c>
      <c r="B7" s="80"/>
      <c r="C7" s="80"/>
      <c r="D7" s="80"/>
      <c r="E7" s="80"/>
      <c r="F7" s="80"/>
      <c r="G7" s="3"/>
      <c r="I7" s="96"/>
      <c r="J7" s="96"/>
      <c r="K7" s="69" t="s">
        <v>79</v>
      </c>
    </row>
    <row r="8" spans="1:19" ht="15" customHeight="1" x14ac:dyDescent="0.25">
      <c r="A8" s="4" t="s">
        <v>5</v>
      </c>
      <c r="B8" s="15" t="s">
        <v>6</v>
      </c>
      <c r="C8" s="4" t="s">
        <v>7</v>
      </c>
      <c r="D8" s="16" t="s">
        <v>8</v>
      </c>
      <c r="E8" s="16" t="s">
        <v>9</v>
      </c>
      <c r="F8" s="16" t="s">
        <v>10</v>
      </c>
      <c r="G8" s="16" t="s">
        <v>11</v>
      </c>
      <c r="H8" s="4" t="s">
        <v>12</v>
      </c>
      <c r="I8" s="16" t="s">
        <v>13</v>
      </c>
      <c r="J8" s="16" t="s">
        <v>14</v>
      </c>
      <c r="K8" s="17" t="s">
        <v>15</v>
      </c>
    </row>
    <row r="9" spans="1:19" ht="30.75" x14ac:dyDescent="0.25">
      <c r="A9" s="67">
        <v>1</v>
      </c>
      <c r="B9" s="63" t="s">
        <v>42</v>
      </c>
      <c r="C9" s="36"/>
      <c r="D9" s="36"/>
      <c r="E9" s="36"/>
      <c r="F9" s="36"/>
      <c r="G9" s="36"/>
      <c r="H9" s="36"/>
      <c r="I9" s="36"/>
      <c r="J9" s="36"/>
      <c r="K9" s="36"/>
    </row>
    <row r="10" spans="1:19" ht="15" customHeight="1" x14ac:dyDescent="0.25">
      <c r="A10" s="18"/>
      <c r="B10" s="37" t="s">
        <v>49</v>
      </c>
      <c r="C10" s="36">
        <v>1</v>
      </c>
      <c r="D10" s="38">
        <f>(10)/3.281</f>
        <v>3.047851264858275</v>
      </c>
      <c r="E10" s="38">
        <f>(10)/3.281</f>
        <v>3.047851264858275</v>
      </c>
      <c r="F10" s="38">
        <f>6.5/3.281</f>
        <v>1.9811033221578787</v>
      </c>
      <c r="G10" s="39">
        <f>PRODUCT(C10:F10)</f>
        <v>18.403255916652913</v>
      </c>
      <c r="H10" s="40"/>
      <c r="I10" s="40"/>
      <c r="J10" s="40"/>
      <c r="K10" s="21"/>
      <c r="M10" s="25"/>
      <c r="N10" s="1">
        <f>CONVERT((D10*E10),"m2","ft2")</f>
        <v>99.990240714385521</v>
      </c>
      <c r="O10" s="1"/>
      <c r="P10" s="1"/>
      <c r="Q10" s="1"/>
      <c r="R10" s="25"/>
      <c r="S10" s="25"/>
    </row>
    <row r="11" spans="1:19" ht="15" customHeight="1" x14ac:dyDescent="0.25">
      <c r="A11" s="18"/>
      <c r="B11" s="37" t="s">
        <v>40</v>
      </c>
      <c r="C11" s="19"/>
      <c r="D11" s="20"/>
      <c r="E11" s="21"/>
      <c r="F11" s="21"/>
      <c r="G11" s="23">
        <f>SUM(G10:G10)</f>
        <v>18.403255916652913</v>
      </c>
      <c r="H11" s="22" t="s">
        <v>39</v>
      </c>
      <c r="I11" s="23">
        <v>663.31</v>
      </c>
      <c r="J11" s="41">
        <f>G11*I11</f>
        <v>12207.063682075042</v>
      </c>
      <c r="K11" s="21"/>
      <c r="M11" s="25"/>
      <c r="N11" s="1"/>
      <c r="O11" s="1"/>
      <c r="P11" s="1"/>
      <c r="Q11" s="1"/>
      <c r="R11" s="25"/>
      <c r="S11" s="25"/>
    </row>
    <row r="12" spans="1:19" ht="15" customHeight="1" x14ac:dyDescent="0.25">
      <c r="A12" s="18"/>
      <c r="B12" s="24"/>
      <c r="C12" s="19"/>
      <c r="D12" s="20"/>
      <c r="E12" s="21"/>
      <c r="F12" s="21"/>
      <c r="G12" s="23"/>
      <c r="H12" s="22"/>
      <c r="I12" s="23"/>
      <c r="J12" s="41"/>
      <c r="K12" s="21"/>
      <c r="M12" s="25"/>
      <c r="N12" s="1"/>
      <c r="O12" s="1"/>
      <c r="P12" s="1"/>
      <c r="Q12" s="1"/>
      <c r="R12" s="25"/>
      <c r="S12" s="25"/>
    </row>
    <row r="13" spans="1:19" ht="30.75" x14ac:dyDescent="0.25">
      <c r="A13" s="18">
        <v>2</v>
      </c>
      <c r="B13" s="63" t="s">
        <v>43</v>
      </c>
      <c r="C13" s="19"/>
      <c r="D13" s="20"/>
      <c r="E13" s="21"/>
      <c r="F13" s="21"/>
      <c r="G13" s="23"/>
      <c r="H13" s="22"/>
      <c r="I13" s="23"/>
      <c r="J13" s="41"/>
      <c r="K13" s="21"/>
      <c r="M13" s="25"/>
      <c r="N13" s="1"/>
      <c r="O13" s="1"/>
      <c r="P13" s="1"/>
      <c r="Q13" s="25"/>
      <c r="R13" s="25"/>
    </row>
    <row r="14" spans="1:19" ht="15" customHeight="1" x14ac:dyDescent="0.25">
      <c r="A14" s="18"/>
      <c r="B14" s="37" t="str">
        <f>B10</f>
        <v>-for toilet</v>
      </c>
      <c r="C14" s="36">
        <v>1</v>
      </c>
      <c r="D14" s="38">
        <f>D10</f>
        <v>3.047851264858275</v>
      </c>
      <c r="E14" s="38">
        <f>E10</f>
        <v>3.047851264858275</v>
      </c>
      <c r="F14" s="38">
        <f>0.15</f>
        <v>0.15</v>
      </c>
      <c r="G14" s="39">
        <f>PRODUCT(C14:F14)</f>
        <v>1.393409599904728</v>
      </c>
      <c r="H14" s="40"/>
      <c r="I14" s="40"/>
      <c r="J14" s="40"/>
      <c r="K14" s="21"/>
      <c r="M14" s="25"/>
      <c r="N14" s="1"/>
      <c r="O14" s="1"/>
      <c r="P14" s="1"/>
      <c r="Q14" s="25"/>
      <c r="R14" s="25"/>
    </row>
    <row r="15" spans="1:19" ht="15" customHeight="1" x14ac:dyDescent="0.25">
      <c r="A15" s="40"/>
      <c r="B15" s="37" t="s">
        <v>40</v>
      </c>
      <c r="C15" s="42"/>
      <c r="D15" s="43"/>
      <c r="E15" s="43"/>
      <c r="F15" s="43"/>
      <c r="G15" s="33">
        <f>SUM(G14:G14)</f>
        <v>1.393409599904728</v>
      </c>
      <c r="H15" s="33" t="s">
        <v>39</v>
      </c>
      <c r="I15" s="33">
        <v>4473.1499999999996</v>
      </c>
      <c r="J15" s="44">
        <f>G15*I15</f>
        <v>6232.9301518138336</v>
      </c>
      <c r="K15" s="36"/>
    </row>
    <row r="16" spans="1:19" hidden="1" x14ac:dyDescent="0.25">
      <c r="A16" s="40"/>
      <c r="B16" s="37" t="s">
        <v>38</v>
      </c>
      <c r="C16" s="42"/>
      <c r="D16" s="43"/>
      <c r="E16" s="43"/>
      <c r="F16" s="43"/>
      <c r="G16" s="43"/>
      <c r="H16" s="43"/>
      <c r="I16" s="43"/>
      <c r="J16" s="45">
        <f>0.13*G15*(3093.15)</f>
        <v>560.30323751289018</v>
      </c>
      <c r="K16" s="36"/>
    </row>
    <row r="17" spans="1:18" x14ac:dyDescent="0.25">
      <c r="A17" s="40"/>
      <c r="B17" s="37"/>
      <c r="C17" s="42"/>
      <c r="D17" s="43"/>
      <c r="E17" s="43"/>
      <c r="F17" s="43"/>
      <c r="G17" s="43"/>
      <c r="H17" s="43"/>
      <c r="I17" s="43"/>
      <c r="J17" s="45"/>
      <c r="K17" s="36"/>
    </row>
    <row r="18" spans="1:18" ht="30.75" x14ac:dyDescent="0.25">
      <c r="A18" s="18">
        <v>3</v>
      </c>
      <c r="B18" s="63" t="s">
        <v>44</v>
      </c>
      <c r="C18" s="19"/>
      <c r="D18" s="20"/>
      <c r="E18" s="21"/>
      <c r="F18" s="21"/>
      <c r="G18" s="23"/>
      <c r="H18" s="22"/>
      <c r="I18" s="23"/>
      <c r="J18" s="41"/>
      <c r="K18" s="21"/>
      <c r="M18" s="25"/>
      <c r="N18" s="1"/>
      <c r="O18" s="1"/>
      <c r="P18" s="1"/>
      <c r="Q18" s="25"/>
      <c r="R18" s="25"/>
    </row>
    <row r="19" spans="1:18" ht="15" customHeight="1" x14ac:dyDescent="0.25">
      <c r="A19" s="18"/>
      <c r="B19" s="37" t="str">
        <f>B10</f>
        <v>-for toilet</v>
      </c>
      <c r="C19" s="36">
        <v>0</v>
      </c>
      <c r="D19" s="38">
        <f>D10</f>
        <v>3.047851264858275</v>
      </c>
      <c r="E19" s="38">
        <f>E10</f>
        <v>3.047851264858275</v>
      </c>
      <c r="F19" s="38">
        <v>7.4999999999999997E-2</v>
      </c>
      <c r="G19" s="39">
        <f>PRODUCT(C19:F19)</f>
        <v>0</v>
      </c>
      <c r="H19" s="40"/>
      <c r="I19" s="40"/>
      <c r="J19" s="40"/>
      <c r="K19" s="21"/>
      <c r="M19" s="25"/>
      <c r="N19" s="1"/>
      <c r="O19" s="1"/>
      <c r="P19" s="1"/>
      <c r="Q19" s="25"/>
      <c r="R19" s="25"/>
    </row>
    <row r="20" spans="1:18" ht="15" customHeight="1" x14ac:dyDescent="0.25">
      <c r="A20" s="40"/>
      <c r="B20" s="37" t="s">
        <v>40</v>
      </c>
      <c r="C20" s="42"/>
      <c r="D20" s="43"/>
      <c r="E20" s="43"/>
      <c r="F20" s="43"/>
      <c r="G20" s="33">
        <f>SUM(G19:G19)</f>
        <v>0</v>
      </c>
      <c r="H20" s="33" t="s">
        <v>39</v>
      </c>
      <c r="I20" s="33">
        <v>12983.1</v>
      </c>
      <c r="J20" s="44">
        <f>G20*I20</f>
        <v>0</v>
      </c>
      <c r="K20" s="36"/>
    </row>
    <row r="21" spans="1:18" ht="15" hidden="1" customHeight="1" x14ac:dyDescent="0.25">
      <c r="A21" s="40"/>
      <c r="B21" s="37" t="s">
        <v>38</v>
      </c>
      <c r="C21" s="42"/>
      <c r="D21" s="43"/>
      <c r="E21" s="43"/>
      <c r="F21" s="43"/>
      <c r="G21" s="43"/>
      <c r="H21" s="43"/>
      <c r="I21" s="43"/>
      <c r="J21" s="45">
        <f>0.13*G20*(8078.11)</f>
        <v>0</v>
      </c>
      <c r="K21" s="36"/>
    </row>
    <row r="22" spans="1:18" ht="15" customHeight="1" x14ac:dyDescent="0.25">
      <c r="A22" s="40"/>
      <c r="B22" s="37"/>
      <c r="C22" s="42"/>
      <c r="D22" s="43"/>
      <c r="E22" s="43"/>
      <c r="F22" s="43"/>
      <c r="G22" s="43"/>
      <c r="H22" s="43"/>
      <c r="I22" s="43"/>
      <c r="J22" s="45"/>
      <c r="K22" s="36"/>
    </row>
    <row r="23" spans="1:18" ht="30.75" x14ac:dyDescent="0.25">
      <c r="A23" s="18">
        <v>4</v>
      </c>
      <c r="B23" s="63" t="s">
        <v>57</v>
      </c>
      <c r="C23" s="19"/>
      <c r="D23" s="20"/>
      <c r="E23" s="21"/>
      <c r="F23" s="21"/>
      <c r="G23" s="23"/>
      <c r="H23" s="22"/>
      <c r="I23" s="23"/>
      <c r="J23" s="41"/>
      <c r="K23" s="21"/>
      <c r="M23" s="25"/>
      <c r="N23" s="1"/>
      <c r="O23" s="1"/>
      <c r="P23" s="1"/>
      <c r="Q23" s="25"/>
      <c r="R23" s="25"/>
    </row>
    <row r="24" spans="1:18" ht="15" customHeight="1" x14ac:dyDescent="0.25">
      <c r="A24" s="18"/>
      <c r="B24" s="37" t="str">
        <f>B10</f>
        <v>-for toilet</v>
      </c>
      <c r="C24" s="36">
        <v>2</v>
      </c>
      <c r="D24" s="38">
        <f>8.5/3.281</f>
        <v>2.5906735751295336</v>
      </c>
      <c r="E24" s="38">
        <f>4.083/3.281</f>
        <v>1.2444376714416336</v>
      </c>
      <c r="F24" s="38"/>
      <c r="G24" s="39">
        <f>PRODUCT(C24:F24)</f>
        <v>6.4478635825991377</v>
      </c>
      <c r="H24" s="40"/>
      <c r="I24" s="40"/>
      <c r="J24" s="40"/>
      <c r="K24" s="21"/>
      <c r="M24" s="25"/>
      <c r="N24" s="1"/>
      <c r="O24" s="1"/>
      <c r="P24" s="1"/>
      <c r="Q24" s="25"/>
      <c r="R24" s="25"/>
    </row>
    <row r="25" spans="1:18" ht="15" hidden="1" customHeight="1" x14ac:dyDescent="0.25">
      <c r="A25" s="18"/>
      <c r="B25" s="37" t="s">
        <v>61</v>
      </c>
      <c r="C25" s="36">
        <f>0*1</f>
        <v>0</v>
      </c>
      <c r="D25" s="38">
        <f>(1+10+1)/3.281</f>
        <v>3.6574215178299299</v>
      </c>
      <c r="E25" s="38">
        <f>(1+10+1)/3.281</f>
        <v>3.6574215178299299</v>
      </c>
      <c r="F25" s="38"/>
      <c r="G25" s="39">
        <f>PRODUCT(C25:F25)</f>
        <v>0</v>
      </c>
      <c r="H25" s="40"/>
      <c r="I25" s="40"/>
      <c r="J25" s="40"/>
      <c r="K25" s="21"/>
      <c r="M25" s="25"/>
      <c r="N25" s="1"/>
      <c r="O25" s="1"/>
      <c r="P25" s="1"/>
      <c r="Q25" s="25"/>
      <c r="R25" s="25"/>
    </row>
    <row r="26" spans="1:18" ht="15" customHeight="1" x14ac:dyDescent="0.25">
      <c r="A26" s="40"/>
      <c r="B26" s="37" t="s">
        <v>40</v>
      </c>
      <c r="C26" s="42"/>
      <c r="D26" s="43"/>
      <c r="E26" s="43"/>
      <c r="F26" s="43"/>
      <c r="G26" s="33">
        <f>SUM(G24:G25)</f>
        <v>6.4478635825991377</v>
      </c>
      <c r="H26" s="33" t="s">
        <v>58</v>
      </c>
      <c r="I26" s="33">
        <v>915.42</v>
      </c>
      <c r="J26" s="44">
        <f>G26*I26</f>
        <v>5902.503280782902</v>
      </c>
      <c r="K26" s="36"/>
    </row>
    <row r="27" spans="1:18" ht="15" hidden="1" customHeight="1" x14ac:dyDescent="0.25">
      <c r="A27" s="40"/>
      <c r="B27" s="37" t="s">
        <v>38</v>
      </c>
      <c r="C27" s="42"/>
      <c r="D27" s="43"/>
      <c r="E27" s="43"/>
      <c r="F27" s="43"/>
      <c r="G27" s="43"/>
      <c r="H27" s="43"/>
      <c r="I27" s="43"/>
      <c r="J27" s="45">
        <f>0.13*G26*46827.87/100</f>
        <v>392.52163291079273</v>
      </c>
      <c r="K27" s="36"/>
    </row>
    <row r="28" spans="1:18" ht="15" customHeight="1" x14ac:dyDescent="0.25">
      <c r="A28" s="40"/>
      <c r="B28" s="37"/>
      <c r="C28" s="42"/>
      <c r="D28" s="43"/>
      <c r="E28" s="43"/>
      <c r="F28" s="43"/>
      <c r="G28" s="43"/>
      <c r="H28" s="43"/>
      <c r="I28" s="43"/>
      <c r="J28" s="45"/>
      <c r="K28" s="36"/>
    </row>
    <row r="29" spans="1:18" s="1" customFormat="1" ht="45" x14ac:dyDescent="0.25">
      <c r="A29" s="18">
        <v>5</v>
      </c>
      <c r="B29" s="72" t="s">
        <v>51</v>
      </c>
      <c r="C29" s="19" t="s">
        <v>7</v>
      </c>
      <c r="D29" s="64" t="s">
        <v>52</v>
      </c>
      <c r="E29" s="65" t="s">
        <v>53</v>
      </c>
      <c r="F29" s="65" t="s">
        <v>54</v>
      </c>
      <c r="G29" s="66" t="s">
        <v>55</v>
      </c>
      <c r="H29" s="22"/>
      <c r="I29" s="23"/>
      <c r="J29" s="34"/>
      <c r="K29" s="21"/>
      <c r="M29" s="94"/>
      <c r="Q29" s="94"/>
      <c r="R29" s="94"/>
    </row>
    <row r="30" spans="1:18" ht="15" customHeight="1" x14ac:dyDescent="0.25">
      <c r="A30" s="18"/>
      <c r="B30" s="37" t="s">
        <v>60</v>
      </c>
      <c r="C30" s="36">
        <f>3*2</f>
        <v>6</v>
      </c>
      <c r="D30" s="38">
        <f>3.583/3.281</f>
        <v>1.0920451081987199</v>
      </c>
      <c r="E30" s="38">
        <f>8*8/162</f>
        <v>0.39506172839506171</v>
      </c>
      <c r="F30" s="38">
        <f>PRODUCT(C30:E30)</f>
        <v>2.5885513675821508</v>
      </c>
      <c r="G30" s="68">
        <f>F30/1000</f>
        <v>2.5885513675821506E-3</v>
      </c>
      <c r="H30" s="40"/>
      <c r="I30" s="40"/>
      <c r="J30" s="40"/>
      <c r="K30" s="21"/>
      <c r="M30" s="25"/>
      <c r="N30" s="1"/>
      <c r="O30" s="1"/>
      <c r="P30" s="1"/>
      <c r="Q30" s="25"/>
      <c r="R30" s="25"/>
    </row>
    <row r="31" spans="1:18" ht="15" customHeight="1" x14ac:dyDescent="0.25">
      <c r="A31" s="18"/>
      <c r="B31" s="37"/>
      <c r="C31" s="36">
        <f>7*2</f>
        <v>14</v>
      </c>
      <c r="D31" s="38">
        <f>2.46</f>
        <v>2.46</v>
      </c>
      <c r="E31" s="38">
        <f t="shared" ref="E31:E35" si="0">8*8/162</f>
        <v>0.39506172839506171</v>
      </c>
      <c r="F31" s="38">
        <f t="shared" ref="F31:F35" si="1">PRODUCT(C31:E31)</f>
        <v>13.605925925925924</v>
      </c>
      <c r="G31" s="68">
        <f t="shared" ref="G31:G35" si="2">F31/1000</f>
        <v>1.3605925925925924E-2</v>
      </c>
      <c r="H31" s="40"/>
      <c r="I31" s="40"/>
      <c r="J31" s="40"/>
      <c r="K31" s="21"/>
      <c r="M31" s="25"/>
      <c r="N31" s="1"/>
      <c r="O31" s="1"/>
      <c r="P31" s="1"/>
      <c r="Q31" s="25"/>
      <c r="R31" s="25"/>
    </row>
    <row r="32" spans="1:18" ht="15" customHeight="1" x14ac:dyDescent="0.25">
      <c r="A32" s="18"/>
      <c r="B32" s="37"/>
      <c r="C32" s="36">
        <f>16*2</f>
        <v>32</v>
      </c>
      <c r="D32" s="38">
        <f>3.18</f>
        <v>3.18</v>
      </c>
      <c r="E32" s="38">
        <f t="shared" si="0"/>
        <v>0.39506172839506171</v>
      </c>
      <c r="F32" s="38">
        <f t="shared" si="1"/>
        <v>40.20148148148148</v>
      </c>
      <c r="G32" s="68">
        <f t="shared" si="2"/>
        <v>4.0201481481481477E-2</v>
      </c>
      <c r="H32" s="40"/>
      <c r="I32" s="40"/>
      <c r="J32" s="40"/>
      <c r="K32" s="21"/>
      <c r="M32" s="25"/>
      <c r="N32" s="1"/>
      <c r="O32" s="1"/>
      <c r="P32" s="1"/>
      <c r="Q32" s="25"/>
      <c r="R32" s="25"/>
    </row>
    <row r="33" spans="1:18" ht="15" customHeight="1" x14ac:dyDescent="0.25">
      <c r="A33" s="18"/>
      <c r="B33" s="37"/>
      <c r="C33" s="36">
        <f>3*2</f>
        <v>6</v>
      </c>
      <c r="D33" s="38">
        <f>1.15</f>
        <v>1.1499999999999999</v>
      </c>
      <c r="E33" s="38">
        <f t="shared" si="0"/>
        <v>0.39506172839506171</v>
      </c>
      <c r="F33" s="38">
        <f t="shared" si="1"/>
        <v>2.7259259259259254</v>
      </c>
      <c r="G33" s="68">
        <f t="shared" si="2"/>
        <v>2.7259259259259255E-3</v>
      </c>
      <c r="H33" s="40"/>
      <c r="I33" s="40"/>
      <c r="J33" s="40"/>
      <c r="K33" s="21"/>
      <c r="M33" s="25"/>
      <c r="N33" s="1"/>
      <c r="O33" s="1"/>
      <c r="P33" s="1"/>
      <c r="Q33" s="25"/>
      <c r="R33" s="25"/>
    </row>
    <row r="34" spans="1:18" ht="15" customHeight="1" x14ac:dyDescent="0.25">
      <c r="A34" s="18"/>
      <c r="B34" s="37"/>
      <c r="C34" s="36">
        <f>19*2</f>
        <v>38</v>
      </c>
      <c r="D34" s="38">
        <f>3.3</f>
        <v>3.3</v>
      </c>
      <c r="E34" s="38">
        <f t="shared" si="0"/>
        <v>0.39506172839506171</v>
      </c>
      <c r="F34" s="38">
        <f t="shared" si="1"/>
        <v>49.540740740740738</v>
      </c>
      <c r="G34" s="68">
        <f t="shared" si="2"/>
        <v>4.9540740740740739E-2</v>
      </c>
      <c r="H34" s="40"/>
      <c r="I34" s="40"/>
      <c r="J34" s="40"/>
      <c r="K34" s="21"/>
      <c r="M34" s="25"/>
      <c r="N34" s="1"/>
      <c r="O34" s="1"/>
      <c r="P34" s="1"/>
      <c r="Q34" s="25"/>
      <c r="R34" s="25"/>
    </row>
    <row r="35" spans="1:18" ht="15" customHeight="1" x14ac:dyDescent="0.25">
      <c r="A35" s="18"/>
      <c r="B35" s="37"/>
      <c r="C35" s="36">
        <f>8*2</f>
        <v>16</v>
      </c>
      <c r="D35" s="38">
        <f>0.17</f>
        <v>0.17</v>
      </c>
      <c r="E35" s="38">
        <f t="shared" si="0"/>
        <v>0.39506172839506171</v>
      </c>
      <c r="F35" s="38">
        <f t="shared" si="1"/>
        <v>1.0745679012345679</v>
      </c>
      <c r="G35" s="68">
        <f t="shared" si="2"/>
        <v>1.0745679012345679E-3</v>
      </c>
      <c r="H35" s="40"/>
      <c r="I35" s="40"/>
      <c r="J35" s="40"/>
      <c r="K35" s="21"/>
      <c r="M35" s="25"/>
      <c r="N35" s="1"/>
      <c r="O35" s="1"/>
      <c r="P35" s="1"/>
      <c r="Q35" s="25"/>
      <c r="R35" s="25"/>
    </row>
    <row r="36" spans="1:18" ht="15" customHeight="1" x14ac:dyDescent="0.25">
      <c r="A36" s="40"/>
      <c r="B36" s="37" t="s">
        <v>40</v>
      </c>
      <c r="C36" s="42"/>
      <c r="D36" s="43"/>
      <c r="E36" s="43"/>
      <c r="F36" s="43"/>
      <c r="G36" s="33">
        <f>SUM(G30:G35)</f>
        <v>0.1097371933428908</v>
      </c>
      <c r="H36" s="33" t="s">
        <v>59</v>
      </c>
      <c r="I36" s="33">
        <v>131940</v>
      </c>
      <c r="J36" s="44">
        <f>G36*I36</f>
        <v>14478.725289661012</v>
      </c>
      <c r="K36" s="36"/>
    </row>
    <row r="37" spans="1:18" ht="15" hidden="1" customHeight="1" x14ac:dyDescent="0.25">
      <c r="A37" s="40"/>
      <c r="B37" s="37" t="s">
        <v>38</v>
      </c>
      <c r="C37" s="42"/>
      <c r="D37" s="43"/>
      <c r="E37" s="43"/>
      <c r="F37" s="43"/>
      <c r="G37" s="43"/>
      <c r="H37" s="43"/>
      <c r="I37" s="43"/>
      <c r="J37" s="45">
        <f>0.13*G36*106200</f>
        <v>1515.0316912919504</v>
      </c>
      <c r="K37" s="36"/>
    </row>
    <row r="38" spans="1:18" ht="15" customHeight="1" x14ac:dyDescent="0.25">
      <c r="A38" s="40"/>
      <c r="B38" s="37"/>
      <c r="C38" s="42"/>
      <c r="D38" s="43"/>
      <c r="E38" s="43"/>
      <c r="F38" s="43"/>
      <c r="G38" s="43"/>
      <c r="H38" s="43"/>
      <c r="I38" s="43"/>
      <c r="J38" s="45"/>
      <c r="K38" s="36"/>
    </row>
    <row r="39" spans="1:18" ht="30.75" x14ac:dyDescent="0.25">
      <c r="A39" s="67">
        <v>6</v>
      </c>
      <c r="B39" s="63" t="s">
        <v>50</v>
      </c>
      <c r="C39" s="42"/>
      <c r="D39" s="43"/>
      <c r="E39" s="43"/>
      <c r="F39" s="43"/>
      <c r="G39" s="43"/>
      <c r="H39" s="43"/>
      <c r="I39" s="43"/>
      <c r="J39" s="45"/>
      <c r="K39" s="36"/>
    </row>
    <row r="40" spans="1:18" ht="15" customHeight="1" x14ac:dyDescent="0.25">
      <c r="A40" s="40"/>
      <c r="B40" s="37" t="str">
        <f>B30</f>
        <v>-for toilet footing</v>
      </c>
      <c r="C40" s="42">
        <v>1</v>
      </c>
      <c r="D40" s="43">
        <f>11/3.281</f>
        <v>3.3526363913441024</v>
      </c>
      <c r="E40" s="43">
        <f>10.5/3.281</f>
        <v>3.2002438281011885</v>
      </c>
      <c r="F40" s="43">
        <v>0.125</v>
      </c>
      <c r="G40" s="39">
        <f>PRODUCT(C40:F40)</f>
        <v>1.3411567399083006</v>
      </c>
      <c r="H40" s="43"/>
      <c r="I40" s="43"/>
      <c r="J40" s="45"/>
      <c r="K40" s="36"/>
    </row>
    <row r="41" spans="1:18" ht="15" customHeight="1" x14ac:dyDescent="0.25">
      <c r="A41" s="40"/>
      <c r="B41" s="37" t="s">
        <v>72</v>
      </c>
      <c r="C41" s="42">
        <v>-1</v>
      </c>
      <c r="D41" s="43">
        <f>22/12/3.281</f>
        <v>0.55877273189068366</v>
      </c>
      <c r="E41" s="43">
        <f>45/12/3.281</f>
        <v>1.1429442243218531</v>
      </c>
      <c r="F41" s="43">
        <v>0.125</v>
      </c>
      <c r="G41" s="39">
        <f>PRODUCT(C41:F41)</f>
        <v>-7.983075832787502E-2</v>
      </c>
      <c r="H41" s="43"/>
      <c r="I41" s="43"/>
      <c r="J41" s="45"/>
      <c r="K41" s="36"/>
    </row>
    <row r="42" spans="1:18" ht="15" customHeight="1" x14ac:dyDescent="0.25">
      <c r="A42" s="40"/>
      <c r="B42" s="37" t="s">
        <v>69</v>
      </c>
      <c r="C42" s="42">
        <v>-1</v>
      </c>
      <c r="D42" s="43">
        <v>0.1</v>
      </c>
      <c r="E42" s="43">
        <v>0.1</v>
      </c>
      <c r="F42" s="43">
        <v>0.125</v>
      </c>
      <c r="G42" s="68">
        <f>C42*F42*D42*E42*PI()</f>
        <v>-3.9269908169872417E-3</v>
      </c>
      <c r="H42" s="43"/>
      <c r="I42" s="43"/>
      <c r="J42" s="45"/>
      <c r="K42" s="36"/>
    </row>
    <row r="43" spans="1:18" ht="15" customHeight="1" x14ac:dyDescent="0.25">
      <c r="A43" s="40"/>
      <c r="B43" s="37" t="s">
        <v>75</v>
      </c>
      <c r="C43" s="42">
        <v>1</v>
      </c>
      <c r="D43" s="43">
        <f>D19</f>
        <v>3.047851264858275</v>
      </c>
      <c r="E43" s="43">
        <f>E19</f>
        <v>3.047851264858275</v>
      </c>
      <c r="F43" s="43">
        <v>7.4999999999999997E-2</v>
      </c>
      <c r="G43" s="39">
        <f>PRODUCT(C43:F43)</f>
        <v>0.69670479995236401</v>
      </c>
      <c r="H43" s="43"/>
      <c r="I43" s="43"/>
      <c r="J43" s="45"/>
      <c r="K43" s="36"/>
    </row>
    <row r="44" spans="1:18" ht="15" customHeight="1" x14ac:dyDescent="0.25">
      <c r="A44" s="40"/>
      <c r="B44" s="37" t="s">
        <v>40</v>
      </c>
      <c r="C44" s="42"/>
      <c r="D44" s="43"/>
      <c r="E44" s="43"/>
      <c r="F44" s="43"/>
      <c r="G44" s="33">
        <f>SUM(G40:G43)</f>
        <v>1.9541037907158025</v>
      </c>
      <c r="H44" s="33" t="s">
        <v>39</v>
      </c>
      <c r="I44" s="33">
        <v>13568.9</v>
      </c>
      <c r="J44" s="44">
        <f>G44*I44</f>
        <v>26515.038925843652</v>
      </c>
      <c r="K44" s="36"/>
    </row>
    <row r="45" spans="1:18" ht="15" hidden="1" customHeight="1" x14ac:dyDescent="0.25">
      <c r="A45" s="40"/>
      <c r="B45" s="37" t="s">
        <v>38</v>
      </c>
      <c r="C45" s="42"/>
      <c r="D45" s="43"/>
      <c r="E45" s="43"/>
      <c r="F45" s="43"/>
      <c r="G45" s="43"/>
      <c r="H45" s="43"/>
      <c r="I45" s="43"/>
      <c r="J45" s="45">
        <f>0.13*G44*(9524.2)</f>
        <v>2419.4657920596082</v>
      </c>
      <c r="K45" s="36"/>
    </row>
    <row r="46" spans="1:18" ht="15" customHeight="1" x14ac:dyDescent="0.25">
      <c r="A46" s="40"/>
      <c r="B46" s="37"/>
      <c r="C46" s="42"/>
      <c r="D46" s="43"/>
      <c r="E46" s="43"/>
      <c r="F46" s="43"/>
      <c r="G46" s="43"/>
      <c r="H46" s="43"/>
      <c r="I46" s="43"/>
      <c r="J46" s="45"/>
      <c r="K46" s="36"/>
    </row>
    <row r="47" spans="1:18" ht="30.75" x14ac:dyDescent="0.25">
      <c r="A47" s="18">
        <v>7</v>
      </c>
      <c r="B47" s="63" t="s">
        <v>62</v>
      </c>
      <c r="C47" s="42"/>
      <c r="D47" s="43"/>
      <c r="E47" s="43"/>
      <c r="F47" s="43"/>
      <c r="G47" s="43"/>
      <c r="H47" s="43"/>
      <c r="I47" s="43"/>
      <c r="J47" s="45"/>
      <c r="K47" s="36"/>
    </row>
    <row r="48" spans="1:18" ht="15" customHeight="1" x14ac:dyDescent="0.25">
      <c r="A48" s="40"/>
      <c r="B48" s="37" t="s">
        <v>63</v>
      </c>
      <c r="C48" s="42">
        <v>2</v>
      </c>
      <c r="D48" s="43">
        <f>10/3.281</f>
        <v>3.047851264858275</v>
      </c>
      <c r="E48" s="43">
        <v>0.23</v>
      </c>
      <c r="F48" s="43">
        <f>6/3.281</f>
        <v>1.8287107589149649</v>
      </c>
      <c r="G48" s="39">
        <f>PRODUCT(C48:F48)</f>
        <v>2.5638736638246993</v>
      </c>
      <c r="H48" s="43"/>
      <c r="I48" s="43"/>
      <c r="J48" s="45"/>
      <c r="K48" s="36"/>
    </row>
    <row r="49" spans="1:19" ht="15" customHeight="1" x14ac:dyDescent="0.25">
      <c r="A49" s="40"/>
      <c r="B49" s="37"/>
      <c r="C49" s="42">
        <v>2</v>
      </c>
      <c r="D49" s="43">
        <f>(10-1.5)/3.281</f>
        <v>2.5906735751295336</v>
      </c>
      <c r="E49" s="43">
        <v>0.23</v>
      </c>
      <c r="F49" s="43">
        <f>6/3.281</f>
        <v>1.8287107589149649</v>
      </c>
      <c r="G49" s="39">
        <f>PRODUCT(C49:F49)</f>
        <v>2.1792926142509943</v>
      </c>
      <c r="H49" s="43"/>
      <c r="I49" s="43"/>
      <c r="J49" s="45"/>
      <c r="K49" s="36"/>
    </row>
    <row r="50" spans="1:19" ht="15" customHeight="1" x14ac:dyDescent="0.25">
      <c r="A50" s="40"/>
      <c r="B50" s="37"/>
      <c r="C50" s="42">
        <v>1</v>
      </c>
      <c r="D50" s="43">
        <f>8.5/3.281</f>
        <v>2.5906735751295336</v>
      </c>
      <c r="E50" s="43">
        <v>0.1</v>
      </c>
      <c r="F50" s="43">
        <f>6/3.281</f>
        <v>1.8287107589149649</v>
      </c>
      <c r="G50" s="39">
        <f>PRODUCT(C50:F50)</f>
        <v>0.47375926396760742</v>
      </c>
      <c r="H50" s="43"/>
      <c r="I50" s="43"/>
      <c r="J50" s="45"/>
      <c r="K50" s="36"/>
    </row>
    <row r="51" spans="1:19" ht="15" customHeight="1" x14ac:dyDescent="0.25">
      <c r="A51" s="40"/>
      <c r="B51" s="37" t="s">
        <v>49</v>
      </c>
      <c r="C51" s="42">
        <v>1</v>
      </c>
      <c r="D51" s="43">
        <f>3.27+10.75/3.281</f>
        <v>6.5464401097226457</v>
      </c>
      <c r="E51" s="43">
        <f t="shared" ref="C51:G53" si="3">E48</f>
        <v>0.23</v>
      </c>
      <c r="F51" s="43">
        <f>7/3.281</f>
        <v>2.1334958854007922</v>
      </c>
      <c r="G51" s="39">
        <f t="shared" ref="G51:G56" si="4">PRODUCT(C51:F51)</f>
        <v>3.2123646987666743</v>
      </c>
      <c r="H51" s="43"/>
      <c r="I51" s="43"/>
      <c r="J51" s="45"/>
      <c r="K51" s="36"/>
    </row>
    <row r="52" spans="1:19" ht="15" customHeight="1" x14ac:dyDescent="0.25">
      <c r="A52" s="40"/>
      <c r="B52" s="37"/>
      <c r="C52" s="42">
        <v>2</v>
      </c>
      <c r="D52" s="43">
        <f>(8-1.5)/3.281</f>
        <v>1.9811033221578787</v>
      </c>
      <c r="E52" s="43">
        <f t="shared" si="3"/>
        <v>0.23</v>
      </c>
      <c r="F52" s="43">
        <f t="shared" ref="F52:F53" si="5">7/3.281</f>
        <v>2.1334958854007922</v>
      </c>
      <c r="G52" s="39">
        <f t="shared" si="4"/>
        <v>1.9442708617337301</v>
      </c>
      <c r="H52" s="43"/>
      <c r="I52" s="43"/>
      <c r="J52" s="45"/>
      <c r="K52" s="36"/>
    </row>
    <row r="53" spans="1:19" ht="15" customHeight="1" x14ac:dyDescent="0.25">
      <c r="A53" s="40"/>
      <c r="B53" s="37"/>
      <c r="C53" s="42">
        <f t="shared" si="3"/>
        <v>1</v>
      </c>
      <c r="D53" s="43">
        <f>(8-1.5)/3.281</f>
        <v>1.9811033221578787</v>
      </c>
      <c r="E53" s="43">
        <f t="shared" si="3"/>
        <v>0.1</v>
      </c>
      <c r="F53" s="43">
        <f t="shared" si="5"/>
        <v>2.1334958854007922</v>
      </c>
      <c r="G53" s="39">
        <f t="shared" si="4"/>
        <v>0.42266757863776744</v>
      </c>
      <c r="H53" s="43"/>
      <c r="I53" s="43"/>
      <c r="J53" s="45"/>
      <c r="K53" s="36"/>
    </row>
    <row r="54" spans="1:19" ht="15" customHeight="1" x14ac:dyDescent="0.25">
      <c r="A54" s="40"/>
      <c r="B54" s="37" t="s">
        <v>64</v>
      </c>
      <c r="C54" s="42">
        <f>-1</f>
        <v>-1</v>
      </c>
      <c r="D54" s="43">
        <v>0.9</v>
      </c>
      <c r="E54" s="43">
        <v>0.23</v>
      </c>
      <c r="F54" s="43">
        <v>0.45</v>
      </c>
      <c r="G54" s="39">
        <f t="shared" si="4"/>
        <v>-9.3150000000000011E-2</v>
      </c>
      <c r="H54" s="43"/>
      <c r="I54" s="43"/>
      <c r="J54" s="45"/>
      <c r="K54" s="36"/>
    </row>
    <row r="55" spans="1:19" ht="15" customHeight="1" x14ac:dyDescent="0.25">
      <c r="A55" s="40"/>
      <c r="B55" s="37"/>
      <c r="C55" s="42">
        <v>-1</v>
      </c>
      <c r="D55" s="43">
        <v>0.75</v>
      </c>
      <c r="E55" s="43">
        <v>0.23</v>
      </c>
      <c r="F55" s="43">
        <f>1.083/3.281</f>
        <v>0.33008229198415112</v>
      </c>
      <c r="G55" s="39">
        <f t="shared" si="4"/>
        <v>-5.6939195367266077E-2</v>
      </c>
      <c r="H55" s="43"/>
      <c r="I55" s="43"/>
      <c r="J55" s="45"/>
      <c r="K55" s="36"/>
    </row>
    <row r="56" spans="1:19" ht="15" customHeight="1" x14ac:dyDescent="0.25">
      <c r="A56" s="40"/>
      <c r="B56" s="37" t="s">
        <v>65</v>
      </c>
      <c r="C56" s="42">
        <v>-2</v>
      </c>
      <c r="D56" s="43">
        <f>0.75</f>
        <v>0.75</v>
      </c>
      <c r="E56" s="43">
        <v>0.23</v>
      </c>
      <c r="F56" s="43">
        <f>6/3.281</f>
        <v>1.8287107589149649</v>
      </c>
      <c r="G56" s="39">
        <f t="shared" si="4"/>
        <v>-0.63090521182566295</v>
      </c>
      <c r="H56" s="43"/>
      <c r="I56" s="43"/>
      <c r="J56" s="45"/>
      <c r="K56" s="36"/>
    </row>
    <row r="57" spans="1:19" ht="15" customHeight="1" x14ac:dyDescent="0.25">
      <c r="A57" s="40"/>
      <c r="B57" s="37" t="s">
        <v>40</v>
      </c>
      <c r="C57" s="42"/>
      <c r="D57" s="43"/>
      <c r="E57" s="43"/>
      <c r="F57" s="43"/>
      <c r="G57" s="33">
        <f>SUM(G48:G56)</f>
        <v>10.015234273988543</v>
      </c>
      <c r="H57" s="33" t="s">
        <v>39</v>
      </c>
      <c r="I57" s="33">
        <v>14362.76</v>
      </c>
      <c r="J57" s="44">
        <f>G57*I57</f>
        <v>143846.40622107169</v>
      </c>
      <c r="K57" s="36"/>
    </row>
    <row r="58" spans="1:19" ht="15" hidden="1" customHeight="1" x14ac:dyDescent="0.25">
      <c r="A58" s="40"/>
      <c r="B58" s="37" t="s">
        <v>38</v>
      </c>
      <c r="C58" s="42"/>
      <c r="D58" s="43"/>
      <c r="E58" s="43"/>
      <c r="F58" s="43"/>
      <c r="G58" s="43"/>
      <c r="H58" s="43"/>
      <c r="I58" s="43"/>
      <c r="J58" s="45">
        <f>0.13*G57*10311.74</f>
        <v>13425.683943419621</v>
      </c>
      <c r="K58" s="36"/>
    </row>
    <row r="59" spans="1:19" ht="15" customHeight="1" x14ac:dyDescent="0.25">
      <c r="A59" s="40"/>
      <c r="B59" s="37"/>
      <c r="C59" s="42"/>
      <c r="D59" s="43"/>
      <c r="E59" s="43"/>
      <c r="F59" s="43"/>
      <c r="G59" s="43"/>
      <c r="H59" s="43"/>
      <c r="I59" s="43"/>
      <c r="J59" s="45"/>
      <c r="K59" s="36"/>
    </row>
    <row r="60" spans="1:19" ht="30.75" x14ac:dyDescent="0.25">
      <c r="A60" s="67">
        <v>8</v>
      </c>
      <c r="B60" s="63" t="s">
        <v>46</v>
      </c>
      <c r="C60" s="42"/>
      <c r="D60" s="43"/>
      <c r="E60" s="43"/>
      <c r="F60" s="43"/>
      <c r="G60" s="43"/>
      <c r="H60" s="43"/>
      <c r="I60" s="43"/>
      <c r="J60" s="45"/>
      <c r="K60" s="36"/>
    </row>
    <row r="61" spans="1:19" ht="15" customHeight="1" x14ac:dyDescent="0.25">
      <c r="A61" s="18"/>
      <c r="B61" s="37" t="s">
        <v>48</v>
      </c>
      <c r="C61" s="36">
        <v>1</v>
      </c>
      <c r="D61" s="38">
        <f>(8.5*4+4*4)/3.281</f>
        <v>15.239256324291373</v>
      </c>
      <c r="E61" s="38"/>
      <c r="F61" s="38">
        <v>1.8</v>
      </c>
      <c r="G61" s="39">
        <f>PRODUCT(C61:F61)</f>
        <v>27.430661383724473</v>
      </c>
      <c r="H61" s="40"/>
      <c r="I61" s="40"/>
      <c r="J61" s="40"/>
      <c r="K61" s="21"/>
      <c r="M61" s="25"/>
      <c r="N61" s="1"/>
      <c r="O61" s="1"/>
      <c r="P61" s="1"/>
      <c r="Q61" s="1"/>
      <c r="R61" s="25"/>
      <c r="S61" s="25"/>
    </row>
    <row r="62" spans="1:19" ht="15" customHeight="1" x14ac:dyDescent="0.25">
      <c r="A62" s="18"/>
      <c r="B62" s="37" t="s">
        <v>76</v>
      </c>
      <c r="C62" s="36">
        <v>1</v>
      </c>
      <c r="D62" s="38">
        <f>2.6+(5.5/3.281)*2+1.97+1.33+1.97+1.33</f>
        <v>12.552636391344102</v>
      </c>
      <c r="E62" s="38"/>
      <c r="F62" s="38">
        <f>7/3.281</f>
        <v>2.1334958854007922</v>
      </c>
      <c r="G62" s="39">
        <f>PRODUCT(C62:F62)</f>
        <v>26.780998091864888</v>
      </c>
      <c r="H62" s="40"/>
      <c r="I62" s="40"/>
      <c r="J62" s="40"/>
      <c r="K62" s="21"/>
      <c r="M62" s="25"/>
      <c r="N62" s="1"/>
      <c r="O62" s="1"/>
      <c r="P62" s="1"/>
      <c r="Q62" s="1"/>
      <c r="R62" s="25"/>
      <c r="S62" s="25"/>
    </row>
    <row r="63" spans="1:19" ht="15" customHeight="1" x14ac:dyDescent="0.25">
      <c r="A63" s="18"/>
      <c r="B63" s="37" t="s">
        <v>65</v>
      </c>
      <c r="C63" s="36">
        <v>-2</v>
      </c>
      <c r="D63" s="38">
        <f>2.5/3.281</f>
        <v>0.76196281621456874</v>
      </c>
      <c r="E63" s="38"/>
      <c r="F63" s="38">
        <f>6/3.281</f>
        <v>1.8287107589149649</v>
      </c>
      <c r="G63" s="39">
        <f t="shared" ref="G63:G64" si="6">PRODUCT(C63:F63)</f>
        <v>-2.786819199809456</v>
      </c>
      <c r="H63" s="40"/>
      <c r="I63" s="40"/>
      <c r="J63" s="40"/>
      <c r="K63" s="21"/>
      <c r="M63" s="25"/>
      <c r="N63" s="1"/>
      <c r="O63" s="1"/>
      <c r="P63" s="1"/>
      <c r="Q63" s="1"/>
      <c r="R63" s="25"/>
      <c r="S63" s="25"/>
    </row>
    <row r="64" spans="1:19" ht="15" customHeight="1" x14ac:dyDescent="0.25">
      <c r="A64" s="18"/>
      <c r="B64" s="37" t="s">
        <v>77</v>
      </c>
      <c r="C64" s="36">
        <v>-2</v>
      </c>
      <c r="D64" s="38">
        <f>1.5/3.281</f>
        <v>0.45717768972874123</v>
      </c>
      <c r="E64" s="38"/>
      <c r="F64" s="38">
        <v>0.45</v>
      </c>
      <c r="G64" s="39">
        <f t="shared" si="6"/>
        <v>-0.41145992075586713</v>
      </c>
      <c r="H64" s="40"/>
      <c r="I64" s="40"/>
      <c r="J64" s="40"/>
      <c r="K64" s="21"/>
      <c r="M64" s="25"/>
      <c r="N64" s="1"/>
      <c r="O64" s="1"/>
      <c r="P64" s="1"/>
      <c r="Q64" s="1"/>
      <c r="R64" s="25"/>
      <c r="S64" s="25"/>
    </row>
    <row r="65" spans="1:19" ht="15" customHeight="1" x14ac:dyDescent="0.25">
      <c r="A65" s="18"/>
      <c r="B65" s="37" t="s">
        <v>40</v>
      </c>
      <c r="C65" s="36"/>
      <c r="D65" s="38"/>
      <c r="E65" s="38"/>
      <c r="F65" s="38"/>
      <c r="G65" s="34">
        <f>SUM(G61:G64)</f>
        <v>51.013380355024033</v>
      </c>
      <c r="H65" s="40" t="s">
        <v>45</v>
      </c>
      <c r="I65" s="40">
        <v>405.86</v>
      </c>
      <c r="J65" s="45">
        <f>G65*I65</f>
        <v>20704.290550890055</v>
      </c>
      <c r="K65" s="21"/>
      <c r="M65" s="25"/>
      <c r="N65" s="1"/>
      <c r="O65" s="1"/>
      <c r="P65" s="1"/>
      <c r="Q65" s="1"/>
      <c r="R65" s="25"/>
      <c r="S65" s="25"/>
    </row>
    <row r="66" spans="1:19" ht="15" hidden="1" customHeight="1" x14ac:dyDescent="0.25">
      <c r="A66" s="18"/>
      <c r="B66" s="37" t="s">
        <v>38</v>
      </c>
      <c r="C66" s="36"/>
      <c r="D66" s="38"/>
      <c r="E66" s="38"/>
      <c r="F66" s="38"/>
      <c r="G66" s="39"/>
      <c r="H66" s="40"/>
      <c r="I66" s="40"/>
      <c r="J66" s="45">
        <f>0.13*G65*(11166.2/100)</f>
        <v>740.51329003635021</v>
      </c>
      <c r="K66" s="21"/>
      <c r="M66" s="25"/>
      <c r="N66" s="1"/>
      <c r="O66" s="1"/>
      <c r="P66" s="1"/>
      <c r="Q66" s="1"/>
      <c r="R66" s="25"/>
      <c r="S66" s="25"/>
    </row>
    <row r="67" spans="1:19" ht="15" customHeight="1" x14ac:dyDescent="0.25">
      <c r="A67" s="18"/>
      <c r="B67" s="37"/>
      <c r="C67" s="36"/>
      <c r="D67" s="38"/>
      <c r="E67" s="38"/>
      <c r="F67" s="38"/>
      <c r="G67" s="39"/>
      <c r="H67" s="40"/>
      <c r="I67" s="40"/>
      <c r="J67" s="45"/>
      <c r="K67" s="21"/>
      <c r="M67" s="25"/>
      <c r="N67" s="1"/>
      <c r="O67" s="1"/>
      <c r="P67" s="1"/>
      <c r="Q67" s="1"/>
      <c r="R67" s="25"/>
      <c r="S67" s="25"/>
    </row>
    <row r="68" spans="1:19" ht="30.75" x14ac:dyDescent="0.25">
      <c r="A68" s="67">
        <v>9</v>
      </c>
      <c r="B68" s="63" t="s">
        <v>68</v>
      </c>
      <c r="C68" s="42"/>
      <c r="D68" s="43"/>
      <c r="E68" s="43"/>
      <c r="F68" s="43"/>
      <c r="G68" s="43"/>
      <c r="H68" s="43"/>
      <c r="I68" s="43"/>
      <c r="J68" s="45"/>
      <c r="K68" s="36"/>
    </row>
    <row r="69" spans="1:19" ht="15" customHeight="1" x14ac:dyDescent="0.25">
      <c r="A69" s="18"/>
      <c r="B69" s="37" t="s">
        <v>67</v>
      </c>
      <c r="C69" s="36">
        <v>1</v>
      </c>
      <c r="D69" s="38">
        <f>4/3.281</f>
        <v>1.2191405059433098</v>
      </c>
      <c r="E69" s="38">
        <f>8.5/3.281</f>
        <v>2.5906735751295336</v>
      </c>
      <c r="F69" s="38"/>
      <c r="G69" s="39">
        <f>PRODUCT(C69:F69)</f>
        <v>3.1583950931173828</v>
      </c>
      <c r="H69" s="40"/>
      <c r="I69" s="40"/>
      <c r="J69" s="40"/>
      <c r="K69" s="21"/>
      <c r="M69" s="25"/>
      <c r="N69" s="1"/>
      <c r="O69" s="1"/>
      <c r="P69" s="1"/>
      <c r="Q69" s="1"/>
      <c r="R69" s="25"/>
      <c r="S69" s="25"/>
    </row>
    <row r="70" spans="1:19" ht="15" customHeight="1" x14ac:dyDescent="0.25">
      <c r="A70" s="18"/>
      <c r="B70" s="37" t="s">
        <v>40</v>
      </c>
      <c r="C70" s="36"/>
      <c r="D70" s="38"/>
      <c r="E70" s="38"/>
      <c r="F70" s="38"/>
      <c r="G70" s="34">
        <f>SUM(G69:G69)</f>
        <v>3.1583950931173828</v>
      </c>
      <c r="H70" s="40" t="s">
        <v>45</v>
      </c>
      <c r="I70" s="40">
        <v>816.74</v>
      </c>
      <c r="J70" s="45">
        <f>G70*I70</f>
        <v>2579.5876083526914</v>
      </c>
      <c r="K70" s="21"/>
      <c r="M70" s="25"/>
      <c r="N70" s="1"/>
      <c r="O70" s="1"/>
      <c r="P70" s="1"/>
      <c r="Q70" s="1"/>
      <c r="R70" s="25"/>
      <c r="S70" s="25"/>
    </row>
    <row r="71" spans="1:19" ht="15" hidden="1" customHeight="1" x14ac:dyDescent="0.25">
      <c r="A71" s="18"/>
      <c r="B71" s="37" t="s">
        <v>38</v>
      </c>
      <c r="C71" s="36"/>
      <c r="D71" s="38"/>
      <c r="E71" s="38"/>
      <c r="F71" s="38"/>
      <c r="G71" s="39"/>
      <c r="H71" s="40"/>
      <c r="I71" s="40"/>
      <c r="J71" s="45">
        <f>0.13*G70*(4336.62/10)</f>
        <v>178.05787127329114</v>
      </c>
      <c r="K71" s="21"/>
      <c r="M71" s="25"/>
      <c r="N71" s="1"/>
      <c r="O71" s="1"/>
      <c r="P71" s="1"/>
      <c r="Q71" s="1"/>
      <c r="R71" s="25"/>
      <c r="S71" s="25"/>
    </row>
    <row r="72" spans="1:19" ht="15" customHeight="1" x14ac:dyDescent="0.25">
      <c r="A72" s="40"/>
      <c r="B72" s="37"/>
      <c r="C72" s="42"/>
      <c r="D72" s="43"/>
      <c r="E72" s="43"/>
      <c r="F72" s="43"/>
      <c r="G72" s="43"/>
      <c r="H72" s="43"/>
      <c r="I72" s="43"/>
      <c r="J72" s="45"/>
      <c r="K72" s="36"/>
    </row>
    <row r="73" spans="1:19" ht="30.75" x14ac:dyDescent="0.25">
      <c r="A73" s="67">
        <v>10</v>
      </c>
      <c r="B73" s="63" t="s">
        <v>66</v>
      </c>
      <c r="C73" s="42"/>
      <c r="D73" s="43"/>
      <c r="E73" s="43"/>
      <c r="F73" s="43"/>
      <c r="G73" s="43"/>
      <c r="H73" s="43"/>
      <c r="I73" s="43"/>
      <c r="J73" s="45"/>
      <c r="K73" s="36"/>
    </row>
    <row r="74" spans="1:19" ht="15" customHeight="1" x14ac:dyDescent="0.25">
      <c r="A74" s="18"/>
      <c r="B74" s="37" t="s">
        <v>48</v>
      </c>
      <c r="C74" s="36">
        <v>1</v>
      </c>
      <c r="D74" s="38">
        <f>(8.5*4+4*4)/3.281</f>
        <v>15.239256324291373</v>
      </c>
      <c r="E74" s="38"/>
      <c r="F74" s="38">
        <v>1.8</v>
      </c>
      <c r="G74" s="39">
        <f>PRODUCT(C74:F74)</f>
        <v>27.430661383724473</v>
      </c>
      <c r="H74" s="40"/>
      <c r="I74" s="40"/>
      <c r="J74" s="40"/>
      <c r="K74" s="21"/>
      <c r="M74" s="25"/>
      <c r="N74" s="1"/>
      <c r="O74" s="1"/>
      <c r="P74" s="1"/>
      <c r="Q74" s="1"/>
      <c r="R74" s="25"/>
      <c r="S74" s="25"/>
    </row>
    <row r="75" spans="1:19" ht="15" customHeight="1" x14ac:dyDescent="0.25">
      <c r="A75" s="18"/>
      <c r="B75" s="37" t="str">
        <f>B62</f>
        <v>-Toilet walls</v>
      </c>
      <c r="C75" s="36">
        <v>1</v>
      </c>
      <c r="D75" s="38">
        <f>2.6</f>
        <v>2.6</v>
      </c>
      <c r="E75" s="38"/>
      <c r="F75" s="38">
        <v>1.1000000000000001</v>
      </c>
      <c r="G75" s="39">
        <f>PRODUCT(C75:F75)</f>
        <v>2.8600000000000003</v>
      </c>
      <c r="H75" s="40"/>
      <c r="I75" s="40"/>
      <c r="J75" s="40"/>
      <c r="K75" s="21"/>
      <c r="M75" s="25"/>
      <c r="N75" s="1"/>
      <c r="O75" s="1"/>
      <c r="P75" s="1"/>
      <c r="Q75" s="1"/>
      <c r="R75" s="25"/>
      <c r="S75" s="25"/>
    </row>
    <row r="76" spans="1:19" ht="15" customHeight="1" x14ac:dyDescent="0.25">
      <c r="A76" s="18"/>
      <c r="B76" s="37" t="s">
        <v>67</v>
      </c>
      <c r="C76" s="36">
        <v>2</v>
      </c>
      <c r="D76" s="38">
        <f>4/3.281</f>
        <v>1.2191405059433098</v>
      </c>
      <c r="E76" s="38">
        <f>8.5/3.281</f>
        <v>2.5906735751295336</v>
      </c>
      <c r="F76" s="38"/>
      <c r="G76" s="39">
        <f>PRODUCT(C76:F76)</f>
        <v>6.3167901862347655</v>
      </c>
      <c r="H76" s="40"/>
      <c r="I76" s="40"/>
      <c r="J76" s="40"/>
      <c r="K76" s="21"/>
      <c r="M76" s="25"/>
      <c r="N76" s="1"/>
      <c r="O76" s="1"/>
      <c r="P76" s="1"/>
      <c r="Q76" s="1"/>
      <c r="R76" s="25"/>
      <c r="S76" s="25"/>
    </row>
    <row r="77" spans="1:19" ht="15" customHeight="1" x14ac:dyDescent="0.25">
      <c r="A77" s="18"/>
      <c r="B77" s="37" t="s">
        <v>40</v>
      </c>
      <c r="C77" s="36"/>
      <c r="D77" s="38"/>
      <c r="E77" s="38"/>
      <c r="F77" s="38"/>
      <c r="G77" s="34">
        <f>SUM(G74:G76)</f>
        <v>36.607451569959238</v>
      </c>
      <c r="H77" s="40" t="s">
        <v>45</v>
      </c>
      <c r="I77" s="40">
        <v>279.02999999999997</v>
      </c>
      <c r="J77" s="45">
        <f>G77*I77</f>
        <v>10214.577211565726</v>
      </c>
      <c r="K77" s="21"/>
      <c r="M77" s="25"/>
      <c r="N77" s="1"/>
      <c r="O77" s="1"/>
      <c r="P77" s="1"/>
      <c r="Q77" s="1"/>
      <c r="R77" s="25"/>
      <c r="S77" s="25"/>
    </row>
    <row r="78" spans="1:19" ht="15" hidden="1" customHeight="1" x14ac:dyDescent="0.25">
      <c r="A78" s="18"/>
      <c r="B78" s="37" t="s">
        <v>38</v>
      </c>
      <c r="C78" s="36"/>
      <c r="D78" s="38"/>
      <c r="E78" s="38"/>
      <c r="F78" s="38"/>
      <c r="G78" s="39"/>
      <c r="H78" s="40"/>
      <c r="I78" s="40"/>
      <c r="J78" s="45">
        <f>0.13*G77*(645.36/10)</f>
        <v>307.12480428745562</v>
      </c>
      <c r="K78" s="21"/>
      <c r="M78" s="25"/>
      <c r="N78" s="1"/>
      <c r="O78" s="1"/>
      <c r="P78" s="1"/>
      <c r="Q78" s="1"/>
      <c r="R78" s="25"/>
      <c r="S78" s="25"/>
    </row>
    <row r="79" spans="1:19" ht="15" customHeight="1" x14ac:dyDescent="0.25">
      <c r="A79" s="18"/>
      <c r="B79" s="37"/>
      <c r="C79" s="36"/>
      <c r="D79" s="38"/>
      <c r="E79" s="38"/>
      <c r="F79" s="38"/>
      <c r="G79" s="39"/>
      <c r="H79" s="40"/>
      <c r="I79" s="40"/>
      <c r="J79" s="45"/>
      <c r="K79" s="21"/>
      <c r="M79" s="25"/>
      <c r="N79" s="1"/>
      <c r="O79" s="1"/>
      <c r="P79" s="1"/>
      <c r="Q79" s="1"/>
      <c r="R79" s="25"/>
      <c r="S79" s="25"/>
    </row>
    <row r="80" spans="1:19" ht="15" customHeight="1" x14ac:dyDescent="0.25">
      <c r="A80" s="18">
        <v>11</v>
      </c>
      <c r="B80" s="30" t="s">
        <v>30</v>
      </c>
      <c r="C80" s="19">
        <v>1</v>
      </c>
      <c r="D80" s="20"/>
      <c r="E80" s="21"/>
      <c r="F80" s="21"/>
      <c r="G80" s="34">
        <f t="shared" ref="G80" si="7">PRODUCT(C80:F80)</f>
        <v>1</v>
      </c>
      <c r="H80" s="22" t="s">
        <v>31</v>
      </c>
      <c r="I80" s="23">
        <v>500</v>
      </c>
      <c r="J80" s="34">
        <f>G80*I80</f>
        <v>500</v>
      </c>
      <c r="K80" s="21"/>
      <c r="M80" s="25"/>
      <c r="N80" s="1"/>
      <c r="O80" s="1"/>
      <c r="P80" s="1"/>
      <c r="Q80" s="1"/>
      <c r="R80" s="25"/>
      <c r="S80" s="25"/>
    </row>
    <row r="81" spans="1:19" ht="15" customHeight="1" x14ac:dyDescent="0.25">
      <c r="A81" s="18"/>
      <c r="B81" s="24"/>
      <c r="C81" s="19"/>
      <c r="D81" s="20"/>
      <c r="E81" s="21"/>
      <c r="F81" s="21"/>
      <c r="G81" s="23"/>
      <c r="H81" s="22"/>
      <c r="I81" s="23"/>
      <c r="J81" s="41"/>
      <c r="K81" s="21"/>
      <c r="M81" s="25"/>
      <c r="N81" s="1"/>
      <c r="O81" s="1"/>
      <c r="P81" s="1"/>
      <c r="Q81" s="1"/>
      <c r="R81" s="25"/>
      <c r="S81" s="25"/>
    </row>
    <row r="82" spans="1:19" x14ac:dyDescent="0.25">
      <c r="A82" s="40"/>
      <c r="B82" s="46" t="s">
        <v>17</v>
      </c>
      <c r="C82" s="47"/>
      <c r="D82" s="38"/>
      <c r="E82" s="38"/>
      <c r="F82" s="38"/>
      <c r="G82" s="41"/>
      <c r="H82" s="41"/>
      <c r="I82" s="41"/>
      <c r="J82" s="41">
        <f>SUM(J10:J80)</f>
        <v>262719.82518484857</v>
      </c>
      <c r="K82" s="36"/>
    </row>
    <row r="83" spans="1:19" x14ac:dyDescent="0.25">
      <c r="A83" s="58"/>
      <c r="B83" s="61"/>
      <c r="C83" s="62"/>
      <c r="D83" s="59"/>
      <c r="E83" s="59"/>
      <c r="F83" s="59"/>
      <c r="G83" s="60"/>
      <c r="H83" s="60"/>
      <c r="I83" s="60"/>
      <c r="J83" s="60"/>
      <c r="K83" s="57"/>
    </row>
    <row r="84" spans="1:19" s="1" customFormat="1" hidden="1" x14ac:dyDescent="0.25">
      <c r="A84" s="50"/>
      <c r="B84" s="29" t="s">
        <v>80</v>
      </c>
      <c r="C84" s="79">
        <f>J82</f>
        <v>262719.82518484857</v>
      </c>
      <c r="D84" s="79"/>
      <c r="E84" s="39">
        <v>100</v>
      </c>
      <c r="F84" s="51"/>
      <c r="G84" s="52"/>
      <c r="H84" s="51"/>
      <c r="I84" s="53"/>
      <c r="J84" s="54"/>
      <c r="K84" s="55"/>
    </row>
    <row r="85" spans="1:19" hidden="1" x14ac:dyDescent="0.25">
      <c r="A85" s="56"/>
      <c r="B85" s="29" t="s">
        <v>32</v>
      </c>
      <c r="C85" s="82">
        <v>200000</v>
      </c>
      <c r="D85" s="82"/>
      <c r="E85" s="39"/>
      <c r="F85" s="49"/>
      <c r="G85" s="48"/>
      <c r="H85" s="48"/>
      <c r="I85" s="48"/>
      <c r="J85" s="48"/>
      <c r="K85" s="49"/>
    </row>
    <row r="86" spans="1:19" hidden="1" x14ac:dyDescent="0.25">
      <c r="A86" s="56"/>
      <c r="B86" s="29" t="s">
        <v>33</v>
      </c>
      <c r="C86" s="82">
        <f>C85-C88-C89</f>
        <v>190000</v>
      </c>
      <c r="D86" s="82"/>
      <c r="E86" s="39">
        <f>C86/C84*100</f>
        <v>72.320389169837796</v>
      </c>
      <c r="F86" s="49"/>
      <c r="G86" s="48"/>
      <c r="H86" s="48"/>
      <c r="I86" s="48"/>
      <c r="J86" s="48"/>
      <c r="K86" s="49"/>
    </row>
    <row r="87" spans="1:19" hidden="1" x14ac:dyDescent="0.25">
      <c r="A87" s="56"/>
      <c r="B87" s="29" t="s">
        <v>34</v>
      </c>
      <c r="C87" s="79">
        <f>C84-C86</f>
        <v>72719.825184848567</v>
      </c>
      <c r="D87" s="79"/>
      <c r="E87" s="39">
        <f>100-E86</f>
        <v>27.679610830162204</v>
      </c>
      <c r="F87" s="49"/>
      <c r="G87" s="48"/>
      <c r="H87" s="48"/>
      <c r="I87" s="48"/>
      <c r="J87" s="48"/>
      <c r="K87" s="49"/>
    </row>
    <row r="88" spans="1:19" hidden="1" x14ac:dyDescent="0.25">
      <c r="A88" s="56"/>
      <c r="B88" s="29" t="s">
        <v>35</v>
      </c>
      <c r="C88" s="79">
        <f>C85*0.03</f>
        <v>6000</v>
      </c>
      <c r="D88" s="79"/>
      <c r="E88" s="39">
        <v>3</v>
      </c>
      <c r="F88" s="49"/>
      <c r="G88" s="48"/>
      <c r="H88" s="48"/>
      <c r="I88" s="48"/>
      <c r="J88" s="48"/>
      <c r="K88" s="49"/>
    </row>
    <row r="89" spans="1:19" hidden="1" x14ac:dyDescent="0.25">
      <c r="A89" s="56"/>
      <c r="B89" s="29" t="s">
        <v>36</v>
      </c>
      <c r="C89" s="79">
        <f>C85*0.02</f>
        <v>4000</v>
      </c>
      <c r="D89" s="79"/>
      <c r="E89" s="39">
        <v>2</v>
      </c>
      <c r="F89" s="49"/>
      <c r="G89" s="48"/>
      <c r="H89" s="48"/>
      <c r="I89" s="48"/>
      <c r="J89" s="48"/>
      <c r="K89" s="49"/>
    </row>
    <row r="90" spans="1:19" s="35" customFormat="1" x14ac:dyDescent="0.25">
      <c r="A90" s="57"/>
      <c r="B90" s="57"/>
      <c r="C90" s="57"/>
      <c r="D90" s="57"/>
      <c r="E90" s="57"/>
      <c r="F90" s="57"/>
      <c r="G90" s="57"/>
      <c r="H90" s="57"/>
      <c r="I90" s="57"/>
      <c r="J90" s="57"/>
      <c r="K90" s="57"/>
    </row>
    <row r="91" spans="1:19" s="35" customFormat="1" x14ac:dyDescent="0.25"/>
    <row r="92" spans="1:19" s="35" customFormat="1" x14ac:dyDescent="0.25"/>
    <row r="93" spans="1:19" s="35" customFormat="1" x14ac:dyDescent="0.25"/>
    <row r="94" spans="1:19" s="35" customFormat="1" x14ac:dyDescent="0.25"/>
    <row r="95" spans="1:19" s="35" customFormat="1" x14ac:dyDescent="0.25"/>
    <row r="96" spans="1:19" s="35" customFormat="1" x14ac:dyDescent="0.25"/>
    <row r="97" s="35" customFormat="1" x14ac:dyDescent="0.25"/>
    <row r="98" s="35" customFormat="1" x14ac:dyDescent="0.25"/>
    <row r="99" s="35" customFormat="1" x14ac:dyDescent="0.25"/>
    <row r="100" s="35" customFormat="1" x14ac:dyDescent="0.25"/>
    <row r="101" s="35" customFormat="1" x14ac:dyDescent="0.25"/>
    <row r="102" s="35" customFormat="1" x14ac:dyDescent="0.25"/>
    <row r="103" s="35" customFormat="1" x14ac:dyDescent="0.25"/>
    <row r="104" s="35" customFormat="1" x14ac:dyDescent="0.25"/>
    <row r="105" s="35" customFormat="1" x14ac:dyDescent="0.25"/>
    <row r="106" s="35" customFormat="1" x14ac:dyDescent="0.25"/>
    <row r="107" s="35" customFormat="1" x14ac:dyDescent="0.25"/>
    <row r="108" s="35" customFormat="1" x14ac:dyDescent="0.25"/>
    <row r="109" s="35" customFormat="1" x14ac:dyDescent="0.25"/>
    <row r="110" s="35" customFormat="1" x14ac:dyDescent="0.25"/>
    <row r="111" s="35" customFormat="1" x14ac:dyDescent="0.25"/>
    <row r="112" s="35" customFormat="1" x14ac:dyDescent="0.25"/>
    <row r="113" s="35" customFormat="1" x14ac:dyDescent="0.25"/>
    <row r="114" s="35" customFormat="1" x14ac:dyDescent="0.25"/>
    <row r="115" s="35" customFormat="1" x14ac:dyDescent="0.25"/>
    <row r="116" s="35" customFormat="1" x14ac:dyDescent="0.25"/>
    <row r="117" s="35" customFormat="1" x14ac:dyDescent="0.25"/>
    <row r="118" s="35" customFormat="1" x14ac:dyDescent="0.25"/>
    <row r="119" s="35" customFormat="1" x14ac:dyDescent="0.25"/>
    <row r="120" s="35" customFormat="1" x14ac:dyDescent="0.25"/>
    <row r="121" s="35" customFormat="1" x14ac:dyDescent="0.25"/>
    <row r="122" s="35" customFormat="1" x14ac:dyDescent="0.25"/>
    <row r="123" s="35" customFormat="1" x14ac:dyDescent="0.25"/>
    <row r="124" s="35" customFormat="1" x14ac:dyDescent="0.25"/>
    <row r="125" s="35" customFormat="1" x14ac:dyDescent="0.25"/>
    <row r="126" s="35" customFormat="1" x14ac:dyDescent="0.25"/>
    <row r="127" s="35" customFormat="1" x14ac:dyDescent="0.25"/>
    <row r="128" s="35" customFormat="1" x14ac:dyDescent="0.25"/>
    <row r="129" s="35" customFormat="1" x14ac:dyDescent="0.25"/>
    <row r="130" s="35" customFormat="1" x14ac:dyDescent="0.25"/>
    <row r="131" s="35" customFormat="1" x14ac:dyDescent="0.25"/>
    <row r="132" s="35" customFormat="1" x14ac:dyDescent="0.25"/>
    <row r="133" s="35" customFormat="1" x14ac:dyDescent="0.25"/>
    <row r="134" s="35" customFormat="1" x14ac:dyDescent="0.25"/>
    <row r="135" s="35" customFormat="1" x14ac:dyDescent="0.25"/>
    <row r="136" s="35" customFormat="1" x14ac:dyDescent="0.25"/>
    <row r="137" s="35" customFormat="1" x14ac:dyDescent="0.25"/>
    <row r="138" s="35" customFormat="1" x14ac:dyDescent="0.25"/>
    <row r="139" s="35" customFormat="1" x14ac:dyDescent="0.25"/>
    <row r="140" s="35" customFormat="1" x14ac:dyDescent="0.25"/>
    <row r="141" s="35" customFormat="1" x14ac:dyDescent="0.25"/>
    <row r="142" s="35" customFormat="1" x14ac:dyDescent="0.25"/>
    <row r="143" s="35" customFormat="1" x14ac:dyDescent="0.25"/>
    <row r="144" s="35" customFormat="1" x14ac:dyDescent="0.25"/>
    <row r="145" s="35" customFormat="1" x14ac:dyDescent="0.25"/>
    <row r="146" s="35" customFormat="1" x14ac:dyDescent="0.25"/>
  </sheetData>
  <mergeCells count="13">
    <mergeCell ref="C88:D88"/>
    <mergeCell ref="C89:D89"/>
    <mergeCell ref="A7:F7"/>
    <mergeCell ref="C84:D84"/>
    <mergeCell ref="C85:D85"/>
    <mergeCell ref="C86:D86"/>
    <mergeCell ref="C87:D87"/>
    <mergeCell ref="A1:K1"/>
    <mergeCell ref="A2:K2"/>
    <mergeCell ref="A3:K3"/>
    <mergeCell ref="A4:K4"/>
    <mergeCell ref="A5:K5"/>
    <mergeCell ref="A6:F6"/>
  </mergeCells>
  <pageMargins left="0.7" right="0.7" top="0.75" bottom="0.75" header="0.3" footer="0.3"/>
  <pageSetup paperSize="9" scale="95" orientation="portrait" r:id="rId1"/>
  <headerFooter>
    <oddFooter xml:space="preserve">&amp;LPrepared By:
&amp;CChecked By:
&amp;RApproved By: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just 15%</vt:lpstr>
      <vt:lpstr>WCR</vt:lpstr>
      <vt:lpstr>V</vt:lpstr>
      <vt:lpstr>M</vt:lpstr>
      <vt:lpstr>'just 15%'!Print_Area</vt:lpstr>
      <vt:lpstr>M!Print_Area</vt:lpstr>
      <vt:lpstr>V!Print_Area</vt:lpstr>
      <vt:lpstr>WCR!Print_Area</vt:lpstr>
      <vt:lpstr>'just 15%'!Print_Titles</vt:lpstr>
      <vt:lpstr>M!Print_Titles</vt:lpstr>
      <vt:lpstr>V!Print_Titles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2025-05-02T06:12:41Z</cp:lastPrinted>
  <dcterms:created xsi:type="dcterms:W3CDTF">2015-06-05T18:17:20Z</dcterms:created>
  <dcterms:modified xsi:type="dcterms:W3CDTF">2025-05-02T06:13:38Z</dcterms:modified>
</cp:coreProperties>
</file>