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4240" windowHeight="13140" firstSheet="15" activeTab="15"/>
  </bookViews>
  <sheets>
    <sheet name="वडा नं. ३" sheetId="4" state="hidden" r:id="rId1"/>
    <sheet name="valuated sheet" sheetId="18" state="hidden" r:id="rId2"/>
    <sheet name="WCR" sheetId="9" state="hidden" r:id="rId3"/>
    <sheet name="Excavation" sheetId="20" state="hidden" r:id="rId4"/>
    <sheet name="Soiling" sheetId="21" state="hidden" r:id="rId5"/>
    <sheet name="PCC" sheetId="22" state="hidden" r:id="rId6"/>
    <sheet name="Formwork" sheetId="25" state="hidden" r:id="rId7"/>
    <sheet name="RCC" sheetId="24" state="hidden" r:id="rId8"/>
    <sheet name="Reinforcement" sheetId="26" state="hidden" r:id="rId9"/>
    <sheet name="Sill &amp; lintel" sheetId="30" state="hidden" r:id="rId10"/>
    <sheet name="Brick wall 9&quot;" sheetId="23" state="hidden" r:id="rId11"/>
    <sheet name="Brick wall 4&quot;" sheetId="29" state="hidden" r:id="rId12"/>
    <sheet name="Woodwork" sheetId="27" state="hidden" r:id="rId13"/>
    <sheet name="window fitting" sheetId="28" state="hidden" r:id="rId14"/>
    <sheet name="Abstract" sheetId="44" state="hidden" r:id="rId15"/>
    <sheet name="NYASUDA DHUNGEDHARA" sheetId="56" r:id="rId16"/>
    <sheet name="Sheet1" sheetId="66" r:id="rId17"/>
    <sheet name="Quantity (2)" sheetId="48" state="hidden" r:id="rId18"/>
  </sheets>
  <externalReferences>
    <externalReference r:id="rId19"/>
    <externalReference r:id="rId20"/>
  </externalReferences>
  <definedNames>
    <definedName name="_xlnm.Print_Area" localSheetId="15">'NYASUDA DHUNGEDHARA'!$A$1:$K$81</definedName>
    <definedName name="_xlnm.Print_Area" localSheetId="1">'valuated sheet'!$A$1:$K$16</definedName>
    <definedName name="_xlnm.Print_Area" localSheetId="0">'वडा नं. ३'!$A$1:$K$33</definedName>
    <definedName name="_xlnm.Print_Titles" localSheetId="15">'NYASUDA DHUNGEDHARA'!$1:$9</definedName>
    <definedName name="_xlnm.Print_Titles" localSheetId="1">'valuated sheet'!$1:$9</definedName>
    <definedName name="_xlnm.Print_Titles" localSheetId="2">WCR!$1:$12</definedName>
    <definedName name="_xlnm.Print_Titles" localSheetId="0">'वडा नं. ३'!$1:$9</definedName>
  </definedNames>
  <calcPr calcId="152511"/>
</workbook>
</file>

<file path=xl/calcChain.xml><?xml version="1.0" encoding="utf-8"?>
<calcChain xmlns="http://schemas.openxmlformats.org/spreadsheetml/2006/main">
  <c r="H9" i="66" l="1"/>
  <c r="H10" i="66" s="1"/>
  <c r="H11" i="66" s="1"/>
  <c r="D71" i="56" l="1"/>
  <c r="F70" i="56"/>
  <c r="D70" i="56"/>
  <c r="F69" i="56"/>
  <c r="D69" i="56"/>
  <c r="F68" i="56"/>
  <c r="F67" i="56"/>
  <c r="D67" i="56"/>
  <c r="E23" i="56"/>
  <c r="G23" i="56" s="1"/>
  <c r="E74" i="56"/>
  <c r="G74" i="56" s="1"/>
  <c r="G75" i="56" s="1"/>
  <c r="I75" i="56"/>
  <c r="B73" i="56"/>
  <c r="J75" i="56" l="1"/>
  <c r="J76" i="56" s="1"/>
  <c r="I18" i="56" l="1"/>
  <c r="E17" i="56"/>
  <c r="D17" i="56"/>
  <c r="D16" i="56"/>
  <c r="E16" i="56"/>
  <c r="G17" i="56" l="1"/>
  <c r="G16" i="56"/>
  <c r="G18" i="56" s="1"/>
  <c r="J18" i="56" s="1"/>
  <c r="L81" i="56"/>
  <c r="E31" i="56"/>
  <c r="D31" i="56"/>
  <c r="G31" i="56"/>
  <c r="E63" i="56"/>
  <c r="D63" i="56"/>
  <c r="G63" i="56"/>
  <c r="E71" i="56"/>
  <c r="G71" i="56"/>
  <c r="E70" i="56"/>
  <c r="G70" i="56"/>
  <c r="E69" i="56"/>
  <c r="G69" i="56"/>
  <c r="D68" i="56"/>
  <c r="E68" i="56"/>
  <c r="G68" i="56"/>
  <c r="E67" i="56"/>
  <c r="G67" i="56"/>
  <c r="G72" i="56" s="1"/>
  <c r="F6" i="66"/>
  <c r="F5" i="66"/>
  <c r="G8" i="66"/>
  <c r="G7" i="66"/>
  <c r="H8" i="66" s="1"/>
  <c r="G6" i="66"/>
  <c r="G5" i="66"/>
  <c r="H6" i="66" s="1"/>
  <c r="I72" i="56" s="1"/>
  <c r="A1" i="66"/>
  <c r="E62" i="56"/>
  <c r="J72" i="56" l="1"/>
  <c r="B11" i="66"/>
  <c r="D62" i="56"/>
  <c r="I59" i="56"/>
  <c r="E57" i="56"/>
  <c r="G57" i="56" s="1"/>
  <c r="E58" i="56"/>
  <c r="G58" i="56" s="1"/>
  <c r="E56" i="56"/>
  <c r="G56" i="56" s="1"/>
  <c r="G59" i="56" s="1"/>
  <c r="J59" i="56"/>
  <c r="J60" i="56"/>
  <c r="I52" i="56"/>
  <c r="G39" i="56"/>
  <c r="G51" i="56"/>
  <c r="G49" i="56"/>
  <c r="F48" i="56"/>
  <c r="G48" i="56" s="1"/>
  <c r="F47" i="56"/>
  <c r="G47" i="56" s="1"/>
  <c r="F46" i="56"/>
  <c r="G46" i="56" s="1"/>
  <c r="F37" i="56"/>
  <c r="I42" i="56"/>
  <c r="G37" i="56"/>
  <c r="F36" i="56"/>
  <c r="G36" i="56" s="1"/>
  <c r="F35" i="56"/>
  <c r="F38" i="56"/>
  <c r="G38" i="56"/>
  <c r="G41" i="56"/>
  <c r="G35" i="56"/>
  <c r="I32" i="56"/>
  <c r="I27" i="56"/>
  <c r="I24" i="56"/>
  <c r="F13" i="56"/>
  <c r="D13" i="56"/>
  <c r="F12" i="56"/>
  <c r="D12" i="56"/>
  <c r="I14" i="56"/>
  <c r="F50" i="56" l="1"/>
  <c r="F40" i="56"/>
  <c r="G40" i="56" s="1"/>
  <c r="G50" i="56"/>
  <c r="G52" i="56" s="1"/>
  <c r="G12" i="56"/>
  <c r="D20" i="56"/>
  <c r="D26" i="56" s="1"/>
  <c r="D30" i="56" s="1"/>
  <c r="D22" i="56"/>
  <c r="D21" i="56"/>
  <c r="E26" i="56" s="1"/>
  <c r="E30" i="56" s="1"/>
  <c r="G13" i="56"/>
  <c r="G14" i="56" s="1"/>
  <c r="G30" i="56" l="1"/>
  <c r="G32" i="56" s="1"/>
  <c r="G26" i="56"/>
  <c r="G21" i="56"/>
  <c r="J14" i="56" l="1"/>
  <c r="G27" i="56" l="1"/>
  <c r="J32" i="56" l="1"/>
  <c r="J33" i="56" s="1"/>
  <c r="J27" i="56"/>
  <c r="J28" i="56" s="1"/>
  <c r="G62" i="56"/>
  <c r="G64" i="56" s="1"/>
  <c r="G22" i="56"/>
  <c r="G20" i="56"/>
  <c r="G24" i="56" s="1"/>
  <c r="G42" i="56" l="1"/>
  <c r="J24" i="56"/>
  <c r="J65" i="56" l="1"/>
  <c r="J64" i="56"/>
  <c r="J42" i="56"/>
  <c r="J52" i="56"/>
  <c r="J53" i="56" s="1"/>
  <c r="C87" i="56"/>
  <c r="C86" i="56"/>
  <c r="J43" i="56" l="1"/>
  <c r="J81" i="56"/>
  <c r="C84" i="56"/>
  <c r="M88" i="56" l="1"/>
  <c r="C82" i="56"/>
  <c r="C85" i="56" s="1"/>
  <c r="E84" i="56" l="1"/>
  <c r="E85" i="56" s="1"/>
  <c r="E23" i="4"/>
  <c r="D23" i="4"/>
  <c r="E22" i="4"/>
  <c r="D22" i="4"/>
  <c r="E20" i="4"/>
  <c r="D20" i="4"/>
  <c r="G20" i="4" s="1"/>
  <c r="E11" i="4"/>
  <c r="D11" i="4"/>
  <c r="E14" i="4"/>
  <c r="D14" i="4"/>
  <c r="E13" i="4"/>
  <c r="D13" i="4"/>
  <c r="D19" i="4"/>
  <c r="D10" i="4"/>
  <c r="E19" i="4"/>
  <c r="F10" i="4"/>
  <c r="E10" i="4"/>
  <c r="G13" i="4" l="1"/>
  <c r="G11" i="4"/>
  <c r="G22" i="4"/>
  <c r="G14" i="4"/>
  <c r="G23" i="4"/>
  <c r="G10" i="4"/>
  <c r="G15" i="4" s="1"/>
  <c r="G16" i="4"/>
  <c r="J16" i="4" s="1"/>
  <c r="G19" i="4"/>
  <c r="G24" i="4" s="1"/>
  <c r="G25" i="4" s="1"/>
  <c r="J26" i="4" s="1"/>
  <c r="J17" i="4" l="1"/>
  <c r="J25" i="4"/>
  <c r="J28" i="4"/>
  <c r="C30" i="4" s="1"/>
  <c r="D786" i="48" l="1"/>
  <c r="J786" i="48" s="1"/>
  <c r="C785" i="48"/>
  <c r="J785" i="48" s="1"/>
  <c r="C784" i="48"/>
  <c r="J784" i="48" s="1"/>
  <c r="H783" i="48"/>
  <c r="E783" i="48"/>
  <c r="D783" i="48"/>
  <c r="J783" i="48" s="1"/>
  <c r="D780" i="48"/>
  <c r="J780" i="48" s="1"/>
  <c r="C779" i="48"/>
  <c r="J779" i="48" s="1"/>
  <c r="C778" i="48"/>
  <c r="J778" i="48" s="1"/>
  <c r="H777" i="48"/>
  <c r="E777" i="48"/>
  <c r="D777" i="48"/>
  <c r="D774" i="48"/>
  <c r="J774" i="48" s="1"/>
  <c r="E773" i="48"/>
  <c r="D773" i="48" s="1"/>
  <c r="J773" i="48" s="1"/>
  <c r="C772" i="48"/>
  <c r="J772" i="48" s="1"/>
  <c r="C771" i="48"/>
  <c r="J771" i="48" s="1"/>
  <c r="H770" i="48"/>
  <c r="E770" i="48"/>
  <c r="D770" i="48" s="1"/>
  <c r="H769" i="48"/>
  <c r="E769" i="48"/>
  <c r="D769" i="48" s="1"/>
  <c r="J769" i="48" s="1"/>
  <c r="H768" i="48"/>
  <c r="E768" i="48"/>
  <c r="D768" i="48"/>
  <c r="J768" i="48" s="1"/>
  <c r="J757" i="48"/>
  <c r="D756" i="48"/>
  <c r="J756" i="48" s="1"/>
  <c r="J755" i="48"/>
  <c r="D752" i="48"/>
  <c r="J752" i="48" s="1"/>
  <c r="F750" i="48"/>
  <c r="E750" i="48"/>
  <c r="D750" i="48" s="1"/>
  <c r="G749" i="48"/>
  <c r="F749" i="48" s="1"/>
  <c r="J749" i="48" s="1"/>
  <c r="F748" i="48"/>
  <c r="J748" i="48" s="1"/>
  <c r="F747" i="48"/>
  <c r="D747" i="48"/>
  <c r="G743" i="48"/>
  <c r="F743" i="48" s="1"/>
  <c r="E743" i="48"/>
  <c r="D743" i="48"/>
  <c r="J743" i="48" s="1"/>
  <c r="D740" i="48"/>
  <c r="J740" i="48" s="1"/>
  <c r="F738" i="48"/>
  <c r="E738" i="48"/>
  <c r="D738" i="48" s="1"/>
  <c r="F737" i="48"/>
  <c r="J737" i="48" s="1"/>
  <c r="F736" i="48"/>
  <c r="D736" i="48"/>
  <c r="G732" i="48"/>
  <c r="F732" i="48"/>
  <c r="E732" i="48"/>
  <c r="D732" i="48"/>
  <c r="J732" i="48" s="1"/>
  <c r="G730" i="48"/>
  <c r="F730" i="48" s="1"/>
  <c r="J730" i="48" s="1"/>
  <c r="G727" i="48"/>
  <c r="F727" i="48" s="1"/>
  <c r="E727" i="48"/>
  <c r="D727" i="48"/>
  <c r="G725" i="48"/>
  <c r="F725" i="48" s="1"/>
  <c r="E725" i="48"/>
  <c r="D725" i="48" s="1"/>
  <c r="F722" i="48"/>
  <c r="D722" i="48"/>
  <c r="F721" i="48"/>
  <c r="J721" i="48" s="1"/>
  <c r="F720" i="48"/>
  <c r="D720" i="48"/>
  <c r="G717" i="48"/>
  <c r="F717" i="48"/>
  <c r="D717" i="48"/>
  <c r="D714" i="48"/>
  <c r="J714" i="48" s="1"/>
  <c r="G712" i="48"/>
  <c r="F712" i="48" s="1"/>
  <c r="E712" i="48"/>
  <c r="D712" i="48"/>
  <c r="G710" i="48"/>
  <c r="F710" i="48" s="1"/>
  <c r="E710" i="48"/>
  <c r="D710" i="48"/>
  <c r="E705" i="48"/>
  <c r="D705" i="48"/>
  <c r="J705" i="48" s="1"/>
  <c r="J706" i="48" s="1"/>
  <c r="J699" i="48"/>
  <c r="J700" i="48" s="1"/>
  <c r="E699" i="48"/>
  <c r="E691" i="48"/>
  <c r="D691" i="48"/>
  <c r="J691" i="48" s="1"/>
  <c r="J693" i="48" s="1"/>
  <c r="J694" i="48" s="1"/>
  <c r="J684" i="48"/>
  <c r="J683" i="48"/>
  <c r="J682" i="48"/>
  <c r="J681" i="48"/>
  <c r="J680" i="48"/>
  <c r="J676" i="48"/>
  <c r="J675" i="48"/>
  <c r="J674" i="48"/>
  <c r="J673" i="48"/>
  <c r="J672" i="48"/>
  <c r="J669" i="48"/>
  <c r="J668" i="48"/>
  <c r="J667" i="48"/>
  <c r="J666" i="48"/>
  <c r="J665" i="48"/>
  <c r="F660" i="48"/>
  <c r="D660" i="48"/>
  <c r="J660" i="48" s="1"/>
  <c r="F659" i="48"/>
  <c r="D659" i="48"/>
  <c r="F658" i="48"/>
  <c r="D658" i="48"/>
  <c r="F657" i="48"/>
  <c r="D657" i="48"/>
  <c r="F656" i="48"/>
  <c r="D656" i="48"/>
  <c r="J656" i="48" s="1"/>
  <c r="F653" i="48"/>
  <c r="D653" i="48"/>
  <c r="F652" i="48"/>
  <c r="D652" i="48"/>
  <c r="J652" i="48" s="1"/>
  <c r="F651" i="48"/>
  <c r="D651" i="48"/>
  <c r="F650" i="48"/>
  <c r="D650" i="48"/>
  <c r="F649" i="48"/>
  <c r="D649" i="48"/>
  <c r="F646" i="48"/>
  <c r="D646" i="48"/>
  <c r="F645" i="48"/>
  <c r="D645" i="48"/>
  <c r="F644" i="48"/>
  <c r="D644" i="48"/>
  <c r="F643" i="48"/>
  <c r="D643" i="48"/>
  <c r="J643" i="48" s="1"/>
  <c r="F642" i="48"/>
  <c r="D642" i="48"/>
  <c r="J642" i="48" s="1"/>
  <c r="D632" i="48"/>
  <c r="J632" i="48" s="1"/>
  <c r="D630" i="48"/>
  <c r="J630" i="48" s="1"/>
  <c r="E629" i="48"/>
  <c r="D629" i="48" s="1"/>
  <c r="J629" i="48" s="1"/>
  <c r="D626" i="48"/>
  <c r="H624" i="48"/>
  <c r="E624" i="48"/>
  <c r="D624" i="48"/>
  <c r="J624" i="48" s="1"/>
  <c r="H623" i="48"/>
  <c r="E623" i="48"/>
  <c r="D623" i="48" s="1"/>
  <c r="H622" i="48"/>
  <c r="E622" i="48"/>
  <c r="D622" i="48" s="1"/>
  <c r="J622" i="48" s="1"/>
  <c r="H619" i="48"/>
  <c r="D619" i="48"/>
  <c r="H618" i="48"/>
  <c r="D618" i="48"/>
  <c r="D617" i="48"/>
  <c r="J617" i="48" s="1"/>
  <c r="E614" i="48"/>
  <c r="D614" i="48" s="1"/>
  <c r="J614" i="48" s="1"/>
  <c r="C612" i="48"/>
  <c r="J612" i="48" s="1"/>
  <c r="C611" i="48"/>
  <c r="J611" i="48" s="1"/>
  <c r="H610" i="48"/>
  <c r="D610" i="48"/>
  <c r="J610" i="48" s="1"/>
  <c r="H609" i="48"/>
  <c r="E609" i="48"/>
  <c r="D609" i="48" s="1"/>
  <c r="H608" i="48"/>
  <c r="D608" i="48"/>
  <c r="C604" i="48"/>
  <c r="J604" i="48" s="1"/>
  <c r="C603" i="48"/>
  <c r="J603" i="48" s="1"/>
  <c r="H602" i="48"/>
  <c r="D602" i="48"/>
  <c r="H601" i="48"/>
  <c r="E601" i="48"/>
  <c r="D601" i="48" s="1"/>
  <c r="D597" i="48"/>
  <c r="E597" i="48" s="1"/>
  <c r="H595" i="48"/>
  <c r="E595" i="48"/>
  <c r="D595" i="48" s="1"/>
  <c r="H594" i="48"/>
  <c r="E594" i="48"/>
  <c r="D594" i="48" s="1"/>
  <c r="H593" i="48"/>
  <c r="E593" i="48"/>
  <c r="D593" i="48" s="1"/>
  <c r="J593" i="48" s="1"/>
  <c r="H592" i="48"/>
  <c r="E592" i="48"/>
  <c r="D592" i="48" s="1"/>
  <c r="H589" i="48"/>
  <c r="D589" i="48"/>
  <c r="H588" i="48"/>
  <c r="D588" i="48"/>
  <c r="J588" i="48" s="1"/>
  <c r="H587" i="48"/>
  <c r="D587" i="48"/>
  <c r="J587" i="48" s="1"/>
  <c r="C584" i="48"/>
  <c r="J584" i="48" s="1"/>
  <c r="H583" i="48"/>
  <c r="E583" i="48"/>
  <c r="D583" i="48" s="1"/>
  <c r="H582" i="48"/>
  <c r="D582" i="48"/>
  <c r="J582" i="48" s="1"/>
  <c r="C579" i="48"/>
  <c r="J579" i="48" s="1"/>
  <c r="H578" i="48"/>
  <c r="D578" i="48"/>
  <c r="H577" i="48"/>
  <c r="D577" i="48"/>
  <c r="C574" i="48"/>
  <c r="J574" i="48" s="1"/>
  <c r="H573" i="48"/>
  <c r="J573" i="48" s="1"/>
  <c r="C570" i="48"/>
  <c r="J570" i="48" s="1"/>
  <c r="H569" i="48"/>
  <c r="D569" i="48"/>
  <c r="H568" i="48"/>
  <c r="D568" i="48"/>
  <c r="C565" i="48"/>
  <c r="J565" i="48" s="1"/>
  <c r="C564" i="48"/>
  <c r="J564" i="48" s="1"/>
  <c r="H563" i="48"/>
  <c r="D563" i="48"/>
  <c r="H562" i="48"/>
  <c r="E562" i="48"/>
  <c r="D562" i="48"/>
  <c r="J562" i="48" s="1"/>
  <c r="H558" i="48"/>
  <c r="E558" i="48"/>
  <c r="D558" i="48" s="1"/>
  <c r="H557" i="48"/>
  <c r="E557" i="48"/>
  <c r="D557" i="48"/>
  <c r="J557" i="48" s="1"/>
  <c r="H556" i="48"/>
  <c r="E556" i="48"/>
  <c r="D556" i="48" s="1"/>
  <c r="H555" i="48"/>
  <c r="E555" i="48"/>
  <c r="D555" i="48" s="1"/>
  <c r="H552" i="48"/>
  <c r="D552" i="48"/>
  <c r="H551" i="48"/>
  <c r="D551" i="48"/>
  <c r="J551" i="48" s="1"/>
  <c r="H550" i="48"/>
  <c r="D550" i="48"/>
  <c r="J550" i="48" s="1"/>
  <c r="C547" i="48"/>
  <c r="J547" i="48" s="1"/>
  <c r="H546" i="48"/>
  <c r="D546" i="48"/>
  <c r="H545" i="48"/>
  <c r="D545" i="48"/>
  <c r="J545" i="48" s="1"/>
  <c r="C542" i="48"/>
  <c r="J542" i="48" s="1"/>
  <c r="C541" i="48"/>
  <c r="J541" i="48" s="1"/>
  <c r="H540" i="48"/>
  <c r="D540" i="48"/>
  <c r="J540" i="48" s="1"/>
  <c r="H539" i="48"/>
  <c r="D539" i="48"/>
  <c r="H536" i="48"/>
  <c r="C536" i="48"/>
  <c r="J536" i="48" s="1"/>
  <c r="H535" i="48"/>
  <c r="J535" i="48" s="1"/>
  <c r="C532" i="48"/>
  <c r="J532" i="48" s="1"/>
  <c r="H531" i="48"/>
  <c r="D531" i="48"/>
  <c r="H530" i="48"/>
  <c r="D530" i="48"/>
  <c r="C527" i="48"/>
  <c r="J527" i="48" s="1"/>
  <c r="H526" i="48"/>
  <c r="D526" i="48"/>
  <c r="H525" i="48"/>
  <c r="D525" i="48"/>
  <c r="F519" i="48"/>
  <c r="E519" i="48"/>
  <c r="D519" i="48" s="1"/>
  <c r="G518" i="48"/>
  <c r="F518" i="48" s="1"/>
  <c r="J518" i="48" s="1"/>
  <c r="F517" i="48"/>
  <c r="E517" i="48"/>
  <c r="D517" i="48" s="1"/>
  <c r="C516" i="48"/>
  <c r="J516" i="48" s="1"/>
  <c r="F515" i="48"/>
  <c r="J515" i="48" s="1"/>
  <c r="F514" i="48"/>
  <c r="D514" i="48"/>
  <c r="G510" i="48"/>
  <c r="F510" i="48" s="1"/>
  <c r="E510" i="48"/>
  <c r="D510" i="48" s="1"/>
  <c r="F507" i="48"/>
  <c r="E507" i="48"/>
  <c r="D507" i="48" s="1"/>
  <c r="F506" i="48"/>
  <c r="E506" i="48"/>
  <c r="D506" i="48" s="1"/>
  <c r="C505" i="48"/>
  <c r="J505" i="48" s="1"/>
  <c r="F504" i="48"/>
  <c r="J504" i="48" s="1"/>
  <c r="F503" i="48"/>
  <c r="D503" i="48"/>
  <c r="J503" i="48" s="1"/>
  <c r="G499" i="48"/>
  <c r="F499" i="48" s="1"/>
  <c r="E499" i="48"/>
  <c r="D499" i="48" s="1"/>
  <c r="G498" i="48"/>
  <c r="F498" i="48"/>
  <c r="J498" i="48" s="1"/>
  <c r="G497" i="48"/>
  <c r="F497" i="48"/>
  <c r="E497" i="48"/>
  <c r="D497" i="48" s="1"/>
  <c r="G496" i="48"/>
  <c r="F496" i="48"/>
  <c r="E496" i="48"/>
  <c r="D496" i="48"/>
  <c r="F493" i="48"/>
  <c r="E493" i="48"/>
  <c r="D493" i="48" s="1"/>
  <c r="G492" i="48"/>
  <c r="F492" i="48" s="1"/>
  <c r="E492" i="48"/>
  <c r="D492" i="48" s="1"/>
  <c r="C491" i="48"/>
  <c r="J491" i="48" s="1"/>
  <c r="F490" i="48"/>
  <c r="J490" i="48" s="1"/>
  <c r="F489" i="48"/>
  <c r="D489" i="48"/>
  <c r="J489" i="48" s="1"/>
  <c r="F486" i="48"/>
  <c r="D486" i="48"/>
  <c r="F485" i="48"/>
  <c r="E485" i="48"/>
  <c r="D485" i="48" s="1"/>
  <c r="J485" i="48" s="1"/>
  <c r="G483" i="48"/>
  <c r="F483" i="48" s="1"/>
  <c r="E483" i="48"/>
  <c r="D483" i="48" s="1"/>
  <c r="F481" i="48"/>
  <c r="D481" i="48"/>
  <c r="J481" i="48" s="1"/>
  <c r="G480" i="48"/>
  <c r="F480" i="48" s="1"/>
  <c r="E480" i="48"/>
  <c r="D480" i="48" s="1"/>
  <c r="G479" i="48"/>
  <c r="F479" i="48" s="1"/>
  <c r="E479" i="48"/>
  <c r="D479" i="48"/>
  <c r="J479" i="48" s="1"/>
  <c r="H473" i="48"/>
  <c r="E473" i="48"/>
  <c r="D473" i="48" s="1"/>
  <c r="H472" i="48"/>
  <c r="E472" i="48"/>
  <c r="D472" i="48" s="1"/>
  <c r="H471" i="48"/>
  <c r="E471" i="48"/>
  <c r="D471" i="48" s="1"/>
  <c r="J471" i="48" s="1"/>
  <c r="H470" i="48"/>
  <c r="E470" i="48"/>
  <c r="D470" i="48" s="1"/>
  <c r="J470" i="48" s="1"/>
  <c r="H469" i="48"/>
  <c r="E469" i="48"/>
  <c r="D469" i="48" s="1"/>
  <c r="H466" i="48"/>
  <c r="D466" i="48"/>
  <c r="H465" i="48"/>
  <c r="D465" i="48"/>
  <c r="J465" i="48" s="1"/>
  <c r="H464" i="48"/>
  <c r="D464" i="48"/>
  <c r="H463" i="48"/>
  <c r="D463" i="48"/>
  <c r="C460" i="48"/>
  <c r="J460" i="48" s="1"/>
  <c r="C459" i="48"/>
  <c r="J459" i="48" s="1"/>
  <c r="C458" i="48"/>
  <c r="J458" i="48" s="1"/>
  <c r="C457" i="48"/>
  <c r="J457" i="48" s="1"/>
  <c r="H456" i="48"/>
  <c r="E456" i="48"/>
  <c r="D456" i="48" s="1"/>
  <c r="H455" i="48"/>
  <c r="D455" i="48"/>
  <c r="H454" i="48"/>
  <c r="E454" i="48"/>
  <c r="D454" i="48" s="1"/>
  <c r="J454" i="48" s="1"/>
  <c r="H453" i="48"/>
  <c r="D453" i="48"/>
  <c r="J453" i="48" s="1"/>
  <c r="H452" i="48"/>
  <c r="D452" i="48"/>
  <c r="C449" i="48"/>
  <c r="J449" i="48" s="1"/>
  <c r="C448" i="48"/>
  <c r="J448" i="48" s="1"/>
  <c r="C447" i="48"/>
  <c r="J447" i="48" s="1"/>
  <c r="H446" i="48"/>
  <c r="D446" i="48"/>
  <c r="J446" i="48" s="1"/>
  <c r="H445" i="48"/>
  <c r="D445" i="48"/>
  <c r="H444" i="48"/>
  <c r="E444" i="48"/>
  <c r="D444" i="48" s="1"/>
  <c r="H443" i="48"/>
  <c r="E443" i="48"/>
  <c r="D443" i="48" s="1"/>
  <c r="J443" i="48" s="1"/>
  <c r="H442" i="48"/>
  <c r="E442" i="48"/>
  <c r="D442" i="48" s="1"/>
  <c r="J442" i="48" s="1"/>
  <c r="H438" i="48"/>
  <c r="E438" i="48"/>
  <c r="D438" i="48" s="1"/>
  <c r="J438" i="48" s="1"/>
  <c r="H437" i="48"/>
  <c r="E437" i="48"/>
  <c r="D437" i="48" s="1"/>
  <c r="H436" i="48"/>
  <c r="E436" i="48"/>
  <c r="D436" i="48"/>
  <c r="J436" i="48" s="1"/>
  <c r="H435" i="48"/>
  <c r="E435" i="48"/>
  <c r="D435" i="48" s="1"/>
  <c r="D434" i="48"/>
  <c r="J434" i="48" s="1"/>
  <c r="H433" i="48"/>
  <c r="D433" i="48"/>
  <c r="E432" i="48"/>
  <c r="D432" i="48" s="1"/>
  <c r="J432" i="48" s="1"/>
  <c r="H431" i="48"/>
  <c r="E431" i="48"/>
  <c r="D431" i="48"/>
  <c r="H430" i="48"/>
  <c r="E430" i="48"/>
  <c r="D430" i="48" s="1"/>
  <c r="J430" i="48" s="1"/>
  <c r="H427" i="48"/>
  <c r="D427" i="48"/>
  <c r="H426" i="48"/>
  <c r="D426" i="48"/>
  <c r="H425" i="48"/>
  <c r="D425" i="48"/>
  <c r="J425" i="48" s="1"/>
  <c r="H424" i="48"/>
  <c r="D424" i="48"/>
  <c r="J424" i="48" s="1"/>
  <c r="H423" i="48"/>
  <c r="D423" i="48"/>
  <c r="H422" i="48"/>
  <c r="D422" i="48"/>
  <c r="H421" i="48"/>
  <c r="D421" i="48"/>
  <c r="J421" i="48" s="1"/>
  <c r="H420" i="48"/>
  <c r="D420" i="48"/>
  <c r="H419" i="48"/>
  <c r="D419" i="48"/>
  <c r="J419" i="48" s="1"/>
  <c r="C416" i="48"/>
  <c r="J416" i="48" s="1"/>
  <c r="H415" i="48"/>
  <c r="D415" i="48"/>
  <c r="C415" i="48"/>
  <c r="J415" i="48" s="1"/>
  <c r="D414" i="48"/>
  <c r="J414" i="48" s="1"/>
  <c r="C413" i="48"/>
  <c r="J413" i="48" s="1"/>
  <c r="C412" i="48"/>
  <c r="J412" i="48" s="1"/>
  <c r="H411" i="48"/>
  <c r="D411" i="48"/>
  <c r="J411" i="48" s="1"/>
  <c r="H410" i="48"/>
  <c r="E410" i="48"/>
  <c r="D410" i="48" s="1"/>
  <c r="J410" i="48" s="1"/>
  <c r="H409" i="48"/>
  <c r="D409" i="48"/>
  <c r="H408" i="48"/>
  <c r="D408" i="48"/>
  <c r="J408" i="48" s="1"/>
  <c r="C405" i="48"/>
  <c r="J405" i="48" s="1"/>
  <c r="C404" i="48"/>
  <c r="J404" i="48" s="1"/>
  <c r="H403" i="48"/>
  <c r="E403" i="48"/>
  <c r="D403" i="48" s="1"/>
  <c r="J403" i="48" s="1"/>
  <c r="H402" i="48"/>
  <c r="D402" i="48"/>
  <c r="H401" i="48"/>
  <c r="D401" i="48"/>
  <c r="J401" i="48" s="1"/>
  <c r="H400" i="48"/>
  <c r="D400" i="48"/>
  <c r="C397" i="48"/>
  <c r="J397" i="48" s="1"/>
  <c r="H396" i="48"/>
  <c r="J396" i="48" s="1"/>
  <c r="C393" i="48"/>
  <c r="J393" i="48" s="1"/>
  <c r="C392" i="48"/>
  <c r="J392" i="48" s="1"/>
  <c r="H391" i="48"/>
  <c r="D391" i="48"/>
  <c r="H390" i="48"/>
  <c r="D390" i="48"/>
  <c r="H389" i="48"/>
  <c r="D389" i="48"/>
  <c r="C386" i="48"/>
  <c r="J386" i="48" s="1"/>
  <c r="C385" i="48"/>
  <c r="J385" i="48" s="1"/>
  <c r="C384" i="48"/>
  <c r="J384" i="48" s="1"/>
  <c r="H383" i="48"/>
  <c r="D383" i="48"/>
  <c r="H382" i="48"/>
  <c r="D382" i="48"/>
  <c r="H381" i="48"/>
  <c r="E381" i="48"/>
  <c r="D381" i="48" s="1"/>
  <c r="H380" i="48"/>
  <c r="E380" i="48"/>
  <c r="D380" i="48" s="1"/>
  <c r="H376" i="48"/>
  <c r="E376" i="48"/>
  <c r="D376" i="48" s="1"/>
  <c r="H375" i="48"/>
  <c r="E375" i="48"/>
  <c r="D375" i="48"/>
  <c r="J375" i="48" s="1"/>
  <c r="H374" i="48"/>
  <c r="E374" i="48"/>
  <c r="D374" i="48" s="1"/>
  <c r="H373" i="48"/>
  <c r="E373" i="48"/>
  <c r="D373" i="48" s="1"/>
  <c r="J373" i="48" s="1"/>
  <c r="H372" i="48"/>
  <c r="E372" i="48"/>
  <c r="D372" i="48" s="1"/>
  <c r="J372" i="48" s="1"/>
  <c r="D371" i="48"/>
  <c r="J371" i="48" s="1"/>
  <c r="D370" i="48"/>
  <c r="J370" i="48" s="1"/>
  <c r="D369" i="48"/>
  <c r="J369" i="48" s="1"/>
  <c r="E368" i="48"/>
  <c r="D368" i="48"/>
  <c r="J368" i="48" s="1"/>
  <c r="H367" i="48"/>
  <c r="E367" i="48"/>
  <c r="D367" i="48" s="1"/>
  <c r="J367" i="48" s="1"/>
  <c r="H364" i="48"/>
  <c r="D364" i="48"/>
  <c r="H363" i="48"/>
  <c r="D363" i="48"/>
  <c r="H362" i="48"/>
  <c r="D362" i="48"/>
  <c r="J362" i="48" s="1"/>
  <c r="H361" i="48"/>
  <c r="D361" i="48"/>
  <c r="H360" i="48"/>
  <c r="D360" i="48"/>
  <c r="H359" i="48"/>
  <c r="D359" i="48"/>
  <c r="H358" i="48"/>
  <c r="D358" i="48"/>
  <c r="J358" i="48" s="1"/>
  <c r="C355" i="48"/>
  <c r="J355" i="48" s="1"/>
  <c r="H354" i="48"/>
  <c r="D354" i="48"/>
  <c r="C354" i="48"/>
  <c r="D353" i="48"/>
  <c r="J353" i="48" s="1"/>
  <c r="C352" i="48"/>
  <c r="J352" i="48" s="1"/>
  <c r="C351" i="48"/>
  <c r="J351" i="48" s="1"/>
  <c r="H350" i="48"/>
  <c r="D350" i="48"/>
  <c r="H349" i="48"/>
  <c r="E349" i="48"/>
  <c r="D349" i="48" s="1"/>
  <c r="H348" i="48"/>
  <c r="D348" i="48"/>
  <c r="H347" i="48"/>
  <c r="E347" i="48"/>
  <c r="D347" i="48" s="1"/>
  <c r="J347" i="48" s="1"/>
  <c r="H346" i="48"/>
  <c r="E346" i="48"/>
  <c r="D346" i="48" s="1"/>
  <c r="C343" i="48"/>
  <c r="J343" i="48" s="1"/>
  <c r="C342" i="48"/>
  <c r="J342" i="48" s="1"/>
  <c r="H341" i="48"/>
  <c r="D341" i="48"/>
  <c r="J341" i="48" s="1"/>
  <c r="H340" i="48"/>
  <c r="D340" i="48"/>
  <c r="J340" i="48" s="1"/>
  <c r="H339" i="48"/>
  <c r="D339" i="48"/>
  <c r="H336" i="48"/>
  <c r="C336" i="48"/>
  <c r="C335" i="48"/>
  <c r="J335" i="48" s="1"/>
  <c r="H334" i="48"/>
  <c r="D334" i="48"/>
  <c r="H333" i="48"/>
  <c r="E333" i="48"/>
  <c r="D333" i="48" s="1"/>
  <c r="H332" i="48"/>
  <c r="J332" i="48" s="1"/>
  <c r="C329" i="48"/>
  <c r="J329" i="48" s="1"/>
  <c r="C328" i="48"/>
  <c r="J328" i="48" s="1"/>
  <c r="H327" i="48"/>
  <c r="D327" i="48"/>
  <c r="H326" i="48"/>
  <c r="D326" i="48"/>
  <c r="H325" i="48"/>
  <c r="D325" i="48"/>
  <c r="C322" i="48"/>
  <c r="J322" i="48" s="1"/>
  <c r="C321" i="48"/>
  <c r="J321" i="48" s="1"/>
  <c r="H320" i="48"/>
  <c r="D320" i="48"/>
  <c r="J320" i="48" s="1"/>
  <c r="H319" i="48"/>
  <c r="D319" i="48"/>
  <c r="H318" i="48"/>
  <c r="D318" i="48"/>
  <c r="H317" i="48"/>
  <c r="D317" i="48"/>
  <c r="D309" i="48"/>
  <c r="J309" i="48" s="1"/>
  <c r="D308" i="48"/>
  <c r="E308" i="48" s="1"/>
  <c r="D307" i="48"/>
  <c r="E303" i="48"/>
  <c r="D303" i="48" s="1"/>
  <c r="J303" i="48" s="1"/>
  <c r="E300" i="48"/>
  <c r="D300" i="48" s="1"/>
  <c r="J300" i="48" s="1"/>
  <c r="C298" i="48"/>
  <c r="J298" i="48" s="1"/>
  <c r="C297" i="48"/>
  <c r="J297" i="48" s="1"/>
  <c r="C296" i="48"/>
  <c r="J296" i="48" s="1"/>
  <c r="C295" i="48"/>
  <c r="J295" i="48" s="1"/>
  <c r="H294" i="48"/>
  <c r="E294" i="48"/>
  <c r="D294" i="48" s="1"/>
  <c r="J294" i="48" s="1"/>
  <c r="H293" i="48"/>
  <c r="D293" i="48"/>
  <c r="J293" i="48" s="1"/>
  <c r="H292" i="48"/>
  <c r="E292" i="48"/>
  <c r="D292" i="48" s="1"/>
  <c r="J292" i="48" s="1"/>
  <c r="C288" i="48"/>
  <c r="J288" i="48" s="1"/>
  <c r="C287" i="48"/>
  <c r="J287" i="48" s="1"/>
  <c r="C286" i="48"/>
  <c r="J286" i="48" s="1"/>
  <c r="H285" i="48"/>
  <c r="D285" i="48"/>
  <c r="H284" i="48"/>
  <c r="E284" i="48"/>
  <c r="D284" i="48" s="1"/>
  <c r="J280" i="48"/>
  <c r="H279" i="48"/>
  <c r="D279" i="48"/>
  <c r="C279" i="48"/>
  <c r="D278" i="48"/>
  <c r="J278" i="48" s="1"/>
  <c r="C277" i="48"/>
  <c r="J277" i="48" s="1"/>
  <c r="C276" i="48"/>
  <c r="J276" i="48" s="1"/>
  <c r="H275" i="48"/>
  <c r="D275" i="48"/>
  <c r="J275" i="48" s="1"/>
  <c r="H274" i="48"/>
  <c r="E274" i="48"/>
  <c r="D274" i="48" s="1"/>
  <c r="J274" i="48" s="1"/>
  <c r="C271" i="48"/>
  <c r="J271" i="48" s="1"/>
  <c r="C270" i="48"/>
  <c r="J270" i="48" s="1"/>
  <c r="H269" i="48"/>
  <c r="D269" i="48"/>
  <c r="J269" i="48" s="1"/>
  <c r="H268" i="48"/>
  <c r="D268" i="48"/>
  <c r="J268" i="48" s="1"/>
  <c r="C265" i="48"/>
  <c r="J265" i="48" s="1"/>
  <c r="H264" i="48"/>
  <c r="J264" i="48" s="1"/>
  <c r="C261" i="48"/>
  <c r="J261" i="48" s="1"/>
  <c r="C260" i="48"/>
  <c r="J260" i="48" s="1"/>
  <c r="H259" i="48"/>
  <c r="D259" i="48"/>
  <c r="J259" i="48" s="1"/>
  <c r="H258" i="48"/>
  <c r="D258" i="48"/>
  <c r="J258" i="48" s="1"/>
  <c r="C255" i="48"/>
  <c r="J255" i="48" s="1"/>
  <c r="C254" i="48"/>
  <c r="J254" i="48" s="1"/>
  <c r="C253" i="48"/>
  <c r="J253" i="48" s="1"/>
  <c r="H252" i="48"/>
  <c r="D252" i="48"/>
  <c r="H251" i="48"/>
  <c r="D251" i="48"/>
  <c r="H250" i="48"/>
  <c r="E250" i="48"/>
  <c r="D250" i="48" s="1"/>
  <c r="H249" i="48"/>
  <c r="E249" i="48"/>
  <c r="D249" i="48"/>
  <c r="J249" i="48" s="1"/>
  <c r="C245" i="48"/>
  <c r="J245" i="48" s="1"/>
  <c r="H244" i="48"/>
  <c r="D244" i="48"/>
  <c r="C244" i="48"/>
  <c r="D243" i="48"/>
  <c r="J243" i="48" s="1"/>
  <c r="C242" i="48"/>
  <c r="J242" i="48" s="1"/>
  <c r="C241" i="48"/>
  <c r="J241" i="48" s="1"/>
  <c r="H240" i="48"/>
  <c r="D240" i="48"/>
  <c r="H239" i="48"/>
  <c r="E239" i="48"/>
  <c r="D239" i="48"/>
  <c r="C236" i="48"/>
  <c r="J236" i="48" s="1"/>
  <c r="H235" i="48"/>
  <c r="D235" i="48"/>
  <c r="H234" i="48"/>
  <c r="D234" i="48"/>
  <c r="H231" i="48"/>
  <c r="C231" i="48"/>
  <c r="H230" i="48"/>
  <c r="J230" i="48" s="1"/>
  <c r="C227" i="48"/>
  <c r="J227" i="48" s="1"/>
  <c r="C226" i="48"/>
  <c r="J226" i="48" s="1"/>
  <c r="H225" i="48"/>
  <c r="D225" i="48"/>
  <c r="H224" i="48"/>
  <c r="D224" i="48"/>
  <c r="J224" i="48" s="1"/>
  <c r="C221" i="48"/>
  <c r="J221" i="48" s="1"/>
  <c r="C220" i="48"/>
  <c r="J220" i="48" s="1"/>
  <c r="H219" i="48"/>
  <c r="D219" i="48"/>
  <c r="H218" i="48"/>
  <c r="D218" i="48"/>
  <c r="H217" i="48"/>
  <c r="D217" i="48"/>
  <c r="H216" i="48"/>
  <c r="D216" i="48"/>
  <c r="J216" i="48" s="1"/>
  <c r="E209" i="48"/>
  <c r="D209" i="48" s="1"/>
  <c r="J209" i="48" s="1"/>
  <c r="D208" i="48"/>
  <c r="J208" i="48" s="1"/>
  <c r="H204" i="48"/>
  <c r="E204" i="48"/>
  <c r="D204" i="48" s="1"/>
  <c r="H203" i="48"/>
  <c r="E203" i="48"/>
  <c r="D203" i="48" s="1"/>
  <c r="H202" i="48"/>
  <c r="E202" i="48"/>
  <c r="D202" i="48" s="1"/>
  <c r="J202" i="48" s="1"/>
  <c r="H201" i="48"/>
  <c r="E201" i="48"/>
  <c r="D201" i="48" s="1"/>
  <c r="J201" i="48" s="1"/>
  <c r="H200" i="48"/>
  <c r="E200" i="48"/>
  <c r="D200" i="48" s="1"/>
  <c r="J200" i="48" s="1"/>
  <c r="H197" i="48"/>
  <c r="D197" i="48"/>
  <c r="H196" i="48"/>
  <c r="D196" i="48"/>
  <c r="H195" i="48"/>
  <c r="D195" i="48"/>
  <c r="D194" i="48"/>
  <c r="J194" i="48" s="1"/>
  <c r="E191" i="48"/>
  <c r="D191" i="48" s="1"/>
  <c r="J191" i="48" s="1"/>
  <c r="C189" i="48"/>
  <c r="J189" i="48" s="1"/>
  <c r="C188" i="48"/>
  <c r="J188" i="48" s="1"/>
  <c r="C187" i="48"/>
  <c r="J187" i="48" s="1"/>
  <c r="C186" i="48"/>
  <c r="J186" i="48" s="1"/>
  <c r="H185" i="48"/>
  <c r="D185" i="48"/>
  <c r="J185" i="48" s="1"/>
  <c r="H184" i="48"/>
  <c r="E184" i="48"/>
  <c r="D184" i="48" s="1"/>
  <c r="H183" i="48"/>
  <c r="D183" i="48"/>
  <c r="H182" i="48"/>
  <c r="D182" i="48"/>
  <c r="H181" i="48"/>
  <c r="D181" i="48"/>
  <c r="C177" i="48"/>
  <c r="J177" i="48" s="1"/>
  <c r="C176" i="48"/>
  <c r="J176" i="48" s="1"/>
  <c r="C175" i="48"/>
  <c r="J175" i="48" s="1"/>
  <c r="H174" i="48"/>
  <c r="D174" i="48"/>
  <c r="H173" i="48"/>
  <c r="E173" i="48"/>
  <c r="D173" i="48"/>
  <c r="H172" i="48"/>
  <c r="E172" i="48"/>
  <c r="D172" i="48" s="1"/>
  <c r="H168" i="48"/>
  <c r="E168" i="48"/>
  <c r="D168" i="48" s="1"/>
  <c r="J168" i="48" s="1"/>
  <c r="H167" i="48"/>
  <c r="E167" i="48"/>
  <c r="D167" i="48" s="1"/>
  <c r="H166" i="48"/>
  <c r="E166" i="48"/>
  <c r="D166" i="48" s="1"/>
  <c r="H165" i="48"/>
  <c r="E165" i="48"/>
  <c r="D165" i="48" s="1"/>
  <c r="D164" i="48"/>
  <c r="J164" i="48" s="1"/>
  <c r="H163" i="48"/>
  <c r="D163" i="48"/>
  <c r="J163" i="48" s="1"/>
  <c r="E162" i="48"/>
  <c r="D162" i="48" s="1"/>
  <c r="J162" i="48" s="1"/>
  <c r="H161" i="48"/>
  <c r="E161" i="48"/>
  <c r="D161" i="48" s="1"/>
  <c r="H160" i="48"/>
  <c r="E160" i="48"/>
  <c r="D160" i="48" s="1"/>
  <c r="H157" i="48"/>
  <c r="D157" i="48"/>
  <c r="H156" i="48"/>
  <c r="D156" i="48"/>
  <c r="J156" i="48" s="1"/>
  <c r="H155" i="48"/>
  <c r="D155" i="48"/>
  <c r="J155" i="48" s="1"/>
  <c r="H154" i="48"/>
  <c r="D154" i="48"/>
  <c r="H153" i="48"/>
  <c r="D153" i="48"/>
  <c r="H152" i="48"/>
  <c r="D152" i="48"/>
  <c r="H151" i="48"/>
  <c r="D151" i="48"/>
  <c r="H150" i="48"/>
  <c r="D150" i="48"/>
  <c r="C147" i="48"/>
  <c r="J147" i="48" s="1"/>
  <c r="H146" i="48"/>
  <c r="D146" i="48"/>
  <c r="C146" i="48"/>
  <c r="D145" i="48"/>
  <c r="J145" i="48" s="1"/>
  <c r="C144" i="48"/>
  <c r="J144" i="48" s="1"/>
  <c r="C143" i="48"/>
  <c r="J143" i="48" s="1"/>
  <c r="H142" i="48"/>
  <c r="D142" i="48"/>
  <c r="H141" i="48"/>
  <c r="D141" i="48"/>
  <c r="H140" i="48"/>
  <c r="D140" i="48"/>
  <c r="H139" i="48"/>
  <c r="D139" i="48"/>
  <c r="C136" i="48"/>
  <c r="J136" i="48" s="1"/>
  <c r="C135" i="48"/>
  <c r="J135" i="48" s="1"/>
  <c r="H134" i="48"/>
  <c r="E134" i="48"/>
  <c r="D134" i="48" s="1"/>
  <c r="H133" i="48"/>
  <c r="D133" i="48"/>
  <c r="J133" i="48" s="1"/>
  <c r="H132" i="48"/>
  <c r="D132" i="48"/>
  <c r="C129" i="48"/>
  <c r="J129" i="48" s="1"/>
  <c r="H128" i="48"/>
  <c r="J128" i="48" s="1"/>
  <c r="C125" i="48"/>
  <c r="J125" i="48" s="1"/>
  <c r="C124" i="48"/>
  <c r="J124" i="48" s="1"/>
  <c r="H123" i="48"/>
  <c r="D123" i="48"/>
  <c r="H122" i="48"/>
  <c r="D122" i="48"/>
  <c r="C119" i="48"/>
  <c r="J119" i="48" s="1"/>
  <c r="C118" i="48"/>
  <c r="J118" i="48" s="1"/>
  <c r="C117" i="48"/>
  <c r="J117" i="48" s="1"/>
  <c r="H116" i="48"/>
  <c r="D116" i="48"/>
  <c r="H115" i="48"/>
  <c r="E115" i="48"/>
  <c r="D115" i="48"/>
  <c r="H114" i="48"/>
  <c r="D114" i="48"/>
  <c r="H113" i="48"/>
  <c r="E113" i="48"/>
  <c r="D113" i="48" s="1"/>
  <c r="H109" i="48"/>
  <c r="E109" i="48"/>
  <c r="D109" i="48" s="1"/>
  <c r="J109" i="48" s="1"/>
  <c r="H108" i="48"/>
  <c r="E108" i="48"/>
  <c r="D108" i="48" s="1"/>
  <c r="H107" i="48"/>
  <c r="E107" i="48"/>
  <c r="D107" i="48" s="1"/>
  <c r="J107" i="48" s="1"/>
  <c r="H106" i="48"/>
  <c r="E106" i="48"/>
  <c r="D106" i="48" s="1"/>
  <c r="J106" i="48" s="1"/>
  <c r="H105" i="48"/>
  <c r="E105" i="48"/>
  <c r="D105" i="48" s="1"/>
  <c r="D104" i="48"/>
  <c r="J104" i="48" s="1"/>
  <c r="D103" i="48"/>
  <c r="J103" i="48" s="1"/>
  <c r="D102" i="48"/>
  <c r="J102" i="48" s="1"/>
  <c r="E101" i="48"/>
  <c r="D101" i="48"/>
  <c r="J101" i="48" s="1"/>
  <c r="H100" i="48"/>
  <c r="E100" i="48"/>
  <c r="D100" i="48" s="1"/>
  <c r="J100" i="48" s="1"/>
  <c r="H97" i="48"/>
  <c r="D97" i="48"/>
  <c r="H96" i="48"/>
  <c r="D96" i="48"/>
  <c r="H95" i="48"/>
  <c r="D95" i="48"/>
  <c r="H94" i="48"/>
  <c r="D94" i="48"/>
  <c r="H93" i="48"/>
  <c r="D93" i="48"/>
  <c r="H92" i="48"/>
  <c r="D92" i="48"/>
  <c r="J92" i="48" s="1"/>
  <c r="H91" i="48"/>
  <c r="D91" i="48"/>
  <c r="C88" i="48"/>
  <c r="J88" i="48" s="1"/>
  <c r="H87" i="48"/>
  <c r="D87" i="48"/>
  <c r="C87" i="48"/>
  <c r="D86" i="48"/>
  <c r="J86" i="48" s="1"/>
  <c r="C85" i="48"/>
  <c r="J85" i="48" s="1"/>
  <c r="C84" i="48"/>
  <c r="J84" i="48" s="1"/>
  <c r="H83" i="48"/>
  <c r="D83" i="48"/>
  <c r="H82" i="48"/>
  <c r="D82" i="48"/>
  <c r="H81" i="48"/>
  <c r="D81" i="48"/>
  <c r="C78" i="48"/>
  <c r="J78" i="48" s="1"/>
  <c r="C77" i="48"/>
  <c r="J77" i="48" s="1"/>
  <c r="H76" i="48"/>
  <c r="D76" i="48"/>
  <c r="H75" i="48"/>
  <c r="D75" i="48"/>
  <c r="H74" i="48"/>
  <c r="D74" i="48"/>
  <c r="H71" i="48"/>
  <c r="C71" i="48"/>
  <c r="C70" i="48"/>
  <c r="J70" i="48" s="1"/>
  <c r="H69" i="48"/>
  <c r="D69" i="48"/>
  <c r="H68" i="48"/>
  <c r="E68" i="48"/>
  <c r="D68" i="48" s="1"/>
  <c r="H67" i="48"/>
  <c r="J67" i="48" s="1"/>
  <c r="C64" i="48"/>
  <c r="J64" i="48" s="1"/>
  <c r="H63" i="48"/>
  <c r="D63" i="48"/>
  <c r="H62" i="48"/>
  <c r="D62" i="48"/>
  <c r="H61" i="48"/>
  <c r="D61" i="48"/>
  <c r="C58" i="48"/>
  <c r="J58" i="48" s="1"/>
  <c r="H57" i="48"/>
  <c r="D57" i="48"/>
  <c r="H56" i="48"/>
  <c r="D56" i="48"/>
  <c r="F48" i="48"/>
  <c r="E48" i="48"/>
  <c r="D48" i="48" s="1"/>
  <c r="J48" i="48" s="1"/>
  <c r="G47" i="48"/>
  <c r="F47" i="48" s="1"/>
  <c r="J47" i="48" s="1"/>
  <c r="F46" i="48"/>
  <c r="E46" i="48"/>
  <c r="D46" i="48" s="1"/>
  <c r="C45" i="48"/>
  <c r="J45" i="48" s="1"/>
  <c r="F44" i="48"/>
  <c r="J44" i="48" s="1"/>
  <c r="F43" i="48"/>
  <c r="D43" i="48"/>
  <c r="J43" i="48" s="1"/>
  <c r="G41" i="48"/>
  <c r="F41" i="48" s="1"/>
  <c r="E41" i="48"/>
  <c r="D41" i="48" s="1"/>
  <c r="F38" i="48"/>
  <c r="E38" i="48"/>
  <c r="D38" i="48" s="1"/>
  <c r="F37" i="48"/>
  <c r="E37" i="48"/>
  <c r="D37" i="48" s="1"/>
  <c r="J37" i="48" s="1"/>
  <c r="C36" i="48"/>
  <c r="J36" i="48" s="1"/>
  <c r="F35" i="48"/>
  <c r="J35" i="48" s="1"/>
  <c r="F34" i="48"/>
  <c r="D34" i="48"/>
  <c r="G32" i="48"/>
  <c r="F32" i="48"/>
  <c r="E32" i="48"/>
  <c r="D32" i="48" s="1"/>
  <c r="G31" i="48"/>
  <c r="F31" i="48" s="1"/>
  <c r="J31" i="48" s="1"/>
  <c r="G30" i="48"/>
  <c r="F30" i="48" s="1"/>
  <c r="E30" i="48"/>
  <c r="D30" i="48" s="1"/>
  <c r="G29" i="48"/>
  <c r="F29" i="48" s="1"/>
  <c r="E29" i="48"/>
  <c r="D29" i="48" s="1"/>
  <c r="F26" i="48"/>
  <c r="E26" i="48"/>
  <c r="D26" i="48" s="1"/>
  <c r="G25" i="48"/>
  <c r="F25" i="48" s="1"/>
  <c r="E25" i="48"/>
  <c r="D25" i="48" s="1"/>
  <c r="C24" i="48"/>
  <c r="J24" i="48" s="1"/>
  <c r="F23" i="48"/>
  <c r="J23" i="48" s="1"/>
  <c r="F22" i="48"/>
  <c r="D22" i="48"/>
  <c r="F20" i="48"/>
  <c r="D20" i="48"/>
  <c r="F19" i="48"/>
  <c r="E19" i="48"/>
  <c r="D19" i="48" s="1"/>
  <c r="J19" i="48" s="1"/>
  <c r="G17" i="48"/>
  <c r="F17" i="48"/>
  <c r="E17" i="48"/>
  <c r="D17" i="48"/>
  <c r="F16" i="48"/>
  <c r="D16" i="48"/>
  <c r="G15" i="48"/>
  <c r="F15" i="48" s="1"/>
  <c r="E15" i="48"/>
  <c r="D15" i="48" s="1"/>
  <c r="G14" i="48"/>
  <c r="F14" i="48" s="1"/>
  <c r="E14" i="48"/>
  <c r="D14" i="48" s="1"/>
  <c r="E31" i="44"/>
  <c r="F31" i="44" s="1"/>
  <c r="C47" i="44"/>
  <c r="J108" i="48" l="1"/>
  <c r="J132" i="48"/>
  <c r="J183" i="48"/>
  <c r="J307" i="48"/>
  <c r="E307" i="48"/>
  <c r="J364" i="48"/>
  <c r="J390" i="48"/>
  <c r="J445" i="48"/>
  <c r="J466" i="48"/>
  <c r="E626" i="48"/>
  <c r="J626" i="48"/>
  <c r="J717" i="48"/>
  <c r="J15" i="48"/>
  <c r="J41" i="48"/>
  <c r="J81" i="48"/>
  <c r="J116" i="48"/>
  <c r="J123" i="48"/>
  <c r="J154" i="48"/>
  <c r="J285" i="48"/>
  <c r="J317" i="48"/>
  <c r="J381" i="48"/>
  <c r="J409" i="48"/>
  <c r="J435" i="48"/>
  <c r="J456" i="48"/>
  <c r="J493" i="48"/>
  <c r="J510" i="48"/>
  <c r="J526" i="48"/>
  <c r="J556" i="48"/>
  <c r="J569" i="48"/>
  <c r="J601" i="48"/>
  <c r="J609" i="48"/>
  <c r="J623" i="48"/>
  <c r="J651" i="48"/>
  <c r="J750" i="48"/>
  <c r="J555" i="48"/>
  <c r="J61" i="48"/>
  <c r="J160" i="48"/>
  <c r="J196" i="48"/>
  <c r="J354" i="48"/>
  <c r="J389" i="48"/>
  <c r="J464" i="48"/>
  <c r="J712" i="48"/>
  <c r="J16" i="48"/>
  <c r="J62" i="48"/>
  <c r="J69" i="48"/>
  <c r="J82" i="48"/>
  <c r="J87" i="48"/>
  <c r="J93" i="48"/>
  <c r="J97" i="48"/>
  <c r="J184" i="48"/>
  <c r="J239" i="48"/>
  <c r="J319" i="48"/>
  <c r="J326" i="48"/>
  <c r="J339" i="48"/>
  <c r="J400" i="48"/>
  <c r="J422" i="48"/>
  <c r="J506" i="48"/>
  <c r="J530" i="48"/>
  <c r="J539" i="48"/>
  <c r="J552" i="48"/>
  <c r="J594" i="48"/>
  <c r="J602" i="48"/>
  <c r="J619" i="48"/>
  <c r="J658" i="48"/>
  <c r="J720" i="48"/>
  <c r="J777" i="48"/>
  <c r="J26" i="48"/>
  <c r="J32" i="48"/>
  <c r="J56" i="48"/>
  <c r="J166" i="48"/>
  <c r="J231" i="48"/>
  <c r="J583" i="48"/>
  <c r="J589" i="48"/>
  <c r="J423" i="48"/>
  <c r="J427" i="48"/>
  <c r="J433" i="48"/>
  <c r="J437" i="48"/>
  <c r="J486" i="48"/>
  <c r="J531" i="48"/>
  <c r="J558" i="48"/>
  <c r="J577" i="48"/>
  <c r="J595" i="48"/>
  <c r="J653" i="48"/>
  <c r="J659" i="48"/>
  <c r="J115" i="48"/>
  <c r="J57" i="48"/>
  <c r="J91" i="48"/>
  <c r="J105" i="48"/>
  <c r="J122" i="48"/>
  <c r="J167" i="48"/>
  <c r="J252" i="48"/>
  <c r="J334" i="48"/>
  <c r="J359" i="48"/>
  <c r="J363" i="48"/>
  <c r="J380" i="48"/>
  <c r="J568" i="48"/>
  <c r="J592" i="48"/>
  <c r="J608" i="48"/>
  <c r="J644" i="48"/>
  <c r="J650" i="48"/>
  <c r="J722" i="48"/>
  <c r="J770" i="48"/>
  <c r="J788" i="48" s="1"/>
  <c r="J789" i="48" s="1"/>
  <c r="E630" i="48"/>
  <c r="J71" i="48"/>
  <c r="J308" i="48"/>
  <c r="J310" i="48" s="1"/>
  <c r="J311" i="48" s="1"/>
  <c r="J455" i="48"/>
  <c r="J597" i="48"/>
  <c r="J157" i="48"/>
  <c r="J74" i="48"/>
  <c r="J94" i="48"/>
  <c r="J140" i="48"/>
  <c r="J181" i="48"/>
  <c r="J197" i="48"/>
  <c r="J336" i="48"/>
  <c r="J463" i="48"/>
  <c r="J727" i="48"/>
  <c r="J29" i="48"/>
  <c r="E309" i="48"/>
  <c r="J348" i="48"/>
  <c r="J492" i="48"/>
  <c r="J496" i="48"/>
  <c r="J499" i="48"/>
  <c r="J514" i="48"/>
  <c r="J645" i="48"/>
  <c r="J217" i="48"/>
  <c r="J20" i="48"/>
  <c r="J30" i="48"/>
  <c r="J34" i="48"/>
  <c r="J38" i="48"/>
  <c r="J68" i="48"/>
  <c r="J75" i="48"/>
  <c r="J95" i="48"/>
  <c r="J113" i="48"/>
  <c r="J134" i="48"/>
  <c r="J141" i="48"/>
  <c r="J152" i="48"/>
  <c r="J165" i="48"/>
  <c r="J182" i="48"/>
  <c r="J203" i="48"/>
  <c r="J225" i="48"/>
  <c r="J234" i="48"/>
  <c r="J244" i="48"/>
  <c r="J250" i="48"/>
  <c r="J346" i="48"/>
  <c r="J349" i="48"/>
  <c r="J360" i="48"/>
  <c r="J376" i="48"/>
  <c r="J382" i="48"/>
  <c r="J402" i="48"/>
  <c r="J444" i="48"/>
  <c r="J469" i="48"/>
  <c r="J519" i="48"/>
  <c r="J546" i="48"/>
  <c r="J646" i="48"/>
  <c r="J279" i="48"/>
  <c r="J325" i="48"/>
  <c r="J426" i="48"/>
  <c r="J431" i="48"/>
  <c r="J497" i="48"/>
  <c r="J507" i="48"/>
  <c r="J25" i="48"/>
  <c r="J14" i="48"/>
  <c r="J17" i="48"/>
  <c r="J22" i="48"/>
  <c r="J46" i="48"/>
  <c r="J63" i="48"/>
  <c r="J76" i="48"/>
  <c r="J96" i="48"/>
  <c r="J114" i="48"/>
  <c r="J142" i="48"/>
  <c r="J153" i="48"/>
  <c r="J172" i="48"/>
  <c r="J195" i="48"/>
  <c r="J235" i="48"/>
  <c r="J240" i="48"/>
  <c r="J251" i="48"/>
  <c r="J318" i="48"/>
  <c r="J350" i="48"/>
  <c r="J361" i="48"/>
  <c r="J374" i="48"/>
  <c r="J383" i="48"/>
  <c r="J473" i="48"/>
  <c r="J525" i="48"/>
  <c r="J563" i="48"/>
  <c r="J649" i="48"/>
  <c r="J657" i="48"/>
  <c r="J738" i="48"/>
  <c r="J151" i="48"/>
  <c r="J173" i="48"/>
  <c r="J219" i="48"/>
  <c r="J420" i="48"/>
  <c r="J472" i="48"/>
  <c r="J517" i="48"/>
  <c r="J480" i="48"/>
  <c r="J578" i="48"/>
  <c r="J146" i="48"/>
  <c r="J204" i="48"/>
  <c r="J736" i="48"/>
  <c r="J174" i="48"/>
  <c r="J284" i="48"/>
  <c r="J618" i="48"/>
  <c r="J685" i="48"/>
  <c r="J686" i="48" s="1"/>
  <c r="J747" i="48"/>
  <c r="J333" i="48"/>
  <c r="J452" i="48"/>
  <c r="J710" i="48"/>
  <c r="J139" i="48"/>
  <c r="J161" i="48"/>
  <c r="J327" i="48"/>
  <c r="J483" i="48"/>
  <c r="J83" i="48"/>
  <c r="J150" i="48"/>
  <c r="J218" i="48"/>
  <c r="J391" i="48"/>
  <c r="J725" i="48"/>
  <c r="E33" i="44"/>
  <c r="F33" i="44" s="1"/>
  <c r="J633" i="48" l="1"/>
  <c r="J49" i="48"/>
  <c r="J50" i="48" s="1"/>
  <c r="J661" i="48"/>
  <c r="J662" i="48" s="1"/>
  <c r="J687" i="48" s="1"/>
  <c r="J304" i="48"/>
  <c r="J305" i="48" s="1"/>
  <c r="J520" i="48"/>
  <c r="J521" i="48" s="1"/>
  <c r="J210" i="48"/>
  <c r="J211" i="48" s="1"/>
  <c r="J474" i="48"/>
  <c r="J475" i="48" s="1"/>
  <c r="J636" i="48"/>
  <c r="J637" i="48" s="1"/>
  <c r="J634" i="48"/>
  <c r="J759" i="48"/>
  <c r="E18" i="44" l="1"/>
  <c r="F18" i="44" s="1"/>
  <c r="E28" i="44"/>
  <c r="F28" i="44" s="1"/>
  <c r="J762" i="48"/>
  <c r="J760" i="48"/>
  <c r="J763" i="48" s="1"/>
  <c r="E38" i="44"/>
  <c r="F38" i="44" s="1"/>
  <c r="E17" i="44" l="1"/>
  <c r="F17" i="44" s="1"/>
  <c r="E21" i="44"/>
  <c r="F21" i="44" s="1"/>
  <c r="E22" i="44"/>
  <c r="F22" i="44" s="1"/>
  <c r="E25" i="44"/>
  <c r="F25" i="44" s="1"/>
  <c r="E24" i="44"/>
  <c r="F24" i="44" s="1"/>
  <c r="E23" i="44" l="1"/>
  <c r="F23" i="44" s="1"/>
  <c r="E35" i="44"/>
  <c r="F35" i="44" s="1"/>
  <c r="E36" i="44" l="1"/>
  <c r="F36" i="44" s="1"/>
  <c r="E12" i="44" l="1"/>
  <c r="F12" i="44" s="1"/>
  <c r="F40" i="44" s="1"/>
  <c r="E15" i="44"/>
  <c r="F15" i="44" s="1"/>
  <c r="F41" i="44" l="1"/>
  <c r="F42" i="44" s="1"/>
  <c r="C44" i="44" s="1"/>
  <c r="C46" i="44" s="1"/>
  <c r="E45" i="44" l="1"/>
  <c r="E46" i="44" s="1"/>
  <c r="G25" i="21" l="1"/>
  <c r="G24" i="21"/>
  <c r="G23" i="21"/>
  <c r="G22" i="21"/>
  <c r="G17" i="22"/>
  <c r="G18" i="22"/>
  <c r="G19" i="22"/>
  <c r="G16" i="22"/>
  <c r="G175" i="24"/>
  <c r="G174" i="24"/>
  <c r="G171" i="24"/>
  <c r="G170" i="24"/>
  <c r="G168" i="24"/>
  <c r="G167" i="24"/>
  <c r="G163" i="24"/>
  <c r="G162" i="24"/>
  <c r="G159" i="24"/>
  <c r="G158" i="24"/>
  <c r="G152" i="24"/>
  <c r="G151" i="24"/>
  <c r="G149" i="24"/>
  <c r="G148" i="24"/>
  <c r="G145" i="24"/>
  <c r="G144" i="24"/>
  <c r="G142" i="24"/>
  <c r="G141" i="24"/>
  <c r="G137" i="24"/>
  <c r="G136" i="24"/>
  <c r="G133" i="24"/>
  <c r="G132" i="24"/>
  <c r="G126" i="24"/>
  <c r="G125" i="24"/>
  <c r="G123" i="24"/>
  <c r="G122" i="24"/>
  <c r="G119" i="24"/>
  <c r="G118" i="24"/>
  <c r="G116" i="24"/>
  <c r="G115" i="24"/>
  <c r="G113" i="24"/>
  <c r="G112" i="24"/>
  <c r="G108" i="24"/>
  <c r="G107" i="24"/>
  <c r="G104" i="24"/>
  <c r="G103" i="24"/>
  <c r="E66" i="29"/>
  <c r="E65" i="29"/>
  <c r="E64" i="29"/>
  <c r="G64" i="29" s="1"/>
  <c r="F63" i="29"/>
  <c r="E63" i="29"/>
  <c r="D63" i="29"/>
  <c r="D66" i="29" s="1"/>
  <c r="E61" i="29"/>
  <c r="G61" i="29" s="1"/>
  <c r="E60" i="29"/>
  <c r="G60" i="29" s="1"/>
  <c r="F59" i="29"/>
  <c r="E59" i="29"/>
  <c r="D58" i="29"/>
  <c r="D57" i="29"/>
  <c r="E56" i="29"/>
  <c r="G56" i="29" s="1"/>
  <c r="E49" i="29"/>
  <c r="G49" i="29" s="1"/>
  <c r="D48" i="29"/>
  <c r="D50" i="29" s="1"/>
  <c r="E51" i="29"/>
  <c r="E50" i="29"/>
  <c r="F48" i="29"/>
  <c r="E48" i="29"/>
  <c r="D47" i="29"/>
  <c r="D46" i="29"/>
  <c r="E45" i="29"/>
  <c r="G45" i="29" s="1"/>
  <c r="E42" i="29"/>
  <c r="G42" i="29" s="1"/>
  <c r="E41" i="29"/>
  <c r="G41" i="29" s="1"/>
  <c r="F40" i="29"/>
  <c r="E40" i="29"/>
  <c r="D38" i="29"/>
  <c r="D15" i="29"/>
  <c r="E14" i="29"/>
  <c r="G14" i="29" s="1"/>
  <c r="D28" i="29"/>
  <c r="D29" i="29" s="1"/>
  <c r="E31" i="29"/>
  <c r="G31" i="29" s="1"/>
  <c r="E30" i="29"/>
  <c r="E29" i="29"/>
  <c r="F28" i="29"/>
  <c r="E28" i="29"/>
  <c r="D24" i="29"/>
  <c r="D26" i="29" s="1"/>
  <c r="E22" i="29"/>
  <c r="G22" i="29" s="1"/>
  <c r="E21" i="29"/>
  <c r="G21" i="29" s="1"/>
  <c r="F20" i="29"/>
  <c r="E20" i="29"/>
  <c r="E19" i="29"/>
  <c r="G19" i="29" s="1"/>
  <c r="E18" i="29"/>
  <c r="G18" i="29" s="1"/>
  <c r="F17" i="29"/>
  <c r="E17" i="29"/>
  <c r="E57" i="29"/>
  <c r="E58" i="29"/>
  <c r="E46" i="29"/>
  <c r="E47" i="29"/>
  <c r="E38" i="29"/>
  <c r="E39" i="29"/>
  <c r="G39" i="29" s="1"/>
  <c r="E37" i="29"/>
  <c r="G37" i="29" s="1"/>
  <c r="E25" i="29"/>
  <c r="E26" i="29"/>
  <c r="E27" i="29"/>
  <c r="E55" i="29"/>
  <c r="E44" i="29"/>
  <c r="E36" i="29"/>
  <c r="E24" i="29"/>
  <c r="E15" i="29"/>
  <c r="E16" i="29"/>
  <c r="G16" i="29" s="1"/>
  <c r="E13" i="29"/>
  <c r="F55" i="29"/>
  <c r="G55" i="29" s="1"/>
  <c r="F44" i="29"/>
  <c r="F36" i="29"/>
  <c r="G27" i="29"/>
  <c r="F24" i="29"/>
  <c r="G15" i="29"/>
  <c r="F13" i="29"/>
  <c r="G62" i="23"/>
  <c r="D57" i="23"/>
  <c r="G61" i="23"/>
  <c r="G60" i="23"/>
  <c r="G59" i="23"/>
  <c r="G58" i="23"/>
  <c r="G57" i="23"/>
  <c r="F56" i="23"/>
  <c r="G56" i="23" s="1"/>
  <c r="G54" i="23"/>
  <c r="G53" i="23"/>
  <c r="G52" i="23"/>
  <c r="G51" i="23"/>
  <c r="F50" i="23"/>
  <c r="G50" i="23" s="1"/>
  <c r="G37" i="23"/>
  <c r="G38" i="23"/>
  <c r="G39" i="23"/>
  <c r="G40" i="23"/>
  <c r="G46" i="23"/>
  <c r="G45" i="23"/>
  <c r="G44" i="23"/>
  <c r="D43" i="23"/>
  <c r="G43" i="23" s="1"/>
  <c r="F42" i="23"/>
  <c r="G42" i="23" s="1"/>
  <c r="G29" i="23"/>
  <c r="G30" i="23"/>
  <c r="G31" i="23"/>
  <c r="G23" i="23"/>
  <c r="G24" i="23"/>
  <c r="G25" i="23"/>
  <c r="D28" i="23"/>
  <c r="G28" i="23" s="1"/>
  <c r="F27" i="23"/>
  <c r="G27" i="23" s="1"/>
  <c r="F36" i="23"/>
  <c r="G36" i="23" s="1"/>
  <c r="D22" i="23"/>
  <c r="G22" i="23" s="1"/>
  <c r="F21" i="23"/>
  <c r="G21" i="23" s="1"/>
  <c r="G11" i="28"/>
  <c r="D17" i="27"/>
  <c r="D11" i="27"/>
  <c r="G11" i="27" s="1"/>
  <c r="D12" i="27"/>
  <c r="G12" i="27" s="1"/>
  <c r="D13" i="27"/>
  <c r="G13" i="27" s="1"/>
  <c r="D18" i="27"/>
  <c r="G18" i="27" s="1"/>
  <c r="D16" i="27"/>
  <c r="G16" i="27" s="1"/>
  <c r="G17" i="27"/>
  <c r="E176" i="26"/>
  <c r="F176" i="26" s="1"/>
  <c r="I176" i="26" s="1"/>
  <c r="E174" i="26"/>
  <c r="J177" i="26"/>
  <c r="F177" i="26"/>
  <c r="I177" i="26" s="1"/>
  <c r="J176" i="26"/>
  <c r="J175" i="26"/>
  <c r="F175" i="26"/>
  <c r="I175" i="26" s="1"/>
  <c r="K175" i="26" s="1"/>
  <c r="J174" i="26"/>
  <c r="F174" i="26"/>
  <c r="I174" i="26" s="1"/>
  <c r="J171" i="26"/>
  <c r="F171" i="26"/>
  <c r="I171" i="26" s="1"/>
  <c r="J173" i="26"/>
  <c r="F173" i="26"/>
  <c r="I173" i="26" s="1"/>
  <c r="K173" i="26" s="1"/>
  <c r="J178" i="26"/>
  <c r="F178" i="26"/>
  <c r="E172" i="26"/>
  <c r="F172" i="26" s="1"/>
  <c r="I172" i="26" s="1"/>
  <c r="J172" i="26"/>
  <c r="J170" i="26"/>
  <c r="E170" i="26"/>
  <c r="F170" i="26" s="1"/>
  <c r="I170" i="26" s="1"/>
  <c r="K170" i="26" s="1"/>
  <c r="G161" i="26"/>
  <c r="G159" i="26"/>
  <c r="G155" i="26"/>
  <c r="E153" i="26"/>
  <c r="F153" i="26" s="1"/>
  <c r="E146" i="26"/>
  <c r="F146" i="26" s="1"/>
  <c r="E144" i="26"/>
  <c r="F144" i="26" s="1"/>
  <c r="E147" i="26"/>
  <c r="E145" i="26"/>
  <c r="F145" i="26" s="1"/>
  <c r="J166" i="26"/>
  <c r="F166" i="26"/>
  <c r="I166" i="26" s="1"/>
  <c r="K166" i="26" s="1"/>
  <c r="J164" i="26"/>
  <c r="F164" i="26"/>
  <c r="J161" i="26"/>
  <c r="F161" i="26"/>
  <c r="J159" i="26"/>
  <c r="F159" i="26"/>
  <c r="J155" i="26"/>
  <c r="E155" i="26"/>
  <c r="F155" i="26" s="1"/>
  <c r="J154" i="26"/>
  <c r="E154" i="26"/>
  <c r="F154" i="26" s="1"/>
  <c r="I154" i="26" s="1"/>
  <c r="J153" i="26"/>
  <c r="G153" i="26"/>
  <c r="J152" i="26"/>
  <c r="G152" i="26"/>
  <c r="E152" i="26"/>
  <c r="F152" i="26" s="1"/>
  <c r="J151" i="26"/>
  <c r="G151" i="26"/>
  <c r="E151" i="26"/>
  <c r="F151" i="26" s="1"/>
  <c r="J147" i="26"/>
  <c r="F147" i="26"/>
  <c r="I147" i="26" s="1"/>
  <c r="J146" i="26"/>
  <c r="G146" i="26"/>
  <c r="J145" i="26"/>
  <c r="G145" i="26"/>
  <c r="J144" i="26"/>
  <c r="G144" i="26"/>
  <c r="E100" i="26"/>
  <c r="F100" i="26" s="1"/>
  <c r="I100" i="26" s="1"/>
  <c r="E104" i="26"/>
  <c r="F104" i="26" s="1"/>
  <c r="I104" i="26" s="1"/>
  <c r="J106" i="26"/>
  <c r="E106" i="26"/>
  <c r="F106" i="26" s="1"/>
  <c r="I106" i="26" s="1"/>
  <c r="J105" i="26"/>
  <c r="E105" i="26"/>
  <c r="F105" i="26" s="1"/>
  <c r="I105" i="26" s="1"/>
  <c r="J104" i="26"/>
  <c r="J103" i="26"/>
  <c r="F103" i="26"/>
  <c r="I103" i="26" s="1"/>
  <c r="K103" i="26" s="1"/>
  <c r="J138" i="26"/>
  <c r="F138" i="26"/>
  <c r="I138" i="26" s="1"/>
  <c r="J137" i="26"/>
  <c r="G137" i="26"/>
  <c r="F137" i="26"/>
  <c r="J134" i="26"/>
  <c r="F134" i="26"/>
  <c r="I134" i="26" s="1"/>
  <c r="J133" i="26"/>
  <c r="G133" i="26"/>
  <c r="F133" i="26"/>
  <c r="J130" i="26"/>
  <c r="F130" i="26"/>
  <c r="I130" i="26" s="1"/>
  <c r="J129" i="26"/>
  <c r="G129" i="26"/>
  <c r="F129" i="26"/>
  <c r="J127" i="26"/>
  <c r="F127" i="26"/>
  <c r="I127" i="26" s="1"/>
  <c r="J126" i="26"/>
  <c r="G126" i="26"/>
  <c r="F126" i="26"/>
  <c r="J122" i="26"/>
  <c r="G122" i="26"/>
  <c r="E122" i="26"/>
  <c r="F122" i="26" s="1"/>
  <c r="J121" i="26"/>
  <c r="E121" i="26"/>
  <c r="F121" i="26" s="1"/>
  <c r="I121" i="26" s="1"/>
  <c r="J120" i="26"/>
  <c r="G120" i="26"/>
  <c r="E120" i="26"/>
  <c r="F120" i="26" s="1"/>
  <c r="J119" i="26"/>
  <c r="G119" i="26"/>
  <c r="E119" i="26"/>
  <c r="F119" i="26" s="1"/>
  <c r="J118" i="26"/>
  <c r="G118" i="26"/>
  <c r="E118" i="26"/>
  <c r="F118" i="26" s="1"/>
  <c r="J114" i="26"/>
  <c r="E114" i="26"/>
  <c r="F114" i="26" s="1"/>
  <c r="I114" i="26" s="1"/>
  <c r="J113" i="26"/>
  <c r="G113" i="26"/>
  <c r="E113" i="26"/>
  <c r="F113" i="26" s="1"/>
  <c r="J112" i="26"/>
  <c r="G112" i="26"/>
  <c r="E112" i="26"/>
  <c r="F112" i="26" s="1"/>
  <c r="J111" i="26"/>
  <c r="G111" i="26"/>
  <c r="E111" i="26"/>
  <c r="F111" i="26" s="1"/>
  <c r="J102" i="26"/>
  <c r="G102" i="26"/>
  <c r="E102" i="26"/>
  <c r="F102" i="26" s="1"/>
  <c r="J101" i="26"/>
  <c r="G101" i="26"/>
  <c r="E101" i="26"/>
  <c r="F101" i="26" s="1"/>
  <c r="J100" i="26"/>
  <c r="J99" i="26"/>
  <c r="E99" i="26"/>
  <c r="F99" i="26" s="1"/>
  <c r="I99" i="26" s="1"/>
  <c r="K99" i="26" s="1"/>
  <c r="J95" i="26"/>
  <c r="F95" i="26"/>
  <c r="I95" i="26" s="1"/>
  <c r="J94" i="26"/>
  <c r="G94" i="26"/>
  <c r="F94" i="26"/>
  <c r="J91" i="26"/>
  <c r="F91" i="26"/>
  <c r="I91" i="26" s="1"/>
  <c r="J90" i="26"/>
  <c r="G90" i="26"/>
  <c r="F90" i="26"/>
  <c r="G83" i="26"/>
  <c r="G86" i="26"/>
  <c r="J87" i="26"/>
  <c r="F87" i="26"/>
  <c r="I87" i="26" s="1"/>
  <c r="J86" i="26"/>
  <c r="F86" i="26"/>
  <c r="J84" i="26"/>
  <c r="F84" i="26"/>
  <c r="I84" i="26" s="1"/>
  <c r="F83" i="26"/>
  <c r="I83" i="26" s="1"/>
  <c r="J83" i="26"/>
  <c r="E79" i="26"/>
  <c r="F79" i="26" s="1"/>
  <c r="J79" i="26"/>
  <c r="G79" i="26"/>
  <c r="J63" i="26"/>
  <c r="G63" i="26"/>
  <c r="E63" i="26"/>
  <c r="F63" i="26" s="1"/>
  <c r="J62" i="26"/>
  <c r="G62" i="26"/>
  <c r="E62" i="26"/>
  <c r="F62" i="26" s="1"/>
  <c r="I62" i="26" s="1"/>
  <c r="K62" i="26" s="1"/>
  <c r="J56" i="26"/>
  <c r="G56" i="26"/>
  <c r="E56" i="26"/>
  <c r="F56" i="26" s="1"/>
  <c r="G40" i="26"/>
  <c r="G39" i="26"/>
  <c r="J40" i="26"/>
  <c r="E40" i="26"/>
  <c r="F40" i="26" s="1"/>
  <c r="J39" i="26"/>
  <c r="E39" i="26"/>
  <c r="F39" i="26" s="1"/>
  <c r="G33" i="26"/>
  <c r="G32" i="26"/>
  <c r="E33" i="26"/>
  <c r="F33" i="26" s="1"/>
  <c r="J33" i="26"/>
  <c r="E27" i="26"/>
  <c r="F27" i="26" s="1"/>
  <c r="J32" i="26"/>
  <c r="E32" i="26"/>
  <c r="F32" i="26" s="1"/>
  <c r="J27" i="26"/>
  <c r="G27" i="26"/>
  <c r="F38" i="26"/>
  <c r="E78" i="26"/>
  <c r="F78" i="26" s="1"/>
  <c r="E77" i="26"/>
  <c r="F77" i="26" s="1"/>
  <c r="E76" i="26"/>
  <c r="F76" i="26" s="1"/>
  <c r="E75" i="26"/>
  <c r="F75" i="26" s="1"/>
  <c r="E71" i="26"/>
  <c r="F71" i="26" s="1"/>
  <c r="E70" i="26"/>
  <c r="F70" i="26" s="1"/>
  <c r="E69" i="26"/>
  <c r="F69" i="26" s="1"/>
  <c r="E68" i="26"/>
  <c r="F68" i="26" s="1"/>
  <c r="E61" i="26"/>
  <c r="F61" i="26" s="1"/>
  <c r="E60" i="26"/>
  <c r="F60" i="26" s="1"/>
  <c r="E55" i="26"/>
  <c r="F55" i="26" s="1"/>
  <c r="E54" i="26"/>
  <c r="F54" i="26" s="1"/>
  <c r="E53" i="26"/>
  <c r="F53" i="26" s="1"/>
  <c r="E52" i="26"/>
  <c r="F52" i="26" s="1"/>
  <c r="E48" i="26"/>
  <c r="F48" i="26" s="1"/>
  <c r="E47" i="26"/>
  <c r="F47" i="26" s="1"/>
  <c r="E46" i="26"/>
  <c r="F46" i="26" s="1"/>
  <c r="E45" i="26"/>
  <c r="F45" i="26" s="1"/>
  <c r="E37" i="26"/>
  <c r="F37" i="26" s="1"/>
  <c r="E31" i="26"/>
  <c r="F31" i="26" s="1"/>
  <c r="E30" i="26"/>
  <c r="F30" i="26" s="1"/>
  <c r="E26" i="26"/>
  <c r="F26" i="26" s="1"/>
  <c r="E25" i="26"/>
  <c r="F25" i="26" s="1"/>
  <c r="E24" i="26"/>
  <c r="F24" i="26" s="1"/>
  <c r="E23" i="26"/>
  <c r="F23" i="26" s="1"/>
  <c r="E19" i="26"/>
  <c r="F19" i="26" s="1"/>
  <c r="E18" i="26"/>
  <c r="F18" i="26" s="1"/>
  <c r="E17" i="26"/>
  <c r="F17" i="26" s="1"/>
  <c r="E16" i="26"/>
  <c r="F16" i="26" s="1"/>
  <c r="E11" i="26"/>
  <c r="F11" i="26" s="1"/>
  <c r="I27" i="26" l="1"/>
  <c r="I79" i="26"/>
  <c r="K172" i="26"/>
  <c r="K176" i="26"/>
  <c r="G58" i="29"/>
  <c r="K138" i="26"/>
  <c r="G66" i="29"/>
  <c r="K84" i="26"/>
  <c r="K177" i="26"/>
  <c r="K174" i="26"/>
  <c r="G38" i="29"/>
  <c r="I86" i="26"/>
  <c r="K86" i="26" s="1"/>
  <c r="G47" i="29"/>
  <c r="K87" i="26"/>
  <c r="G57" i="29"/>
  <c r="G46" i="29"/>
  <c r="G20" i="27"/>
  <c r="G36" i="29"/>
  <c r="K171" i="26"/>
  <c r="G44" i="29"/>
  <c r="I155" i="26"/>
  <c r="K155" i="26" s="1"/>
  <c r="G13" i="29"/>
  <c r="G40" i="29"/>
  <c r="G59" i="29"/>
  <c r="G20" i="29"/>
  <c r="G63" i="29"/>
  <c r="D65" i="29"/>
  <c r="G65" i="29" s="1"/>
  <c r="D30" i="29"/>
  <c r="G30" i="29" s="1"/>
  <c r="G48" i="29"/>
  <c r="G50" i="29"/>
  <c r="D51" i="29"/>
  <c r="G51" i="29" s="1"/>
  <c r="G28" i="29"/>
  <c r="D25" i="29"/>
  <c r="G25" i="29" s="1"/>
  <c r="G29" i="29"/>
  <c r="G26" i="29"/>
  <c r="G17" i="29"/>
  <c r="G24" i="29"/>
  <c r="G13" i="28"/>
  <c r="G14" i="28"/>
  <c r="J14" i="28" s="1"/>
  <c r="J15" i="28" s="1"/>
  <c r="G21" i="27"/>
  <c r="J21" i="27" s="1"/>
  <c r="J22" i="27" s="1"/>
  <c r="I178" i="26"/>
  <c r="K178" i="26" s="1"/>
  <c r="I113" i="26"/>
  <c r="K113" i="26" s="1"/>
  <c r="K95" i="26"/>
  <c r="I111" i="26"/>
  <c r="K111" i="26" s="1"/>
  <c r="K121" i="26"/>
  <c r="K127" i="26"/>
  <c r="I153" i="26"/>
  <c r="K153" i="26" s="1"/>
  <c r="I119" i="26"/>
  <c r="K119" i="26" s="1"/>
  <c r="I122" i="26"/>
  <c r="I129" i="26"/>
  <c r="K129" i="26" s="1"/>
  <c r="K154" i="26"/>
  <c r="I145" i="26"/>
  <c r="K145" i="26" s="1"/>
  <c r="K122" i="26"/>
  <c r="K130" i="26"/>
  <c r="I152" i="26"/>
  <c r="K152" i="26" s="1"/>
  <c r="I40" i="26"/>
  <c r="K40" i="26" s="1"/>
  <c r="I94" i="26"/>
  <c r="K94" i="26" s="1"/>
  <c r="I102" i="26"/>
  <c r="K102" i="26" s="1"/>
  <c r="K114" i="26"/>
  <c r="I120" i="26"/>
  <c r="K120" i="26" s="1"/>
  <c r="I126" i="26"/>
  <c r="K126" i="26" s="1"/>
  <c r="I144" i="26"/>
  <c r="K144" i="26" s="1"/>
  <c r="I161" i="26"/>
  <c r="K161" i="26" s="1"/>
  <c r="I151" i="26"/>
  <c r="K151" i="26" s="1"/>
  <c r="K27" i="26"/>
  <c r="I32" i="26"/>
  <c r="K32" i="26" s="1"/>
  <c r="I63" i="26"/>
  <c r="K63" i="26" s="1"/>
  <c r="K83" i="26"/>
  <c r="I112" i="26"/>
  <c r="K112" i="26" s="1"/>
  <c r="K134" i="26"/>
  <c r="I33" i="26"/>
  <c r="K33" i="26" s="1"/>
  <c r="I90" i="26"/>
  <c r="K90" i="26" s="1"/>
  <c r="I164" i="26"/>
  <c r="K164" i="26" s="1"/>
  <c r="I56" i="26"/>
  <c r="K56" i="26" s="1"/>
  <c r="K91" i="26"/>
  <c r="I101" i="26"/>
  <c r="K101" i="26" s="1"/>
  <c r="I118" i="26"/>
  <c r="K118" i="26" s="1"/>
  <c r="I133" i="26"/>
  <c r="K133" i="26" s="1"/>
  <c r="I137" i="26"/>
  <c r="K137" i="26" s="1"/>
  <c r="I146" i="26"/>
  <c r="K146" i="26" s="1"/>
  <c r="K147" i="26"/>
  <c r="I159" i="26"/>
  <c r="K159" i="26" s="1"/>
  <c r="K79" i="26"/>
  <c r="K104" i="26"/>
  <c r="K106" i="26"/>
  <c r="K105" i="26"/>
  <c r="K100" i="26"/>
  <c r="I39" i="26"/>
  <c r="K39" i="26" s="1"/>
  <c r="J78" i="26"/>
  <c r="I78" i="26"/>
  <c r="J77" i="26"/>
  <c r="G77" i="26"/>
  <c r="I77" i="26" s="1"/>
  <c r="J76" i="26"/>
  <c r="G76" i="26"/>
  <c r="I76" i="26" s="1"/>
  <c r="J75" i="26"/>
  <c r="G75" i="26"/>
  <c r="I75" i="26" s="1"/>
  <c r="J71" i="26"/>
  <c r="I71" i="26"/>
  <c r="J70" i="26"/>
  <c r="G70" i="26"/>
  <c r="I70" i="26" s="1"/>
  <c r="J69" i="26"/>
  <c r="G69" i="26"/>
  <c r="I69" i="26" s="1"/>
  <c r="J68" i="26"/>
  <c r="G68" i="26"/>
  <c r="I68" i="26" s="1"/>
  <c r="J61" i="26"/>
  <c r="I61" i="26"/>
  <c r="J60" i="26"/>
  <c r="I60" i="26"/>
  <c r="J38" i="26"/>
  <c r="I38" i="26"/>
  <c r="J37" i="26"/>
  <c r="I37" i="26"/>
  <c r="I31" i="26"/>
  <c r="J31" i="26"/>
  <c r="J30" i="26"/>
  <c r="I30" i="26"/>
  <c r="I48" i="26"/>
  <c r="J55" i="26"/>
  <c r="I55" i="26"/>
  <c r="J54" i="26"/>
  <c r="G54" i="26"/>
  <c r="J53" i="26"/>
  <c r="G53" i="26"/>
  <c r="I53" i="26" s="1"/>
  <c r="J52" i="26"/>
  <c r="G52" i="26"/>
  <c r="J48" i="26"/>
  <c r="J47" i="26"/>
  <c r="G47" i="26"/>
  <c r="J46" i="26"/>
  <c r="G46" i="26"/>
  <c r="J45" i="26"/>
  <c r="G45" i="26"/>
  <c r="I45" i="26" s="1"/>
  <c r="J24" i="26"/>
  <c r="J25" i="26"/>
  <c r="J26" i="26"/>
  <c r="J23" i="26"/>
  <c r="J17" i="26"/>
  <c r="J18" i="26"/>
  <c r="J19" i="26"/>
  <c r="J16" i="26"/>
  <c r="I26" i="26"/>
  <c r="G25" i="26"/>
  <c r="I25" i="26" s="1"/>
  <c r="G24" i="26"/>
  <c r="I24" i="26" s="1"/>
  <c r="G23" i="26"/>
  <c r="I23" i="26" s="1"/>
  <c r="K23" i="26" s="1"/>
  <c r="G18" i="26"/>
  <c r="G17" i="26"/>
  <c r="I17" i="26" s="1"/>
  <c r="G16" i="26"/>
  <c r="I16" i="26" s="1"/>
  <c r="I19" i="26"/>
  <c r="I18" i="26"/>
  <c r="J11" i="26"/>
  <c r="G11" i="26"/>
  <c r="I11" i="26" s="1"/>
  <c r="G68" i="29" l="1"/>
  <c r="G69" i="29" s="1"/>
  <c r="J69" i="29" s="1"/>
  <c r="J70" i="29" s="1"/>
  <c r="K75" i="26"/>
  <c r="K11" i="26"/>
  <c r="K16" i="26"/>
  <c r="K24" i="26"/>
  <c r="K77" i="26"/>
  <c r="K17" i="26"/>
  <c r="K69" i="26"/>
  <c r="K45" i="26"/>
  <c r="K68" i="26"/>
  <c r="K76" i="26"/>
  <c r="K26" i="26"/>
  <c r="K71" i="26"/>
  <c r="K53" i="26"/>
  <c r="K70" i="26"/>
  <c r="K38" i="26"/>
  <c r="K61" i="26"/>
  <c r="K30" i="26"/>
  <c r="K37" i="26"/>
  <c r="K60" i="26"/>
  <c r="K78" i="26"/>
  <c r="K18" i="26"/>
  <c r="K48" i="26"/>
  <c r="I46" i="26"/>
  <c r="K46" i="26" s="1"/>
  <c r="I47" i="26"/>
  <c r="K47" i="26" s="1"/>
  <c r="K19" i="26"/>
  <c r="I54" i="26"/>
  <c r="K54" i="26" s="1"/>
  <c r="I52" i="26"/>
  <c r="K52" i="26" s="1"/>
  <c r="K55" i="26"/>
  <c r="K31" i="26"/>
  <c r="K25" i="26"/>
  <c r="G110" i="25"/>
  <c r="C24" i="25"/>
  <c r="C73" i="25"/>
  <c r="G73" i="25" s="1"/>
  <c r="C45" i="25"/>
  <c r="G45" i="25" s="1"/>
  <c r="C29" i="25"/>
  <c r="G29" i="25" s="1"/>
  <c r="G63" i="25"/>
  <c r="G91" i="25"/>
  <c r="G118" i="25"/>
  <c r="G117" i="25"/>
  <c r="G116" i="25"/>
  <c r="D115" i="25"/>
  <c r="F108" i="25"/>
  <c r="G108" i="25" s="1"/>
  <c r="F107" i="25"/>
  <c r="G107" i="25" s="1"/>
  <c r="F109" i="25"/>
  <c r="G109" i="25" s="1"/>
  <c r="F105" i="25"/>
  <c r="G105" i="25" s="1"/>
  <c r="F104" i="25"/>
  <c r="G104" i="25" s="1"/>
  <c r="F103" i="25"/>
  <c r="G103" i="25" s="1"/>
  <c r="F102" i="25"/>
  <c r="G102" i="25" s="1"/>
  <c r="G90" i="25"/>
  <c r="D89" i="25"/>
  <c r="G89" i="25" s="1"/>
  <c r="G88" i="25"/>
  <c r="G87" i="25"/>
  <c r="E86" i="25"/>
  <c r="D86" i="25"/>
  <c r="G85" i="25"/>
  <c r="F83" i="25"/>
  <c r="G83" i="25" s="1"/>
  <c r="F82" i="25"/>
  <c r="G82" i="25" s="1"/>
  <c r="F80" i="25"/>
  <c r="G80" i="25" s="1"/>
  <c r="F79" i="25"/>
  <c r="G79" i="25" s="1"/>
  <c r="F78" i="25"/>
  <c r="G78" i="25" s="1"/>
  <c r="F77" i="25"/>
  <c r="G77" i="25" s="1"/>
  <c r="D72" i="25"/>
  <c r="G72" i="25" s="1"/>
  <c r="D71" i="25"/>
  <c r="C72" i="24"/>
  <c r="G72" i="24" s="1"/>
  <c r="C73" i="24"/>
  <c r="G73" i="24" s="1"/>
  <c r="C75" i="24"/>
  <c r="G75" i="24" s="1"/>
  <c r="D67" i="25"/>
  <c r="D40" i="25"/>
  <c r="E39" i="25"/>
  <c r="G39" i="25" s="1"/>
  <c r="E66" i="25"/>
  <c r="G66" i="25" s="1"/>
  <c r="E97" i="25"/>
  <c r="D97" i="25"/>
  <c r="E96" i="25"/>
  <c r="G96" i="25" s="1"/>
  <c r="C95" i="25"/>
  <c r="G95" i="25" s="1"/>
  <c r="C94" i="25"/>
  <c r="G94" i="25" s="1"/>
  <c r="E67" i="25"/>
  <c r="D61" i="25"/>
  <c r="G61" i="25" s="1"/>
  <c r="G62" i="25"/>
  <c r="G60" i="25"/>
  <c r="F55" i="25"/>
  <c r="G55" i="25" s="1"/>
  <c r="F52" i="25"/>
  <c r="G52" i="25" s="1"/>
  <c r="F50" i="25"/>
  <c r="G50" i="25" s="1"/>
  <c r="F49" i="25"/>
  <c r="G49" i="25" s="1"/>
  <c r="F54" i="25"/>
  <c r="G54" i="25" s="1"/>
  <c r="F51" i="25"/>
  <c r="G51" i="25" s="1"/>
  <c r="F44" i="25"/>
  <c r="D44" i="25"/>
  <c r="E40" i="25"/>
  <c r="F36" i="25"/>
  <c r="F34" i="25"/>
  <c r="F33" i="25"/>
  <c r="D28" i="25"/>
  <c r="G28" i="25" s="1"/>
  <c r="D114" i="25"/>
  <c r="G114" i="25" s="1"/>
  <c r="E113" i="25"/>
  <c r="D113" i="25"/>
  <c r="G112" i="25"/>
  <c r="F71" i="25"/>
  <c r="G59" i="25"/>
  <c r="E58" i="25"/>
  <c r="D58" i="25"/>
  <c r="G57" i="25"/>
  <c r="C36" i="25"/>
  <c r="C34" i="25"/>
  <c r="G34" i="25" s="1"/>
  <c r="C33" i="25"/>
  <c r="C20" i="25"/>
  <c r="C18" i="25"/>
  <c r="C17" i="25"/>
  <c r="D96" i="24"/>
  <c r="G96" i="24" s="1"/>
  <c r="E95" i="24"/>
  <c r="D95" i="24"/>
  <c r="G68" i="24"/>
  <c r="G94" i="24"/>
  <c r="G92" i="24"/>
  <c r="C89" i="24"/>
  <c r="G89" i="24" s="1"/>
  <c r="G90" i="24"/>
  <c r="F67" i="24"/>
  <c r="G67" i="24" s="1"/>
  <c r="G84" i="24"/>
  <c r="G83" i="24"/>
  <c r="C82" i="24"/>
  <c r="G82" i="24" s="1"/>
  <c r="G79" i="24"/>
  <c r="E78" i="24"/>
  <c r="D78" i="24"/>
  <c r="G77" i="24"/>
  <c r="G58" i="24"/>
  <c r="E57" i="24"/>
  <c r="D57" i="24"/>
  <c r="G56" i="24"/>
  <c r="G63" i="24"/>
  <c r="G62" i="24"/>
  <c r="C61" i="24"/>
  <c r="G61" i="24" s="1"/>
  <c r="C54" i="24"/>
  <c r="G54" i="24" s="1"/>
  <c r="C52" i="24"/>
  <c r="G52" i="24" s="1"/>
  <c r="C51" i="24"/>
  <c r="G51" i="24" s="1"/>
  <c r="F47" i="24"/>
  <c r="G47" i="24" s="1"/>
  <c r="G43" i="24"/>
  <c r="G42" i="24"/>
  <c r="G41" i="24"/>
  <c r="C40" i="24"/>
  <c r="G40" i="24" s="1"/>
  <c r="C23" i="24"/>
  <c r="C20" i="24"/>
  <c r="C21" i="24"/>
  <c r="C37" i="24"/>
  <c r="G37" i="24" s="1"/>
  <c r="C35" i="24"/>
  <c r="G35" i="24" s="1"/>
  <c r="C34" i="24"/>
  <c r="G34" i="24" s="1"/>
  <c r="F30" i="24"/>
  <c r="G30" i="24" s="1"/>
  <c r="G24" i="25"/>
  <c r="E23" i="25"/>
  <c r="G23" i="25" s="1"/>
  <c r="F20" i="25"/>
  <c r="F18" i="25"/>
  <c r="F17" i="25"/>
  <c r="D14" i="25"/>
  <c r="D12" i="25"/>
  <c r="G20" i="25"/>
  <c r="F14" i="25"/>
  <c r="G14" i="25" s="1"/>
  <c r="F12" i="25"/>
  <c r="G16" i="24"/>
  <c r="G13" i="24"/>
  <c r="F14" i="23"/>
  <c r="G12" i="25" l="1"/>
  <c r="G17" i="25"/>
  <c r="G71" i="25"/>
  <c r="K180" i="26"/>
  <c r="G40" i="25"/>
  <c r="G86" i="25"/>
  <c r="G33" i="25"/>
  <c r="G97" i="25"/>
  <c r="G95" i="24"/>
  <c r="G57" i="24"/>
  <c r="G113" i="25"/>
  <c r="G18" i="25"/>
  <c r="G44" i="25"/>
  <c r="G67" i="25"/>
  <c r="G58" i="25"/>
  <c r="G36" i="25"/>
  <c r="G78" i="24"/>
  <c r="G120" i="25" l="1"/>
  <c r="G121" i="25" s="1"/>
  <c r="J121" i="25" s="1"/>
  <c r="J122" i="25" s="1"/>
  <c r="G26" i="24" l="1"/>
  <c r="F15" i="24"/>
  <c r="G15" i="24" s="1"/>
  <c r="F12" i="24"/>
  <c r="G12" i="24" s="1"/>
  <c r="G23" i="24" l="1"/>
  <c r="G21" i="24"/>
  <c r="G20" i="24"/>
  <c r="G176" i="24" s="1"/>
  <c r="G177" i="24" s="1"/>
  <c r="G17" i="23"/>
  <c r="D15" i="23"/>
  <c r="G15" i="23" s="1"/>
  <c r="G14" i="23"/>
  <c r="G16" i="21"/>
  <c r="G19" i="21"/>
  <c r="D17" i="21"/>
  <c r="G17" i="21" s="1"/>
  <c r="G13" i="22"/>
  <c r="G12" i="22"/>
  <c r="G21" i="22" s="1"/>
  <c r="G13" i="21"/>
  <c r="G12" i="21"/>
  <c r="G14" i="20"/>
  <c r="G13" i="20"/>
  <c r="G12" i="20"/>
  <c r="G64" i="23" l="1"/>
  <c r="G65" i="23" s="1"/>
  <c r="J65" i="23" s="1"/>
  <c r="J66" i="23" s="1"/>
  <c r="G15" i="20"/>
  <c r="G16" i="20" s="1"/>
  <c r="J16" i="20" s="1"/>
  <c r="J17" i="20" s="1"/>
  <c r="G27" i="21"/>
  <c r="G28" i="21" l="1"/>
  <c r="J28" i="21" s="1"/>
  <c r="J29" i="21" s="1"/>
  <c r="J177" i="24"/>
  <c r="J178" i="24" s="1"/>
  <c r="G22" i="22"/>
  <c r="J22" i="22" s="1"/>
  <c r="J23" i="22" s="1"/>
  <c r="H13" i="9" l="1"/>
  <c r="G12" i="18"/>
  <c r="G11" i="18"/>
  <c r="G13" i="18" l="1"/>
  <c r="J13" i="18" s="1"/>
  <c r="J14" i="18" l="1"/>
  <c r="I14" i="9" s="1"/>
  <c r="J15" i="18" l="1"/>
  <c r="F14" i="9"/>
  <c r="D13" i="9"/>
  <c r="G13" i="9" l="1"/>
  <c r="F13" i="9"/>
  <c r="I13" i="9" s="1"/>
  <c r="J13" i="9" s="1"/>
  <c r="E31" i="4" l="1"/>
  <c r="E32" i="4" s="1"/>
  <c r="I16" i="9"/>
  <c r="F16" i="9"/>
  <c r="C32" i="4" l="1"/>
  <c r="C33" i="4"/>
  <c r="J16" i="9"/>
</calcChain>
</file>

<file path=xl/sharedStrings.xml><?xml version="1.0" encoding="utf-8"?>
<sst xmlns="http://schemas.openxmlformats.org/spreadsheetml/2006/main" count="2614" uniqueCount="431">
  <si>
    <t>S.No.</t>
  </si>
  <si>
    <t>Nos</t>
  </si>
  <si>
    <t>Length</t>
  </si>
  <si>
    <t>Breadth</t>
  </si>
  <si>
    <t>Height</t>
  </si>
  <si>
    <t>Remarks</t>
  </si>
  <si>
    <t>Quantity</t>
  </si>
  <si>
    <t>Unit</t>
  </si>
  <si>
    <t>Rate</t>
  </si>
  <si>
    <t>Amount</t>
  </si>
  <si>
    <t>Total</t>
  </si>
  <si>
    <t>Government of Nepal</t>
  </si>
  <si>
    <t>Shankharapur Municipality Office</t>
  </si>
  <si>
    <t>Sankhu, Kathmandu</t>
  </si>
  <si>
    <t>Description</t>
  </si>
  <si>
    <t>Work Completion Report</t>
  </si>
  <si>
    <t>Estimated</t>
  </si>
  <si>
    <t>Valuated</t>
  </si>
  <si>
    <t>Difference</t>
  </si>
  <si>
    <t xml:space="preserve">Quantity </t>
  </si>
  <si>
    <t xml:space="preserve">Description of works </t>
  </si>
  <si>
    <t>m3</t>
  </si>
  <si>
    <t>Project Site:pataap, Shankharapur-2</t>
  </si>
  <si>
    <t>Province No.3</t>
  </si>
  <si>
    <t>Rs</t>
  </si>
  <si>
    <t>VAT</t>
  </si>
  <si>
    <t>Fiscal Year:075/076</t>
  </si>
  <si>
    <t>Project: Chauki bhanjyang dharapani gravel</t>
  </si>
  <si>
    <t>Location: Shankharapur 2</t>
  </si>
  <si>
    <t>local gravel without compaction</t>
  </si>
  <si>
    <t>CH 0+00 to CH 0+15</t>
  </si>
  <si>
    <t>CH 0+15 to CH 0+40</t>
  </si>
  <si>
    <t>Project :- Chauki bhanjyang dharapani gravel</t>
  </si>
  <si>
    <t>Work Started :</t>
  </si>
  <si>
    <t xml:space="preserve">Work Finished:                 </t>
  </si>
  <si>
    <t>F.Y:075/76</t>
  </si>
  <si>
    <t>Date:2075/6/23</t>
  </si>
  <si>
    <t>Detail Valuated Sheet</t>
  </si>
  <si>
    <t>Total Estimated Amount:Rs.47,602.78/-</t>
  </si>
  <si>
    <t>Total Valuated Amount :Rs.47,602.78/-</t>
  </si>
  <si>
    <t>Total Estimated</t>
  </si>
  <si>
    <t>Budget allocated</t>
  </si>
  <si>
    <t>User Contribution</t>
  </si>
  <si>
    <t>Detail Estimated Sheet</t>
  </si>
  <si>
    <t>Fiscal Year:076/77</t>
  </si>
  <si>
    <t>Contribution 3%</t>
  </si>
  <si>
    <t>Date:2076/9/19</t>
  </si>
  <si>
    <t>Project: magartole sadak</t>
  </si>
  <si>
    <t>Cft</t>
  </si>
  <si>
    <t>Date:2076/3/16</t>
  </si>
  <si>
    <t>Earthworks in excavation for all types of soil</t>
  </si>
  <si>
    <t>Sft</t>
  </si>
  <si>
    <t>Project: Health building</t>
  </si>
  <si>
    <t>-Footing</t>
  </si>
  <si>
    <t>F3 (Grid A1, A2, A3, D1, D2, D3)</t>
  </si>
  <si>
    <t>F3 (GriC B1, B2, B3, C1, C2, C3)</t>
  </si>
  <si>
    <t>Cum</t>
  </si>
  <si>
    <t>-Foundation beam</t>
  </si>
  <si>
    <t>Sqm</t>
  </si>
  <si>
    <t>PCC (1:2:4)</t>
  </si>
  <si>
    <t>lrDgL e§fsf] O{+6fsf] uf/f] l;d]G6 d;nf -!M^_ df</t>
  </si>
  <si>
    <t>Grid (B-C,1-1), (B-C,2-2), (B-C,3-3)</t>
  </si>
  <si>
    <t>Upto Plinth Level</t>
  </si>
  <si>
    <t>-Above Foundation beam</t>
  </si>
  <si>
    <t xml:space="preserve"> Grid (A-B,1-1), (A-B,2-2), (A-B,3-3), (C-D,1-1), (C-D,2-2), (C-D,3-3)</t>
  </si>
  <si>
    <t xml:space="preserve"> Grid (A-A,1-3), (B-B,1-3), (C-C,1-3), (D-D, 1-3)</t>
  </si>
  <si>
    <t>In X-direction</t>
  </si>
  <si>
    <t>In Y-direction</t>
  </si>
  <si>
    <t>Grid A1, A2, A3, B1, B2, B3, C1, C2, C3, D1, D2, D3</t>
  </si>
  <si>
    <t>Stone soling in foundation</t>
  </si>
  <si>
    <t>Rectangular part</t>
  </si>
  <si>
    <t>Trapezoidal part</t>
  </si>
  <si>
    <t>Deduction for intersecting part of beam and column</t>
  </si>
  <si>
    <t>Ground Floor</t>
  </si>
  <si>
    <t>Pedestal/neck Column</t>
  </si>
  <si>
    <t>Column</t>
  </si>
  <si>
    <t>Grid (A1, A2, A3, B1, B2, B3, C1, C2, C3, D1, D2, D3)</t>
  </si>
  <si>
    <t>Beam</t>
  </si>
  <si>
    <t>Beam (At plinth level)</t>
  </si>
  <si>
    <t>Staircase</t>
  </si>
  <si>
    <t>-Steps</t>
  </si>
  <si>
    <t>-At PL Landing</t>
  </si>
  <si>
    <t>-At 1st Landing</t>
  </si>
  <si>
    <t>-Waist slab</t>
  </si>
  <si>
    <t>First Floor</t>
  </si>
  <si>
    <t>Slab</t>
  </si>
  <si>
    <t>Cantilever slab</t>
  </si>
  <si>
    <t>-Deduction for staircase area</t>
  </si>
  <si>
    <t>-At Landing</t>
  </si>
  <si>
    <t>Second Floor</t>
  </si>
  <si>
    <t>Top Floor</t>
  </si>
  <si>
    <t>Grid (A1, A2, A3)</t>
  </si>
  <si>
    <t>Grid (B1, B2, B3, C1, C2, C3, D1, D2, D3)</t>
  </si>
  <si>
    <t xml:space="preserve"> Grid (B-B,1-3), (C-C,1-3), (D-D, 1-3)</t>
  </si>
  <si>
    <t xml:space="preserve"> Grid (C-D,1-1), (C-D,2-2), (C-D,3-3)</t>
  </si>
  <si>
    <t>-Steps Riser</t>
  </si>
  <si>
    <t>-Steps (side edge)</t>
  </si>
  <si>
    <t xml:space="preserve"> Grid (A-B,2-2), (C-D,2-2)</t>
  </si>
  <si>
    <t>Grid (B-C,2-2)</t>
  </si>
  <si>
    <t>Grid (B-C,1-1), (B-C,3-3)</t>
  </si>
  <si>
    <t xml:space="preserve"> Grid (A-B,1-1), (A-B,3-3), (C-D,1-1), (C-D,3-3)</t>
  </si>
  <si>
    <t xml:space="preserve"> Grid (A-A,1-3), (D-D, 1-3)</t>
  </si>
  <si>
    <t xml:space="preserve"> Grid (B-B,1-3), (C-C,1-3)</t>
  </si>
  <si>
    <t>-Deduction for column-slab intersection</t>
  </si>
  <si>
    <t>slab edge</t>
  </si>
  <si>
    <t>-Deduction for Beam bottom face</t>
  </si>
  <si>
    <t>Slab edge</t>
  </si>
  <si>
    <t xml:space="preserve"> Grid (C-D,1-1), (C-D,3-3)</t>
  </si>
  <si>
    <t xml:space="preserve"> Grid (C-D,2-2)</t>
  </si>
  <si>
    <t xml:space="preserve"> Grid (B-B,1-3)</t>
  </si>
  <si>
    <t xml:space="preserve"> Grid (D-D, 1-3)</t>
  </si>
  <si>
    <t xml:space="preserve"> Grid (C-C, 1-3)</t>
  </si>
  <si>
    <t>S.N.</t>
  </si>
  <si>
    <t>Sketch</t>
  </si>
  <si>
    <t>Bar Dia</t>
  </si>
  <si>
    <t>Length         in m</t>
  </si>
  <si>
    <t>Lot</t>
  </si>
  <si>
    <t>Total Length in M</t>
  </si>
  <si>
    <t>Unit weight per Rm</t>
  </si>
  <si>
    <t>Total weight in kg</t>
  </si>
  <si>
    <t>Footing</t>
  </si>
  <si>
    <t>F3 Grid (A1, A2, A3, B1, B2, B3, C1, C2, C3, D1, D2, D3)</t>
  </si>
  <si>
    <t>Foundation beam</t>
  </si>
  <si>
    <t>Bottom Bar</t>
  </si>
  <si>
    <t>Top Bar</t>
  </si>
  <si>
    <t xml:space="preserve">In X-direction </t>
  </si>
  <si>
    <t>Grid (A-D, 1-1), (A-D, 2-2), (A-D, 3-3)</t>
  </si>
  <si>
    <t>Grid (A-A, 1-3), (B-B, 1-3), (C-C, 1-3), (D-D, 1-3)</t>
  </si>
  <si>
    <t>Plinth beam</t>
  </si>
  <si>
    <t>Column bar upto plinth level</t>
  </si>
  <si>
    <t>Stirrups</t>
  </si>
  <si>
    <t>Length         in ft</t>
  </si>
  <si>
    <t>Stirrups all-together</t>
  </si>
  <si>
    <t>Bottom Reinforcement</t>
  </si>
  <si>
    <t>Top Reinforcement</t>
  </si>
  <si>
    <t>Grid B1, B2, B3, C1, C2, C3, D1, D2, D3</t>
  </si>
  <si>
    <t>Parapet part Grid A1, A2, A3</t>
  </si>
  <si>
    <t>Waist Slab Rebar</t>
  </si>
  <si>
    <t>Bottom reinforcement</t>
  </si>
  <si>
    <t>Binders in 1st &amp; 2nd landing</t>
  </si>
  <si>
    <t>Binders in waist slab</t>
  </si>
  <si>
    <t>Total weight=</t>
  </si>
  <si>
    <t>MT</t>
  </si>
  <si>
    <t>Windows</t>
  </si>
  <si>
    <t>Doors</t>
  </si>
  <si>
    <t>W1</t>
  </si>
  <si>
    <t>V</t>
  </si>
  <si>
    <t>W2</t>
  </si>
  <si>
    <t>MD</t>
  </si>
  <si>
    <t>D1</t>
  </si>
  <si>
    <t>D2</t>
  </si>
  <si>
    <t>Windows fitting</t>
  </si>
  <si>
    <t>In X-Direction</t>
  </si>
  <si>
    <t>Grid (A-D, 1-1), (A-D, 3-3)</t>
  </si>
  <si>
    <t>Deduction for Window "W1"</t>
  </si>
  <si>
    <t>Deduction for Door "MD"</t>
  </si>
  <si>
    <t>Deduction for Sill</t>
  </si>
  <si>
    <t>Deduction for Lintel</t>
  </si>
  <si>
    <t>Ground floor</t>
  </si>
  <si>
    <t>First floor</t>
  </si>
  <si>
    <t>In Y-Direction</t>
  </si>
  <si>
    <t>Grid (A-A, 1-3), (D-D, 1-3)</t>
  </si>
  <si>
    <t>Deduction for Window "V"</t>
  </si>
  <si>
    <t>Deduction for Window "W2"</t>
  </si>
  <si>
    <t>Second floor</t>
  </si>
  <si>
    <t>Grid (B-D, 1-1), (B-D, 3-3)</t>
  </si>
  <si>
    <t>Grid (B-B, 1-3), (D-D, 1-3)</t>
  </si>
  <si>
    <t>Deduction for Door "D1"</t>
  </si>
  <si>
    <t>Parapet wall at terrace</t>
  </si>
  <si>
    <t>lrDgL e§fsf] O{+6fsf] uf/f] l;d]G6 d;nf -!M$_ df</t>
  </si>
  <si>
    <t>Grid (A-D, 2-2)</t>
  </si>
  <si>
    <t>Grid (C-D, 2-3)</t>
  </si>
  <si>
    <t>Grid (C-D, 1-2)</t>
  </si>
  <si>
    <t>Grid (B-B, 1-3), (C-C, 2-3)</t>
  </si>
  <si>
    <t>Deduction for Door "D2"</t>
  </si>
  <si>
    <t>Grid (C-D, 1-2), (C-D, 2-3)</t>
  </si>
  <si>
    <t>Grid (B-B, 1-2), (C-C, 2-3)</t>
  </si>
  <si>
    <t>Grid (B-D, 2-2)</t>
  </si>
  <si>
    <t>4" wall</t>
  </si>
  <si>
    <t>9" wall</t>
  </si>
  <si>
    <t>Sill</t>
  </si>
  <si>
    <t>Lintel</t>
  </si>
  <si>
    <t>Sill &amp; Lintel</t>
  </si>
  <si>
    <t>-Clinic room</t>
  </si>
  <si>
    <t>-Delivery room</t>
  </si>
  <si>
    <t>-Waiting room</t>
  </si>
  <si>
    <t>-Passage area</t>
  </si>
  <si>
    <t>North wall</t>
  </si>
  <si>
    <t>Length (m)</t>
  </si>
  <si>
    <t>Height (m)</t>
  </si>
  <si>
    <t>Breadth (m)</t>
  </si>
  <si>
    <t>South wall</t>
  </si>
  <si>
    <t>East wall</t>
  </si>
  <si>
    <t>West wall</t>
  </si>
  <si>
    <t>Grid (A1A2B2B1A1)</t>
  </si>
  <si>
    <t>Grid (C2C3D3D2C2)</t>
  </si>
  <si>
    <t>-Toilet area</t>
  </si>
  <si>
    <t>Deduction for Ventilation "V"</t>
  </si>
  <si>
    <t>-External portion toilet</t>
  </si>
  <si>
    <t>Deduction for Main Door "MD"</t>
  </si>
  <si>
    <t>Grid (C1C2D2D1C1)</t>
  </si>
  <si>
    <t>-Staircase and toilet area</t>
  </si>
  <si>
    <t>South wall (toilet portion)</t>
  </si>
  <si>
    <t>West wall (toilet portion)</t>
  </si>
  <si>
    <t>South wall (Grid (C1-D1))</t>
  </si>
  <si>
    <t xml:space="preserve">Deduction for staircase Steps </t>
  </si>
  <si>
    <t>Deduction for staircase waist slab thickness</t>
  </si>
  <si>
    <t>Deduction for staircase landing thickness</t>
  </si>
  <si>
    <t>Grid (A2A3C3C2A2)</t>
  </si>
  <si>
    <t>North &amp; south wall</t>
  </si>
  <si>
    <t>Grid (B2B3D3D2B2)</t>
  </si>
  <si>
    <t>North Wall</t>
  </si>
  <si>
    <t>South Wall</t>
  </si>
  <si>
    <t>West Wall</t>
  </si>
  <si>
    <t>Grid (B1B2D2D1B1)</t>
  </si>
  <si>
    <t>South wall (Grid (B1-D1))</t>
  </si>
  <si>
    <t>West wall (Grid (B1-B2))</t>
  </si>
  <si>
    <t>Grid (B1B2C2C1B1)</t>
  </si>
  <si>
    <t>-Parapet wall</t>
  </si>
  <si>
    <t>Roof Floor</t>
  </si>
  <si>
    <t>Sqm.</t>
  </si>
  <si>
    <t>North wall (toilet portion)</t>
  </si>
  <si>
    <t>-A1, A3, D1, D3</t>
  </si>
  <si>
    <t>-A2</t>
  </si>
  <si>
    <t>-B1, B3</t>
  </si>
  <si>
    <t>-B2</t>
  </si>
  <si>
    <t>-C1</t>
  </si>
  <si>
    <t>-C1, C3</t>
  </si>
  <si>
    <t>-C2</t>
  </si>
  <si>
    <t>-D2</t>
  </si>
  <si>
    <t>Along Grid 1-1</t>
  </si>
  <si>
    <t>Along Grid 3-3</t>
  </si>
  <si>
    <t>Along Grid 2-2</t>
  </si>
  <si>
    <t>Along Grid (B-C, 2-2)</t>
  </si>
  <si>
    <t>Along Grid B-B</t>
  </si>
  <si>
    <t>Along Grid D-D</t>
  </si>
  <si>
    <t>Along Grid A-A</t>
  </si>
  <si>
    <t>Along Grid C-C</t>
  </si>
  <si>
    <t>Along Grid C-C, 2-3</t>
  </si>
  <si>
    <t>Along Grid C-C, 1-2</t>
  </si>
  <si>
    <t>-B3</t>
  </si>
  <si>
    <t>-B1</t>
  </si>
  <si>
    <t>-C3</t>
  </si>
  <si>
    <t>Along Grid (B-B, 2-3)</t>
  </si>
  <si>
    <t>Along Grid (B-B, 1-2)</t>
  </si>
  <si>
    <t>Along Grid (C-C, 2-3)</t>
  </si>
  <si>
    <t>Along Grid (C-C, 1-2)</t>
  </si>
  <si>
    <t>-A1, A2, A3</t>
  </si>
  <si>
    <t>-D1, D3</t>
  </si>
  <si>
    <t>Along Grid B-D, 1-1</t>
  </si>
  <si>
    <t>Along Grid B-D, 2-2</t>
  </si>
  <si>
    <t>-B1, B2, B3, C3, C1, D1, D2, D3</t>
  </si>
  <si>
    <t>-Internal portion toilet</t>
  </si>
  <si>
    <t>-Staircase landing area</t>
  </si>
  <si>
    <t>-Remaining portion</t>
  </si>
  <si>
    <t>-Staircase waist slab</t>
  </si>
  <si>
    <t>-Steps edge</t>
  </si>
  <si>
    <t>Rft</t>
  </si>
  <si>
    <t>Rm</t>
  </si>
  <si>
    <t>Cantilever portion</t>
  </si>
  <si>
    <t>Slab portion</t>
  </si>
  <si>
    <t>South wall (external toilet portion)</t>
  </si>
  <si>
    <t>South wall (outside)</t>
  </si>
  <si>
    <t>South wall (inside)</t>
  </si>
  <si>
    <t>South wall (toilet portion outside)</t>
  </si>
  <si>
    <t>West wall (toilet portion outside)</t>
  </si>
  <si>
    <t>South Wall (inside)</t>
  </si>
  <si>
    <t>South Wall (outside)</t>
  </si>
  <si>
    <t>Along Grid B-D, 3-3</t>
  </si>
  <si>
    <t>Panipatti</t>
  </si>
  <si>
    <t>Door D1</t>
  </si>
  <si>
    <t>Door D2</t>
  </si>
  <si>
    <t>Window W1</t>
  </si>
  <si>
    <t>Window W2</t>
  </si>
  <si>
    <t>Ventilation V</t>
  </si>
  <si>
    <t>Main Door MD</t>
  </si>
  <si>
    <t>Date:2077/06/08</t>
  </si>
  <si>
    <t>Fiscal Year:077/78</t>
  </si>
  <si>
    <t>Project: Health building Finishing works</t>
  </si>
  <si>
    <t>East &amp; west  wall</t>
  </si>
  <si>
    <t>-C2, C3</t>
  </si>
  <si>
    <t>East &amp; west wall</t>
  </si>
  <si>
    <t>-B2, D2</t>
  </si>
  <si>
    <t>-B1, B3, C1, C3, D1, D3</t>
  </si>
  <si>
    <t>Along Grid B-B, &amp; D-D</t>
  </si>
  <si>
    <t>North &amp; South Wall</t>
  </si>
  <si>
    <t>East &amp; West wall</t>
  </si>
  <si>
    <t>North &amp; South wall</t>
  </si>
  <si>
    <t>-B1, B3, C1, C3, D2</t>
  </si>
  <si>
    <t>-B1, B3, C1, C3</t>
  </si>
  <si>
    <t>-A2, D2</t>
  </si>
  <si>
    <t>-B1, B3, D1, D3</t>
  </si>
  <si>
    <t>-B2, C1, C3, D2</t>
  </si>
  <si>
    <t>Along Grid B-B &amp; D-D</t>
  </si>
  <si>
    <t>Bagmati Province</t>
  </si>
  <si>
    <t>Knfi6/sf] sfd</t>
  </si>
  <si>
    <t>!@=% dL=dL= l;d]G6 afn'jf -!M$_ Knfi6/ l;ln+udf</t>
  </si>
  <si>
    <t>12.5mm thick cement sand plaster in (1:4) ratio on ceiling of good finish including racking the joint, wetting of surfaces &amp; curing the work all complete.</t>
  </si>
  <si>
    <t>Grid (A2A3B3B2A2)-Clinic room</t>
  </si>
  <si>
    <t>Grid (A1A2B2B1A1)-Delivery room</t>
  </si>
  <si>
    <t>Grid (B1B3C3C1B1)-Passage area</t>
  </si>
  <si>
    <t>Grid (C2C3D3D2C2)-Waiting room/Reception area</t>
  </si>
  <si>
    <t>Grid (C1C2D2D1C1)-Staircase and toilet area</t>
  </si>
  <si>
    <t>Grid (A2A3C3C2A2)-Room</t>
  </si>
  <si>
    <t>Grid (A1A2B2B1A1)-Room</t>
  </si>
  <si>
    <t>Grid (B1B2C2C1B1)-Passage area</t>
  </si>
  <si>
    <t>Grid (C2C3D3D2C2)-Room</t>
  </si>
  <si>
    <t>Grid (B1B2D2D1B1)-Staircase and toilet area</t>
  </si>
  <si>
    <t>!@=% dL=dL= l;d]G6 afn'jf -!M$_ Knfi6/</t>
  </si>
  <si>
    <t>12.5mm thick cement sand plaster in (1:4) ratio on wall of good finish including racking the joint, wetting of surfaces &amp; curing the work all complete.</t>
  </si>
  <si>
    <t>Total=</t>
  </si>
  <si>
    <t>२) dL=dL= l;d]G6 afn'jf -!M$_ Knfi6/</t>
  </si>
  <si>
    <t>20mm thick cement sand plaster in (1:4) ratio on floor of good finish including racking the joint, wetting of surfaces &amp; curing the work all complete.</t>
  </si>
  <si>
    <t>Knfi6/ dfly @) dL=dL= afSnf] emNn/ jf kfgL k§L agfpg] sfd</t>
  </si>
  <si>
    <t xml:space="preserve">Colouring with two coat distemper paint with one coat primer to give uniform colouring after rendering the surface all complete. </t>
  </si>
  <si>
    <t xml:space="preserve">Colouring with one coat distemper paint with one coat primer to give uniform colouring after rendering the surface all complete. </t>
  </si>
  <si>
    <t>-Ceiling surface</t>
  </si>
  <si>
    <t>Colouring with 1 coats waterproof cement paint of approved colour to give uniform colouring after rendering the surface all complete.</t>
  </si>
  <si>
    <t>2 coats of apex paint(weather coat) of approved colour without primer Painting over porperly cleaned surface all complete</t>
  </si>
  <si>
    <t>-Quantity of as item 2.3</t>
  </si>
  <si>
    <t>2 coats of ready made enamel paint of approved colour over 1 coats of primer Painting over porperly sanded wooden surface all complete</t>
  </si>
  <si>
    <r>
      <t>Painting Works (</t>
    </r>
    <r>
      <rPr>
        <b/>
        <sz val="11"/>
        <color theme="1"/>
        <rFont val="Preeti"/>
      </rPr>
      <t>/+u /f]ugsf] sfd</t>
    </r>
    <r>
      <rPr>
        <b/>
        <sz val="11"/>
        <color theme="1"/>
        <rFont val="Calibri"/>
        <family val="2"/>
        <scheme val="minor"/>
      </rPr>
      <t>)</t>
    </r>
  </si>
  <si>
    <t>-Wooden Framework</t>
  </si>
  <si>
    <t>-Wooden Panel board</t>
  </si>
  <si>
    <t>Sub-Total=</t>
  </si>
  <si>
    <t>Parapet wall</t>
  </si>
  <si>
    <t>-Deduction for undone previous quantity</t>
  </si>
  <si>
    <t xml:space="preserve">Good quality local chimney made  Brickwork in 1:4 C/S mortar in superstructure in perfect line level finish including wetting the bricks, racking the joints and curing the work for at least 7 days all complete. </t>
  </si>
  <si>
    <t>e'O{+tNnfeGbf dfly O{+++6fsf] uf/f] nufpg] sfd l;d]G6 d;nf -!M$_ df</t>
  </si>
  <si>
    <t>d]lzgsf] k|of]u u/L ;'k/ :6«Sr/df l;d]G6 s+lqm6 ug]{ sfd -!M!=%M#_</t>
  </si>
  <si>
    <t>Column at parapet level</t>
  </si>
  <si>
    <t>!( dL=dL= KnfO{sf] sf]nddf kmdf{ nufpg] sfd</t>
  </si>
  <si>
    <t>Plain cement Concrete (PCC) for RCC works (1:1.5:3) for super structure with approved quality of cement and sand and crushed stone aggregate including mixing, laying, curing etc all complete in approval of site engineer.</t>
  </si>
  <si>
    <t>Formwork, shuttering, centering with 19mm thick waterproof ply for column, necessary propping, scaffolding, staging, supporting inclusive of wedging and cutting holes for utilization till the support if fully unyielding nett.</t>
  </si>
  <si>
    <t>Grand total</t>
  </si>
  <si>
    <t>13% VAT</t>
  </si>
  <si>
    <t>Amount (Rs.)</t>
  </si>
  <si>
    <r>
      <t>Flooring works (</t>
    </r>
    <r>
      <rPr>
        <b/>
        <sz val="11"/>
        <color theme="1"/>
        <rFont val="Preeti"/>
      </rPr>
      <t>ˆnf]l/Ësf] sfd</t>
    </r>
    <r>
      <rPr>
        <b/>
        <sz val="11"/>
        <color theme="1"/>
        <rFont val="Calibri"/>
        <family val="2"/>
        <scheme val="minor"/>
      </rPr>
      <t>)</t>
    </r>
  </si>
  <si>
    <t>50mm thick (1:2:4) P.C.C. for flooring with approved quality of O.P. cement &amp; sand and crushed stone aggregate including mixing, laying, punning, rubbing in hard surface curing etc all complete.</t>
  </si>
  <si>
    <t>3 mm thick cement sand punning on floor, skriting, dado etc, including mixing laying and rubbing with steel trowel to a hard, smooth and shining surface and curing all complete.</t>
  </si>
  <si>
    <t>-Quantity same as item 6.1</t>
  </si>
  <si>
    <t>Contingencies 3%</t>
  </si>
  <si>
    <t>Grid (C1C2D2D1C1)-Staircase area</t>
  </si>
  <si>
    <t xml:space="preserve">Supplying and laying of glazed or non glazed tiles in cement sand mortar (1:4) ratio with approved colour on wall and floor  all complete. </t>
  </si>
  <si>
    <t>-At Walls (inner toilet)</t>
  </si>
  <si>
    <t>-At Walls (outer toilet)</t>
  </si>
  <si>
    <r>
      <t>kf]/l;lng Un]H8</t>
    </r>
    <r>
      <rPr>
        <b/>
        <sz val="12"/>
        <rFont val="Arial"/>
        <family val="2"/>
      </rPr>
      <t>/</t>
    </r>
    <r>
      <rPr>
        <b/>
        <sz val="12"/>
        <rFont val="Preeti"/>
      </rPr>
      <t>ggn]H8 6fO{n !M$ l;d]G6 afn'jfdf 5fKg] sfd .</t>
    </r>
  </si>
  <si>
    <t>-At Wall (toilet near staircase)</t>
  </si>
  <si>
    <t>-At floor</t>
  </si>
  <si>
    <t>Earthworks</t>
  </si>
  <si>
    <t>cum</t>
  </si>
  <si>
    <t>Soiling</t>
  </si>
  <si>
    <t>VAT 13%</t>
  </si>
  <si>
    <t>Rs.</t>
  </si>
  <si>
    <t>Deduction</t>
  </si>
  <si>
    <t>Shankharapur Municipality</t>
  </si>
  <si>
    <t>Office of Municipal Executive</t>
  </si>
  <si>
    <t>Bagmati Pradesh</t>
  </si>
  <si>
    <t>sub total</t>
  </si>
  <si>
    <t>Municipal Budget</t>
  </si>
  <si>
    <t>Maintenance 2%</t>
  </si>
  <si>
    <t>TOTAL</t>
  </si>
  <si>
    <t>apug</t>
  </si>
  <si>
    <t>badhi</t>
  </si>
  <si>
    <t>ls</t>
  </si>
  <si>
    <t>Location: Shankharapur 7</t>
  </si>
  <si>
    <t>cu.m</t>
  </si>
  <si>
    <t>Sub Total</t>
  </si>
  <si>
    <t>Dachhi appa brick</t>
  </si>
  <si>
    <t>Teliya brick</t>
  </si>
  <si>
    <t>Earthwork Excavation in all types of Soil by Manual Means .,  Excavation in all types of soil as per drawing and technical specification, including removal of stumps and other deleterious matter, with all lifts and lead as per Drawing and instruction of the Engineer.</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</si>
  <si>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</si>
  <si>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sq.m.</t>
  </si>
  <si>
    <t>Flagstone</t>
  </si>
  <si>
    <t>m2</t>
  </si>
  <si>
    <t>PCC (1:2:4) all work with formwork all complete as specified and directed by engineer and necessary curing all complete</t>
  </si>
  <si>
    <t>Niche Dyo(God Statue in Niche )(10"-12")</t>
  </si>
  <si>
    <t xml:space="preserve">Stone Gajur </t>
  </si>
  <si>
    <t>ps</t>
  </si>
  <si>
    <t>Good quality local chimney made Brickwork in 1:4 C/S mortar in superstructure in perfect line level finish including supply of materials,wetting the bricks,racking the joints and curing the work for at least 7 days all  complete as per approved drawing ,specification and instruction of engineers all complete</t>
  </si>
  <si>
    <t>Project:Sahitole dhalanko dhungedhara marmat</t>
  </si>
  <si>
    <t>Fiscal Year:081/82</t>
  </si>
  <si>
    <t>Dismantaling work of wall in cement mortar  or bajra and haulage of debris upto 10m  as per standard specification and instruction of engineer all complete</t>
  </si>
  <si>
    <t>arms</t>
  </si>
  <si>
    <t xml:space="preserve">wall on back side </t>
  </si>
  <si>
    <t xml:space="preserve">wall on front side </t>
  </si>
  <si>
    <t xml:space="preserve">Brick Flat soling over compacted earth   as per standard specification and instruction of engineer all complete </t>
  </si>
  <si>
    <t xml:space="preserve">VAT </t>
  </si>
  <si>
    <t>arms first layer</t>
  </si>
  <si>
    <t>arms second layer</t>
  </si>
  <si>
    <t>arms third layer</t>
  </si>
  <si>
    <t>wall on back side top section</t>
  </si>
  <si>
    <t>wall on back side bottom section</t>
  </si>
  <si>
    <t>25mm thick flagstone laying in c/s 1:4 in perfect line and level as directed by engineer all complete</t>
  </si>
  <si>
    <t xml:space="preserve">Information Board </t>
  </si>
  <si>
    <t xml:space="preserve">9'+ufsf] -/a'n_ uf/f]sf] sfd ;fx|f] Ans:6f]g pknAw ug]{, ;'Vvf uf/f] nufpg] </t>
  </si>
  <si>
    <t>C6</t>
  </si>
  <si>
    <t xml:space="preserve">sfd k'/f #) dL6/;Dd 9'jfgL ;lxt </t>
  </si>
  <si>
    <t>b/ ljZn]if0fsf] nflu ! 3=ld= lnOPsf]</t>
  </si>
  <si>
    <t>;|f]t ;fwg</t>
  </si>
  <si>
    <t>tx÷lsl;d</t>
  </si>
  <si>
    <t>kl/df0f</t>
  </si>
  <si>
    <t>PsfO{</t>
  </si>
  <si>
    <t>b/ k|lt PsfO{</t>
  </si>
  <si>
    <t>/sd</t>
  </si>
  <si>
    <t>k|To]s ;|f]t ;fwgsf] hDdf</t>
  </si>
  <si>
    <t>&gt;lds</t>
  </si>
  <si>
    <t>s_ l;kfn'</t>
  </si>
  <si>
    <t>hjfg</t>
  </si>
  <si>
    <t>v_ HofdL</t>
  </si>
  <si>
    <t>lgdf{0f ;fdu|L</t>
  </si>
  <si>
    <t>Ans :6f]g</t>
  </si>
  <si>
    <t>3=dL=</t>
  </si>
  <si>
    <t>jG8 :6f]g</t>
  </si>
  <si>
    <t>jf:tljs b//]6</t>
  </si>
  <si>
    <t>b/ k|lt 3=dL=sf]</t>
  </si>
  <si>
    <t>!%Ü 7]s]bf/ cf]e/x]8</t>
  </si>
  <si>
    <t>?=</t>
  </si>
  <si>
    <t>k}=</t>
  </si>
  <si>
    <t>hDdf b/ /]6</t>
  </si>
  <si>
    <t>Dry stone masonry work as per standard specification and instruction of engineer all complete</t>
  </si>
  <si>
    <t>second layer</t>
  </si>
  <si>
    <t>third layer</t>
  </si>
  <si>
    <t>dhungedhara</t>
  </si>
  <si>
    <t>Miscelleneous work and unseen items and removal of stones all as per instruction all complete</t>
  </si>
  <si>
    <t>Providing and Laying Traditional Brick (Small Dachi Appa) work in (1:4)cement  sand mortar all complete</t>
  </si>
  <si>
    <t>Providing &amp; laying traditional Telia brick tile in machine made 6"X6" flooring in lime,surkhi sand (1:1:1) mortar with (1:1) lime surkhi pointing in perfect line &amp; level including wetting the bricks, packing the joints &amp; curing the work complete in all thickness of walls as per drawings &amp; specification.</t>
  </si>
  <si>
    <t>Earthwork filling in all types of Soil by Manual Means .,  filling in all types of soil as per drawing and technical specification with all lifts and lead as per Drawing and instruction of the Engineer.</t>
  </si>
  <si>
    <t>sqm</t>
  </si>
  <si>
    <t>(labor cost only)first layer</t>
  </si>
  <si>
    <t>Date:2081/08/26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</si>
</sst>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20"/>
      <color theme="1"/>
      <name val="Times New Roman"/>
      <family val="1"/>
    </font>
    <font>
      <b/>
      <sz val="14"/>
      <color theme="1"/>
      <name val="Calibri"/>
      <family val="2"/>
      <scheme val="minor"/>
    </font>
    <font>
      <sz val="14"/>
      <color theme="1"/>
      <name val="Calibri"/>
      <family val="2"/>
      <scheme val="minor"/>
    </font>
    <font>
      <sz val="12"/>
      <color theme="1"/>
      <name val="Calibri"/>
      <family val="2"/>
      <scheme val="minor"/>
    </font>
    <font>
      <b/>
      <sz val="18"/>
      <color theme="1"/>
      <name val="Times New Roman"/>
      <family val="1"/>
    </font>
    <font>
      <b/>
      <sz val="14"/>
      <color theme="1"/>
      <name val="Times New Roman"/>
      <family val="1"/>
    </font>
    <font>
      <sz val="11"/>
      <name val="Calibri"/>
      <family val="2"/>
      <scheme val="minor"/>
    </font>
    <font>
      <b/>
      <sz val="12"/>
      <name val="Preeti"/>
    </font>
    <font>
      <sz val="11"/>
      <color theme="1"/>
      <name val="Times New Roman"/>
      <family val="1"/>
    </font>
    <font>
      <sz val="11"/>
      <color rgb="FFFF0000"/>
      <name val="Calibri"/>
      <family val="2"/>
      <scheme val="minor"/>
    </font>
    <font>
      <b/>
      <sz val="11"/>
      <color rgb="FFFF0000"/>
      <name val="Calibri"/>
      <family val="2"/>
      <scheme val="minor"/>
    </font>
    <font>
      <sz val="10"/>
      <name val="Arial"/>
      <family val="2"/>
    </font>
    <font>
      <b/>
      <sz val="11"/>
      <name val="Times New Roman"/>
      <family val="1"/>
    </font>
    <font>
      <sz val="11"/>
      <name val="Times New Roman"/>
      <family val="1"/>
    </font>
    <font>
      <b/>
      <sz val="14"/>
      <color theme="1"/>
      <name val="Preeti"/>
    </font>
    <font>
      <sz val="15"/>
      <name val="Preeti"/>
    </font>
    <font>
      <b/>
      <sz val="15"/>
      <name val="Preeti"/>
    </font>
    <font>
      <b/>
      <sz val="10"/>
      <name val="Arial"/>
      <family val="2"/>
    </font>
    <font>
      <b/>
      <sz val="11"/>
      <color theme="1"/>
      <name val="Preeti"/>
    </font>
    <font>
      <b/>
      <sz val="14"/>
      <name val="Preeti"/>
    </font>
    <font>
      <b/>
      <sz val="12"/>
      <name val="Arial"/>
      <family val="2"/>
    </font>
    <font>
      <sz val="10"/>
      <name val="MS Sans Serif"/>
      <family val="2"/>
    </font>
    <font>
      <sz val="10"/>
      <name val="FONTASY_ HIMALI_ TT"/>
      <family val="5"/>
    </font>
    <font>
      <sz val="16"/>
      <name val="Preeti"/>
    </font>
    <font>
      <sz val="12"/>
      <name val="Calibri"/>
      <family val="2"/>
      <scheme val="minor"/>
    </font>
    <font>
      <sz val="12"/>
      <name val="Preeti"/>
    </font>
    <font>
      <sz val="11"/>
      <name val="Preeti"/>
    </font>
    <font>
      <sz val="13"/>
      <name val="Preeti"/>
    </font>
    <font>
      <sz val="10"/>
      <name val="Fontasy Himali"/>
      <family val="5"/>
    </font>
    <font>
      <sz val="11"/>
      <color theme="1"/>
      <name val="Preeti"/>
    </font>
    <font>
      <sz val="1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15" fillId="0" borderId="0"/>
    <xf numFmtId="0" fontId="15" fillId="0" borderId="0"/>
    <xf numFmtId="43" fontId="1" fillId="0" borderId="0" applyFont="0" applyFill="0" applyBorder="0" applyAlignment="0" applyProtection="0"/>
    <xf numFmtId="0" fontId="25" fillId="0" borderId="0"/>
  </cellStyleXfs>
  <cellXfs count="234">
    <xf numFmtId="0" fontId="0" fillId="0" borderId="0" xfId="0"/>
    <xf numFmtId="0" fontId="0" fillId="0" borderId="1" xfId="0" applyBorder="1"/>
    <xf numFmtId="0" fontId="0" fillId="0" borderId="1" xfId="0" applyBorder="1" applyAlignment="1">
      <alignment vertical="center"/>
    </xf>
    <xf numFmtId="0" fontId="2" fillId="0" borderId="1" xfId="0" applyFont="1" applyBorder="1"/>
    <xf numFmtId="0" fontId="0" fillId="0" borderId="1" xfId="0" applyBorder="1" applyAlignment="1">
      <alignment vertical="center" wrapText="1"/>
    </xf>
    <xf numFmtId="43" fontId="2" fillId="0" borderId="1" xfId="1" applyFont="1" applyBorder="1"/>
    <xf numFmtId="43" fontId="0" fillId="0" borderId="0" xfId="1" applyFont="1"/>
    <xf numFmtId="0" fontId="2" fillId="0" borderId="1" xfId="0" applyFont="1" applyBorder="1" applyAlignment="1">
      <alignment vertical="center"/>
    </xf>
    <xf numFmtId="0" fontId="6" fillId="0" borderId="0" xfId="0" applyFont="1" applyAlignment="1">
      <alignment horizontal="center"/>
    </xf>
    <xf numFmtId="0" fontId="7" fillId="0" borderId="0" xfId="0" applyFont="1"/>
    <xf numFmtId="0" fontId="0" fillId="0" borderId="0" xfId="0" applyAlignment="1">
      <alignment horizontal="left"/>
    </xf>
    <xf numFmtId="0" fontId="0" fillId="2" borderId="1" xfId="0" applyFill="1" applyBorder="1"/>
    <xf numFmtId="0" fontId="0" fillId="0" borderId="1" xfId="0" applyBorder="1" applyAlignment="1">
      <alignment horizontal="center" vertical="center"/>
    </xf>
    <xf numFmtId="0" fontId="0" fillId="0" borderId="1" xfId="0" applyBorder="1" applyAlignment="1">
      <alignment wrapText="1"/>
    </xf>
    <xf numFmtId="43" fontId="0" fillId="0" borderId="1" xfId="0" applyNumberFormat="1" applyBorder="1"/>
    <xf numFmtId="43" fontId="0" fillId="0" borderId="1" xfId="0" applyNumberFormat="1" applyBorder="1" applyAlignment="1">
      <alignment vertical="center"/>
    </xf>
    <xf numFmtId="0" fontId="2" fillId="0" borderId="1" xfId="0" applyFont="1" applyBorder="1" applyAlignment="1">
      <alignment horizontal="right"/>
    </xf>
    <xf numFmtId="43" fontId="2" fillId="0" borderId="1" xfId="0" applyNumberFormat="1" applyFont="1" applyBorder="1"/>
    <xf numFmtId="43" fontId="0" fillId="0" borderId="0" xfId="1" applyFont="1" applyAlignment="1">
      <alignment horizontal="right"/>
    </xf>
    <xf numFmtId="0" fontId="0" fillId="0" borderId="0" xfId="0" applyAlignment="1">
      <alignment horizontal="center"/>
    </xf>
    <xf numFmtId="0" fontId="0" fillId="0" borderId="0" xfId="0" applyAlignment="1">
      <alignment vertical="center"/>
    </xf>
    <xf numFmtId="43" fontId="0" fillId="0" borderId="0" xfId="1" applyFont="1" applyAlignment="1">
      <alignment vertical="center"/>
    </xf>
    <xf numFmtId="14" fontId="0" fillId="0" borderId="0" xfId="0" applyNumberFormat="1" applyAlignment="1">
      <alignment horizontal="right"/>
    </xf>
    <xf numFmtId="0" fontId="3" fillId="0" borderId="1" xfId="0" applyFont="1" applyBorder="1" applyAlignment="1">
      <alignment horizontal="center"/>
    </xf>
    <xf numFmtId="43" fontId="3" fillId="0" borderId="1" xfId="1" applyFont="1" applyBorder="1" applyAlignment="1">
      <alignment horizontal="center"/>
    </xf>
    <xf numFmtId="43" fontId="1" fillId="0" borderId="1" xfId="1" applyFont="1" applyBorder="1" applyAlignment="1">
      <alignment vertical="center"/>
    </xf>
    <xf numFmtId="0" fontId="2" fillId="0" borderId="1" xfId="0" applyFont="1" applyBorder="1" applyAlignment="1">
      <alignment vertical="center" wrapText="1"/>
    </xf>
    <xf numFmtId="43" fontId="2" fillId="0" borderId="1" xfId="1" applyFont="1" applyBorder="1" applyAlignment="1">
      <alignment vertical="center"/>
    </xf>
    <xf numFmtId="0" fontId="2" fillId="0" borderId="0" xfId="0" applyFont="1" applyAlignment="1">
      <alignment vertical="center"/>
    </xf>
    <xf numFmtId="43" fontId="1" fillId="0" borderId="0" xfId="1" applyFont="1" applyBorder="1" applyAlignment="1">
      <alignment vertical="center"/>
    </xf>
    <xf numFmtId="43" fontId="0" fillId="0" borderId="0" xfId="1" applyFont="1" applyBorder="1" applyAlignment="1">
      <alignment vertical="center"/>
    </xf>
    <xf numFmtId="43" fontId="2" fillId="0" borderId="0" xfId="1" applyFont="1" applyBorder="1" applyAlignment="1">
      <alignment vertical="center"/>
    </xf>
    <xf numFmtId="2" fontId="0" fillId="0" borderId="0" xfId="0" applyNumberFormat="1" applyAlignment="1">
      <alignment vertical="center"/>
    </xf>
    <xf numFmtId="0" fontId="2" fillId="0" borderId="0" xfId="0" applyFont="1" applyAlignment="1">
      <alignment horizontal="right" vertical="center"/>
    </xf>
    <xf numFmtId="0" fontId="2" fillId="0" borderId="1" xfId="0" applyFont="1" applyBorder="1" applyAlignment="1">
      <alignment horizontal="left" vertical="center" wrapText="1"/>
    </xf>
    <xf numFmtId="0" fontId="2" fillId="0" borderId="1" xfId="0" applyFont="1" applyBorder="1" applyAlignment="1">
      <alignment horizontal="right" vertical="center"/>
    </xf>
    <xf numFmtId="0" fontId="0" fillId="0" borderId="1" xfId="0" applyBorder="1" applyAlignment="1">
      <alignment horizontal="left" vertical="center" wrapText="1"/>
    </xf>
    <xf numFmtId="0" fontId="0" fillId="0" borderId="1" xfId="0" applyBorder="1" applyAlignment="1">
      <alignment horizontal="right" vertical="center"/>
    </xf>
    <xf numFmtId="0" fontId="0" fillId="0" borderId="1" xfId="0" quotePrefix="1" applyBorder="1" applyAlignment="1">
      <alignment vertical="center" wrapText="1"/>
    </xf>
    <xf numFmtId="0" fontId="11" fillId="0" borderId="1" xfId="0" applyFont="1" applyBorder="1" applyAlignment="1">
      <alignment wrapText="1"/>
    </xf>
    <xf numFmtId="43" fontId="0" fillId="0" borderId="1" xfId="1" applyFont="1" applyBorder="1" applyAlignment="1">
      <alignment vertical="center"/>
    </xf>
    <xf numFmtId="0" fontId="2" fillId="0" borderId="1" xfId="0" quotePrefix="1" applyFont="1" applyBorder="1" applyAlignment="1">
      <alignment vertical="center" wrapText="1"/>
    </xf>
    <xf numFmtId="2" fontId="0" fillId="0" borderId="0" xfId="0" applyNumberFormat="1"/>
    <xf numFmtId="2" fontId="3" fillId="0" borderId="1" xfId="0" applyNumberFormat="1" applyFont="1" applyBorder="1" applyAlignment="1">
      <alignment horizontal="center"/>
    </xf>
    <xf numFmtId="2" fontId="2" fillId="0" borderId="1" xfId="0" applyNumberFormat="1" applyFont="1" applyBorder="1" applyAlignment="1">
      <alignment vertical="center"/>
    </xf>
    <xf numFmtId="2" fontId="0" fillId="0" borderId="1" xfId="1" applyNumberFormat="1" applyFont="1" applyBorder="1" applyAlignment="1">
      <alignment vertical="center"/>
    </xf>
    <xf numFmtId="2" fontId="1" fillId="0" borderId="0" xfId="1" applyNumberFormat="1" applyFont="1" applyBorder="1" applyAlignment="1">
      <alignment vertical="center"/>
    </xf>
    <xf numFmtId="0" fontId="12" fillId="0" borderId="1" xfId="0" applyFont="1" applyBorder="1" applyAlignment="1">
      <alignment horizontal="center"/>
    </xf>
    <xf numFmtId="2" fontId="12" fillId="0" borderId="1" xfId="0" applyNumberFormat="1" applyFont="1" applyBorder="1" applyAlignment="1">
      <alignment horizontal="center"/>
    </xf>
    <xf numFmtId="43" fontId="12" fillId="0" borderId="1" xfId="1" applyFont="1" applyBorder="1" applyAlignment="1">
      <alignment horizontal="center"/>
    </xf>
    <xf numFmtId="0" fontId="3" fillId="0" borderId="1" xfId="0" applyFont="1" applyBorder="1" applyAlignment="1">
      <alignment horizontal="left"/>
    </xf>
    <xf numFmtId="0" fontId="14" fillId="0" borderId="1" xfId="0" applyFont="1" applyBorder="1" applyAlignment="1">
      <alignment vertical="center"/>
    </xf>
    <xf numFmtId="0" fontId="13" fillId="0" borderId="1" xfId="0" applyFont="1" applyBorder="1" applyAlignment="1">
      <alignment vertical="center" wrapText="1"/>
    </xf>
    <xf numFmtId="43" fontId="14" fillId="0" borderId="1" xfId="1" applyFont="1" applyBorder="1" applyAlignment="1">
      <alignment vertical="center"/>
    </xf>
    <xf numFmtId="0" fontId="14" fillId="0" borderId="1" xfId="0" applyFont="1" applyBorder="1" applyAlignment="1">
      <alignment vertical="center" wrapText="1"/>
    </xf>
    <xf numFmtId="0" fontId="14" fillId="0" borderId="0" xfId="0" applyFont="1" applyAlignment="1">
      <alignment vertical="center"/>
    </xf>
    <xf numFmtId="2" fontId="0" fillId="0" borderId="1" xfId="0" applyNumberFormat="1" applyBorder="1" applyAlignment="1">
      <alignment vertical="center"/>
    </xf>
    <xf numFmtId="0" fontId="13" fillId="0" borderId="1" xfId="0" applyFont="1" applyBorder="1" applyAlignment="1">
      <alignment vertical="center"/>
    </xf>
    <xf numFmtId="2" fontId="13" fillId="0" borderId="1" xfId="0" applyNumberFormat="1" applyFont="1" applyBorder="1" applyAlignment="1">
      <alignment vertical="center"/>
    </xf>
    <xf numFmtId="0" fontId="10" fillId="0" borderId="1" xfId="0" applyFont="1" applyBorder="1" applyAlignment="1">
      <alignment vertical="center"/>
    </xf>
    <xf numFmtId="2" fontId="10" fillId="0" borderId="1" xfId="0" applyNumberFormat="1" applyFont="1" applyBorder="1" applyAlignment="1">
      <alignment vertical="center"/>
    </xf>
    <xf numFmtId="0" fontId="16" fillId="0" borderId="1" xfId="2" applyFont="1" applyBorder="1" applyAlignment="1">
      <alignment vertical="center" wrapText="1"/>
    </xf>
    <xf numFmtId="0" fontId="16" fillId="0" borderId="1" xfId="2" applyFont="1" applyBorder="1" applyAlignment="1">
      <alignment horizontal="center" vertical="center" wrapText="1"/>
    </xf>
    <xf numFmtId="0" fontId="17" fillId="0" borderId="0" xfId="2" applyFont="1"/>
    <xf numFmtId="0" fontId="0" fillId="0" borderId="0" xfId="0" applyAlignment="1">
      <alignment vertical="center" wrapText="1"/>
    </xf>
    <xf numFmtId="0" fontId="2" fillId="0" borderId="0" xfId="0" applyFont="1"/>
    <xf numFmtId="0" fontId="0" fillId="0" borderId="0" xfId="0" quotePrefix="1" applyAlignment="1">
      <alignment vertical="center" wrapText="1"/>
    </xf>
    <xf numFmtId="43" fontId="2" fillId="0" borderId="1" xfId="1" applyFont="1" applyFill="1" applyBorder="1" applyAlignment="1">
      <alignment vertical="center"/>
    </xf>
    <xf numFmtId="0" fontId="2" fillId="0" borderId="1" xfId="0" applyFont="1" applyBorder="1" applyAlignment="1">
      <alignment horizontal="center" vertical="center" wrapText="1"/>
    </xf>
    <xf numFmtId="2" fontId="2" fillId="0" borderId="1" xfId="1" applyNumberFormat="1" applyFont="1" applyBorder="1" applyAlignment="1">
      <alignment vertical="center"/>
    </xf>
    <xf numFmtId="2" fontId="2" fillId="0" borderId="1" xfId="1" applyNumberFormat="1" applyFont="1" applyFill="1" applyBorder="1" applyAlignment="1">
      <alignment vertical="center"/>
    </xf>
    <xf numFmtId="2" fontId="1" fillId="0" borderId="1" xfId="1" applyNumberFormat="1" applyFont="1" applyBorder="1" applyAlignment="1">
      <alignment vertical="center"/>
    </xf>
    <xf numFmtId="2" fontId="2" fillId="0" borderId="1" xfId="0" applyNumberFormat="1" applyFont="1" applyBorder="1" applyAlignment="1">
      <alignment horizontal="right" vertical="center"/>
    </xf>
    <xf numFmtId="43" fontId="0" fillId="0" borderId="0" xfId="0" applyNumberFormat="1" applyAlignment="1">
      <alignment vertical="center"/>
    </xf>
    <xf numFmtId="0" fontId="18" fillId="0" borderId="1" xfId="0" applyFont="1" applyBorder="1" applyAlignment="1">
      <alignment horizontal="center"/>
    </xf>
    <xf numFmtId="0" fontId="19" fillId="0" borderId="1" xfId="0" applyFont="1" applyBorder="1"/>
    <xf numFmtId="0" fontId="0" fillId="0" borderId="1" xfId="0" applyBorder="1" applyAlignment="1">
      <alignment horizontal="justify" vertical="top" wrapText="1"/>
    </xf>
    <xf numFmtId="2" fontId="0" fillId="0" borderId="1" xfId="0" applyNumberFormat="1" applyBorder="1" applyAlignment="1">
      <alignment horizontal="right" vertical="center"/>
    </xf>
    <xf numFmtId="0" fontId="19" fillId="0" borderId="1" xfId="0" applyFont="1" applyBorder="1" applyAlignment="1">
      <alignment wrapText="1"/>
    </xf>
    <xf numFmtId="0" fontId="20" fillId="0" borderId="1" xfId="0" applyFont="1" applyBorder="1" applyAlignment="1">
      <alignment wrapText="1"/>
    </xf>
    <xf numFmtId="0" fontId="0" fillId="0" borderId="1" xfId="0" applyBorder="1" applyAlignment="1">
      <alignment horizontal="center" vertical="center" wrapText="1"/>
    </xf>
    <xf numFmtId="0" fontId="2" fillId="0" borderId="1" xfId="0" quotePrefix="1" applyFont="1" applyBorder="1" applyAlignment="1">
      <alignment horizontal="left" vertical="center" wrapText="1"/>
    </xf>
    <xf numFmtId="0" fontId="15" fillId="0" borderId="1" xfId="0" applyFont="1" applyBorder="1" applyAlignment="1">
      <alignment horizontal="justify" vertical="top" wrapText="1"/>
    </xf>
    <xf numFmtId="0" fontId="0" fillId="0" borderId="1" xfId="0" quotePrefix="1" applyBorder="1" applyAlignment="1">
      <alignment vertical="center"/>
    </xf>
    <xf numFmtId="0" fontId="21" fillId="0" borderId="1" xfId="0" quotePrefix="1" applyFont="1" applyBorder="1" applyAlignment="1">
      <alignment horizontal="justify" vertical="top" wrapText="1"/>
    </xf>
    <xf numFmtId="0" fontId="23" fillId="0" borderId="1" xfId="0" applyFont="1" applyBorder="1" applyAlignment="1">
      <alignment wrapText="1"/>
    </xf>
    <xf numFmtId="0" fontId="11" fillId="0" borderId="1" xfId="0" applyFont="1" applyBorder="1"/>
    <xf numFmtId="0" fontId="18" fillId="0" borderId="1" xfId="0" applyFont="1" applyBorder="1" applyAlignment="1">
      <alignment horizontal="left"/>
    </xf>
    <xf numFmtId="0" fontId="11" fillId="0" borderId="1" xfId="0" applyFont="1" applyBorder="1" applyAlignment="1">
      <alignment horizontal="left"/>
    </xf>
    <xf numFmtId="0" fontId="0" fillId="0" borderId="1" xfId="0" applyBorder="1" applyAlignment="1">
      <alignment horizontal="left" vertical="top" wrapText="1"/>
    </xf>
    <xf numFmtId="0" fontId="2" fillId="0" borderId="1" xfId="0" applyFont="1" applyBorder="1" applyAlignment="1">
      <alignment horizontal="left" vertical="center"/>
    </xf>
    <xf numFmtId="0" fontId="11" fillId="0" borderId="1" xfId="0" applyFont="1" applyBorder="1" applyAlignment="1">
      <alignment horizontal="left" wrapText="1"/>
    </xf>
    <xf numFmtId="0" fontId="0" fillId="0" borderId="1" xfId="0" applyBorder="1" applyAlignment="1">
      <alignment horizontal="left" vertical="center"/>
    </xf>
    <xf numFmtId="0" fontId="15" fillId="0" borderId="1" xfId="0" applyFont="1" applyBorder="1" applyAlignment="1">
      <alignment horizontal="left" vertical="top" wrapText="1"/>
    </xf>
    <xf numFmtId="0" fontId="15" fillId="0" borderId="1" xfId="0" applyFont="1" applyBorder="1" applyAlignment="1">
      <alignment horizontal="justify" vertical="top"/>
    </xf>
    <xf numFmtId="0" fontId="2" fillId="0" borderId="1" xfId="0" quotePrefix="1" applyFont="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horizontal="left" vertical="center" wrapText="1"/>
    </xf>
    <xf numFmtId="0" fontId="1" fillId="0" borderId="1" xfId="1" applyNumberFormat="1" applyFont="1" applyBorder="1" applyAlignment="1">
      <alignment vertical="center"/>
    </xf>
    <xf numFmtId="0" fontId="2" fillId="0" borderId="1" xfId="1" applyNumberFormat="1" applyFont="1" applyBorder="1" applyAlignment="1">
      <alignment vertical="center"/>
    </xf>
    <xf numFmtId="1" fontId="26" fillId="0" borderId="1" xfId="0" applyNumberFormat="1" applyFont="1" applyBorder="1" applyAlignment="1">
      <alignment horizontal="center"/>
    </xf>
    <xf numFmtId="0" fontId="28" fillId="0" borderId="3" xfId="0" applyFont="1" applyBorder="1" applyAlignment="1">
      <alignment horizontal="center"/>
    </xf>
    <xf numFmtId="0" fontId="29" fillId="0" borderId="0" xfId="0" applyFont="1"/>
    <xf numFmtId="0" fontId="31" fillId="0" borderId="1" xfId="0" applyFont="1" applyBorder="1" applyAlignment="1">
      <alignment horizontal="center" vertical="center" wrapText="1"/>
    </xf>
    <xf numFmtId="0" fontId="31" fillId="0" borderId="2" xfId="0" applyFont="1" applyBorder="1" applyAlignment="1">
      <alignment horizontal="center" vertical="center" wrapText="1"/>
    </xf>
    <xf numFmtId="2" fontId="32" fillId="0" borderId="2" xfId="0" applyNumberFormat="1" applyFont="1" applyBorder="1" applyAlignment="1">
      <alignment horizontal="center"/>
    </xf>
    <xf numFmtId="0" fontId="31" fillId="0" borderId="2" xfId="0" applyFont="1" applyBorder="1" applyAlignment="1">
      <alignment horizontal="center"/>
    </xf>
    <xf numFmtId="0" fontId="31" fillId="0" borderId="3" xfId="0" applyFont="1" applyBorder="1" applyAlignment="1">
      <alignment horizontal="center"/>
    </xf>
    <xf numFmtId="2" fontId="32" fillId="0" borderId="6" xfId="0" applyNumberFormat="1" applyFont="1" applyBorder="1" applyAlignment="1">
      <alignment horizontal="center"/>
    </xf>
    <xf numFmtId="2" fontId="26" fillId="0" borderId="3" xfId="0" applyNumberFormat="1" applyFont="1" applyBorder="1" applyAlignment="1">
      <alignment horizontal="center"/>
    </xf>
    <xf numFmtId="0" fontId="31" fillId="0" borderId="6" xfId="0" applyFont="1" applyBorder="1" applyAlignment="1">
      <alignment horizontal="center"/>
    </xf>
    <xf numFmtId="2" fontId="32" fillId="0" borderId="3" xfId="0" applyNumberFormat="1" applyFont="1" applyBorder="1" applyAlignment="1">
      <alignment horizontal="center"/>
    </xf>
    <xf numFmtId="0" fontId="31" fillId="0" borderId="0" xfId="0" applyFont="1"/>
    <xf numFmtId="2" fontId="26" fillId="0" borderId="1" xfId="0" applyNumberFormat="1" applyFont="1" applyBorder="1" applyAlignment="1">
      <alignment horizontal="center"/>
    </xf>
    <xf numFmtId="0" fontId="29" fillId="0" borderId="0" xfId="0" applyFont="1" applyAlignment="1">
      <alignment horizontal="right"/>
    </xf>
    <xf numFmtId="0" fontId="33" fillId="0" borderId="0" xfId="0" applyFont="1"/>
    <xf numFmtId="2" fontId="34" fillId="0" borderId="2" xfId="0" applyNumberFormat="1" applyFont="1" applyBorder="1" applyAlignment="1">
      <alignment horizontal="center" vertical="center" wrapText="1"/>
    </xf>
    <xf numFmtId="2" fontId="34" fillId="0" borderId="2" xfId="0" applyNumberFormat="1" applyFont="1" applyBorder="1" applyAlignment="1">
      <alignment horizontal="center"/>
    </xf>
    <xf numFmtId="2" fontId="34" fillId="0" borderId="2" xfId="0" applyNumberFormat="1" applyFont="1" applyBorder="1" applyAlignment="1">
      <alignment horizontal="center" vertical="center"/>
    </xf>
    <xf numFmtId="2" fontId="34" fillId="0" borderId="3" xfId="0" applyNumberFormat="1" applyFont="1" applyBorder="1" applyAlignment="1">
      <alignment horizontal="center"/>
    </xf>
    <xf numFmtId="2" fontId="34" fillId="0" borderId="6" xfId="0" applyNumberFormat="1" applyFont="1" applyBorder="1" applyAlignment="1">
      <alignment horizontal="center"/>
    </xf>
    <xf numFmtId="2" fontId="34" fillId="0" borderId="3" xfId="0" applyNumberFormat="1" applyFont="1" applyBorder="1" applyAlignment="1">
      <alignment horizontal="center" vertical="center"/>
    </xf>
    <xf numFmtId="0" fontId="35" fillId="0" borderId="1" xfId="0" applyFont="1" applyBorder="1" applyAlignment="1">
      <alignment horizontal="center" vertical="center"/>
    </xf>
    <xf numFmtId="0" fontId="35" fillId="0" borderId="1" xfId="0" applyFont="1" applyBorder="1" applyAlignment="1">
      <alignment vertical="center" wrapText="1"/>
    </xf>
    <xf numFmtId="0" fontId="35" fillId="0" borderId="0" xfId="0" applyFont="1" applyAlignment="1">
      <alignment vertical="center"/>
    </xf>
    <xf numFmtId="0" fontId="35" fillId="0" borderId="1" xfId="0" applyFont="1" applyBorder="1" applyAlignment="1">
      <alignment horizontal="right" vertical="center" wrapText="1"/>
    </xf>
    <xf numFmtId="43" fontId="35" fillId="0" borderId="1" xfId="1" applyFont="1" applyBorder="1" applyAlignment="1">
      <alignment vertical="center" wrapText="1"/>
    </xf>
    <xf numFmtId="0" fontId="35" fillId="0" borderId="1" xfId="0" applyFont="1" applyBorder="1" applyAlignment="1">
      <alignment horizontal="right" vertical="center"/>
    </xf>
    <xf numFmtId="0" fontId="34" fillId="0" borderId="1" xfId="5" applyFont="1" applyBorder="1" applyAlignment="1">
      <alignment horizontal="center" vertical="center"/>
    </xf>
    <xf numFmtId="0" fontId="34" fillId="0" borderId="1" xfId="2" applyFont="1" applyBorder="1" applyAlignment="1">
      <alignment vertical="top" wrapText="1"/>
    </xf>
    <xf numFmtId="0" fontId="34" fillId="0" borderId="1" xfId="5" applyFont="1" applyBorder="1"/>
    <xf numFmtId="2" fontId="34" fillId="0" borderId="1" xfId="5" applyNumberFormat="1" applyFont="1" applyBorder="1"/>
    <xf numFmtId="2" fontId="34" fillId="0" borderId="1" xfId="1" applyNumberFormat="1" applyFont="1" applyFill="1" applyBorder="1" applyAlignment="1"/>
    <xf numFmtId="0" fontId="34" fillId="0" borderId="1" xfId="5" applyFont="1" applyBorder="1" applyAlignment="1">
      <alignment vertical="center"/>
    </xf>
    <xf numFmtId="0" fontId="34" fillId="0" borderId="1" xfId="2" applyFont="1" applyBorder="1" applyAlignment="1">
      <alignment horizontal="right" vertical="top" wrapText="1"/>
    </xf>
    <xf numFmtId="0" fontId="35" fillId="0" borderId="1" xfId="0" applyFont="1" applyBorder="1" applyAlignment="1">
      <alignment vertical="top" wrapText="1"/>
    </xf>
    <xf numFmtId="164" fontId="35" fillId="0" borderId="1" xfId="1" applyNumberFormat="1" applyFont="1" applyBorder="1" applyAlignment="1">
      <alignment vertical="center"/>
    </xf>
    <xf numFmtId="43" fontId="35" fillId="0" borderId="1" xfId="1" applyFont="1" applyBorder="1" applyAlignment="1">
      <alignment vertical="center"/>
    </xf>
    <xf numFmtId="0" fontId="35" fillId="0" borderId="0" xfId="0" applyFont="1" applyAlignment="1">
      <alignment horizontal="center"/>
    </xf>
    <xf numFmtId="0" fontId="35" fillId="0" borderId="0" xfId="0" applyFont="1"/>
    <xf numFmtId="164" fontId="35" fillId="0" borderId="0" xfId="1" applyNumberFormat="1" applyFont="1"/>
    <xf numFmtId="43" fontId="35" fillId="0" borderId="0" xfId="1" applyFont="1"/>
    <xf numFmtId="43" fontId="35" fillId="0" borderId="0" xfId="1" applyFont="1" applyAlignment="1">
      <alignment horizontal="right"/>
    </xf>
    <xf numFmtId="43" fontId="35" fillId="0" borderId="0" xfId="1" applyFont="1" applyFill="1" applyAlignment="1">
      <alignment horizontal="right"/>
    </xf>
    <xf numFmtId="0" fontId="35" fillId="0" borderId="1" xfId="0" applyFont="1" applyBorder="1" applyAlignment="1">
      <alignment horizontal="center"/>
    </xf>
    <xf numFmtId="164" fontId="35" fillId="0" borderId="1" xfId="1" applyNumberFormat="1" applyFont="1" applyBorder="1" applyAlignment="1">
      <alignment horizontal="center"/>
    </xf>
    <xf numFmtId="43" fontId="35" fillId="0" borderId="1" xfId="1" applyFont="1" applyBorder="1" applyAlignment="1">
      <alignment horizontal="center"/>
    </xf>
    <xf numFmtId="43" fontId="35" fillId="0" borderId="1" xfId="1" applyFont="1" applyFill="1" applyBorder="1" applyAlignment="1">
      <alignment horizontal="center"/>
    </xf>
    <xf numFmtId="0" fontId="35" fillId="0" borderId="1" xfId="0" applyFont="1" applyBorder="1" applyAlignment="1">
      <alignment vertical="center"/>
    </xf>
    <xf numFmtId="0" fontId="35" fillId="0" borderId="1" xfId="0" applyFont="1" applyBorder="1" applyAlignment="1">
      <alignment horizontal="left" vertical="center" wrapText="1"/>
    </xf>
    <xf numFmtId="43" fontId="35" fillId="0" borderId="1" xfId="1" applyFont="1" applyBorder="1" applyAlignment="1">
      <alignment horizontal="left" vertical="center" wrapText="1"/>
    </xf>
    <xf numFmtId="43" fontId="35" fillId="0" borderId="1" xfId="1" applyFont="1" applyFill="1" applyBorder="1" applyAlignment="1">
      <alignment horizontal="left" vertical="center" wrapText="1"/>
    </xf>
    <xf numFmtId="43" fontId="35" fillId="0" borderId="1" xfId="1" applyFont="1" applyFill="1" applyBorder="1" applyAlignment="1">
      <alignment horizontal="justify" vertical="top" wrapText="1"/>
    </xf>
    <xf numFmtId="164" fontId="35" fillId="0" borderId="1" xfId="0" applyNumberFormat="1" applyFont="1" applyBorder="1" applyAlignment="1">
      <alignment horizontal="justify" vertical="top" wrapText="1"/>
    </xf>
    <xf numFmtId="0" fontId="35" fillId="0" borderId="1" xfId="0" applyFont="1" applyBorder="1"/>
    <xf numFmtId="43" fontId="35" fillId="0" borderId="1" xfId="1" applyFont="1" applyBorder="1"/>
    <xf numFmtId="0" fontId="34" fillId="0" borderId="1" xfId="3" applyFont="1" applyBorder="1" applyAlignment="1">
      <alignment horizontal="justify" vertical="center" wrapText="1"/>
    </xf>
    <xf numFmtId="2" fontId="35" fillId="0" borderId="1" xfId="0" applyNumberFormat="1" applyFont="1" applyBorder="1" applyAlignment="1">
      <alignment vertical="center"/>
    </xf>
    <xf numFmtId="43" fontId="35" fillId="0" borderId="1" xfId="1" applyFont="1" applyBorder="1" applyAlignment="1">
      <alignment horizontal="right" vertical="center"/>
    </xf>
    <xf numFmtId="43" fontId="35" fillId="0" borderId="0" xfId="0" applyNumberFormat="1" applyFont="1" applyAlignment="1">
      <alignment vertical="center"/>
    </xf>
    <xf numFmtId="0" fontId="34" fillId="3" borderId="1" xfId="0" quotePrefix="1" applyFont="1" applyFill="1" applyBorder="1" applyAlignment="1">
      <alignment horizontal="left" wrapText="1"/>
    </xf>
    <xf numFmtId="2" fontId="35" fillId="0" borderId="1" xfId="0" applyNumberFormat="1" applyFont="1" applyBorder="1"/>
    <xf numFmtId="0" fontId="35" fillId="0" borderId="2" xfId="0" applyFont="1" applyBorder="1"/>
    <xf numFmtId="43" fontId="35" fillId="0" borderId="2" xfId="1" applyFont="1" applyBorder="1"/>
    <xf numFmtId="0" fontId="35" fillId="0" borderId="3" xfId="0" applyFont="1" applyBorder="1" applyAlignment="1">
      <alignment horizontal="center" vertical="center" wrapText="1"/>
    </xf>
    <xf numFmtId="0" fontId="35" fillId="0" borderId="2" xfId="0" applyFont="1" applyBorder="1" applyAlignment="1">
      <alignment vertical="center"/>
    </xf>
    <xf numFmtId="164" fontId="35" fillId="0" borderId="2" xfId="1" applyNumberFormat="1" applyFont="1" applyBorder="1" applyAlignment="1">
      <alignment vertical="center"/>
    </xf>
    <xf numFmtId="43" fontId="35" fillId="0" borderId="2" xfId="1" applyFont="1" applyBorder="1" applyAlignment="1">
      <alignment vertical="center"/>
    </xf>
    <xf numFmtId="43" fontId="35" fillId="0" borderId="0" xfId="1" applyFont="1" applyBorder="1" applyAlignment="1">
      <alignment vertical="center"/>
    </xf>
    <xf numFmtId="2" fontId="35" fillId="0" borderId="0" xfId="0" applyNumberFormat="1" applyFont="1" applyAlignment="1">
      <alignment vertical="center"/>
    </xf>
    <xf numFmtId="43" fontId="35" fillId="0" borderId="0" xfId="1" applyFont="1" applyBorder="1" applyAlignment="1">
      <alignment horizontal="right" vertical="center"/>
    </xf>
    <xf numFmtId="43" fontId="35" fillId="0" borderId="0" xfId="1" applyFont="1" applyAlignment="1">
      <alignment vertical="center"/>
    </xf>
    <xf numFmtId="0" fontId="35" fillId="0" borderId="3" xfId="0" applyFont="1" applyBorder="1" applyAlignment="1">
      <alignment vertical="center"/>
    </xf>
    <xf numFmtId="164" fontId="35" fillId="0" borderId="3" xfId="1" applyNumberFormat="1" applyFont="1" applyBorder="1" applyAlignment="1">
      <alignment vertical="center"/>
    </xf>
    <xf numFmtId="43" fontId="35" fillId="0" borderId="3" xfId="1" applyFont="1" applyBorder="1" applyAlignment="1">
      <alignment vertical="center"/>
    </xf>
    <xf numFmtId="164" fontId="35" fillId="0" borderId="0" xfId="1" applyNumberFormat="1" applyFont="1" applyAlignment="1">
      <alignment vertical="center"/>
    </xf>
    <xf numFmtId="0" fontId="36" fillId="0" borderId="7" xfId="0" applyFont="1" applyBorder="1" applyAlignment="1">
      <alignment vertical="center"/>
    </xf>
    <xf numFmtId="43" fontId="36" fillId="0" borderId="9" xfId="1" applyFont="1" applyBorder="1" applyAlignment="1">
      <alignment vertical="center"/>
    </xf>
    <xf numFmtId="0" fontId="36" fillId="0" borderId="10" xfId="0" applyFont="1" applyBorder="1" applyAlignment="1">
      <alignment vertical="center"/>
    </xf>
    <xf numFmtId="43" fontId="36" fillId="0" borderId="11" xfId="1" applyFont="1" applyBorder="1" applyAlignment="1">
      <alignment vertical="center"/>
    </xf>
    <xf numFmtId="0" fontId="36" fillId="0" borderId="12" xfId="0" applyFont="1" applyBorder="1" applyAlignment="1">
      <alignment vertical="center"/>
    </xf>
    <xf numFmtId="43" fontId="36" fillId="0" borderId="15" xfId="1" applyFont="1" applyBorder="1" applyAlignment="1">
      <alignment vertical="center"/>
    </xf>
    <xf numFmtId="0" fontId="37" fillId="0" borderId="0" xfId="0" applyFont="1" applyAlignment="1">
      <alignment vertical="center"/>
    </xf>
    <xf numFmtId="0" fontId="37" fillId="0" borderId="0" xfId="0" applyFont="1" applyAlignment="1">
      <alignment horizontal="center" vertical="center"/>
    </xf>
    <xf numFmtId="43" fontId="0" fillId="0" borderId="0" xfId="0" applyNumberForma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center" vertical="center"/>
    </xf>
    <xf numFmtId="0" fontId="9" fillId="0" borderId="0" xfId="0" applyFont="1" applyAlignment="1">
      <alignment horizontal="center"/>
    </xf>
    <xf numFmtId="43" fontId="0" fillId="0" borderId="1" xfId="0" applyNumberFormat="1" applyBorder="1" applyAlignment="1">
      <alignment horizontal="center" vertical="center"/>
    </xf>
    <xf numFmtId="0" fontId="0" fillId="0" borderId="1" xfId="0" applyBorder="1" applyAlignment="1">
      <alignment horizontal="center" vertical="center"/>
    </xf>
    <xf numFmtId="43" fontId="0" fillId="0" borderId="1" xfId="1" applyFont="1" applyBorder="1" applyAlignment="1">
      <alignment horizontal="center" vertical="center"/>
    </xf>
    <xf numFmtId="43" fontId="0" fillId="0" borderId="4" xfId="0" applyNumberFormat="1" applyBorder="1" applyAlignment="1">
      <alignment horizontal="center" vertical="center"/>
    </xf>
    <xf numFmtId="0" fontId="0" fillId="0" borderId="5" xfId="0" applyBorder="1" applyAlignment="1">
      <alignment horizontal="center" vertical="center"/>
    </xf>
    <xf numFmtId="0" fontId="7" fillId="0" borderId="0" xfId="0" applyFont="1" applyAlignment="1">
      <alignment horizontal="left"/>
    </xf>
    <xf numFmtId="0" fontId="7" fillId="0" borderId="0" xfId="0" applyFont="1" applyAlignment="1">
      <alignment horizontal="right"/>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2" fontId="0" fillId="0" borderId="0" xfId="0" applyNumberFormat="1" applyAlignment="1">
      <alignment horizontal="center" vertical="center"/>
    </xf>
    <xf numFmtId="43" fontId="0" fillId="0" borderId="5" xfId="0" applyNumberFormat="1" applyBorder="1" applyAlignment="1">
      <alignment horizontal="center" vertical="center"/>
    </xf>
    <xf numFmtId="43" fontId="0" fillId="0" borderId="4" xfId="1" applyFont="1" applyBorder="1" applyAlignment="1">
      <alignment horizontal="center" vertical="center"/>
    </xf>
    <xf numFmtId="43" fontId="0" fillId="0" borderId="5" xfId="1" applyFont="1" applyBorder="1" applyAlignment="1">
      <alignment horizontal="center" vertical="center"/>
    </xf>
    <xf numFmtId="43" fontId="36" fillId="0" borderId="13" xfId="0" applyNumberFormat="1" applyFont="1" applyBorder="1" applyAlignment="1">
      <alignment horizontal="center" vertical="center"/>
    </xf>
    <xf numFmtId="0" fontId="36" fillId="0" borderId="14" xfId="0" applyFont="1" applyBorder="1" applyAlignment="1">
      <alignment horizontal="center" vertical="center"/>
    </xf>
    <xf numFmtId="0" fontId="37" fillId="0" borderId="0" xfId="0" applyFont="1" applyAlignment="1">
      <alignment horizontal="center" vertical="center"/>
    </xf>
    <xf numFmtId="0" fontId="7" fillId="0" borderId="0" xfId="0" applyFont="1" applyAlignment="1">
      <alignment horizontal="center"/>
    </xf>
    <xf numFmtId="43" fontId="36" fillId="0" borderId="8" xfId="0" applyNumberFormat="1" applyFont="1" applyBorder="1" applyAlignment="1">
      <alignment horizontal="center" vertical="center"/>
    </xf>
    <xf numFmtId="0" fontId="36" fillId="0" borderId="8" xfId="0" applyFont="1" applyBorder="1" applyAlignment="1">
      <alignment horizontal="center" vertical="center"/>
    </xf>
    <xf numFmtId="43" fontId="36" fillId="0" borderId="1" xfId="1" applyFont="1" applyBorder="1" applyAlignment="1">
      <alignment horizontal="center" vertical="center"/>
    </xf>
    <xf numFmtId="43" fontId="36" fillId="0" borderId="4" xfId="1" applyFont="1" applyBorder="1" applyAlignment="1">
      <alignment horizontal="center" vertical="center" wrapText="1"/>
    </xf>
    <xf numFmtId="43" fontId="36" fillId="0" borderId="5" xfId="1" applyFont="1" applyBorder="1" applyAlignment="1">
      <alignment horizontal="center" vertical="center" wrapText="1"/>
    </xf>
    <xf numFmtId="43" fontId="36" fillId="0" borderId="1" xfId="0" applyNumberFormat="1" applyFont="1" applyBorder="1" applyAlignment="1">
      <alignment horizontal="center" vertical="center"/>
    </xf>
    <xf numFmtId="0" fontId="36" fillId="0" borderId="1" xfId="0" applyFont="1" applyBorder="1" applyAlignment="1">
      <alignment horizontal="center" vertical="center"/>
    </xf>
    <xf numFmtId="43" fontId="36" fillId="0" borderId="4" xfId="0" applyNumberFormat="1" applyFont="1" applyBorder="1" applyAlignment="1">
      <alignment horizontal="center" vertical="center"/>
    </xf>
    <xf numFmtId="0" fontId="36" fillId="0" borderId="5" xfId="0" applyFont="1" applyBorder="1" applyAlignment="1">
      <alignment horizontal="center" vertical="center"/>
    </xf>
    <xf numFmtId="0" fontId="27" fillId="0" borderId="0" xfId="0" applyFont="1" applyAlignment="1">
      <alignment horizontal="center"/>
    </xf>
    <xf numFmtId="0" fontId="30" fillId="0" borderId="0" xfId="0" applyFont="1" applyAlignment="1">
      <alignment horizontal="center"/>
    </xf>
    <xf numFmtId="0" fontId="31" fillId="0" borderId="2" xfId="0" applyFont="1" applyBorder="1" applyAlignment="1">
      <alignment horizontal="center" vertical="center"/>
    </xf>
    <xf numFmtId="0" fontId="0" fillId="0" borderId="3" xfId="0" applyBorder="1" applyAlignment="1">
      <alignment horizontal="center" vertical="center"/>
    </xf>
    <xf numFmtId="0" fontId="31" fillId="0" borderId="6" xfId="0" applyFont="1" applyBorder="1" applyAlignment="1">
      <alignment horizontal="center" vertical="center"/>
    </xf>
    <xf numFmtId="0" fontId="31" fillId="0" borderId="3" xfId="0" applyFont="1" applyBorder="1" applyAlignment="1">
      <alignment horizontal="center" vertical="center"/>
    </xf>
  </cellXfs>
  <cellStyles count="6">
    <cellStyle name="Comma" xfId="1" builtinId="3"/>
    <cellStyle name="Comma 2" xfId="4"/>
    <cellStyle name="Normal" xfId="0" builtinId="0"/>
    <cellStyle name="Normal 2" xfId="2"/>
    <cellStyle name="Normal 2 2" xfId="3"/>
    <cellStyle name="Normal_JMR-BOQ0"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704850</xdr:colOff>
      <xdr:row>10</xdr:row>
      <xdr:rowOff>323850</xdr:rowOff>
    </xdr:from>
    <xdr:to>
      <xdr:col>2</xdr:col>
      <xdr:colOff>1676400</xdr:colOff>
      <xdr:row>10</xdr:row>
      <xdr:rowOff>325438</xdr:rowOff>
    </xdr:to>
    <xdr:cxnSp macro="">
      <xdr:nvCxnSpPr>
        <xdr:cNvPr id="3" name="Straight Connector 2">
          <a:extLst>
            <a:ext uri="{FF2B5EF4-FFF2-40B4-BE49-F238E27FC236}">
              <a16:creationId xmlns:a16="http://schemas.microsoft.com/office/drawing/2014/main" xmlns="" id="{00000000-0008-0000-0800-000003000000}"/>
            </a:ext>
          </a:extLst>
        </xdr:cNvPr>
        <xdr:cNvCxnSpPr/>
      </xdr:nvCxnSpPr>
      <xdr:spPr>
        <a:xfrm>
          <a:off x="3028950" y="10572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10</xdr:row>
      <xdr:rowOff>57944</xdr:rowOff>
    </xdr:from>
    <xdr:to>
      <xdr:col>2</xdr:col>
      <xdr:colOff>705645</xdr:colOff>
      <xdr:row>10</xdr:row>
      <xdr:rowOff>315119</xdr:rowOff>
    </xdr:to>
    <xdr:cxnSp macro="">
      <xdr:nvCxnSpPr>
        <xdr:cNvPr id="5" name="Straight Connector 4">
          <a:extLst>
            <a:ext uri="{FF2B5EF4-FFF2-40B4-BE49-F238E27FC236}">
              <a16:creationId xmlns:a16="http://schemas.microsoft.com/office/drawing/2014/main" xmlns="" id="{00000000-0008-0000-0800-000005000000}"/>
            </a:ext>
          </a:extLst>
        </xdr:cNvPr>
        <xdr:cNvCxnSpPr/>
      </xdr:nvCxnSpPr>
      <xdr:spPr>
        <a:xfrm rot="5400000" flipH="1" flipV="1">
          <a:off x="2900363" y="9191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10</xdr:row>
      <xdr:rowOff>67469</xdr:rowOff>
    </xdr:from>
    <xdr:to>
      <xdr:col>2</xdr:col>
      <xdr:colOff>1677196</xdr:colOff>
      <xdr:row>10</xdr:row>
      <xdr:rowOff>324644</xdr:rowOff>
    </xdr:to>
    <xdr:cxnSp macro="">
      <xdr:nvCxnSpPr>
        <xdr:cNvPr id="6" name="Straight Connector 5">
          <a:extLst>
            <a:ext uri="{FF2B5EF4-FFF2-40B4-BE49-F238E27FC236}">
              <a16:creationId xmlns:a16="http://schemas.microsoft.com/office/drawing/2014/main" xmlns="" id="{00000000-0008-0000-0800-000006000000}"/>
            </a:ext>
          </a:extLst>
        </xdr:cNvPr>
        <xdr:cNvCxnSpPr/>
      </xdr:nvCxnSpPr>
      <xdr:spPr>
        <a:xfrm rot="5400000" flipH="1" flipV="1">
          <a:off x="3871914" y="928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10</xdr:row>
      <xdr:rowOff>85725</xdr:rowOff>
    </xdr:from>
    <xdr:ext cx="323849" cy="142875"/>
    <xdr:sp macro="" textlink="">
      <xdr:nvSpPr>
        <xdr:cNvPr id="7" name="TextBox 6">
          <a:extLst>
            <a:ext uri="{FF2B5EF4-FFF2-40B4-BE49-F238E27FC236}">
              <a16:creationId xmlns:a16="http://schemas.microsoft.com/office/drawing/2014/main" xmlns="" id="{00000000-0008-0000-0800-000007000000}"/>
            </a:ext>
          </a:extLst>
        </xdr:cNvPr>
        <xdr:cNvSpPr txBox="1"/>
      </xdr:nvSpPr>
      <xdr:spPr>
        <a:xfrm>
          <a:off x="2667001" y="8191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0.17</a:t>
          </a:r>
        </a:p>
        <a:p>
          <a:endParaRPr lang="en-US" sz="1100"/>
        </a:p>
      </xdr:txBody>
    </xdr:sp>
    <xdr:clientData/>
  </xdr:oneCellAnchor>
  <xdr:oneCellAnchor>
    <xdr:from>
      <xdr:col>2</xdr:col>
      <xdr:colOff>1724026</xdr:colOff>
      <xdr:row>10</xdr:row>
      <xdr:rowOff>114300</xdr:rowOff>
    </xdr:from>
    <xdr:ext cx="323849" cy="142875"/>
    <xdr:sp macro="" textlink="">
      <xdr:nvSpPr>
        <xdr:cNvPr id="8" name="TextBox 7">
          <a:extLst>
            <a:ext uri="{FF2B5EF4-FFF2-40B4-BE49-F238E27FC236}">
              <a16:creationId xmlns:a16="http://schemas.microsoft.com/office/drawing/2014/main" xmlns="" id="{00000000-0008-0000-0800-000008000000}"/>
            </a:ext>
          </a:extLst>
        </xdr:cNvPr>
        <xdr:cNvSpPr txBox="1"/>
      </xdr:nvSpPr>
      <xdr:spPr>
        <a:xfrm>
          <a:off x="4048126" y="8477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0.17</a:t>
          </a:r>
        </a:p>
        <a:p>
          <a:endParaRPr lang="en-US" sz="1100"/>
        </a:p>
      </xdr:txBody>
    </xdr:sp>
    <xdr:clientData/>
  </xdr:oneCellAnchor>
  <xdr:oneCellAnchor>
    <xdr:from>
      <xdr:col>2</xdr:col>
      <xdr:colOff>1009651</xdr:colOff>
      <xdr:row>10</xdr:row>
      <xdr:rowOff>400050</xdr:rowOff>
    </xdr:from>
    <xdr:ext cx="323849" cy="142875"/>
    <xdr:sp macro="" textlink="">
      <xdr:nvSpPr>
        <xdr:cNvPr id="9" name="TextBox 8">
          <a:extLst>
            <a:ext uri="{FF2B5EF4-FFF2-40B4-BE49-F238E27FC236}">
              <a16:creationId xmlns:a16="http://schemas.microsoft.com/office/drawing/2014/main" xmlns="" id="{00000000-0008-0000-0800-000009000000}"/>
            </a:ext>
          </a:extLst>
        </xdr:cNvPr>
        <xdr:cNvSpPr txBox="1"/>
      </xdr:nvSpPr>
      <xdr:spPr>
        <a:xfrm>
          <a:off x="3333751" y="1133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4.66</a:t>
          </a:r>
        </a:p>
        <a:p>
          <a:endParaRPr lang="en-US" sz="1100"/>
        </a:p>
      </xdr:txBody>
    </xdr:sp>
    <xdr:clientData/>
  </xdr:oneCellAnchor>
  <xdr:twoCellAnchor>
    <xdr:from>
      <xdr:col>2</xdr:col>
      <xdr:colOff>704850</xdr:colOff>
      <xdr:row>15</xdr:row>
      <xdr:rowOff>323850</xdr:rowOff>
    </xdr:from>
    <xdr:to>
      <xdr:col>2</xdr:col>
      <xdr:colOff>1676400</xdr:colOff>
      <xdr:row>15</xdr:row>
      <xdr:rowOff>325438</xdr:rowOff>
    </xdr:to>
    <xdr:cxnSp macro="">
      <xdr:nvCxnSpPr>
        <xdr:cNvPr id="10" name="Straight Connector 9">
          <a:extLst>
            <a:ext uri="{FF2B5EF4-FFF2-40B4-BE49-F238E27FC236}">
              <a16:creationId xmlns:a16="http://schemas.microsoft.com/office/drawing/2014/main" xmlns="" id="{00000000-0008-0000-0800-00000A000000}"/>
            </a:ext>
          </a:extLst>
        </xdr:cNvPr>
        <xdr:cNvCxnSpPr/>
      </xdr:nvCxnSpPr>
      <xdr:spPr>
        <a:xfrm>
          <a:off x="3028950" y="10572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15</xdr:row>
      <xdr:rowOff>57944</xdr:rowOff>
    </xdr:from>
    <xdr:to>
      <xdr:col>2</xdr:col>
      <xdr:colOff>705645</xdr:colOff>
      <xdr:row>15</xdr:row>
      <xdr:rowOff>315119</xdr:rowOff>
    </xdr:to>
    <xdr:cxnSp macro="">
      <xdr:nvCxnSpPr>
        <xdr:cNvPr id="11" name="Straight Connector 10">
          <a:extLst>
            <a:ext uri="{FF2B5EF4-FFF2-40B4-BE49-F238E27FC236}">
              <a16:creationId xmlns:a16="http://schemas.microsoft.com/office/drawing/2014/main" xmlns="" id="{00000000-0008-0000-0800-00000B000000}"/>
            </a:ext>
          </a:extLst>
        </xdr:cNvPr>
        <xdr:cNvCxnSpPr/>
      </xdr:nvCxnSpPr>
      <xdr:spPr>
        <a:xfrm rot="5400000" flipH="1" flipV="1">
          <a:off x="2900363" y="9191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15</xdr:row>
      <xdr:rowOff>67469</xdr:rowOff>
    </xdr:from>
    <xdr:to>
      <xdr:col>2</xdr:col>
      <xdr:colOff>1677196</xdr:colOff>
      <xdr:row>15</xdr:row>
      <xdr:rowOff>324644</xdr:rowOff>
    </xdr:to>
    <xdr:cxnSp macro="">
      <xdr:nvCxnSpPr>
        <xdr:cNvPr id="12" name="Straight Connector 11">
          <a:extLst>
            <a:ext uri="{FF2B5EF4-FFF2-40B4-BE49-F238E27FC236}">
              <a16:creationId xmlns:a16="http://schemas.microsoft.com/office/drawing/2014/main" xmlns="" id="{00000000-0008-0000-0800-00000C000000}"/>
            </a:ext>
          </a:extLst>
        </xdr:cNvPr>
        <xdr:cNvCxnSpPr/>
      </xdr:nvCxnSpPr>
      <xdr:spPr>
        <a:xfrm rot="5400000" flipH="1" flipV="1">
          <a:off x="3871914" y="928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15</xdr:row>
      <xdr:rowOff>85725</xdr:rowOff>
    </xdr:from>
    <xdr:ext cx="323849" cy="142875"/>
    <xdr:sp macro="" textlink="">
      <xdr:nvSpPr>
        <xdr:cNvPr id="13" name="TextBox 12">
          <a:extLst>
            <a:ext uri="{FF2B5EF4-FFF2-40B4-BE49-F238E27FC236}">
              <a16:creationId xmlns:a16="http://schemas.microsoft.com/office/drawing/2014/main" xmlns="" id="{00000000-0008-0000-0800-00000D000000}"/>
            </a:ext>
          </a:extLst>
        </xdr:cNvPr>
        <xdr:cNvSpPr txBox="1"/>
      </xdr:nvSpPr>
      <xdr:spPr>
        <a:xfrm>
          <a:off x="2667001" y="8191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15</xdr:row>
      <xdr:rowOff>114300</xdr:rowOff>
    </xdr:from>
    <xdr:ext cx="323849" cy="142875"/>
    <xdr:sp macro="" textlink="">
      <xdr:nvSpPr>
        <xdr:cNvPr id="14" name="TextBox 13">
          <a:extLst>
            <a:ext uri="{FF2B5EF4-FFF2-40B4-BE49-F238E27FC236}">
              <a16:creationId xmlns:a16="http://schemas.microsoft.com/office/drawing/2014/main" xmlns="" id="{00000000-0008-0000-0800-00000E000000}"/>
            </a:ext>
          </a:extLst>
        </xdr:cNvPr>
        <xdr:cNvSpPr txBox="1"/>
      </xdr:nvSpPr>
      <xdr:spPr>
        <a:xfrm>
          <a:off x="4048126" y="8477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15</xdr:row>
      <xdr:rowOff>400050</xdr:rowOff>
    </xdr:from>
    <xdr:ext cx="323849" cy="142875"/>
    <xdr:sp macro="" textlink="">
      <xdr:nvSpPr>
        <xdr:cNvPr id="15" name="TextBox 14">
          <a:extLst>
            <a:ext uri="{FF2B5EF4-FFF2-40B4-BE49-F238E27FC236}">
              <a16:creationId xmlns:a16="http://schemas.microsoft.com/office/drawing/2014/main" xmlns="" id="{00000000-0008-0000-0800-00000F000000}"/>
            </a:ext>
          </a:extLst>
        </xdr:cNvPr>
        <xdr:cNvSpPr txBox="1"/>
      </xdr:nvSpPr>
      <xdr:spPr>
        <a:xfrm>
          <a:off x="3333751" y="1133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16</xdr:row>
      <xdr:rowOff>323850</xdr:rowOff>
    </xdr:from>
    <xdr:to>
      <xdr:col>2</xdr:col>
      <xdr:colOff>1676400</xdr:colOff>
      <xdr:row>16</xdr:row>
      <xdr:rowOff>325438</xdr:rowOff>
    </xdr:to>
    <xdr:cxnSp macro="">
      <xdr:nvCxnSpPr>
        <xdr:cNvPr id="16" name="Straight Connector 15">
          <a:extLst>
            <a:ext uri="{FF2B5EF4-FFF2-40B4-BE49-F238E27FC236}">
              <a16:creationId xmlns:a16="http://schemas.microsoft.com/office/drawing/2014/main" xmlns="" id="{00000000-0008-0000-0800-000010000000}"/>
            </a:ext>
          </a:extLst>
        </xdr:cNvPr>
        <xdr:cNvCxnSpPr/>
      </xdr:nvCxnSpPr>
      <xdr:spPr>
        <a:xfrm>
          <a:off x="3028950" y="20669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16</xdr:row>
      <xdr:rowOff>57944</xdr:rowOff>
    </xdr:from>
    <xdr:to>
      <xdr:col>2</xdr:col>
      <xdr:colOff>705645</xdr:colOff>
      <xdr:row>16</xdr:row>
      <xdr:rowOff>315119</xdr:rowOff>
    </xdr:to>
    <xdr:cxnSp macro="">
      <xdr:nvCxnSpPr>
        <xdr:cNvPr id="17" name="Straight Connector 16">
          <a:extLst>
            <a:ext uri="{FF2B5EF4-FFF2-40B4-BE49-F238E27FC236}">
              <a16:creationId xmlns:a16="http://schemas.microsoft.com/office/drawing/2014/main" xmlns="" id="{00000000-0008-0000-0800-000011000000}"/>
            </a:ext>
          </a:extLst>
        </xdr:cNvPr>
        <xdr:cNvCxnSpPr/>
      </xdr:nvCxnSpPr>
      <xdr:spPr>
        <a:xfrm rot="5400000" flipH="1" flipV="1">
          <a:off x="2900363" y="19288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16</xdr:row>
      <xdr:rowOff>67469</xdr:rowOff>
    </xdr:from>
    <xdr:to>
      <xdr:col>2</xdr:col>
      <xdr:colOff>1677196</xdr:colOff>
      <xdr:row>16</xdr:row>
      <xdr:rowOff>324644</xdr:rowOff>
    </xdr:to>
    <xdr:cxnSp macro="">
      <xdr:nvCxnSpPr>
        <xdr:cNvPr id="18" name="Straight Connector 17">
          <a:extLst>
            <a:ext uri="{FF2B5EF4-FFF2-40B4-BE49-F238E27FC236}">
              <a16:creationId xmlns:a16="http://schemas.microsoft.com/office/drawing/2014/main" xmlns="" id="{00000000-0008-0000-0800-000012000000}"/>
            </a:ext>
          </a:extLst>
        </xdr:cNvPr>
        <xdr:cNvCxnSpPr/>
      </xdr:nvCxnSpPr>
      <xdr:spPr>
        <a:xfrm rot="5400000" flipH="1" flipV="1">
          <a:off x="3871914" y="19383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16</xdr:row>
      <xdr:rowOff>85725</xdr:rowOff>
    </xdr:from>
    <xdr:ext cx="323849" cy="142875"/>
    <xdr:sp macro="" textlink="">
      <xdr:nvSpPr>
        <xdr:cNvPr id="19" name="TextBox 18">
          <a:extLst>
            <a:ext uri="{FF2B5EF4-FFF2-40B4-BE49-F238E27FC236}">
              <a16:creationId xmlns:a16="http://schemas.microsoft.com/office/drawing/2014/main" xmlns="" id="{00000000-0008-0000-0800-000013000000}"/>
            </a:ext>
          </a:extLst>
        </xdr:cNvPr>
        <xdr:cNvSpPr txBox="1"/>
      </xdr:nvSpPr>
      <xdr:spPr>
        <a:xfrm>
          <a:off x="2667001" y="1828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16</xdr:row>
      <xdr:rowOff>114300</xdr:rowOff>
    </xdr:from>
    <xdr:ext cx="323849" cy="142875"/>
    <xdr:sp macro="" textlink="">
      <xdr:nvSpPr>
        <xdr:cNvPr id="20" name="TextBox 19">
          <a:extLst>
            <a:ext uri="{FF2B5EF4-FFF2-40B4-BE49-F238E27FC236}">
              <a16:creationId xmlns:a16="http://schemas.microsoft.com/office/drawing/2014/main" xmlns="" id="{00000000-0008-0000-0800-000014000000}"/>
            </a:ext>
          </a:extLst>
        </xdr:cNvPr>
        <xdr:cNvSpPr txBox="1"/>
      </xdr:nvSpPr>
      <xdr:spPr>
        <a:xfrm>
          <a:off x="4048126" y="1857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16</xdr:row>
      <xdr:rowOff>400050</xdr:rowOff>
    </xdr:from>
    <xdr:ext cx="323849" cy="142875"/>
    <xdr:sp macro="" textlink="">
      <xdr:nvSpPr>
        <xdr:cNvPr id="21" name="TextBox 20">
          <a:extLst>
            <a:ext uri="{FF2B5EF4-FFF2-40B4-BE49-F238E27FC236}">
              <a16:creationId xmlns:a16="http://schemas.microsoft.com/office/drawing/2014/main" xmlns="" id="{00000000-0008-0000-0800-000015000000}"/>
            </a:ext>
          </a:extLst>
        </xdr:cNvPr>
        <xdr:cNvSpPr txBox="1"/>
      </xdr:nvSpPr>
      <xdr:spPr>
        <a:xfrm>
          <a:off x="3333751" y="2143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17</xdr:row>
      <xdr:rowOff>85725</xdr:rowOff>
    </xdr:from>
    <xdr:to>
      <xdr:col>2</xdr:col>
      <xdr:colOff>1676400</xdr:colOff>
      <xdr:row>17</xdr:row>
      <xdr:rowOff>87313</xdr:rowOff>
    </xdr:to>
    <xdr:cxnSp macro="">
      <xdr:nvCxnSpPr>
        <xdr:cNvPr id="22" name="Straight Connector 21">
          <a:extLst>
            <a:ext uri="{FF2B5EF4-FFF2-40B4-BE49-F238E27FC236}">
              <a16:creationId xmlns:a16="http://schemas.microsoft.com/office/drawing/2014/main" xmlns="" id="{00000000-0008-0000-0800-000016000000}"/>
            </a:ext>
          </a:extLst>
        </xdr:cNvPr>
        <xdr:cNvCxnSpPr/>
      </xdr:nvCxnSpPr>
      <xdr:spPr>
        <a:xfrm>
          <a:off x="3028950" y="30861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17</xdr:row>
      <xdr:rowOff>86519</xdr:rowOff>
    </xdr:from>
    <xdr:to>
      <xdr:col>2</xdr:col>
      <xdr:colOff>705645</xdr:colOff>
      <xdr:row>17</xdr:row>
      <xdr:rowOff>343694</xdr:rowOff>
    </xdr:to>
    <xdr:cxnSp macro="">
      <xdr:nvCxnSpPr>
        <xdr:cNvPr id="23" name="Straight Connector 22">
          <a:extLst>
            <a:ext uri="{FF2B5EF4-FFF2-40B4-BE49-F238E27FC236}">
              <a16:creationId xmlns:a16="http://schemas.microsoft.com/office/drawing/2014/main" xmlns="" id="{00000000-0008-0000-0800-000017000000}"/>
            </a:ext>
          </a:extLst>
        </xdr:cNvPr>
        <xdr:cNvCxnSpPr/>
      </xdr:nvCxnSpPr>
      <xdr:spPr>
        <a:xfrm rot="5400000" flipH="1" flipV="1">
          <a:off x="2900363" y="3214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17</xdr:row>
      <xdr:rowOff>96044</xdr:rowOff>
    </xdr:from>
    <xdr:to>
      <xdr:col>2</xdr:col>
      <xdr:colOff>1677196</xdr:colOff>
      <xdr:row>17</xdr:row>
      <xdr:rowOff>353219</xdr:rowOff>
    </xdr:to>
    <xdr:cxnSp macro="">
      <xdr:nvCxnSpPr>
        <xdr:cNvPr id="24" name="Straight Connector 23">
          <a:extLst>
            <a:ext uri="{FF2B5EF4-FFF2-40B4-BE49-F238E27FC236}">
              <a16:creationId xmlns:a16="http://schemas.microsoft.com/office/drawing/2014/main" xmlns="" id="{00000000-0008-0000-0800-000018000000}"/>
            </a:ext>
          </a:extLst>
        </xdr:cNvPr>
        <xdr:cNvCxnSpPr/>
      </xdr:nvCxnSpPr>
      <xdr:spPr>
        <a:xfrm rot="5400000" flipH="1" flipV="1">
          <a:off x="3871914" y="32242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17</xdr:row>
      <xdr:rowOff>85725</xdr:rowOff>
    </xdr:from>
    <xdr:ext cx="323849" cy="142875"/>
    <xdr:sp macro="" textlink="">
      <xdr:nvSpPr>
        <xdr:cNvPr id="25" name="TextBox 24">
          <a:extLst>
            <a:ext uri="{FF2B5EF4-FFF2-40B4-BE49-F238E27FC236}">
              <a16:creationId xmlns:a16="http://schemas.microsoft.com/office/drawing/2014/main" xmlns="" id="{00000000-0008-0000-0800-000019000000}"/>
            </a:ext>
          </a:extLst>
        </xdr:cNvPr>
        <xdr:cNvSpPr txBox="1"/>
      </xdr:nvSpPr>
      <xdr:spPr>
        <a:xfrm>
          <a:off x="2667001" y="1828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1724026</xdr:colOff>
      <xdr:row>17</xdr:row>
      <xdr:rowOff>114300</xdr:rowOff>
    </xdr:from>
    <xdr:ext cx="323849" cy="142875"/>
    <xdr:sp macro="" textlink="">
      <xdr:nvSpPr>
        <xdr:cNvPr id="26" name="TextBox 25">
          <a:extLst>
            <a:ext uri="{FF2B5EF4-FFF2-40B4-BE49-F238E27FC236}">
              <a16:creationId xmlns:a16="http://schemas.microsoft.com/office/drawing/2014/main" xmlns="" id="{00000000-0008-0000-0800-00001A000000}"/>
            </a:ext>
          </a:extLst>
        </xdr:cNvPr>
        <xdr:cNvSpPr txBox="1"/>
      </xdr:nvSpPr>
      <xdr:spPr>
        <a:xfrm>
          <a:off x="4048126" y="1857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1009651</xdr:colOff>
      <xdr:row>17</xdr:row>
      <xdr:rowOff>247650</xdr:rowOff>
    </xdr:from>
    <xdr:ext cx="323849" cy="142875"/>
    <xdr:sp macro="" textlink="">
      <xdr:nvSpPr>
        <xdr:cNvPr id="27" name="TextBox 26">
          <a:extLst>
            <a:ext uri="{FF2B5EF4-FFF2-40B4-BE49-F238E27FC236}">
              <a16:creationId xmlns:a16="http://schemas.microsoft.com/office/drawing/2014/main" xmlns="" id="{00000000-0008-0000-0800-00001B000000}"/>
            </a:ext>
          </a:extLst>
        </xdr:cNvPr>
        <xdr:cNvSpPr txBox="1"/>
      </xdr:nvSpPr>
      <xdr:spPr>
        <a:xfrm>
          <a:off x="3333751" y="3248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18</xdr:row>
      <xdr:rowOff>85725</xdr:rowOff>
    </xdr:from>
    <xdr:to>
      <xdr:col>2</xdr:col>
      <xdr:colOff>1676400</xdr:colOff>
      <xdr:row>18</xdr:row>
      <xdr:rowOff>87313</xdr:rowOff>
    </xdr:to>
    <xdr:cxnSp macro="">
      <xdr:nvCxnSpPr>
        <xdr:cNvPr id="34" name="Straight Connector 33">
          <a:extLst>
            <a:ext uri="{FF2B5EF4-FFF2-40B4-BE49-F238E27FC236}">
              <a16:creationId xmlns:a16="http://schemas.microsoft.com/office/drawing/2014/main" xmlns="" id="{00000000-0008-0000-0800-000022000000}"/>
            </a:ext>
          </a:extLst>
        </xdr:cNvPr>
        <xdr:cNvCxnSpPr/>
      </xdr:nvCxnSpPr>
      <xdr:spPr>
        <a:xfrm>
          <a:off x="3028950" y="30861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18</xdr:row>
      <xdr:rowOff>86519</xdr:rowOff>
    </xdr:from>
    <xdr:to>
      <xdr:col>2</xdr:col>
      <xdr:colOff>705645</xdr:colOff>
      <xdr:row>18</xdr:row>
      <xdr:rowOff>343694</xdr:rowOff>
    </xdr:to>
    <xdr:cxnSp macro="">
      <xdr:nvCxnSpPr>
        <xdr:cNvPr id="35" name="Straight Connector 34">
          <a:extLst>
            <a:ext uri="{FF2B5EF4-FFF2-40B4-BE49-F238E27FC236}">
              <a16:creationId xmlns:a16="http://schemas.microsoft.com/office/drawing/2014/main" xmlns="" id="{00000000-0008-0000-0800-000023000000}"/>
            </a:ext>
          </a:extLst>
        </xdr:cNvPr>
        <xdr:cNvCxnSpPr/>
      </xdr:nvCxnSpPr>
      <xdr:spPr>
        <a:xfrm rot="5400000" flipH="1" flipV="1">
          <a:off x="2900363" y="3214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18</xdr:row>
      <xdr:rowOff>96044</xdr:rowOff>
    </xdr:from>
    <xdr:to>
      <xdr:col>2</xdr:col>
      <xdr:colOff>1677196</xdr:colOff>
      <xdr:row>18</xdr:row>
      <xdr:rowOff>353219</xdr:rowOff>
    </xdr:to>
    <xdr:cxnSp macro="">
      <xdr:nvCxnSpPr>
        <xdr:cNvPr id="36" name="Straight Connector 35">
          <a:extLst>
            <a:ext uri="{FF2B5EF4-FFF2-40B4-BE49-F238E27FC236}">
              <a16:creationId xmlns:a16="http://schemas.microsoft.com/office/drawing/2014/main" xmlns="" id="{00000000-0008-0000-0800-000024000000}"/>
            </a:ext>
          </a:extLst>
        </xdr:cNvPr>
        <xdr:cNvCxnSpPr/>
      </xdr:nvCxnSpPr>
      <xdr:spPr>
        <a:xfrm rot="5400000" flipH="1" flipV="1">
          <a:off x="3871914" y="32242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18</xdr:row>
      <xdr:rowOff>104775</xdr:rowOff>
    </xdr:from>
    <xdr:ext cx="323849" cy="142875"/>
    <xdr:sp macro="" textlink="">
      <xdr:nvSpPr>
        <xdr:cNvPr id="37" name="TextBox 36">
          <a:extLst>
            <a:ext uri="{FF2B5EF4-FFF2-40B4-BE49-F238E27FC236}">
              <a16:creationId xmlns:a16="http://schemas.microsoft.com/office/drawing/2014/main" xmlns="" id="{00000000-0008-0000-0800-000025000000}"/>
            </a:ext>
          </a:extLst>
        </xdr:cNvPr>
        <xdr:cNvSpPr txBox="1"/>
      </xdr:nvSpPr>
      <xdr:spPr>
        <a:xfrm>
          <a:off x="2657476" y="3733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1771651</xdr:colOff>
      <xdr:row>18</xdr:row>
      <xdr:rowOff>133350</xdr:rowOff>
    </xdr:from>
    <xdr:ext cx="323849" cy="142875"/>
    <xdr:sp macro="" textlink="">
      <xdr:nvSpPr>
        <xdr:cNvPr id="38" name="TextBox 37">
          <a:extLst>
            <a:ext uri="{FF2B5EF4-FFF2-40B4-BE49-F238E27FC236}">
              <a16:creationId xmlns:a16="http://schemas.microsoft.com/office/drawing/2014/main" xmlns="" id="{00000000-0008-0000-0800-000026000000}"/>
            </a:ext>
          </a:extLst>
        </xdr:cNvPr>
        <xdr:cNvSpPr txBox="1"/>
      </xdr:nvSpPr>
      <xdr:spPr>
        <a:xfrm>
          <a:off x="4095751" y="3762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1009651</xdr:colOff>
      <xdr:row>18</xdr:row>
      <xdr:rowOff>247650</xdr:rowOff>
    </xdr:from>
    <xdr:ext cx="323849" cy="142875"/>
    <xdr:sp macro="" textlink="">
      <xdr:nvSpPr>
        <xdr:cNvPr id="39" name="TextBox 38">
          <a:extLst>
            <a:ext uri="{FF2B5EF4-FFF2-40B4-BE49-F238E27FC236}">
              <a16:creationId xmlns:a16="http://schemas.microsoft.com/office/drawing/2014/main" xmlns="" id="{00000000-0008-0000-0800-000027000000}"/>
            </a:ext>
          </a:extLst>
        </xdr:cNvPr>
        <xdr:cNvSpPr txBox="1"/>
      </xdr:nvSpPr>
      <xdr:spPr>
        <a:xfrm>
          <a:off x="3333751" y="3248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22</xdr:row>
      <xdr:rowOff>323850</xdr:rowOff>
    </xdr:from>
    <xdr:to>
      <xdr:col>2</xdr:col>
      <xdr:colOff>1676400</xdr:colOff>
      <xdr:row>22</xdr:row>
      <xdr:rowOff>325438</xdr:rowOff>
    </xdr:to>
    <xdr:cxnSp macro="">
      <xdr:nvCxnSpPr>
        <xdr:cNvPr id="40" name="Straight Connector 39">
          <a:extLst>
            <a:ext uri="{FF2B5EF4-FFF2-40B4-BE49-F238E27FC236}">
              <a16:creationId xmlns:a16="http://schemas.microsoft.com/office/drawing/2014/main" xmlns="" id="{00000000-0008-0000-0800-000028000000}"/>
            </a:ext>
          </a:extLst>
        </xdr:cNvPr>
        <xdr:cNvCxnSpPr/>
      </xdr:nvCxnSpPr>
      <xdr:spPr>
        <a:xfrm>
          <a:off x="3028950" y="20669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22</xdr:row>
      <xdr:rowOff>57944</xdr:rowOff>
    </xdr:from>
    <xdr:to>
      <xdr:col>2</xdr:col>
      <xdr:colOff>705645</xdr:colOff>
      <xdr:row>22</xdr:row>
      <xdr:rowOff>315119</xdr:rowOff>
    </xdr:to>
    <xdr:cxnSp macro="">
      <xdr:nvCxnSpPr>
        <xdr:cNvPr id="41" name="Straight Connector 40">
          <a:extLst>
            <a:ext uri="{FF2B5EF4-FFF2-40B4-BE49-F238E27FC236}">
              <a16:creationId xmlns:a16="http://schemas.microsoft.com/office/drawing/2014/main" xmlns="" id="{00000000-0008-0000-0800-000029000000}"/>
            </a:ext>
          </a:extLst>
        </xdr:cNvPr>
        <xdr:cNvCxnSpPr/>
      </xdr:nvCxnSpPr>
      <xdr:spPr>
        <a:xfrm rot="5400000" flipH="1" flipV="1">
          <a:off x="2900363" y="19288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22</xdr:row>
      <xdr:rowOff>67469</xdr:rowOff>
    </xdr:from>
    <xdr:to>
      <xdr:col>2</xdr:col>
      <xdr:colOff>1677196</xdr:colOff>
      <xdr:row>22</xdr:row>
      <xdr:rowOff>324644</xdr:rowOff>
    </xdr:to>
    <xdr:cxnSp macro="">
      <xdr:nvCxnSpPr>
        <xdr:cNvPr id="42" name="Straight Connector 41">
          <a:extLst>
            <a:ext uri="{FF2B5EF4-FFF2-40B4-BE49-F238E27FC236}">
              <a16:creationId xmlns:a16="http://schemas.microsoft.com/office/drawing/2014/main" xmlns="" id="{00000000-0008-0000-0800-00002A000000}"/>
            </a:ext>
          </a:extLst>
        </xdr:cNvPr>
        <xdr:cNvCxnSpPr/>
      </xdr:nvCxnSpPr>
      <xdr:spPr>
        <a:xfrm rot="5400000" flipH="1" flipV="1">
          <a:off x="3871914" y="19383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22</xdr:row>
      <xdr:rowOff>85725</xdr:rowOff>
    </xdr:from>
    <xdr:ext cx="323849" cy="142875"/>
    <xdr:sp macro="" textlink="">
      <xdr:nvSpPr>
        <xdr:cNvPr id="43" name="TextBox 42">
          <a:extLst>
            <a:ext uri="{FF2B5EF4-FFF2-40B4-BE49-F238E27FC236}">
              <a16:creationId xmlns:a16="http://schemas.microsoft.com/office/drawing/2014/main" xmlns="" id="{00000000-0008-0000-0800-00002B000000}"/>
            </a:ext>
          </a:extLst>
        </xdr:cNvPr>
        <xdr:cNvSpPr txBox="1"/>
      </xdr:nvSpPr>
      <xdr:spPr>
        <a:xfrm>
          <a:off x="2667001" y="1828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22</xdr:row>
      <xdr:rowOff>114300</xdr:rowOff>
    </xdr:from>
    <xdr:ext cx="323849" cy="142875"/>
    <xdr:sp macro="" textlink="">
      <xdr:nvSpPr>
        <xdr:cNvPr id="44" name="TextBox 43">
          <a:extLst>
            <a:ext uri="{FF2B5EF4-FFF2-40B4-BE49-F238E27FC236}">
              <a16:creationId xmlns:a16="http://schemas.microsoft.com/office/drawing/2014/main" xmlns="" id="{00000000-0008-0000-0800-00002C000000}"/>
            </a:ext>
          </a:extLst>
        </xdr:cNvPr>
        <xdr:cNvSpPr txBox="1"/>
      </xdr:nvSpPr>
      <xdr:spPr>
        <a:xfrm>
          <a:off x="4048126" y="1857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22</xdr:row>
      <xdr:rowOff>400050</xdr:rowOff>
    </xdr:from>
    <xdr:ext cx="323849" cy="142875"/>
    <xdr:sp macro="" textlink="">
      <xdr:nvSpPr>
        <xdr:cNvPr id="45" name="TextBox 44">
          <a:extLst>
            <a:ext uri="{FF2B5EF4-FFF2-40B4-BE49-F238E27FC236}">
              <a16:creationId xmlns:a16="http://schemas.microsoft.com/office/drawing/2014/main" xmlns="" id="{00000000-0008-0000-0800-00002D000000}"/>
            </a:ext>
          </a:extLst>
        </xdr:cNvPr>
        <xdr:cNvSpPr txBox="1"/>
      </xdr:nvSpPr>
      <xdr:spPr>
        <a:xfrm>
          <a:off x="3333751" y="2143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23</xdr:row>
      <xdr:rowOff>323850</xdr:rowOff>
    </xdr:from>
    <xdr:to>
      <xdr:col>2</xdr:col>
      <xdr:colOff>1676400</xdr:colOff>
      <xdr:row>23</xdr:row>
      <xdr:rowOff>325438</xdr:rowOff>
    </xdr:to>
    <xdr:cxnSp macro="">
      <xdr:nvCxnSpPr>
        <xdr:cNvPr id="46" name="Straight Connector 45">
          <a:extLst>
            <a:ext uri="{FF2B5EF4-FFF2-40B4-BE49-F238E27FC236}">
              <a16:creationId xmlns:a16="http://schemas.microsoft.com/office/drawing/2014/main" xmlns="" id="{00000000-0008-0000-0800-00002E000000}"/>
            </a:ext>
          </a:extLst>
        </xdr:cNvPr>
        <xdr:cNvCxnSpPr/>
      </xdr:nvCxnSpPr>
      <xdr:spPr>
        <a:xfrm>
          <a:off x="3028950" y="26955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23</xdr:row>
      <xdr:rowOff>57944</xdr:rowOff>
    </xdr:from>
    <xdr:to>
      <xdr:col>2</xdr:col>
      <xdr:colOff>705645</xdr:colOff>
      <xdr:row>23</xdr:row>
      <xdr:rowOff>315119</xdr:rowOff>
    </xdr:to>
    <xdr:cxnSp macro="">
      <xdr:nvCxnSpPr>
        <xdr:cNvPr id="47" name="Straight Connector 46">
          <a:extLst>
            <a:ext uri="{FF2B5EF4-FFF2-40B4-BE49-F238E27FC236}">
              <a16:creationId xmlns:a16="http://schemas.microsoft.com/office/drawing/2014/main" xmlns="" id="{00000000-0008-0000-0800-00002F000000}"/>
            </a:ext>
          </a:extLst>
        </xdr:cNvPr>
        <xdr:cNvCxnSpPr/>
      </xdr:nvCxnSpPr>
      <xdr:spPr>
        <a:xfrm rot="5400000" flipH="1" flipV="1">
          <a:off x="2900363" y="25574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23</xdr:row>
      <xdr:rowOff>67469</xdr:rowOff>
    </xdr:from>
    <xdr:to>
      <xdr:col>2</xdr:col>
      <xdr:colOff>1677196</xdr:colOff>
      <xdr:row>23</xdr:row>
      <xdr:rowOff>324644</xdr:rowOff>
    </xdr:to>
    <xdr:cxnSp macro="">
      <xdr:nvCxnSpPr>
        <xdr:cNvPr id="48" name="Straight Connector 47">
          <a:extLst>
            <a:ext uri="{FF2B5EF4-FFF2-40B4-BE49-F238E27FC236}">
              <a16:creationId xmlns:a16="http://schemas.microsoft.com/office/drawing/2014/main" xmlns="" id="{00000000-0008-0000-0800-000030000000}"/>
            </a:ext>
          </a:extLst>
        </xdr:cNvPr>
        <xdr:cNvCxnSpPr/>
      </xdr:nvCxnSpPr>
      <xdr:spPr>
        <a:xfrm rot="5400000" flipH="1" flipV="1">
          <a:off x="3871914" y="25669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23</xdr:row>
      <xdr:rowOff>85725</xdr:rowOff>
    </xdr:from>
    <xdr:ext cx="323849" cy="142875"/>
    <xdr:sp macro="" textlink="">
      <xdr:nvSpPr>
        <xdr:cNvPr id="49" name="TextBox 48">
          <a:extLst>
            <a:ext uri="{FF2B5EF4-FFF2-40B4-BE49-F238E27FC236}">
              <a16:creationId xmlns:a16="http://schemas.microsoft.com/office/drawing/2014/main" xmlns="" id="{00000000-0008-0000-0800-000031000000}"/>
            </a:ext>
          </a:extLst>
        </xdr:cNvPr>
        <xdr:cNvSpPr txBox="1"/>
      </xdr:nvSpPr>
      <xdr:spPr>
        <a:xfrm>
          <a:off x="2667001" y="24574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23</xdr:row>
      <xdr:rowOff>114300</xdr:rowOff>
    </xdr:from>
    <xdr:ext cx="323849" cy="142875"/>
    <xdr:sp macro="" textlink="">
      <xdr:nvSpPr>
        <xdr:cNvPr id="50" name="TextBox 49">
          <a:extLst>
            <a:ext uri="{FF2B5EF4-FFF2-40B4-BE49-F238E27FC236}">
              <a16:creationId xmlns:a16="http://schemas.microsoft.com/office/drawing/2014/main" xmlns="" id="{00000000-0008-0000-0800-000032000000}"/>
            </a:ext>
          </a:extLst>
        </xdr:cNvPr>
        <xdr:cNvSpPr txBox="1"/>
      </xdr:nvSpPr>
      <xdr:spPr>
        <a:xfrm>
          <a:off x="4048126" y="2486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23</xdr:row>
      <xdr:rowOff>400050</xdr:rowOff>
    </xdr:from>
    <xdr:ext cx="323849" cy="142875"/>
    <xdr:sp macro="" textlink="">
      <xdr:nvSpPr>
        <xdr:cNvPr id="51" name="TextBox 50">
          <a:extLst>
            <a:ext uri="{FF2B5EF4-FFF2-40B4-BE49-F238E27FC236}">
              <a16:creationId xmlns:a16="http://schemas.microsoft.com/office/drawing/2014/main" xmlns="" id="{00000000-0008-0000-0800-000033000000}"/>
            </a:ext>
          </a:extLst>
        </xdr:cNvPr>
        <xdr:cNvSpPr txBox="1"/>
      </xdr:nvSpPr>
      <xdr:spPr>
        <a:xfrm>
          <a:off x="3333751" y="27717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24</xdr:row>
      <xdr:rowOff>85725</xdr:rowOff>
    </xdr:from>
    <xdr:to>
      <xdr:col>2</xdr:col>
      <xdr:colOff>1676400</xdr:colOff>
      <xdr:row>24</xdr:row>
      <xdr:rowOff>87313</xdr:rowOff>
    </xdr:to>
    <xdr:cxnSp macro="">
      <xdr:nvCxnSpPr>
        <xdr:cNvPr id="52" name="Straight Connector 51">
          <a:extLst>
            <a:ext uri="{FF2B5EF4-FFF2-40B4-BE49-F238E27FC236}">
              <a16:creationId xmlns:a16="http://schemas.microsoft.com/office/drawing/2014/main" xmlns="" id="{00000000-0008-0000-0800-000034000000}"/>
            </a:ext>
          </a:extLst>
        </xdr:cNvPr>
        <xdr:cNvCxnSpPr/>
      </xdr:nvCxnSpPr>
      <xdr:spPr>
        <a:xfrm>
          <a:off x="3028950" y="30861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24</xdr:row>
      <xdr:rowOff>86519</xdr:rowOff>
    </xdr:from>
    <xdr:to>
      <xdr:col>2</xdr:col>
      <xdr:colOff>705645</xdr:colOff>
      <xdr:row>24</xdr:row>
      <xdr:rowOff>343694</xdr:rowOff>
    </xdr:to>
    <xdr:cxnSp macro="">
      <xdr:nvCxnSpPr>
        <xdr:cNvPr id="53" name="Straight Connector 52">
          <a:extLst>
            <a:ext uri="{FF2B5EF4-FFF2-40B4-BE49-F238E27FC236}">
              <a16:creationId xmlns:a16="http://schemas.microsoft.com/office/drawing/2014/main" xmlns="" id="{00000000-0008-0000-0800-000035000000}"/>
            </a:ext>
          </a:extLst>
        </xdr:cNvPr>
        <xdr:cNvCxnSpPr/>
      </xdr:nvCxnSpPr>
      <xdr:spPr>
        <a:xfrm rot="5400000" flipH="1" flipV="1">
          <a:off x="2900363" y="3214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24</xdr:row>
      <xdr:rowOff>96044</xdr:rowOff>
    </xdr:from>
    <xdr:to>
      <xdr:col>2</xdr:col>
      <xdr:colOff>1677196</xdr:colOff>
      <xdr:row>24</xdr:row>
      <xdr:rowOff>353219</xdr:rowOff>
    </xdr:to>
    <xdr:cxnSp macro="">
      <xdr:nvCxnSpPr>
        <xdr:cNvPr id="54" name="Straight Connector 53">
          <a:extLst>
            <a:ext uri="{FF2B5EF4-FFF2-40B4-BE49-F238E27FC236}">
              <a16:creationId xmlns:a16="http://schemas.microsoft.com/office/drawing/2014/main" xmlns="" id="{00000000-0008-0000-0800-000036000000}"/>
            </a:ext>
          </a:extLst>
        </xdr:cNvPr>
        <xdr:cNvCxnSpPr/>
      </xdr:nvCxnSpPr>
      <xdr:spPr>
        <a:xfrm rot="5400000" flipH="1" flipV="1">
          <a:off x="3871914" y="32242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24</xdr:row>
      <xdr:rowOff>85725</xdr:rowOff>
    </xdr:from>
    <xdr:ext cx="323849" cy="142875"/>
    <xdr:sp macro="" textlink="">
      <xdr:nvSpPr>
        <xdr:cNvPr id="55" name="TextBox 54">
          <a:extLst>
            <a:ext uri="{FF2B5EF4-FFF2-40B4-BE49-F238E27FC236}">
              <a16:creationId xmlns:a16="http://schemas.microsoft.com/office/drawing/2014/main" xmlns="" id="{00000000-0008-0000-0800-000037000000}"/>
            </a:ext>
          </a:extLst>
        </xdr:cNvPr>
        <xdr:cNvSpPr txBox="1"/>
      </xdr:nvSpPr>
      <xdr:spPr>
        <a:xfrm>
          <a:off x="2667001" y="30861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1724026</xdr:colOff>
      <xdr:row>24</xdr:row>
      <xdr:rowOff>114300</xdr:rowOff>
    </xdr:from>
    <xdr:ext cx="323849" cy="142875"/>
    <xdr:sp macro="" textlink="">
      <xdr:nvSpPr>
        <xdr:cNvPr id="56" name="TextBox 55">
          <a:extLst>
            <a:ext uri="{FF2B5EF4-FFF2-40B4-BE49-F238E27FC236}">
              <a16:creationId xmlns:a16="http://schemas.microsoft.com/office/drawing/2014/main" xmlns="" id="{00000000-0008-0000-0800-000038000000}"/>
            </a:ext>
          </a:extLst>
        </xdr:cNvPr>
        <xdr:cNvSpPr txBox="1"/>
      </xdr:nvSpPr>
      <xdr:spPr>
        <a:xfrm>
          <a:off x="4048126" y="31146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1009651</xdr:colOff>
      <xdr:row>24</xdr:row>
      <xdr:rowOff>247650</xdr:rowOff>
    </xdr:from>
    <xdr:ext cx="323849" cy="142875"/>
    <xdr:sp macro="" textlink="">
      <xdr:nvSpPr>
        <xdr:cNvPr id="57" name="TextBox 56">
          <a:extLst>
            <a:ext uri="{FF2B5EF4-FFF2-40B4-BE49-F238E27FC236}">
              <a16:creationId xmlns:a16="http://schemas.microsoft.com/office/drawing/2014/main" xmlns="" id="{00000000-0008-0000-0800-000039000000}"/>
            </a:ext>
          </a:extLst>
        </xdr:cNvPr>
        <xdr:cNvSpPr txBox="1"/>
      </xdr:nvSpPr>
      <xdr:spPr>
        <a:xfrm>
          <a:off x="3333751" y="3248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25</xdr:row>
      <xdr:rowOff>85725</xdr:rowOff>
    </xdr:from>
    <xdr:to>
      <xdr:col>2</xdr:col>
      <xdr:colOff>1676400</xdr:colOff>
      <xdr:row>25</xdr:row>
      <xdr:rowOff>87313</xdr:rowOff>
    </xdr:to>
    <xdr:cxnSp macro="">
      <xdr:nvCxnSpPr>
        <xdr:cNvPr id="58" name="Straight Connector 57">
          <a:extLst>
            <a:ext uri="{FF2B5EF4-FFF2-40B4-BE49-F238E27FC236}">
              <a16:creationId xmlns:a16="http://schemas.microsoft.com/office/drawing/2014/main" xmlns="" id="{00000000-0008-0000-0800-00003A000000}"/>
            </a:ext>
          </a:extLst>
        </xdr:cNvPr>
        <xdr:cNvCxnSpPr/>
      </xdr:nvCxnSpPr>
      <xdr:spPr>
        <a:xfrm>
          <a:off x="3028950" y="37147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25</xdr:row>
      <xdr:rowOff>86519</xdr:rowOff>
    </xdr:from>
    <xdr:to>
      <xdr:col>2</xdr:col>
      <xdr:colOff>705645</xdr:colOff>
      <xdr:row>25</xdr:row>
      <xdr:rowOff>343694</xdr:rowOff>
    </xdr:to>
    <xdr:cxnSp macro="">
      <xdr:nvCxnSpPr>
        <xdr:cNvPr id="59" name="Straight Connector 58">
          <a:extLst>
            <a:ext uri="{FF2B5EF4-FFF2-40B4-BE49-F238E27FC236}">
              <a16:creationId xmlns:a16="http://schemas.microsoft.com/office/drawing/2014/main" xmlns="" id="{00000000-0008-0000-0800-00003B000000}"/>
            </a:ext>
          </a:extLst>
        </xdr:cNvPr>
        <xdr:cNvCxnSpPr/>
      </xdr:nvCxnSpPr>
      <xdr:spPr>
        <a:xfrm rot="5400000" flipH="1" flipV="1">
          <a:off x="2900363" y="38433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25</xdr:row>
      <xdr:rowOff>96044</xdr:rowOff>
    </xdr:from>
    <xdr:to>
      <xdr:col>2</xdr:col>
      <xdr:colOff>1677196</xdr:colOff>
      <xdr:row>25</xdr:row>
      <xdr:rowOff>353219</xdr:rowOff>
    </xdr:to>
    <xdr:cxnSp macro="">
      <xdr:nvCxnSpPr>
        <xdr:cNvPr id="60" name="Straight Connector 59">
          <a:extLst>
            <a:ext uri="{FF2B5EF4-FFF2-40B4-BE49-F238E27FC236}">
              <a16:creationId xmlns:a16="http://schemas.microsoft.com/office/drawing/2014/main" xmlns="" id="{00000000-0008-0000-0800-00003C000000}"/>
            </a:ext>
          </a:extLst>
        </xdr:cNvPr>
        <xdr:cNvCxnSpPr/>
      </xdr:nvCxnSpPr>
      <xdr:spPr>
        <a:xfrm rot="5400000" flipH="1" flipV="1">
          <a:off x="3871914" y="38528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25</xdr:row>
      <xdr:rowOff>104775</xdr:rowOff>
    </xdr:from>
    <xdr:ext cx="323849" cy="142875"/>
    <xdr:sp macro="" textlink="">
      <xdr:nvSpPr>
        <xdr:cNvPr id="61" name="TextBox 60">
          <a:extLst>
            <a:ext uri="{FF2B5EF4-FFF2-40B4-BE49-F238E27FC236}">
              <a16:creationId xmlns:a16="http://schemas.microsoft.com/office/drawing/2014/main" xmlns="" id="{00000000-0008-0000-0800-00003D000000}"/>
            </a:ext>
          </a:extLst>
        </xdr:cNvPr>
        <xdr:cNvSpPr txBox="1"/>
      </xdr:nvSpPr>
      <xdr:spPr>
        <a:xfrm>
          <a:off x="2657476" y="3733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1771651</xdr:colOff>
      <xdr:row>25</xdr:row>
      <xdr:rowOff>133350</xdr:rowOff>
    </xdr:from>
    <xdr:ext cx="323849" cy="142875"/>
    <xdr:sp macro="" textlink="">
      <xdr:nvSpPr>
        <xdr:cNvPr id="62" name="TextBox 61">
          <a:extLst>
            <a:ext uri="{FF2B5EF4-FFF2-40B4-BE49-F238E27FC236}">
              <a16:creationId xmlns:a16="http://schemas.microsoft.com/office/drawing/2014/main" xmlns="" id="{00000000-0008-0000-0800-00003E000000}"/>
            </a:ext>
          </a:extLst>
        </xdr:cNvPr>
        <xdr:cNvSpPr txBox="1"/>
      </xdr:nvSpPr>
      <xdr:spPr>
        <a:xfrm>
          <a:off x="4095751" y="3762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1009651</xdr:colOff>
      <xdr:row>25</xdr:row>
      <xdr:rowOff>247650</xdr:rowOff>
    </xdr:from>
    <xdr:ext cx="323849" cy="142875"/>
    <xdr:sp macro="" textlink="">
      <xdr:nvSpPr>
        <xdr:cNvPr id="63" name="TextBox 62">
          <a:extLst>
            <a:ext uri="{FF2B5EF4-FFF2-40B4-BE49-F238E27FC236}">
              <a16:creationId xmlns:a16="http://schemas.microsoft.com/office/drawing/2014/main" xmlns="" id="{00000000-0008-0000-0800-00003F000000}"/>
            </a:ext>
          </a:extLst>
        </xdr:cNvPr>
        <xdr:cNvSpPr txBox="1"/>
      </xdr:nvSpPr>
      <xdr:spPr>
        <a:xfrm>
          <a:off x="3333751" y="38766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44</xdr:row>
      <xdr:rowOff>323850</xdr:rowOff>
    </xdr:from>
    <xdr:to>
      <xdr:col>2</xdr:col>
      <xdr:colOff>1676400</xdr:colOff>
      <xdr:row>44</xdr:row>
      <xdr:rowOff>325438</xdr:rowOff>
    </xdr:to>
    <xdr:cxnSp macro="">
      <xdr:nvCxnSpPr>
        <xdr:cNvPr id="64" name="Straight Connector 63">
          <a:extLst>
            <a:ext uri="{FF2B5EF4-FFF2-40B4-BE49-F238E27FC236}">
              <a16:creationId xmlns:a16="http://schemas.microsoft.com/office/drawing/2014/main" xmlns="" id="{00000000-0008-0000-0800-000040000000}"/>
            </a:ext>
          </a:extLst>
        </xdr:cNvPr>
        <xdr:cNvCxnSpPr/>
      </xdr:nvCxnSpPr>
      <xdr:spPr>
        <a:xfrm>
          <a:off x="3028950" y="24479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44</xdr:row>
      <xdr:rowOff>57944</xdr:rowOff>
    </xdr:from>
    <xdr:to>
      <xdr:col>2</xdr:col>
      <xdr:colOff>705645</xdr:colOff>
      <xdr:row>44</xdr:row>
      <xdr:rowOff>315119</xdr:rowOff>
    </xdr:to>
    <xdr:cxnSp macro="">
      <xdr:nvCxnSpPr>
        <xdr:cNvPr id="65" name="Straight Connector 64">
          <a:extLst>
            <a:ext uri="{FF2B5EF4-FFF2-40B4-BE49-F238E27FC236}">
              <a16:creationId xmlns:a16="http://schemas.microsoft.com/office/drawing/2014/main" xmlns="" id="{00000000-0008-0000-0800-000041000000}"/>
            </a:ext>
          </a:extLst>
        </xdr:cNvPr>
        <xdr:cNvCxnSpPr/>
      </xdr:nvCxnSpPr>
      <xdr:spPr>
        <a:xfrm rot="5400000" flipH="1" flipV="1">
          <a:off x="2900363" y="23098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44</xdr:row>
      <xdr:rowOff>67469</xdr:rowOff>
    </xdr:from>
    <xdr:to>
      <xdr:col>2</xdr:col>
      <xdr:colOff>1677196</xdr:colOff>
      <xdr:row>44</xdr:row>
      <xdr:rowOff>324644</xdr:rowOff>
    </xdr:to>
    <xdr:cxnSp macro="">
      <xdr:nvCxnSpPr>
        <xdr:cNvPr id="66" name="Straight Connector 65">
          <a:extLst>
            <a:ext uri="{FF2B5EF4-FFF2-40B4-BE49-F238E27FC236}">
              <a16:creationId xmlns:a16="http://schemas.microsoft.com/office/drawing/2014/main" xmlns="" id="{00000000-0008-0000-0800-000042000000}"/>
            </a:ext>
          </a:extLst>
        </xdr:cNvPr>
        <xdr:cNvCxnSpPr/>
      </xdr:nvCxnSpPr>
      <xdr:spPr>
        <a:xfrm rot="5400000" flipH="1" flipV="1">
          <a:off x="3871914" y="23193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44</xdr:row>
      <xdr:rowOff>85725</xdr:rowOff>
    </xdr:from>
    <xdr:ext cx="323849" cy="142875"/>
    <xdr:sp macro="" textlink="">
      <xdr:nvSpPr>
        <xdr:cNvPr id="67" name="TextBox 66">
          <a:extLst>
            <a:ext uri="{FF2B5EF4-FFF2-40B4-BE49-F238E27FC236}">
              <a16:creationId xmlns:a16="http://schemas.microsoft.com/office/drawing/2014/main" xmlns="" id="{00000000-0008-0000-0800-000043000000}"/>
            </a:ext>
          </a:extLst>
        </xdr:cNvPr>
        <xdr:cNvSpPr txBox="1"/>
      </xdr:nvSpPr>
      <xdr:spPr>
        <a:xfrm>
          <a:off x="2667001" y="2209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44</xdr:row>
      <xdr:rowOff>114300</xdr:rowOff>
    </xdr:from>
    <xdr:ext cx="323849" cy="142875"/>
    <xdr:sp macro="" textlink="">
      <xdr:nvSpPr>
        <xdr:cNvPr id="68" name="TextBox 67">
          <a:extLst>
            <a:ext uri="{FF2B5EF4-FFF2-40B4-BE49-F238E27FC236}">
              <a16:creationId xmlns:a16="http://schemas.microsoft.com/office/drawing/2014/main" xmlns="" id="{00000000-0008-0000-0800-000044000000}"/>
            </a:ext>
          </a:extLst>
        </xdr:cNvPr>
        <xdr:cNvSpPr txBox="1"/>
      </xdr:nvSpPr>
      <xdr:spPr>
        <a:xfrm>
          <a:off x="4048126" y="2238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44</xdr:row>
      <xdr:rowOff>400050</xdr:rowOff>
    </xdr:from>
    <xdr:ext cx="323849" cy="142875"/>
    <xdr:sp macro="" textlink="">
      <xdr:nvSpPr>
        <xdr:cNvPr id="69" name="TextBox 68">
          <a:extLst>
            <a:ext uri="{FF2B5EF4-FFF2-40B4-BE49-F238E27FC236}">
              <a16:creationId xmlns:a16="http://schemas.microsoft.com/office/drawing/2014/main" xmlns="" id="{00000000-0008-0000-0800-000045000000}"/>
            </a:ext>
          </a:extLst>
        </xdr:cNvPr>
        <xdr:cNvSpPr txBox="1"/>
      </xdr:nvSpPr>
      <xdr:spPr>
        <a:xfrm>
          <a:off x="3333751" y="2524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45</xdr:row>
      <xdr:rowOff>323850</xdr:rowOff>
    </xdr:from>
    <xdr:to>
      <xdr:col>2</xdr:col>
      <xdr:colOff>1676400</xdr:colOff>
      <xdr:row>45</xdr:row>
      <xdr:rowOff>325438</xdr:rowOff>
    </xdr:to>
    <xdr:cxnSp macro="">
      <xdr:nvCxnSpPr>
        <xdr:cNvPr id="70" name="Straight Connector 69">
          <a:extLst>
            <a:ext uri="{FF2B5EF4-FFF2-40B4-BE49-F238E27FC236}">
              <a16:creationId xmlns:a16="http://schemas.microsoft.com/office/drawing/2014/main" xmlns="" id="{00000000-0008-0000-0800-000046000000}"/>
            </a:ext>
          </a:extLst>
        </xdr:cNvPr>
        <xdr:cNvCxnSpPr/>
      </xdr:nvCxnSpPr>
      <xdr:spPr>
        <a:xfrm>
          <a:off x="3028950" y="30765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45</xdr:row>
      <xdr:rowOff>57944</xdr:rowOff>
    </xdr:from>
    <xdr:to>
      <xdr:col>2</xdr:col>
      <xdr:colOff>705645</xdr:colOff>
      <xdr:row>45</xdr:row>
      <xdr:rowOff>315119</xdr:rowOff>
    </xdr:to>
    <xdr:cxnSp macro="">
      <xdr:nvCxnSpPr>
        <xdr:cNvPr id="71" name="Straight Connector 70">
          <a:extLst>
            <a:ext uri="{FF2B5EF4-FFF2-40B4-BE49-F238E27FC236}">
              <a16:creationId xmlns:a16="http://schemas.microsoft.com/office/drawing/2014/main" xmlns="" id="{00000000-0008-0000-0800-000047000000}"/>
            </a:ext>
          </a:extLst>
        </xdr:cNvPr>
        <xdr:cNvCxnSpPr/>
      </xdr:nvCxnSpPr>
      <xdr:spPr>
        <a:xfrm rot="5400000" flipH="1" flipV="1">
          <a:off x="2900363" y="29384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45</xdr:row>
      <xdr:rowOff>67469</xdr:rowOff>
    </xdr:from>
    <xdr:to>
      <xdr:col>2</xdr:col>
      <xdr:colOff>1677196</xdr:colOff>
      <xdr:row>45</xdr:row>
      <xdr:rowOff>324644</xdr:rowOff>
    </xdr:to>
    <xdr:cxnSp macro="">
      <xdr:nvCxnSpPr>
        <xdr:cNvPr id="72" name="Straight Connector 71">
          <a:extLst>
            <a:ext uri="{FF2B5EF4-FFF2-40B4-BE49-F238E27FC236}">
              <a16:creationId xmlns:a16="http://schemas.microsoft.com/office/drawing/2014/main" xmlns="" id="{00000000-0008-0000-0800-000048000000}"/>
            </a:ext>
          </a:extLst>
        </xdr:cNvPr>
        <xdr:cNvCxnSpPr/>
      </xdr:nvCxnSpPr>
      <xdr:spPr>
        <a:xfrm rot="5400000" flipH="1" flipV="1">
          <a:off x="3871914" y="29479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45</xdr:row>
      <xdr:rowOff>85725</xdr:rowOff>
    </xdr:from>
    <xdr:ext cx="323849" cy="142875"/>
    <xdr:sp macro="" textlink="">
      <xdr:nvSpPr>
        <xdr:cNvPr id="73" name="TextBox 72">
          <a:extLst>
            <a:ext uri="{FF2B5EF4-FFF2-40B4-BE49-F238E27FC236}">
              <a16:creationId xmlns:a16="http://schemas.microsoft.com/office/drawing/2014/main" xmlns="" id="{00000000-0008-0000-0800-000049000000}"/>
            </a:ext>
          </a:extLst>
        </xdr:cNvPr>
        <xdr:cNvSpPr txBox="1"/>
      </xdr:nvSpPr>
      <xdr:spPr>
        <a:xfrm>
          <a:off x="2667001" y="28384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45</xdr:row>
      <xdr:rowOff>114300</xdr:rowOff>
    </xdr:from>
    <xdr:ext cx="323849" cy="142875"/>
    <xdr:sp macro="" textlink="">
      <xdr:nvSpPr>
        <xdr:cNvPr id="74" name="TextBox 73">
          <a:extLst>
            <a:ext uri="{FF2B5EF4-FFF2-40B4-BE49-F238E27FC236}">
              <a16:creationId xmlns:a16="http://schemas.microsoft.com/office/drawing/2014/main" xmlns="" id="{00000000-0008-0000-0800-00004A000000}"/>
            </a:ext>
          </a:extLst>
        </xdr:cNvPr>
        <xdr:cNvSpPr txBox="1"/>
      </xdr:nvSpPr>
      <xdr:spPr>
        <a:xfrm>
          <a:off x="4048126" y="2867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45</xdr:row>
      <xdr:rowOff>400050</xdr:rowOff>
    </xdr:from>
    <xdr:ext cx="323849" cy="142875"/>
    <xdr:sp macro="" textlink="">
      <xdr:nvSpPr>
        <xdr:cNvPr id="75" name="TextBox 74">
          <a:extLst>
            <a:ext uri="{FF2B5EF4-FFF2-40B4-BE49-F238E27FC236}">
              <a16:creationId xmlns:a16="http://schemas.microsoft.com/office/drawing/2014/main" xmlns="" id="{00000000-0008-0000-0800-00004B000000}"/>
            </a:ext>
          </a:extLst>
        </xdr:cNvPr>
        <xdr:cNvSpPr txBox="1"/>
      </xdr:nvSpPr>
      <xdr:spPr>
        <a:xfrm>
          <a:off x="3333751" y="31527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46</xdr:row>
      <xdr:rowOff>85725</xdr:rowOff>
    </xdr:from>
    <xdr:to>
      <xdr:col>2</xdr:col>
      <xdr:colOff>1676400</xdr:colOff>
      <xdr:row>46</xdr:row>
      <xdr:rowOff>87313</xdr:rowOff>
    </xdr:to>
    <xdr:cxnSp macro="">
      <xdr:nvCxnSpPr>
        <xdr:cNvPr id="76" name="Straight Connector 75">
          <a:extLst>
            <a:ext uri="{FF2B5EF4-FFF2-40B4-BE49-F238E27FC236}">
              <a16:creationId xmlns:a16="http://schemas.microsoft.com/office/drawing/2014/main" xmlns="" id="{00000000-0008-0000-0800-00004C000000}"/>
            </a:ext>
          </a:extLst>
        </xdr:cNvPr>
        <xdr:cNvCxnSpPr/>
      </xdr:nvCxnSpPr>
      <xdr:spPr>
        <a:xfrm>
          <a:off x="3028950" y="34671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46</xdr:row>
      <xdr:rowOff>86519</xdr:rowOff>
    </xdr:from>
    <xdr:to>
      <xdr:col>2</xdr:col>
      <xdr:colOff>705645</xdr:colOff>
      <xdr:row>46</xdr:row>
      <xdr:rowOff>343694</xdr:rowOff>
    </xdr:to>
    <xdr:cxnSp macro="">
      <xdr:nvCxnSpPr>
        <xdr:cNvPr id="77" name="Straight Connector 76">
          <a:extLst>
            <a:ext uri="{FF2B5EF4-FFF2-40B4-BE49-F238E27FC236}">
              <a16:creationId xmlns:a16="http://schemas.microsoft.com/office/drawing/2014/main" xmlns="" id="{00000000-0008-0000-0800-00004D000000}"/>
            </a:ext>
          </a:extLst>
        </xdr:cNvPr>
        <xdr:cNvCxnSpPr/>
      </xdr:nvCxnSpPr>
      <xdr:spPr>
        <a:xfrm rot="5400000" flipH="1" flipV="1">
          <a:off x="2900363" y="35956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46</xdr:row>
      <xdr:rowOff>96044</xdr:rowOff>
    </xdr:from>
    <xdr:to>
      <xdr:col>2</xdr:col>
      <xdr:colOff>1677196</xdr:colOff>
      <xdr:row>46</xdr:row>
      <xdr:rowOff>353219</xdr:rowOff>
    </xdr:to>
    <xdr:cxnSp macro="">
      <xdr:nvCxnSpPr>
        <xdr:cNvPr id="78" name="Straight Connector 77">
          <a:extLst>
            <a:ext uri="{FF2B5EF4-FFF2-40B4-BE49-F238E27FC236}">
              <a16:creationId xmlns:a16="http://schemas.microsoft.com/office/drawing/2014/main" xmlns="" id="{00000000-0008-0000-0800-00004E000000}"/>
            </a:ext>
          </a:extLst>
        </xdr:cNvPr>
        <xdr:cNvCxnSpPr/>
      </xdr:nvCxnSpPr>
      <xdr:spPr>
        <a:xfrm rot="5400000" flipH="1" flipV="1">
          <a:off x="3871914" y="36052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46</xdr:row>
      <xdr:rowOff>85725</xdr:rowOff>
    </xdr:from>
    <xdr:ext cx="323849" cy="142875"/>
    <xdr:sp macro="" textlink="">
      <xdr:nvSpPr>
        <xdr:cNvPr id="79" name="TextBox 78">
          <a:extLst>
            <a:ext uri="{FF2B5EF4-FFF2-40B4-BE49-F238E27FC236}">
              <a16:creationId xmlns:a16="http://schemas.microsoft.com/office/drawing/2014/main" xmlns="" id="{00000000-0008-0000-0800-00004F000000}"/>
            </a:ext>
          </a:extLst>
        </xdr:cNvPr>
        <xdr:cNvSpPr txBox="1"/>
      </xdr:nvSpPr>
      <xdr:spPr>
        <a:xfrm>
          <a:off x="2667001" y="34671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46</xdr:row>
      <xdr:rowOff>114300</xdr:rowOff>
    </xdr:from>
    <xdr:ext cx="323849" cy="142875"/>
    <xdr:sp macro="" textlink="">
      <xdr:nvSpPr>
        <xdr:cNvPr id="80" name="TextBox 79">
          <a:extLst>
            <a:ext uri="{FF2B5EF4-FFF2-40B4-BE49-F238E27FC236}">
              <a16:creationId xmlns:a16="http://schemas.microsoft.com/office/drawing/2014/main" xmlns="" id="{00000000-0008-0000-0800-000050000000}"/>
            </a:ext>
          </a:extLst>
        </xdr:cNvPr>
        <xdr:cNvSpPr txBox="1"/>
      </xdr:nvSpPr>
      <xdr:spPr>
        <a:xfrm>
          <a:off x="4048126" y="34956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46</xdr:row>
      <xdr:rowOff>247650</xdr:rowOff>
    </xdr:from>
    <xdr:ext cx="323849" cy="142875"/>
    <xdr:sp macro="" textlink="">
      <xdr:nvSpPr>
        <xdr:cNvPr id="81" name="TextBox 80">
          <a:extLst>
            <a:ext uri="{FF2B5EF4-FFF2-40B4-BE49-F238E27FC236}">
              <a16:creationId xmlns:a16="http://schemas.microsoft.com/office/drawing/2014/main" xmlns="" id="{00000000-0008-0000-0800-000051000000}"/>
            </a:ext>
          </a:extLst>
        </xdr:cNvPr>
        <xdr:cNvSpPr txBox="1"/>
      </xdr:nvSpPr>
      <xdr:spPr>
        <a:xfrm>
          <a:off x="3333751" y="3629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47</xdr:row>
      <xdr:rowOff>85725</xdr:rowOff>
    </xdr:from>
    <xdr:to>
      <xdr:col>2</xdr:col>
      <xdr:colOff>1676400</xdr:colOff>
      <xdr:row>47</xdr:row>
      <xdr:rowOff>87313</xdr:rowOff>
    </xdr:to>
    <xdr:cxnSp macro="">
      <xdr:nvCxnSpPr>
        <xdr:cNvPr id="82" name="Straight Connector 81">
          <a:extLst>
            <a:ext uri="{FF2B5EF4-FFF2-40B4-BE49-F238E27FC236}">
              <a16:creationId xmlns:a16="http://schemas.microsoft.com/office/drawing/2014/main" xmlns="" id="{00000000-0008-0000-0800-000052000000}"/>
            </a:ext>
          </a:extLst>
        </xdr:cNvPr>
        <xdr:cNvCxnSpPr/>
      </xdr:nvCxnSpPr>
      <xdr:spPr>
        <a:xfrm>
          <a:off x="3028950" y="40957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47</xdr:row>
      <xdr:rowOff>86519</xdr:rowOff>
    </xdr:from>
    <xdr:to>
      <xdr:col>2</xdr:col>
      <xdr:colOff>705645</xdr:colOff>
      <xdr:row>47</xdr:row>
      <xdr:rowOff>343694</xdr:rowOff>
    </xdr:to>
    <xdr:cxnSp macro="">
      <xdr:nvCxnSpPr>
        <xdr:cNvPr id="83" name="Straight Connector 82">
          <a:extLst>
            <a:ext uri="{FF2B5EF4-FFF2-40B4-BE49-F238E27FC236}">
              <a16:creationId xmlns:a16="http://schemas.microsoft.com/office/drawing/2014/main" xmlns="" id="{00000000-0008-0000-0800-000053000000}"/>
            </a:ext>
          </a:extLst>
        </xdr:cNvPr>
        <xdr:cNvCxnSpPr/>
      </xdr:nvCxnSpPr>
      <xdr:spPr>
        <a:xfrm rot="5400000" flipH="1" flipV="1">
          <a:off x="2900363" y="42243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47</xdr:row>
      <xdr:rowOff>96044</xdr:rowOff>
    </xdr:from>
    <xdr:to>
      <xdr:col>2</xdr:col>
      <xdr:colOff>1677196</xdr:colOff>
      <xdr:row>47</xdr:row>
      <xdr:rowOff>353219</xdr:rowOff>
    </xdr:to>
    <xdr:cxnSp macro="">
      <xdr:nvCxnSpPr>
        <xdr:cNvPr id="84" name="Straight Connector 83">
          <a:extLst>
            <a:ext uri="{FF2B5EF4-FFF2-40B4-BE49-F238E27FC236}">
              <a16:creationId xmlns:a16="http://schemas.microsoft.com/office/drawing/2014/main" xmlns="" id="{00000000-0008-0000-0800-000054000000}"/>
            </a:ext>
          </a:extLst>
        </xdr:cNvPr>
        <xdr:cNvCxnSpPr/>
      </xdr:nvCxnSpPr>
      <xdr:spPr>
        <a:xfrm rot="5400000" flipH="1" flipV="1">
          <a:off x="3871914" y="42338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47</xdr:row>
      <xdr:rowOff>104775</xdr:rowOff>
    </xdr:from>
    <xdr:ext cx="323849" cy="142875"/>
    <xdr:sp macro="" textlink="">
      <xdr:nvSpPr>
        <xdr:cNvPr id="85" name="TextBox 84">
          <a:extLst>
            <a:ext uri="{FF2B5EF4-FFF2-40B4-BE49-F238E27FC236}">
              <a16:creationId xmlns:a16="http://schemas.microsoft.com/office/drawing/2014/main" xmlns="" id="{00000000-0008-0000-0800-000055000000}"/>
            </a:ext>
          </a:extLst>
        </xdr:cNvPr>
        <xdr:cNvSpPr txBox="1"/>
      </xdr:nvSpPr>
      <xdr:spPr>
        <a:xfrm>
          <a:off x="2657476" y="41148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47</xdr:row>
      <xdr:rowOff>133350</xdr:rowOff>
    </xdr:from>
    <xdr:ext cx="323849" cy="142875"/>
    <xdr:sp macro="" textlink="">
      <xdr:nvSpPr>
        <xdr:cNvPr id="86" name="TextBox 85">
          <a:extLst>
            <a:ext uri="{FF2B5EF4-FFF2-40B4-BE49-F238E27FC236}">
              <a16:creationId xmlns:a16="http://schemas.microsoft.com/office/drawing/2014/main" xmlns="" id="{00000000-0008-0000-0800-000056000000}"/>
            </a:ext>
          </a:extLst>
        </xdr:cNvPr>
        <xdr:cNvSpPr txBox="1"/>
      </xdr:nvSpPr>
      <xdr:spPr>
        <a:xfrm>
          <a:off x="4095751" y="4143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47</xdr:row>
      <xdr:rowOff>247650</xdr:rowOff>
    </xdr:from>
    <xdr:ext cx="323849" cy="142875"/>
    <xdr:sp macro="" textlink="">
      <xdr:nvSpPr>
        <xdr:cNvPr id="87" name="TextBox 86">
          <a:extLst>
            <a:ext uri="{FF2B5EF4-FFF2-40B4-BE49-F238E27FC236}">
              <a16:creationId xmlns:a16="http://schemas.microsoft.com/office/drawing/2014/main" xmlns="" id="{00000000-0008-0000-0800-000057000000}"/>
            </a:ext>
          </a:extLst>
        </xdr:cNvPr>
        <xdr:cNvSpPr txBox="1"/>
      </xdr:nvSpPr>
      <xdr:spPr>
        <a:xfrm>
          <a:off x="3333751" y="42576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51</xdr:row>
      <xdr:rowOff>323850</xdr:rowOff>
    </xdr:from>
    <xdr:to>
      <xdr:col>2</xdr:col>
      <xdr:colOff>1676400</xdr:colOff>
      <xdr:row>51</xdr:row>
      <xdr:rowOff>325438</xdr:rowOff>
    </xdr:to>
    <xdr:cxnSp macro="">
      <xdr:nvCxnSpPr>
        <xdr:cNvPr id="88" name="Straight Connector 87">
          <a:extLst>
            <a:ext uri="{FF2B5EF4-FFF2-40B4-BE49-F238E27FC236}">
              <a16:creationId xmlns:a16="http://schemas.microsoft.com/office/drawing/2014/main" xmlns="" id="{00000000-0008-0000-0800-000058000000}"/>
            </a:ext>
          </a:extLst>
        </xdr:cNvPr>
        <xdr:cNvCxnSpPr/>
      </xdr:nvCxnSpPr>
      <xdr:spPr>
        <a:xfrm>
          <a:off x="3028950" y="55340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51</xdr:row>
      <xdr:rowOff>57944</xdr:rowOff>
    </xdr:from>
    <xdr:to>
      <xdr:col>2</xdr:col>
      <xdr:colOff>705645</xdr:colOff>
      <xdr:row>51</xdr:row>
      <xdr:rowOff>315119</xdr:rowOff>
    </xdr:to>
    <xdr:cxnSp macro="">
      <xdr:nvCxnSpPr>
        <xdr:cNvPr id="89" name="Straight Connector 88">
          <a:extLst>
            <a:ext uri="{FF2B5EF4-FFF2-40B4-BE49-F238E27FC236}">
              <a16:creationId xmlns:a16="http://schemas.microsoft.com/office/drawing/2014/main" xmlns="" id="{00000000-0008-0000-0800-000059000000}"/>
            </a:ext>
          </a:extLst>
        </xdr:cNvPr>
        <xdr:cNvCxnSpPr/>
      </xdr:nvCxnSpPr>
      <xdr:spPr>
        <a:xfrm rot="5400000" flipH="1" flipV="1">
          <a:off x="2900363" y="53959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51</xdr:row>
      <xdr:rowOff>67469</xdr:rowOff>
    </xdr:from>
    <xdr:to>
      <xdr:col>2</xdr:col>
      <xdr:colOff>1677196</xdr:colOff>
      <xdr:row>51</xdr:row>
      <xdr:rowOff>324644</xdr:rowOff>
    </xdr:to>
    <xdr:cxnSp macro="">
      <xdr:nvCxnSpPr>
        <xdr:cNvPr id="90" name="Straight Connector 89">
          <a:extLst>
            <a:ext uri="{FF2B5EF4-FFF2-40B4-BE49-F238E27FC236}">
              <a16:creationId xmlns:a16="http://schemas.microsoft.com/office/drawing/2014/main" xmlns="" id="{00000000-0008-0000-0800-00005A000000}"/>
            </a:ext>
          </a:extLst>
        </xdr:cNvPr>
        <xdr:cNvCxnSpPr/>
      </xdr:nvCxnSpPr>
      <xdr:spPr>
        <a:xfrm rot="5400000" flipH="1" flipV="1">
          <a:off x="3871914" y="54054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51</xdr:row>
      <xdr:rowOff>85725</xdr:rowOff>
    </xdr:from>
    <xdr:ext cx="323849" cy="142875"/>
    <xdr:sp macro="" textlink="">
      <xdr:nvSpPr>
        <xdr:cNvPr id="91" name="TextBox 90">
          <a:extLst>
            <a:ext uri="{FF2B5EF4-FFF2-40B4-BE49-F238E27FC236}">
              <a16:creationId xmlns:a16="http://schemas.microsoft.com/office/drawing/2014/main" xmlns="" id="{00000000-0008-0000-0800-00005B000000}"/>
            </a:ext>
          </a:extLst>
        </xdr:cNvPr>
        <xdr:cNvSpPr txBox="1"/>
      </xdr:nvSpPr>
      <xdr:spPr>
        <a:xfrm>
          <a:off x="2667001" y="52959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51</xdr:row>
      <xdr:rowOff>114300</xdr:rowOff>
    </xdr:from>
    <xdr:ext cx="323849" cy="142875"/>
    <xdr:sp macro="" textlink="">
      <xdr:nvSpPr>
        <xdr:cNvPr id="92" name="TextBox 91">
          <a:extLst>
            <a:ext uri="{FF2B5EF4-FFF2-40B4-BE49-F238E27FC236}">
              <a16:creationId xmlns:a16="http://schemas.microsoft.com/office/drawing/2014/main" xmlns="" id="{00000000-0008-0000-0800-00005C000000}"/>
            </a:ext>
          </a:extLst>
        </xdr:cNvPr>
        <xdr:cNvSpPr txBox="1"/>
      </xdr:nvSpPr>
      <xdr:spPr>
        <a:xfrm>
          <a:off x="4048126" y="5324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51</xdr:row>
      <xdr:rowOff>400050</xdr:rowOff>
    </xdr:from>
    <xdr:ext cx="323849" cy="142875"/>
    <xdr:sp macro="" textlink="">
      <xdr:nvSpPr>
        <xdr:cNvPr id="93" name="TextBox 92">
          <a:extLst>
            <a:ext uri="{FF2B5EF4-FFF2-40B4-BE49-F238E27FC236}">
              <a16:creationId xmlns:a16="http://schemas.microsoft.com/office/drawing/2014/main" xmlns="" id="{00000000-0008-0000-0800-00005D000000}"/>
            </a:ext>
          </a:extLst>
        </xdr:cNvPr>
        <xdr:cNvSpPr txBox="1"/>
      </xdr:nvSpPr>
      <xdr:spPr>
        <a:xfrm>
          <a:off x="3333751" y="56102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52</xdr:row>
      <xdr:rowOff>323850</xdr:rowOff>
    </xdr:from>
    <xdr:to>
      <xdr:col>2</xdr:col>
      <xdr:colOff>1676400</xdr:colOff>
      <xdr:row>52</xdr:row>
      <xdr:rowOff>325438</xdr:rowOff>
    </xdr:to>
    <xdr:cxnSp macro="">
      <xdr:nvCxnSpPr>
        <xdr:cNvPr id="94" name="Straight Connector 93">
          <a:extLst>
            <a:ext uri="{FF2B5EF4-FFF2-40B4-BE49-F238E27FC236}">
              <a16:creationId xmlns:a16="http://schemas.microsoft.com/office/drawing/2014/main" xmlns="" id="{00000000-0008-0000-0800-00005E000000}"/>
            </a:ext>
          </a:extLst>
        </xdr:cNvPr>
        <xdr:cNvCxnSpPr/>
      </xdr:nvCxnSpPr>
      <xdr:spPr>
        <a:xfrm>
          <a:off x="3028950" y="61626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52</xdr:row>
      <xdr:rowOff>57944</xdr:rowOff>
    </xdr:from>
    <xdr:to>
      <xdr:col>2</xdr:col>
      <xdr:colOff>705645</xdr:colOff>
      <xdr:row>52</xdr:row>
      <xdr:rowOff>315119</xdr:rowOff>
    </xdr:to>
    <xdr:cxnSp macro="">
      <xdr:nvCxnSpPr>
        <xdr:cNvPr id="95" name="Straight Connector 94">
          <a:extLst>
            <a:ext uri="{FF2B5EF4-FFF2-40B4-BE49-F238E27FC236}">
              <a16:creationId xmlns:a16="http://schemas.microsoft.com/office/drawing/2014/main" xmlns="" id="{00000000-0008-0000-0800-00005F000000}"/>
            </a:ext>
          </a:extLst>
        </xdr:cNvPr>
        <xdr:cNvCxnSpPr/>
      </xdr:nvCxnSpPr>
      <xdr:spPr>
        <a:xfrm rot="5400000" flipH="1" flipV="1">
          <a:off x="2900363" y="60245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52</xdr:row>
      <xdr:rowOff>67469</xdr:rowOff>
    </xdr:from>
    <xdr:to>
      <xdr:col>2</xdr:col>
      <xdr:colOff>1677196</xdr:colOff>
      <xdr:row>52</xdr:row>
      <xdr:rowOff>324644</xdr:rowOff>
    </xdr:to>
    <xdr:cxnSp macro="">
      <xdr:nvCxnSpPr>
        <xdr:cNvPr id="96" name="Straight Connector 95">
          <a:extLst>
            <a:ext uri="{FF2B5EF4-FFF2-40B4-BE49-F238E27FC236}">
              <a16:creationId xmlns:a16="http://schemas.microsoft.com/office/drawing/2014/main" xmlns="" id="{00000000-0008-0000-0800-000060000000}"/>
            </a:ext>
          </a:extLst>
        </xdr:cNvPr>
        <xdr:cNvCxnSpPr/>
      </xdr:nvCxnSpPr>
      <xdr:spPr>
        <a:xfrm rot="5400000" flipH="1" flipV="1">
          <a:off x="3871914" y="60340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52</xdr:row>
      <xdr:rowOff>85725</xdr:rowOff>
    </xdr:from>
    <xdr:ext cx="323849" cy="142875"/>
    <xdr:sp macro="" textlink="">
      <xdr:nvSpPr>
        <xdr:cNvPr id="97" name="TextBox 96">
          <a:extLst>
            <a:ext uri="{FF2B5EF4-FFF2-40B4-BE49-F238E27FC236}">
              <a16:creationId xmlns:a16="http://schemas.microsoft.com/office/drawing/2014/main" xmlns="" id="{00000000-0008-0000-0800-000061000000}"/>
            </a:ext>
          </a:extLst>
        </xdr:cNvPr>
        <xdr:cNvSpPr txBox="1"/>
      </xdr:nvSpPr>
      <xdr:spPr>
        <a:xfrm>
          <a:off x="2667001" y="59245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52</xdr:row>
      <xdr:rowOff>114300</xdr:rowOff>
    </xdr:from>
    <xdr:ext cx="323849" cy="142875"/>
    <xdr:sp macro="" textlink="">
      <xdr:nvSpPr>
        <xdr:cNvPr id="98" name="TextBox 97">
          <a:extLst>
            <a:ext uri="{FF2B5EF4-FFF2-40B4-BE49-F238E27FC236}">
              <a16:creationId xmlns:a16="http://schemas.microsoft.com/office/drawing/2014/main" xmlns="" id="{00000000-0008-0000-0800-000062000000}"/>
            </a:ext>
          </a:extLst>
        </xdr:cNvPr>
        <xdr:cNvSpPr txBox="1"/>
      </xdr:nvSpPr>
      <xdr:spPr>
        <a:xfrm>
          <a:off x="4048126" y="5953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52</xdr:row>
      <xdr:rowOff>400050</xdr:rowOff>
    </xdr:from>
    <xdr:ext cx="323849" cy="142875"/>
    <xdr:sp macro="" textlink="">
      <xdr:nvSpPr>
        <xdr:cNvPr id="99" name="TextBox 98">
          <a:extLst>
            <a:ext uri="{FF2B5EF4-FFF2-40B4-BE49-F238E27FC236}">
              <a16:creationId xmlns:a16="http://schemas.microsoft.com/office/drawing/2014/main" xmlns="" id="{00000000-0008-0000-0800-000063000000}"/>
            </a:ext>
          </a:extLst>
        </xdr:cNvPr>
        <xdr:cNvSpPr txBox="1"/>
      </xdr:nvSpPr>
      <xdr:spPr>
        <a:xfrm>
          <a:off x="3333751" y="62388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53</xdr:row>
      <xdr:rowOff>85725</xdr:rowOff>
    </xdr:from>
    <xdr:to>
      <xdr:col>2</xdr:col>
      <xdr:colOff>1676400</xdr:colOff>
      <xdr:row>53</xdr:row>
      <xdr:rowOff>87313</xdr:rowOff>
    </xdr:to>
    <xdr:cxnSp macro="">
      <xdr:nvCxnSpPr>
        <xdr:cNvPr id="100" name="Straight Connector 99">
          <a:extLst>
            <a:ext uri="{FF2B5EF4-FFF2-40B4-BE49-F238E27FC236}">
              <a16:creationId xmlns:a16="http://schemas.microsoft.com/office/drawing/2014/main" xmlns="" id="{00000000-0008-0000-0800-000064000000}"/>
            </a:ext>
          </a:extLst>
        </xdr:cNvPr>
        <xdr:cNvCxnSpPr/>
      </xdr:nvCxnSpPr>
      <xdr:spPr>
        <a:xfrm>
          <a:off x="3028950" y="65532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53</xdr:row>
      <xdr:rowOff>86519</xdr:rowOff>
    </xdr:from>
    <xdr:to>
      <xdr:col>2</xdr:col>
      <xdr:colOff>705645</xdr:colOff>
      <xdr:row>53</xdr:row>
      <xdr:rowOff>343694</xdr:rowOff>
    </xdr:to>
    <xdr:cxnSp macro="">
      <xdr:nvCxnSpPr>
        <xdr:cNvPr id="101" name="Straight Connector 100">
          <a:extLst>
            <a:ext uri="{FF2B5EF4-FFF2-40B4-BE49-F238E27FC236}">
              <a16:creationId xmlns:a16="http://schemas.microsoft.com/office/drawing/2014/main" xmlns="" id="{00000000-0008-0000-0800-000065000000}"/>
            </a:ext>
          </a:extLst>
        </xdr:cNvPr>
        <xdr:cNvCxnSpPr/>
      </xdr:nvCxnSpPr>
      <xdr:spPr>
        <a:xfrm rot="5400000" flipH="1" flipV="1">
          <a:off x="2900363" y="66817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53</xdr:row>
      <xdr:rowOff>96044</xdr:rowOff>
    </xdr:from>
    <xdr:to>
      <xdr:col>2</xdr:col>
      <xdr:colOff>1677196</xdr:colOff>
      <xdr:row>53</xdr:row>
      <xdr:rowOff>353219</xdr:rowOff>
    </xdr:to>
    <xdr:cxnSp macro="">
      <xdr:nvCxnSpPr>
        <xdr:cNvPr id="102" name="Straight Connector 101">
          <a:extLst>
            <a:ext uri="{FF2B5EF4-FFF2-40B4-BE49-F238E27FC236}">
              <a16:creationId xmlns:a16="http://schemas.microsoft.com/office/drawing/2014/main" xmlns="" id="{00000000-0008-0000-0800-000066000000}"/>
            </a:ext>
          </a:extLst>
        </xdr:cNvPr>
        <xdr:cNvCxnSpPr/>
      </xdr:nvCxnSpPr>
      <xdr:spPr>
        <a:xfrm rot="5400000" flipH="1" flipV="1">
          <a:off x="3871914" y="66913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53</xdr:row>
      <xdr:rowOff>85725</xdr:rowOff>
    </xdr:from>
    <xdr:ext cx="323849" cy="142875"/>
    <xdr:sp macro="" textlink="">
      <xdr:nvSpPr>
        <xdr:cNvPr id="103" name="TextBox 102">
          <a:extLst>
            <a:ext uri="{FF2B5EF4-FFF2-40B4-BE49-F238E27FC236}">
              <a16:creationId xmlns:a16="http://schemas.microsoft.com/office/drawing/2014/main" xmlns="" id="{00000000-0008-0000-0800-000067000000}"/>
            </a:ext>
          </a:extLst>
        </xdr:cNvPr>
        <xdr:cNvSpPr txBox="1"/>
      </xdr:nvSpPr>
      <xdr:spPr>
        <a:xfrm>
          <a:off x="2667001" y="65532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53</xdr:row>
      <xdr:rowOff>114300</xdr:rowOff>
    </xdr:from>
    <xdr:ext cx="323849" cy="142875"/>
    <xdr:sp macro="" textlink="">
      <xdr:nvSpPr>
        <xdr:cNvPr id="104" name="TextBox 103">
          <a:extLst>
            <a:ext uri="{FF2B5EF4-FFF2-40B4-BE49-F238E27FC236}">
              <a16:creationId xmlns:a16="http://schemas.microsoft.com/office/drawing/2014/main" xmlns="" id="{00000000-0008-0000-0800-000068000000}"/>
            </a:ext>
          </a:extLst>
        </xdr:cNvPr>
        <xdr:cNvSpPr txBox="1"/>
      </xdr:nvSpPr>
      <xdr:spPr>
        <a:xfrm>
          <a:off x="4048126" y="65817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53</xdr:row>
      <xdr:rowOff>247650</xdr:rowOff>
    </xdr:from>
    <xdr:ext cx="323849" cy="142875"/>
    <xdr:sp macro="" textlink="">
      <xdr:nvSpPr>
        <xdr:cNvPr id="105" name="TextBox 104">
          <a:extLst>
            <a:ext uri="{FF2B5EF4-FFF2-40B4-BE49-F238E27FC236}">
              <a16:creationId xmlns:a16="http://schemas.microsoft.com/office/drawing/2014/main" xmlns="" id="{00000000-0008-0000-0800-000069000000}"/>
            </a:ext>
          </a:extLst>
        </xdr:cNvPr>
        <xdr:cNvSpPr txBox="1"/>
      </xdr:nvSpPr>
      <xdr:spPr>
        <a:xfrm>
          <a:off x="3333751" y="6715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54</xdr:row>
      <xdr:rowOff>85725</xdr:rowOff>
    </xdr:from>
    <xdr:to>
      <xdr:col>2</xdr:col>
      <xdr:colOff>1676400</xdr:colOff>
      <xdr:row>54</xdr:row>
      <xdr:rowOff>87313</xdr:rowOff>
    </xdr:to>
    <xdr:cxnSp macro="">
      <xdr:nvCxnSpPr>
        <xdr:cNvPr id="106" name="Straight Connector 105">
          <a:extLst>
            <a:ext uri="{FF2B5EF4-FFF2-40B4-BE49-F238E27FC236}">
              <a16:creationId xmlns:a16="http://schemas.microsoft.com/office/drawing/2014/main" xmlns="" id="{00000000-0008-0000-0800-00006A000000}"/>
            </a:ext>
          </a:extLst>
        </xdr:cNvPr>
        <xdr:cNvCxnSpPr/>
      </xdr:nvCxnSpPr>
      <xdr:spPr>
        <a:xfrm>
          <a:off x="3028950" y="71818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54</xdr:row>
      <xdr:rowOff>86519</xdr:rowOff>
    </xdr:from>
    <xdr:to>
      <xdr:col>2</xdr:col>
      <xdr:colOff>705645</xdr:colOff>
      <xdr:row>54</xdr:row>
      <xdr:rowOff>343694</xdr:rowOff>
    </xdr:to>
    <xdr:cxnSp macro="">
      <xdr:nvCxnSpPr>
        <xdr:cNvPr id="107" name="Straight Connector 106">
          <a:extLst>
            <a:ext uri="{FF2B5EF4-FFF2-40B4-BE49-F238E27FC236}">
              <a16:creationId xmlns:a16="http://schemas.microsoft.com/office/drawing/2014/main" xmlns="" id="{00000000-0008-0000-0800-00006B000000}"/>
            </a:ext>
          </a:extLst>
        </xdr:cNvPr>
        <xdr:cNvCxnSpPr/>
      </xdr:nvCxnSpPr>
      <xdr:spPr>
        <a:xfrm rot="5400000" flipH="1" flipV="1">
          <a:off x="2900363" y="73104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54</xdr:row>
      <xdr:rowOff>96044</xdr:rowOff>
    </xdr:from>
    <xdr:to>
      <xdr:col>2</xdr:col>
      <xdr:colOff>1677196</xdr:colOff>
      <xdr:row>54</xdr:row>
      <xdr:rowOff>353219</xdr:rowOff>
    </xdr:to>
    <xdr:cxnSp macro="">
      <xdr:nvCxnSpPr>
        <xdr:cNvPr id="108" name="Straight Connector 107">
          <a:extLst>
            <a:ext uri="{FF2B5EF4-FFF2-40B4-BE49-F238E27FC236}">
              <a16:creationId xmlns:a16="http://schemas.microsoft.com/office/drawing/2014/main" xmlns="" id="{00000000-0008-0000-0800-00006C000000}"/>
            </a:ext>
          </a:extLst>
        </xdr:cNvPr>
        <xdr:cNvCxnSpPr/>
      </xdr:nvCxnSpPr>
      <xdr:spPr>
        <a:xfrm rot="5400000" flipH="1" flipV="1">
          <a:off x="3871914" y="73199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54</xdr:row>
      <xdr:rowOff>140493</xdr:rowOff>
    </xdr:from>
    <xdr:ext cx="323849" cy="142875"/>
    <xdr:sp macro="" textlink="">
      <xdr:nvSpPr>
        <xdr:cNvPr id="109" name="TextBox 108">
          <a:extLst>
            <a:ext uri="{FF2B5EF4-FFF2-40B4-BE49-F238E27FC236}">
              <a16:creationId xmlns:a16="http://schemas.microsoft.com/office/drawing/2014/main" xmlns="" id="{00000000-0008-0000-0800-00006D000000}"/>
            </a:ext>
          </a:extLst>
        </xdr:cNvPr>
        <xdr:cNvSpPr txBox="1"/>
      </xdr:nvSpPr>
      <xdr:spPr>
        <a:xfrm>
          <a:off x="2655095" y="1363622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54</xdr:row>
      <xdr:rowOff>133350</xdr:rowOff>
    </xdr:from>
    <xdr:ext cx="323849" cy="142875"/>
    <xdr:sp macro="" textlink="">
      <xdr:nvSpPr>
        <xdr:cNvPr id="110" name="TextBox 109">
          <a:extLst>
            <a:ext uri="{FF2B5EF4-FFF2-40B4-BE49-F238E27FC236}">
              <a16:creationId xmlns:a16="http://schemas.microsoft.com/office/drawing/2014/main" xmlns="" id="{00000000-0008-0000-0800-00006E000000}"/>
            </a:ext>
          </a:extLst>
        </xdr:cNvPr>
        <xdr:cNvSpPr txBox="1"/>
      </xdr:nvSpPr>
      <xdr:spPr>
        <a:xfrm>
          <a:off x="4095751" y="7229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1019176</xdr:colOff>
      <xdr:row>54</xdr:row>
      <xdr:rowOff>152400</xdr:rowOff>
    </xdr:from>
    <xdr:ext cx="323849" cy="142875"/>
    <xdr:sp macro="" textlink="">
      <xdr:nvSpPr>
        <xdr:cNvPr id="111" name="TextBox 110">
          <a:extLst>
            <a:ext uri="{FF2B5EF4-FFF2-40B4-BE49-F238E27FC236}">
              <a16:creationId xmlns:a16="http://schemas.microsoft.com/office/drawing/2014/main" xmlns="" id="{00000000-0008-0000-0800-00006F000000}"/>
            </a:ext>
          </a:extLst>
        </xdr:cNvPr>
        <xdr:cNvSpPr txBox="1"/>
      </xdr:nvSpPr>
      <xdr:spPr>
        <a:xfrm>
          <a:off x="3343276" y="15440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989807</xdr:colOff>
      <xdr:row>29</xdr:row>
      <xdr:rowOff>22226</xdr:rowOff>
    </xdr:from>
    <xdr:to>
      <xdr:col>2</xdr:col>
      <xdr:colOff>991395</xdr:colOff>
      <xdr:row>29</xdr:row>
      <xdr:rowOff>393701</xdr:rowOff>
    </xdr:to>
    <xdr:cxnSp macro="">
      <xdr:nvCxnSpPr>
        <xdr:cNvPr id="113" name="Straight Connector 112">
          <a:extLst>
            <a:ext uri="{FF2B5EF4-FFF2-40B4-BE49-F238E27FC236}">
              <a16:creationId xmlns:a16="http://schemas.microsoft.com/office/drawing/2014/main" xmlns="" id="{00000000-0008-0000-0800-000071000000}"/>
            </a:ext>
          </a:extLst>
        </xdr:cNvPr>
        <xdr:cNvCxnSpPr/>
      </xdr:nvCxnSpPr>
      <xdr:spPr>
        <a:xfrm rot="5400000">
          <a:off x="3126582" y="14524436"/>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990600</xdr:colOff>
      <xdr:row>29</xdr:row>
      <xdr:rowOff>395289</xdr:rowOff>
    </xdr:from>
    <xdr:to>
      <xdr:col>2</xdr:col>
      <xdr:colOff>1228725</xdr:colOff>
      <xdr:row>29</xdr:row>
      <xdr:rowOff>396877</xdr:rowOff>
    </xdr:to>
    <xdr:cxnSp macro="">
      <xdr:nvCxnSpPr>
        <xdr:cNvPr id="115" name="Straight Connector 114">
          <a:extLst>
            <a:ext uri="{FF2B5EF4-FFF2-40B4-BE49-F238E27FC236}">
              <a16:creationId xmlns:a16="http://schemas.microsoft.com/office/drawing/2014/main" xmlns="" id="{00000000-0008-0000-0800-000073000000}"/>
            </a:ext>
          </a:extLst>
        </xdr:cNvPr>
        <xdr:cNvCxnSpPr/>
      </xdr:nvCxnSpPr>
      <xdr:spPr>
        <a:xfrm>
          <a:off x="3312319" y="14712555"/>
          <a:ext cx="2381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29</xdr:row>
      <xdr:rowOff>196453</xdr:rowOff>
    </xdr:from>
    <xdr:ext cx="323849" cy="142875"/>
    <xdr:sp macro="" textlink="">
      <xdr:nvSpPr>
        <xdr:cNvPr id="116" name="TextBox 115">
          <a:extLst>
            <a:ext uri="{FF2B5EF4-FFF2-40B4-BE49-F238E27FC236}">
              <a16:creationId xmlns:a16="http://schemas.microsoft.com/office/drawing/2014/main" xmlns="" id="{00000000-0008-0000-0800-000074000000}"/>
            </a:ext>
          </a:extLst>
        </xdr:cNvPr>
        <xdr:cNvSpPr txBox="1"/>
      </xdr:nvSpPr>
      <xdr:spPr>
        <a:xfrm>
          <a:off x="2905125" y="1451371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6.58</a:t>
          </a:r>
        </a:p>
        <a:p>
          <a:endParaRPr lang="en-US" sz="1100"/>
        </a:p>
      </xdr:txBody>
    </xdr:sp>
    <xdr:clientData/>
  </xdr:oneCellAnchor>
  <xdr:oneCellAnchor>
    <xdr:from>
      <xdr:col>2</xdr:col>
      <xdr:colOff>952500</xdr:colOff>
      <xdr:row>29</xdr:row>
      <xdr:rowOff>423863</xdr:rowOff>
    </xdr:from>
    <xdr:ext cx="323849" cy="142875"/>
    <xdr:sp macro="" textlink="">
      <xdr:nvSpPr>
        <xdr:cNvPr id="117" name="TextBox 116">
          <a:extLst>
            <a:ext uri="{FF2B5EF4-FFF2-40B4-BE49-F238E27FC236}">
              <a16:creationId xmlns:a16="http://schemas.microsoft.com/office/drawing/2014/main" xmlns="" id="{00000000-0008-0000-0800-000075000000}"/>
            </a:ext>
          </a:extLst>
        </xdr:cNvPr>
        <xdr:cNvSpPr txBox="1"/>
      </xdr:nvSpPr>
      <xdr:spPr>
        <a:xfrm>
          <a:off x="3276600" y="1470183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2.17</a:t>
          </a:r>
        </a:p>
      </xdr:txBody>
    </xdr:sp>
    <xdr:clientData/>
  </xdr:oneCellAnchor>
  <xdr:twoCellAnchor>
    <xdr:from>
      <xdr:col>2</xdr:col>
      <xdr:colOff>989807</xdr:colOff>
      <xdr:row>30</xdr:row>
      <xdr:rowOff>22226</xdr:rowOff>
    </xdr:from>
    <xdr:to>
      <xdr:col>2</xdr:col>
      <xdr:colOff>991395</xdr:colOff>
      <xdr:row>30</xdr:row>
      <xdr:rowOff>393701</xdr:rowOff>
    </xdr:to>
    <xdr:cxnSp macro="">
      <xdr:nvCxnSpPr>
        <xdr:cNvPr id="118" name="Straight Connector 117">
          <a:extLst>
            <a:ext uri="{FF2B5EF4-FFF2-40B4-BE49-F238E27FC236}">
              <a16:creationId xmlns:a16="http://schemas.microsoft.com/office/drawing/2014/main" xmlns="" id="{00000000-0008-0000-0800-000076000000}"/>
            </a:ext>
          </a:extLst>
        </xdr:cNvPr>
        <xdr:cNvCxnSpPr/>
      </xdr:nvCxnSpPr>
      <xdr:spPr>
        <a:xfrm rot="5400000">
          <a:off x="3128963" y="144851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990600</xdr:colOff>
      <xdr:row>30</xdr:row>
      <xdr:rowOff>395289</xdr:rowOff>
    </xdr:from>
    <xdr:to>
      <xdr:col>2</xdr:col>
      <xdr:colOff>1228725</xdr:colOff>
      <xdr:row>30</xdr:row>
      <xdr:rowOff>396877</xdr:rowOff>
    </xdr:to>
    <xdr:cxnSp macro="">
      <xdr:nvCxnSpPr>
        <xdr:cNvPr id="119" name="Straight Connector 118">
          <a:extLst>
            <a:ext uri="{FF2B5EF4-FFF2-40B4-BE49-F238E27FC236}">
              <a16:creationId xmlns:a16="http://schemas.microsoft.com/office/drawing/2014/main" xmlns="" id="{00000000-0008-0000-0800-000077000000}"/>
            </a:ext>
          </a:extLst>
        </xdr:cNvPr>
        <xdr:cNvCxnSpPr/>
      </xdr:nvCxnSpPr>
      <xdr:spPr>
        <a:xfrm>
          <a:off x="3314700" y="14673264"/>
          <a:ext cx="2381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30</xdr:row>
      <xdr:rowOff>196453</xdr:rowOff>
    </xdr:from>
    <xdr:ext cx="323849" cy="142875"/>
    <xdr:sp macro="" textlink="">
      <xdr:nvSpPr>
        <xdr:cNvPr id="120" name="TextBox 119">
          <a:extLst>
            <a:ext uri="{FF2B5EF4-FFF2-40B4-BE49-F238E27FC236}">
              <a16:creationId xmlns:a16="http://schemas.microsoft.com/office/drawing/2014/main" xmlns="" id="{00000000-0008-0000-0800-000078000000}"/>
            </a:ext>
          </a:extLst>
        </xdr:cNvPr>
        <xdr:cNvSpPr txBox="1"/>
      </xdr:nvSpPr>
      <xdr:spPr>
        <a:xfrm>
          <a:off x="2907506" y="1447442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6.58</a:t>
          </a:r>
        </a:p>
        <a:p>
          <a:endParaRPr lang="en-US" sz="1100"/>
        </a:p>
      </xdr:txBody>
    </xdr:sp>
    <xdr:clientData/>
  </xdr:oneCellAnchor>
  <xdr:oneCellAnchor>
    <xdr:from>
      <xdr:col>2</xdr:col>
      <xdr:colOff>952500</xdr:colOff>
      <xdr:row>30</xdr:row>
      <xdr:rowOff>433388</xdr:rowOff>
    </xdr:from>
    <xdr:ext cx="323849" cy="142875"/>
    <xdr:sp macro="" textlink="">
      <xdr:nvSpPr>
        <xdr:cNvPr id="121" name="TextBox 120">
          <a:extLst>
            <a:ext uri="{FF2B5EF4-FFF2-40B4-BE49-F238E27FC236}">
              <a16:creationId xmlns:a16="http://schemas.microsoft.com/office/drawing/2014/main" xmlns="" id="{00000000-0008-0000-0800-000079000000}"/>
            </a:ext>
          </a:extLst>
        </xdr:cNvPr>
        <xdr:cNvSpPr txBox="1"/>
      </xdr:nvSpPr>
      <xdr:spPr>
        <a:xfrm>
          <a:off x="3276600" y="15340013"/>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1.33</a:t>
          </a:r>
        </a:p>
      </xdr:txBody>
    </xdr:sp>
    <xdr:clientData/>
  </xdr:oneCellAnchor>
  <xdr:twoCellAnchor>
    <xdr:from>
      <xdr:col>2</xdr:col>
      <xdr:colOff>989807</xdr:colOff>
      <xdr:row>36</xdr:row>
      <xdr:rowOff>98426</xdr:rowOff>
    </xdr:from>
    <xdr:to>
      <xdr:col>2</xdr:col>
      <xdr:colOff>991395</xdr:colOff>
      <xdr:row>36</xdr:row>
      <xdr:rowOff>469901</xdr:rowOff>
    </xdr:to>
    <xdr:cxnSp macro="">
      <xdr:nvCxnSpPr>
        <xdr:cNvPr id="122" name="Straight Connector 121">
          <a:extLst>
            <a:ext uri="{FF2B5EF4-FFF2-40B4-BE49-F238E27FC236}">
              <a16:creationId xmlns:a16="http://schemas.microsoft.com/office/drawing/2014/main" xmlns="" id="{00000000-0008-0000-0800-00007A000000}"/>
            </a:ext>
          </a:extLst>
        </xdr:cNvPr>
        <xdr:cNvCxnSpPr/>
      </xdr:nvCxnSpPr>
      <xdr:spPr>
        <a:xfrm rot="5400000">
          <a:off x="3128963" y="102179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36</xdr:row>
      <xdr:rowOff>196453</xdr:rowOff>
    </xdr:from>
    <xdr:ext cx="323849" cy="142875"/>
    <xdr:sp macro="" textlink="">
      <xdr:nvSpPr>
        <xdr:cNvPr id="124" name="TextBox 123">
          <a:extLst>
            <a:ext uri="{FF2B5EF4-FFF2-40B4-BE49-F238E27FC236}">
              <a16:creationId xmlns:a16="http://schemas.microsoft.com/office/drawing/2014/main" xmlns="" id="{00000000-0008-0000-0800-00007C000000}"/>
            </a:ext>
          </a:extLst>
        </xdr:cNvPr>
        <xdr:cNvSpPr txBox="1"/>
      </xdr:nvSpPr>
      <xdr:spPr>
        <a:xfrm>
          <a:off x="2907506" y="830222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989807</xdr:colOff>
      <xdr:row>37</xdr:row>
      <xdr:rowOff>117476</xdr:rowOff>
    </xdr:from>
    <xdr:to>
      <xdr:col>2</xdr:col>
      <xdr:colOff>991395</xdr:colOff>
      <xdr:row>37</xdr:row>
      <xdr:rowOff>488951</xdr:rowOff>
    </xdr:to>
    <xdr:cxnSp macro="">
      <xdr:nvCxnSpPr>
        <xdr:cNvPr id="126" name="Straight Connector 125">
          <a:extLst>
            <a:ext uri="{FF2B5EF4-FFF2-40B4-BE49-F238E27FC236}">
              <a16:creationId xmlns:a16="http://schemas.microsoft.com/office/drawing/2014/main" xmlns="" id="{00000000-0008-0000-0800-00007E000000}"/>
            </a:ext>
          </a:extLst>
        </xdr:cNvPr>
        <xdr:cNvCxnSpPr/>
      </xdr:nvCxnSpPr>
      <xdr:spPr>
        <a:xfrm rot="5400000">
          <a:off x="3128963" y="108656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37</xdr:row>
      <xdr:rowOff>196453</xdr:rowOff>
    </xdr:from>
    <xdr:ext cx="323849" cy="142875"/>
    <xdr:sp macro="" textlink="">
      <xdr:nvSpPr>
        <xdr:cNvPr id="128" name="TextBox 127">
          <a:extLst>
            <a:ext uri="{FF2B5EF4-FFF2-40B4-BE49-F238E27FC236}">
              <a16:creationId xmlns:a16="http://schemas.microsoft.com/office/drawing/2014/main" xmlns="" id="{00000000-0008-0000-0800-000080000000}"/>
            </a:ext>
          </a:extLst>
        </xdr:cNvPr>
        <xdr:cNvSpPr txBox="1"/>
      </xdr:nvSpPr>
      <xdr:spPr>
        <a:xfrm>
          <a:off x="2907506" y="893087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704850</xdr:colOff>
      <xdr:row>67</xdr:row>
      <xdr:rowOff>323850</xdr:rowOff>
    </xdr:from>
    <xdr:to>
      <xdr:col>2</xdr:col>
      <xdr:colOff>1676400</xdr:colOff>
      <xdr:row>67</xdr:row>
      <xdr:rowOff>325438</xdr:rowOff>
    </xdr:to>
    <xdr:cxnSp macro="">
      <xdr:nvCxnSpPr>
        <xdr:cNvPr id="130" name="Straight Connector 129">
          <a:extLst>
            <a:ext uri="{FF2B5EF4-FFF2-40B4-BE49-F238E27FC236}">
              <a16:creationId xmlns:a16="http://schemas.microsoft.com/office/drawing/2014/main" xmlns="" id="{00000000-0008-0000-0800-000082000000}"/>
            </a:ext>
          </a:extLst>
        </xdr:cNvPr>
        <xdr:cNvCxnSpPr/>
      </xdr:nvCxnSpPr>
      <xdr:spPr>
        <a:xfrm>
          <a:off x="3028950" y="122777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67</xdr:row>
      <xdr:rowOff>57944</xdr:rowOff>
    </xdr:from>
    <xdr:to>
      <xdr:col>2</xdr:col>
      <xdr:colOff>705645</xdr:colOff>
      <xdr:row>67</xdr:row>
      <xdr:rowOff>315119</xdr:rowOff>
    </xdr:to>
    <xdr:cxnSp macro="">
      <xdr:nvCxnSpPr>
        <xdr:cNvPr id="131" name="Straight Connector 130">
          <a:extLst>
            <a:ext uri="{FF2B5EF4-FFF2-40B4-BE49-F238E27FC236}">
              <a16:creationId xmlns:a16="http://schemas.microsoft.com/office/drawing/2014/main" xmlns="" id="{00000000-0008-0000-0800-000083000000}"/>
            </a:ext>
          </a:extLst>
        </xdr:cNvPr>
        <xdr:cNvCxnSpPr/>
      </xdr:nvCxnSpPr>
      <xdr:spPr>
        <a:xfrm rot="5400000" flipH="1" flipV="1">
          <a:off x="2900363" y="121396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67</xdr:row>
      <xdr:rowOff>67469</xdr:rowOff>
    </xdr:from>
    <xdr:to>
      <xdr:col>2</xdr:col>
      <xdr:colOff>1677196</xdr:colOff>
      <xdr:row>67</xdr:row>
      <xdr:rowOff>324644</xdr:rowOff>
    </xdr:to>
    <xdr:cxnSp macro="">
      <xdr:nvCxnSpPr>
        <xdr:cNvPr id="132" name="Straight Connector 131">
          <a:extLst>
            <a:ext uri="{FF2B5EF4-FFF2-40B4-BE49-F238E27FC236}">
              <a16:creationId xmlns:a16="http://schemas.microsoft.com/office/drawing/2014/main" xmlns="" id="{00000000-0008-0000-0800-000084000000}"/>
            </a:ext>
          </a:extLst>
        </xdr:cNvPr>
        <xdr:cNvCxnSpPr/>
      </xdr:nvCxnSpPr>
      <xdr:spPr>
        <a:xfrm rot="5400000" flipH="1" flipV="1">
          <a:off x="3871914" y="121491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67</xdr:row>
      <xdr:rowOff>85725</xdr:rowOff>
    </xdr:from>
    <xdr:ext cx="323849" cy="142875"/>
    <xdr:sp macro="" textlink="">
      <xdr:nvSpPr>
        <xdr:cNvPr id="133" name="TextBox 132">
          <a:extLst>
            <a:ext uri="{FF2B5EF4-FFF2-40B4-BE49-F238E27FC236}">
              <a16:creationId xmlns:a16="http://schemas.microsoft.com/office/drawing/2014/main" xmlns="" id="{00000000-0008-0000-0800-000085000000}"/>
            </a:ext>
          </a:extLst>
        </xdr:cNvPr>
        <xdr:cNvSpPr txBox="1"/>
      </xdr:nvSpPr>
      <xdr:spPr>
        <a:xfrm>
          <a:off x="2667001" y="120396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67</xdr:row>
      <xdr:rowOff>114300</xdr:rowOff>
    </xdr:from>
    <xdr:ext cx="323849" cy="142875"/>
    <xdr:sp macro="" textlink="">
      <xdr:nvSpPr>
        <xdr:cNvPr id="134" name="TextBox 133">
          <a:extLst>
            <a:ext uri="{FF2B5EF4-FFF2-40B4-BE49-F238E27FC236}">
              <a16:creationId xmlns:a16="http://schemas.microsoft.com/office/drawing/2014/main" xmlns="" id="{00000000-0008-0000-0800-000086000000}"/>
            </a:ext>
          </a:extLst>
        </xdr:cNvPr>
        <xdr:cNvSpPr txBox="1"/>
      </xdr:nvSpPr>
      <xdr:spPr>
        <a:xfrm>
          <a:off x="4048126" y="12068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67</xdr:row>
      <xdr:rowOff>400050</xdr:rowOff>
    </xdr:from>
    <xdr:ext cx="323849" cy="142875"/>
    <xdr:sp macro="" textlink="">
      <xdr:nvSpPr>
        <xdr:cNvPr id="135" name="TextBox 134">
          <a:extLst>
            <a:ext uri="{FF2B5EF4-FFF2-40B4-BE49-F238E27FC236}">
              <a16:creationId xmlns:a16="http://schemas.microsoft.com/office/drawing/2014/main" xmlns="" id="{00000000-0008-0000-0800-000087000000}"/>
            </a:ext>
          </a:extLst>
        </xdr:cNvPr>
        <xdr:cNvSpPr txBox="1"/>
      </xdr:nvSpPr>
      <xdr:spPr>
        <a:xfrm>
          <a:off x="3333751" y="123539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68</xdr:row>
      <xdr:rowOff>323850</xdr:rowOff>
    </xdr:from>
    <xdr:to>
      <xdr:col>2</xdr:col>
      <xdr:colOff>1676400</xdr:colOff>
      <xdr:row>68</xdr:row>
      <xdr:rowOff>325438</xdr:rowOff>
    </xdr:to>
    <xdr:cxnSp macro="">
      <xdr:nvCxnSpPr>
        <xdr:cNvPr id="136" name="Straight Connector 135">
          <a:extLst>
            <a:ext uri="{FF2B5EF4-FFF2-40B4-BE49-F238E27FC236}">
              <a16:creationId xmlns:a16="http://schemas.microsoft.com/office/drawing/2014/main" xmlns="" id="{00000000-0008-0000-0800-000088000000}"/>
            </a:ext>
          </a:extLst>
        </xdr:cNvPr>
        <xdr:cNvCxnSpPr/>
      </xdr:nvCxnSpPr>
      <xdr:spPr>
        <a:xfrm>
          <a:off x="3028950" y="129063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68</xdr:row>
      <xdr:rowOff>57944</xdr:rowOff>
    </xdr:from>
    <xdr:to>
      <xdr:col>2</xdr:col>
      <xdr:colOff>705645</xdr:colOff>
      <xdr:row>68</xdr:row>
      <xdr:rowOff>315119</xdr:rowOff>
    </xdr:to>
    <xdr:cxnSp macro="">
      <xdr:nvCxnSpPr>
        <xdr:cNvPr id="137" name="Straight Connector 136">
          <a:extLst>
            <a:ext uri="{FF2B5EF4-FFF2-40B4-BE49-F238E27FC236}">
              <a16:creationId xmlns:a16="http://schemas.microsoft.com/office/drawing/2014/main" xmlns="" id="{00000000-0008-0000-0800-000089000000}"/>
            </a:ext>
          </a:extLst>
        </xdr:cNvPr>
        <xdr:cNvCxnSpPr/>
      </xdr:nvCxnSpPr>
      <xdr:spPr>
        <a:xfrm rot="5400000" flipH="1" flipV="1">
          <a:off x="2900363" y="127682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68</xdr:row>
      <xdr:rowOff>67469</xdr:rowOff>
    </xdr:from>
    <xdr:to>
      <xdr:col>2</xdr:col>
      <xdr:colOff>1677196</xdr:colOff>
      <xdr:row>68</xdr:row>
      <xdr:rowOff>324644</xdr:rowOff>
    </xdr:to>
    <xdr:cxnSp macro="">
      <xdr:nvCxnSpPr>
        <xdr:cNvPr id="138" name="Straight Connector 137">
          <a:extLst>
            <a:ext uri="{FF2B5EF4-FFF2-40B4-BE49-F238E27FC236}">
              <a16:creationId xmlns:a16="http://schemas.microsoft.com/office/drawing/2014/main" xmlns="" id="{00000000-0008-0000-0800-00008A000000}"/>
            </a:ext>
          </a:extLst>
        </xdr:cNvPr>
        <xdr:cNvCxnSpPr/>
      </xdr:nvCxnSpPr>
      <xdr:spPr>
        <a:xfrm rot="5400000" flipH="1" flipV="1">
          <a:off x="3871914" y="127777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68</xdr:row>
      <xdr:rowOff>85725</xdr:rowOff>
    </xdr:from>
    <xdr:ext cx="323849" cy="142875"/>
    <xdr:sp macro="" textlink="">
      <xdr:nvSpPr>
        <xdr:cNvPr id="139" name="TextBox 138">
          <a:extLst>
            <a:ext uri="{FF2B5EF4-FFF2-40B4-BE49-F238E27FC236}">
              <a16:creationId xmlns:a16="http://schemas.microsoft.com/office/drawing/2014/main" xmlns="" id="{00000000-0008-0000-0800-00008B000000}"/>
            </a:ext>
          </a:extLst>
        </xdr:cNvPr>
        <xdr:cNvSpPr txBox="1"/>
      </xdr:nvSpPr>
      <xdr:spPr>
        <a:xfrm>
          <a:off x="2667001" y="126682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68</xdr:row>
      <xdr:rowOff>114300</xdr:rowOff>
    </xdr:from>
    <xdr:ext cx="323849" cy="142875"/>
    <xdr:sp macro="" textlink="">
      <xdr:nvSpPr>
        <xdr:cNvPr id="140" name="TextBox 139">
          <a:extLst>
            <a:ext uri="{FF2B5EF4-FFF2-40B4-BE49-F238E27FC236}">
              <a16:creationId xmlns:a16="http://schemas.microsoft.com/office/drawing/2014/main" xmlns="" id="{00000000-0008-0000-0800-00008C000000}"/>
            </a:ext>
          </a:extLst>
        </xdr:cNvPr>
        <xdr:cNvSpPr txBox="1"/>
      </xdr:nvSpPr>
      <xdr:spPr>
        <a:xfrm>
          <a:off x="4048126" y="126968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68</xdr:row>
      <xdr:rowOff>400050</xdr:rowOff>
    </xdr:from>
    <xdr:ext cx="323849" cy="142875"/>
    <xdr:sp macro="" textlink="">
      <xdr:nvSpPr>
        <xdr:cNvPr id="141" name="TextBox 140">
          <a:extLst>
            <a:ext uri="{FF2B5EF4-FFF2-40B4-BE49-F238E27FC236}">
              <a16:creationId xmlns:a16="http://schemas.microsoft.com/office/drawing/2014/main" xmlns="" id="{00000000-0008-0000-0800-00008D000000}"/>
            </a:ext>
          </a:extLst>
        </xdr:cNvPr>
        <xdr:cNvSpPr txBox="1"/>
      </xdr:nvSpPr>
      <xdr:spPr>
        <a:xfrm>
          <a:off x="3333751" y="129825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69</xdr:row>
      <xdr:rowOff>85725</xdr:rowOff>
    </xdr:from>
    <xdr:to>
      <xdr:col>2</xdr:col>
      <xdr:colOff>1676400</xdr:colOff>
      <xdr:row>69</xdr:row>
      <xdr:rowOff>87313</xdr:rowOff>
    </xdr:to>
    <xdr:cxnSp macro="">
      <xdr:nvCxnSpPr>
        <xdr:cNvPr id="142" name="Straight Connector 141">
          <a:extLst>
            <a:ext uri="{FF2B5EF4-FFF2-40B4-BE49-F238E27FC236}">
              <a16:creationId xmlns:a16="http://schemas.microsoft.com/office/drawing/2014/main" xmlns="" id="{00000000-0008-0000-0800-00008E000000}"/>
            </a:ext>
          </a:extLst>
        </xdr:cNvPr>
        <xdr:cNvCxnSpPr/>
      </xdr:nvCxnSpPr>
      <xdr:spPr>
        <a:xfrm>
          <a:off x="3028950" y="132969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69</xdr:row>
      <xdr:rowOff>86519</xdr:rowOff>
    </xdr:from>
    <xdr:to>
      <xdr:col>2</xdr:col>
      <xdr:colOff>705645</xdr:colOff>
      <xdr:row>69</xdr:row>
      <xdr:rowOff>343694</xdr:rowOff>
    </xdr:to>
    <xdr:cxnSp macro="">
      <xdr:nvCxnSpPr>
        <xdr:cNvPr id="143" name="Straight Connector 142">
          <a:extLst>
            <a:ext uri="{FF2B5EF4-FFF2-40B4-BE49-F238E27FC236}">
              <a16:creationId xmlns:a16="http://schemas.microsoft.com/office/drawing/2014/main" xmlns="" id="{00000000-0008-0000-0800-00008F000000}"/>
            </a:ext>
          </a:extLst>
        </xdr:cNvPr>
        <xdr:cNvCxnSpPr/>
      </xdr:nvCxnSpPr>
      <xdr:spPr>
        <a:xfrm rot="5400000" flipH="1" flipV="1">
          <a:off x="2900363" y="134254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69</xdr:row>
      <xdr:rowOff>96044</xdr:rowOff>
    </xdr:from>
    <xdr:to>
      <xdr:col>2</xdr:col>
      <xdr:colOff>1677196</xdr:colOff>
      <xdr:row>69</xdr:row>
      <xdr:rowOff>353219</xdr:rowOff>
    </xdr:to>
    <xdr:cxnSp macro="">
      <xdr:nvCxnSpPr>
        <xdr:cNvPr id="144" name="Straight Connector 143">
          <a:extLst>
            <a:ext uri="{FF2B5EF4-FFF2-40B4-BE49-F238E27FC236}">
              <a16:creationId xmlns:a16="http://schemas.microsoft.com/office/drawing/2014/main" xmlns="" id="{00000000-0008-0000-0800-000090000000}"/>
            </a:ext>
          </a:extLst>
        </xdr:cNvPr>
        <xdr:cNvCxnSpPr/>
      </xdr:nvCxnSpPr>
      <xdr:spPr>
        <a:xfrm rot="5400000" flipH="1" flipV="1">
          <a:off x="3871914" y="134350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69</xdr:row>
      <xdr:rowOff>85725</xdr:rowOff>
    </xdr:from>
    <xdr:ext cx="323849" cy="142875"/>
    <xdr:sp macro="" textlink="">
      <xdr:nvSpPr>
        <xdr:cNvPr id="145" name="TextBox 144">
          <a:extLst>
            <a:ext uri="{FF2B5EF4-FFF2-40B4-BE49-F238E27FC236}">
              <a16:creationId xmlns:a16="http://schemas.microsoft.com/office/drawing/2014/main" xmlns="" id="{00000000-0008-0000-0800-000091000000}"/>
            </a:ext>
          </a:extLst>
        </xdr:cNvPr>
        <xdr:cNvSpPr txBox="1"/>
      </xdr:nvSpPr>
      <xdr:spPr>
        <a:xfrm>
          <a:off x="2667001" y="132969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69</xdr:row>
      <xdr:rowOff>114300</xdr:rowOff>
    </xdr:from>
    <xdr:ext cx="323849" cy="142875"/>
    <xdr:sp macro="" textlink="">
      <xdr:nvSpPr>
        <xdr:cNvPr id="146" name="TextBox 145">
          <a:extLst>
            <a:ext uri="{FF2B5EF4-FFF2-40B4-BE49-F238E27FC236}">
              <a16:creationId xmlns:a16="http://schemas.microsoft.com/office/drawing/2014/main" xmlns="" id="{00000000-0008-0000-0800-000092000000}"/>
            </a:ext>
          </a:extLst>
        </xdr:cNvPr>
        <xdr:cNvSpPr txBox="1"/>
      </xdr:nvSpPr>
      <xdr:spPr>
        <a:xfrm>
          <a:off x="4048126" y="13325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69</xdr:row>
      <xdr:rowOff>247650</xdr:rowOff>
    </xdr:from>
    <xdr:ext cx="323849" cy="142875"/>
    <xdr:sp macro="" textlink="">
      <xdr:nvSpPr>
        <xdr:cNvPr id="147" name="TextBox 146">
          <a:extLst>
            <a:ext uri="{FF2B5EF4-FFF2-40B4-BE49-F238E27FC236}">
              <a16:creationId xmlns:a16="http://schemas.microsoft.com/office/drawing/2014/main" xmlns="" id="{00000000-0008-0000-0800-000093000000}"/>
            </a:ext>
          </a:extLst>
        </xdr:cNvPr>
        <xdr:cNvSpPr txBox="1"/>
      </xdr:nvSpPr>
      <xdr:spPr>
        <a:xfrm>
          <a:off x="3333751" y="134588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70</xdr:row>
      <xdr:rowOff>85725</xdr:rowOff>
    </xdr:from>
    <xdr:to>
      <xdr:col>2</xdr:col>
      <xdr:colOff>1676400</xdr:colOff>
      <xdr:row>70</xdr:row>
      <xdr:rowOff>87313</xdr:rowOff>
    </xdr:to>
    <xdr:cxnSp macro="">
      <xdr:nvCxnSpPr>
        <xdr:cNvPr id="148" name="Straight Connector 147">
          <a:extLst>
            <a:ext uri="{FF2B5EF4-FFF2-40B4-BE49-F238E27FC236}">
              <a16:creationId xmlns:a16="http://schemas.microsoft.com/office/drawing/2014/main" xmlns="" id="{00000000-0008-0000-0800-000094000000}"/>
            </a:ext>
          </a:extLst>
        </xdr:cNvPr>
        <xdr:cNvCxnSpPr/>
      </xdr:nvCxnSpPr>
      <xdr:spPr>
        <a:xfrm>
          <a:off x="3028950" y="139255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70</xdr:row>
      <xdr:rowOff>86519</xdr:rowOff>
    </xdr:from>
    <xdr:to>
      <xdr:col>2</xdr:col>
      <xdr:colOff>705645</xdr:colOff>
      <xdr:row>70</xdr:row>
      <xdr:rowOff>343694</xdr:rowOff>
    </xdr:to>
    <xdr:cxnSp macro="">
      <xdr:nvCxnSpPr>
        <xdr:cNvPr id="149" name="Straight Connector 148">
          <a:extLst>
            <a:ext uri="{FF2B5EF4-FFF2-40B4-BE49-F238E27FC236}">
              <a16:creationId xmlns:a16="http://schemas.microsoft.com/office/drawing/2014/main" xmlns="" id="{00000000-0008-0000-0800-000095000000}"/>
            </a:ext>
          </a:extLst>
        </xdr:cNvPr>
        <xdr:cNvCxnSpPr/>
      </xdr:nvCxnSpPr>
      <xdr:spPr>
        <a:xfrm rot="5400000" flipH="1" flipV="1">
          <a:off x="2900363" y="140541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70</xdr:row>
      <xdr:rowOff>96044</xdr:rowOff>
    </xdr:from>
    <xdr:to>
      <xdr:col>2</xdr:col>
      <xdr:colOff>1677196</xdr:colOff>
      <xdr:row>70</xdr:row>
      <xdr:rowOff>353219</xdr:rowOff>
    </xdr:to>
    <xdr:cxnSp macro="">
      <xdr:nvCxnSpPr>
        <xdr:cNvPr id="150" name="Straight Connector 149">
          <a:extLst>
            <a:ext uri="{FF2B5EF4-FFF2-40B4-BE49-F238E27FC236}">
              <a16:creationId xmlns:a16="http://schemas.microsoft.com/office/drawing/2014/main" xmlns="" id="{00000000-0008-0000-0800-000096000000}"/>
            </a:ext>
          </a:extLst>
        </xdr:cNvPr>
        <xdr:cNvCxnSpPr/>
      </xdr:nvCxnSpPr>
      <xdr:spPr>
        <a:xfrm rot="5400000" flipH="1" flipV="1">
          <a:off x="3871914" y="140636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70</xdr:row>
      <xdr:rowOff>104775</xdr:rowOff>
    </xdr:from>
    <xdr:ext cx="323849" cy="142875"/>
    <xdr:sp macro="" textlink="">
      <xdr:nvSpPr>
        <xdr:cNvPr id="151" name="TextBox 150">
          <a:extLst>
            <a:ext uri="{FF2B5EF4-FFF2-40B4-BE49-F238E27FC236}">
              <a16:creationId xmlns:a16="http://schemas.microsoft.com/office/drawing/2014/main" xmlns="" id="{00000000-0008-0000-0800-000097000000}"/>
            </a:ext>
          </a:extLst>
        </xdr:cNvPr>
        <xdr:cNvSpPr txBox="1"/>
      </xdr:nvSpPr>
      <xdr:spPr>
        <a:xfrm>
          <a:off x="2657476" y="139446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70</xdr:row>
      <xdr:rowOff>133350</xdr:rowOff>
    </xdr:from>
    <xdr:ext cx="323849" cy="142875"/>
    <xdr:sp macro="" textlink="">
      <xdr:nvSpPr>
        <xdr:cNvPr id="152" name="TextBox 151">
          <a:extLst>
            <a:ext uri="{FF2B5EF4-FFF2-40B4-BE49-F238E27FC236}">
              <a16:creationId xmlns:a16="http://schemas.microsoft.com/office/drawing/2014/main" xmlns="" id="{00000000-0008-0000-0800-000098000000}"/>
            </a:ext>
          </a:extLst>
        </xdr:cNvPr>
        <xdr:cNvSpPr txBox="1"/>
      </xdr:nvSpPr>
      <xdr:spPr>
        <a:xfrm>
          <a:off x="4095751" y="13973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70</xdr:row>
      <xdr:rowOff>247650</xdr:rowOff>
    </xdr:from>
    <xdr:ext cx="323849" cy="142875"/>
    <xdr:sp macro="" textlink="">
      <xdr:nvSpPr>
        <xdr:cNvPr id="153" name="TextBox 152">
          <a:extLst>
            <a:ext uri="{FF2B5EF4-FFF2-40B4-BE49-F238E27FC236}">
              <a16:creationId xmlns:a16="http://schemas.microsoft.com/office/drawing/2014/main" xmlns="" id="{00000000-0008-0000-0800-000099000000}"/>
            </a:ext>
          </a:extLst>
        </xdr:cNvPr>
        <xdr:cNvSpPr txBox="1"/>
      </xdr:nvSpPr>
      <xdr:spPr>
        <a:xfrm>
          <a:off x="3333751" y="140874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74</xdr:row>
      <xdr:rowOff>323850</xdr:rowOff>
    </xdr:from>
    <xdr:to>
      <xdr:col>2</xdr:col>
      <xdr:colOff>1676400</xdr:colOff>
      <xdr:row>74</xdr:row>
      <xdr:rowOff>325438</xdr:rowOff>
    </xdr:to>
    <xdr:cxnSp macro="">
      <xdr:nvCxnSpPr>
        <xdr:cNvPr id="154" name="Straight Connector 153">
          <a:extLst>
            <a:ext uri="{FF2B5EF4-FFF2-40B4-BE49-F238E27FC236}">
              <a16:creationId xmlns:a16="http://schemas.microsoft.com/office/drawing/2014/main" xmlns="" id="{00000000-0008-0000-0800-00009A000000}"/>
            </a:ext>
          </a:extLst>
        </xdr:cNvPr>
        <xdr:cNvCxnSpPr/>
      </xdr:nvCxnSpPr>
      <xdr:spPr>
        <a:xfrm>
          <a:off x="3028950" y="153638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74</xdr:row>
      <xdr:rowOff>57944</xdr:rowOff>
    </xdr:from>
    <xdr:to>
      <xdr:col>2</xdr:col>
      <xdr:colOff>705645</xdr:colOff>
      <xdr:row>74</xdr:row>
      <xdr:rowOff>315119</xdr:rowOff>
    </xdr:to>
    <xdr:cxnSp macro="">
      <xdr:nvCxnSpPr>
        <xdr:cNvPr id="155" name="Straight Connector 154">
          <a:extLst>
            <a:ext uri="{FF2B5EF4-FFF2-40B4-BE49-F238E27FC236}">
              <a16:creationId xmlns:a16="http://schemas.microsoft.com/office/drawing/2014/main" xmlns="" id="{00000000-0008-0000-0800-00009B000000}"/>
            </a:ext>
          </a:extLst>
        </xdr:cNvPr>
        <xdr:cNvCxnSpPr/>
      </xdr:nvCxnSpPr>
      <xdr:spPr>
        <a:xfrm rot="5400000" flipH="1" flipV="1">
          <a:off x="2900363" y="152257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74</xdr:row>
      <xdr:rowOff>67469</xdr:rowOff>
    </xdr:from>
    <xdr:to>
      <xdr:col>2</xdr:col>
      <xdr:colOff>1677196</xdr:colOff>
      <xdr:row>74</xdr:row>
      <xdr:rowOff>324644</xdr:rowOff>
    </xdr:to>
    <xdr:cxnSp macro="">
      <xdr:nvCxnSpPr>
        <xdr:cNvPr id="156" name="Straight Connector 155">
          <a:extLst>
            <a:ext uri="{FF2B5EF4-FFF2-40B4-BE49-F238E27FC236}">
              <a16:creationId xmlns:a16="http://schemas.microsoft.com/office/drawing/2014/main" xmlns="" id="{00000000-0008-0000-0800-00009C000000}"/>
            </a:ext>
          </a:extLst>
        </xdr:cNvPr>
        <xdr:cNvCxnSpPr/>
      </xdr:nvCxnSpPr>
      <xdr:spPr>
        <a:xfrm rot="5400000" flipH="1" flipV="1">
          <a:off x="3871914" y="152352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74</xdr:row>
      <xdr:rowOff>85725</xdr:rowOff>
    </xdr:from>
    <xdr:ext cx="323849" cy="142875"/>
    <xdr:sp macro="" textlink="">
      <xdr:nvSpPr>
        <xdr:cNvPr id="157" name="TextBox 156">
          <a:extLst>
            <a:ext uri="{FF2B5EF4-FFF2-40B4-BE49-F238E27FC236}">
              <a16:creationId xmlns:a16="http://schemas.microsoft.com/office/drawing/2014/main" xmlns="" id="{00000000-0008-0000-0800-00009D000000}"/>
            </a:ext>
          </a:extLst>
        </xdr:cNvPr>
        <xdr:cNvSpPr txBox="1"/>
      </xdr:nvSpPr>
      <xdr:spPr>
        <a:xfrm>
          <a:off x="2667001" y="151257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74</xdr:row>
      <xdr:rowOff>114300</xdr:rowOff>
    </xdr:from>
    <xdr:ext cx="323849" cy="142875"/>
    <xdr:sp macro="" textlink="">
      <xdr:nvSpPr>
        <xdr:cNvPr id="158" name="TextBox 157">
          <a:extLst>
            <a:ext uri="{FF2B5EF4-FFF2-40B4-BE49-F238E27FC236}">
              <a16:creationId xmlns:a16="http://schemas.microsoft.com/office/drawing/2014/main" xmlns="" id="{00000000-0008-0000-0800-00009E000000}"/>
            </a:ext>
          </a:extLst>
        </xdr:cNvPr>
        <xdr:cNvSpPr txBox="1"/>
      </xdr:nvSpPr>
      <xdr:spPr>
        <a:xfrm>
          <a:off x="4048126" y="151542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74</xdr:row>
      <xdr:rowOff>400050</xdr:rowOff>
    </xdr:from>
    <xdr:ext cx="323849" cy="142875"/>
    <xdr:sp macro="" textlink="">
      <xdr:nvSpPr>
        <xdr:cNvPr id="159" name="TextBox 158">
          <a:extLst>
            <a:ext uri="{FF2B5EF4-FFF2-40B4-BE49-F238E27FC236}">
              <a16:creationId xmlns:a16="http://schemas.microsoft.com/office/drawing/2014/main" xmlns="" id="{00000000-0008-0000-0800-00009F000000}"/>
            </a:ext>
          </a:extLst>
        </xdr:cNvPr>
        <xdr:cNvSpPr txBox="1"/>
      </xdr:nvSpPr>
      <xdr:spPr>
        <a:xfrm>
          <a:off x="3333751" y="15440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75</xdr:row>
      <xdr:rowOff>323850</xdr:rowOff>
    </xdr:from>
    <xdr:to>
      <xdr:col>2</xdr:col>
      <xdr:colOff>1676400</xdr:colOff>
      <xdr:row>75</xdr:row>
      <xdr:rowOff>325438</xdr:rowOff>
    </xdr:to>
    <xdr:cxnSp macro="">
      <xdr:nvCxnSpPr>
        <xdr:cNvPr id="160" name="Straight Connector 159">
          <a:extLst>
            <a:ext uri="{FF2B5EF4-FFF2-40B4-BE49-F238E27FC236}">
              <a16:creationId xmlns:a16="http://schemas.microsoft.com/office/drawing/2014/main" xmlns="" id="{00000000-0008-0000-0800-0000A0000000}"/>
            </a:ext>
          </a:extLst>
        </xdr:cNvPr>
        <xdr:cNvCxnSpPr/>
      </xdr:nvCxnSpPr>
      <xdr:spPr>
        <a:xfrm>
          <a:off x="3028950" y="159924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75</xdr:row>
      <xdr:rowOff>57944</xdr:rowOff>
    </xdr:from>
    <xdr:to>
      <xdr:col>2</xdr:col>
      <xdr:colOff>705645</xdr:colOff>
      <xdr:row>75</xdr:row>
      <xdr:rowOff>315119</xdr:rowOff>
    </xdr:to>
    <xdr:cxnSp macro="">
      <xdr:nvCxnSpPr>
        <xdr:cNvPr id="161" name="Straight Connector 160">
          <a:extLst>
            <a:ext uri="{FF2B5EF4-FFF2-40B4-BE49-F238E27FC236}">
              <a16:creationId xmlns:a16="http://schemas.microsoft.com/office/drawing/2014/main" xmlns="" id="{00000000-0008-0000-0800-0000A1000000}"/>
            </a:ext>
          </a:extLst>
        </xdr:cNvPr>
        <xdr:cNvCxnSpPr/>
      </xdr:nvCxnSpPr>
      <xdr:spPr>
        <a:xfrm rot="5400000" flipH="1" flipV="1">
          <a:off x="2900363" y="158543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75</xdr:row>
      <xdr:rowOff>67469</xdr:rowOff>
    </xdr:from>
    <xdr:to>
      <xdr:col>2</xdr:col>
      <xdr:colOff>1677196</xdr:colOff>
      <xdr:row>75</xdr:row>
      <xdr:rowOff>324644</xdr:rowOff>
    </xdr:to>
    <xdr:cxnSp macro="">
      <xdr:nvCxnSpPr>
        <xdr:cNvPr id="162" name="Straight Connector 161">
          <a:extLst>
            <a:ext uri="{FF2B5EF4-FFF2-40B4-BE49-F238E27FC236}">
              <a16:creationId xmlns:a16="http://schemas.microsoft.com/office/drawing/2014/main" xmlns="" id="{00000000-0008-0000-0800-0000A2000000}"/>
            </a:ext>
          </a:extLst>
        </xdr:cNvPr>
        <xdr:cNvCxnSpPr/>
      </xdr:nvCxnSpPr>
      <xdr:spPr>
        <a:xfrm rot="5400000" flipH="1" flipV="1">
          <a:off x="3871914" y="158638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75</xdr:row>
      <xdr:rowOff>85725</xdr:rowOff>
    </xdr:from>
    <xdr:ext cx="323849" cy="142875"/>
    <xdr:sp macro="" textlink="">
      <xdr:nvSpPr>
        <xdr:cNvPr id="163" name="TextBox 162">
          <a:extLst>
            <a:ext uri="{FF2B5EF4-FFF2-40B4-BE49-F238E27FC236}">
              <a16:creationId xmlns:a16="http://schemas.microsoft.com/office/drawing/2014/main" xmlns="" id="{00000000-0008-0000-0800-0000A3000000}"/>
            </a:ext>
          </a:extLst>
        </xdr:cNvPr>
        <xdr:cNvSpPr txBox="1"/>
      </xdr:nvSpPr>
      <xdr:spPr>
        <a:xfrm>
          <a:off x="2667001" y="157543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75</xdr:row>
      <xdr:rowOff>114300</xdr:rowOff>
    </xdr:from>
    <xdr:ext cx="323849" cy="142875"/>
    <xdr:sp macro="" textlink="">
      <xdr:nvSpPr>
        <xdr:cNvPr id="164" name="TextBox 163">
          <a:extLst>
            <a:ext uri="{FF2B5EF4-FFF2-40B4-BE49-F238E27FC236}">
              <a16:creationId xmlns:a16="http://schemas.microsoft.com/office/drawing/2014/main" xmlns="" id="{00000000-0008-0000-0800-0000A4000000}"/>
            </a:ext>
          </a:extLst>
        </xdr:cNvPr>
        <xdr:cNvSpPr txBox="1"/>
      </xdr:nvSpPr>
      <xdr:spPr>
        <a:xfrm>
          <a:off x="4048126" y="157829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75</xdr:row>
      <xdr:rowOff>400050</xdr:rowOff>
    </xdr:from>
    <xdr:ext cx="323849" cy="142875"/>
    <xdr:sp macro="" textlink="">
      <xdr:nvSpPr>
        <xdr:cNvPr id="165" name="TextBox 164">
          <a:extLst>
            <a:ext uri="{FF2B5EF4-FFF2-40B4-BE49-F238E27FC236}">
              <a16:creationId xmlns:a16="http://schemas.microsoft.com/office/drawing/2014/main" xmlns="" id="{00000000-0008-0000-0800-0000A5000000}"/>
            </a:ext>
          </a:extLst>
        </xdr:cNvPr>
        <xdr:cNvSpPr txBox="1"/>
      </xdr:nvSpPr>
      <xdr:spPr>
        <a:xfrm>
          <a:off x="3333751" y="160686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76</xdr:row>
      <xdr:rowOff>85725</xdr:rowOff>
    </xdr:from>
    <xdr:to>
      <xdr:col>2</xdr:col>
      <xdr:colOff>1676400</xdr:colOff>
      <xdr:row>76</xdr:row>
      <xdr:rowOff>87313</xdr:rowOff>
    </xdr:to>
    <xdr:cxnSp macro="">
      <xdr:nvCxnSpPr>
        <xdr:cNvPr id="166" name="Straight Connector 165">
          <a:extLst>
            <a:ext uri="{FF2B5EF4-FFF2-40B4-BE49-F238E27FC236}">
              <a16:creationId xmlns:a16="http://schemas.microsoft.com/office/drawing/2014/main" xmlns="" id="{00000000-0008-0000-0800-0000A6000000}"/>
            </a:ext>
          </a:extLst>
        </xdr:cNvPr>
        <xdr:cNvCxnSpPr/>
      </xdr:nvCxnSpPr>
      <xdr:spPr>
        <a:xfrm>
          <a:off x="3028950" y="163830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76</xdr:row>
      <xdr:rowOff>86519</xdr:rowOff>
    </xdr:from>
    <xdr:to>
      <xdr:col>2</xdr:col>
      <xdr:colOff>705645</xdr:colOff>
      <xdr:row>76</xdr:row>
      <xdr:rowOff>343694</xdr:rowOff>
    </xdr:to>
    <xdr:cxnSp macro="">
      <xdr:nvCxnSpPr>
        <xdr:cNvPr id="167" name="Straight Connector 166">
          <a:extLst>
            <a:ext uri="{FF2B5EF4-FFF2-40B4-BE49-F238E27FC236}">
              <a16:creationId xmlns:a16="http://schemas.microsoft.com/office/drawing/2014/main" xmlns="" id="{00000000-0008-0000-0800-0000A7000000}"/>
            </a:ext>
          </a:extLst>
        </xdr:cNvPr>
        <xdr:cNvCxnSpPr/>
      </xdr:nvCxnSpPr>
      <xdr:spPr>
        <a:xfrm rot="5400000" flipH="1" flipV="1">
          <a:off x="2900363" y="165115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76</xdr:row>
      <xdr:rowOff>96044</xdr:rowOff>
    </xdr:from>
    <xdr:to>
      <xdr:col>2</xdr:col>
      <xdr:colOff>1677196</xdr:colOff>
      <xdr:row>76</xdr:row>
      <xdr:rowOff>353219</xdr:rowOff>
    </xdr:to>
    <xdr:cxnSp macro="">
      <xdr:nvCxnSpPr>
        <xdr:cNvPr id="168" name="Straight Connector 167">
          <a:extLst>
            <a:ext uri="{FF2B5EF4-FFF2-40B4-BE49-F238E27FC236}">
              <a16:creationId xmlns:a16="http://schemas.microsoft.com/office/drawing/2014/main" xmlns="" id="{00000000-0008-0000-0800-0000A8000000}"/>
            </a:ext>
          </a:extLst>
        </xdr:cNvPr>
        <xdr:cNvCxnSpPr/>
      </xdr:nvCxnSpPr>
      <xdr:spPr>
        <a:xfrm rot="5400000" flipH="1" flipV="1">
          <a:off x="3871914" y="165211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76</xdr:row>
      <xdr:rowOff>85725</xdr:rowOff>
    </xdr:from>
    <xdr:ext cx="323849" cy="142875"/>
    <xdr:sp macro="" textlink="">
      <xdr:nvSpPr>
        <xdr:cNvPr id="169" name="TextBox 168">
          <a:extLst>
            <a:ext uri="{FF2B5EF4-FFF2-40B4-BE49-F238E27FC236}">
              <a16:creationId xmlns:a16="http://schemas.microsoft.com/office/drawing/2014/main" xmlns="" id="{00000000-0008-0000-0800-0000A9000000}"/>
            </a:ext>
          </a:extLst>
        </xdr:cNvPr>
        <xdr:cNvSpPr txBox="1"/>
      </xdr:nvSpPr>
      <xdr:spPr>
        <a:xfrm>
          <a:off x="2667001" y="163830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76</xdr:row>
      <xdr:rowOff>114300</xdr:rowOff>
    </xdr:from>
    <xdr:ext cx="323849" cy="142875"/>
    <xdr:sp macro="" textlink="">
      <xdr:nvSpPr>
        <xdr:cNvPr id="170" name="TextBox 169">
          <a:extLst>
            <a:ext uri="{FF2B5EF4-FFF2-40B4-BE49-F238E27FC236}">
              <a16:creationId xmlns:a16="http://schemas.microsoft.com/office/drawing/2014/main" xmlns="" id="{00000000-0008-0000-0800-0000AA000000}"/>
            </a:ext>
          </a:extLst>
        </xdr:cNvPr>
        <xdr:cNvSpPr txBox="1"/>
      </xdr:nvSpPr>
      <xdr:spPr>
        <a:xfrm>
          <a:off x="4048126" y="164115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76</xdr:row>
      <xdr:rowOff>247650</xdr:rowOff>
    </xdr:from>
    <xdr:ext cx="323849" cy="142875"/>
    <xdr:sp macro="" textlink="">
      <xdr:nvSpPr>
        <xdr:cNvPr id="171" name="TextBox 170">
          <a:extLst>
            <a:ext uri="{FF2B5EF4-FFF2-40B4-BE49-F238E27FC236}">
              <a16:creationId xmlns:a16="http://schemas.microsoft.com/office/drawing/2014/main" xmlns="" id="{00000000-0008-0000-0800-0000AB000000}"/>
            </a:ext>
          </a:extLst>
        </xdr:cNvPr>
        <xdr:cNvSpPr txBox="1"/>
      </xdr:nvSpPr>
      <xdr:spPr>
        <a:xfrm>
          <a:off x="3333751" y="165449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77</xdr:row>
      <xdr:rowOff>85725</xdr:rowOff>
    </xdr:from>
    <xdr:to>
      <xdr:col>2</xdr:col>
      <xdr:colOff>1676400</xdr:colOff>
      <xdr:row>77</xdr:row>
      <xdr:rowOff>87313</xdr:rowOff>
    </xdr:to>
    <xdr:cxnSp macro="">
      <xdr:nvCxnSpPr>
        <xdr:cNvPr id="172" name="Straight Connector 171">
          <a:extLst>
            <a:ext uri="{FF2B5EF4-FFF2-40B4-BE49-F238E27FC236}">
              <a16:creationId xmlns:a16="http://schemas.microsoft.com/office/drawing/2014/main" xmlns="" id="{00000000-0008-0000-0800-0000AC000000}"/>
            </a:ext>
          </a:extLst>
        </xdr:cNvPr>
        <xdr:cNvCxnSpPr/>
      </xdr:nvCxnSpPr>
      <xdr:spPr>
        <a:xfrm>
          <a:off x="3028950" y="170116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77</xdr:row>
      <xdr:rowOff>86519</xdr:rowOff>
    </xdr:from>
    <xdr:to>
      <xdr:col>2</xdr:col>
      <xdr:colOff>705645</xdr:colOff>
      <xdr:row>77</xdr:row>
      <xdr:rowOff>343694</xdr:rowOff>
    </xdr:to>
    <xdr:cxnSp macro="">
      <xdr:nvCxnSpPr>
        <xdr:cNvPr id="173" name="Straight Connector 172">
          <a:extLst>
            <a:ext uri="{FF2B5EF4-FFF2-40B4-BE49-F238E27FC236}">
              <a16:creationId xmlns:a16="http://schemas.microsoft.com/office/drawing/2014/main" xmlns="" id="{00000000-0008-0000-0800-0000AD000000}"/>
            </a:ext>
          </a:extLst>
        </xdr:cNvPr>
        <xdr:cNvCxnSpPr/>
      </xdr:nvCxnSpPr>
      <xdr:spPr>
        <a:xfrm rot="5400000" flipH="1" flipV="1">
          <a:off x="2900363" y="171402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77</xdr:row>
      <xdr:rowOff>96044</xdr:rowOff>
    </xdr:from>
    <xdr:to>
      <xdr:col>2</xdr:col>
      <xdr:colOff>1677196</xdr:colOff>
      <xdr:row>77</xdr:row>
      <xdr:rowOff>353219</xdr:rowOff>
    </xdr:to>
    <xdr:cxnSp macro="">
      <xdr:nvCxnSpPr>
        <xdr:cNvPr id="174" name="Straight Connector 173">
          <a:extLst>
            <a:ext uri="{FF2B5EF4-FFF2-40B4-BE49-F238E27FC236}">
              <a16:creationId xmlns:a16="http://schemas.microsoft.com/office/drawing/2014/main" xmlns="" id="{00000000-0008-0000-0800-0000AE000000}"/>
            </a:ext>
          </a:extLst>
        </xdr:cNvPr>
        <xdr:cNvCxnSpPr/>
      </xdr:nvCxnSpPr>
      <xdr:spPr>
        <a:xfrm rot="5400000" flipH="1" flipV="1">
          <a:off x="3871914" y="171497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77</xdr:row>
      <xdr:rowOff>140493</xdr:rowOff>
    </xdr:from>
    <xdr:ext cx="323849" cy="142875"/>
    <xdr:sp macro="" textlink="">
      <xdr:nvSpPr>
        <xdr:cNvPr id="175" name="TextBox 174">
          <a:extLst>
            <a:ext uri="{FF2B5EF4-FFF2-40B4-BE49-F238E27FC236}">
              <a16:creationId xmlns:a16="http://schemas.microsoft.com/office/drawing/2014/main" xmlns="" id="{00000000-0008-0000-0800-0000AF000000}"/>
            </a:ext>
          </a:extLst>
        </xdr:cNvPr>
        <xdr:cNvSpPr txBox="1"/>
      </xdr:nvSpPr>
      <xdr:spPr>
        <a:xfrm>
          <a:off x="2657476" y="1706641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77</xdr:row>
      <xdr:rowOff>133350</xdr:rowOff>
    </xdr:from>
    <xdr:ext cx="323849" cy="142875"/>
    <xdr:sp macro="" textlink="">
      <xdr:nvSpPr>
        <xdr:cNvPr id="176" name="TextBox 175">
          <a:extLst>
            <a:ext uri="{FF2B5EF4-FFF2-40B4-BE49-F238E27FC236}">
              <a16:creationId xmlns:a16="http://schemas.microsoft.com/office/drawing/2014/main" xmlns="" id="{00000000-0008-0000-0800-0000B0000000}"/>
            </a:ext>
          </a:extLst>
        </xdr:cNvPr>
        <xdr:cNvSpPr txBox="1"/>
      </xdr:nvSpPr>
      <xdr:spPr>
        <a:xfrm>
          <a:off x="4095751" y="170592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1019176</xdr:colOff>
      <xdr:row>77</xdr:row>
      <xdr:rowOff>152400</xdr:rowOff>
    </xdr:from>
    <xdr:ext cx="323849" cy="142875"/>
    <xdr:sp macro="" textlink="">
      <xdr:nvSpPr>
        <xdr:cNvPr id="177" name="TextBox 176">
          <a:extLst>
            <a:ext uri="{FF2B5EF4-FFF2-40B4-BE49-F238E27FC236}">
              <a16:creationId xmlns:a16="http://schemas.microsoft.com/office/drawing/2014/main" xmlns="" id="{00000000-0008-0000-0800-0000B1000000}"/>
            </a:ext>
          </a:extLst>
        </xdr:cNvPr>
        <xdr:cNvSpPr txBox="1"/>
      </xdr:nvSpPr>
      <xdr:spPr>
        <a:xfrm>
          <a:off x="3343276" y="17078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989807</xdr:colOff>
      <xdr:row>59</xdr:row>
      <xdr:rowOff>98426</xdr:rowOff>
    </xdr:from>
    <xdr:to>
      <xdr:col>2</xdr:col>
      <xdr:colOff>991395</xdr:colOff>
      <xdr:row>59</xdr:row>
      <xdr:rowOff>469901</xdr:rowOff>
    </xdr:to>
    <xdr:cxnSp macro="">
      <xdr:nvCxnSpPr>
        <xdr:cNvPr id="178" name="Straight Connector 177">
          <a:extLst>
            <a:ext uri="{FF2B5EF4-FFF2-40B4-BE49-F238E27FC236}">
              <a16:creationId xmlns:a16="http://schemas.microsoft.com/office/drawing/2014/main" xmlns="" id="{00000000-0008-0000-0800-0000B2000000}"/>
            </a:ext>
          </a:extLst>
        </xdr:cNvPr>
        <xdr:cNvCxnSpPr/>
      </xdr:nvCxnSpPr>
      <xdr:spPr>
        <a:xfrm rot="5400000">
          <a:off x="3128963" y="102179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59</xdr:row>
      <xdr:rowOff>196453</xdr:rowOff>
    </xdr:from>
    <xdr:ext cx="323849" cy="142875"/>
    <xdr:sp macro="" textlink="">
      <xdr:nvSpPr>
        <xdr:cNvPr id="179" name="TextBox 178">
          <a:extLst>
            <a:ext uri="{FF2B5EF4-FFF2-40B4-BE49-F238E27FC236}">
              <a16:creationId xmlns:a16="http://schemas.microsoft.com/office/drawing/2014/main" xmlns="" id="{00000000-0008-0000-0800-0000B3000000}"/>
            </a:ext>
          </a:extLst>
        </xdr:cNvPr>
        <xdr:cNvSpPr txBox="1"/>
      </xdr:nvSpPr>
      <xdr:spPr>
        <a:xfrm>
          <a:off x="2907506" y="1013102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989807</xdr:colOff>
      <xdr:row>60</xdr:row>
      <xdr:rowOff>203201</xdr:rowOff>
    </xdr:from>
    <xdr:to>
      <xdr:col>2</xdr:col>
      <xdr:colOff>991395</xdr:colOff>
      <xdr:row>60</xdr:row>
      <xdr:rowOff>574676</xdr:rowOff>
    </xdr:to>
    <xdr:cxnSp macro="">
      <xdr:nvCxnSpPr>
        <xdr:cNvPr id="180" name="Straight Connector 179">
          <a:extLst>
            <a:ext uri="{FF2B5EF4-FFF2-40B4-BE49-F238E27FC236}">
              <a16:creationId xmlns:a16="http://schemas.microsoft.com/office/drawing/2014/main" xmlns="" id="{00000000-0008-0000-0800-0000B4000000}"/>
            </a:ext>
          </a:extLst>
        </xdr:cNvPr>
        <xdr:cNvCxnSpPr/>
      </xdr:nvCxnSpPr>
      <xdr:spPr>
        <a:xfrm rot="5400000">
          <a:off x="3128963" y="19142870"/>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60</xdr:row>
      <xdr:rowOff>196453</xdr:rowOff>
    </xdr:from>
    <xdr:ext cx="323849" cy="142875"/>
    <xdr:sp macro="" textlink="">
      <xdr:nvSpPr>
        <xdr:cNvPr id="181" name="TextBox 180">
          <a:extLst>
            <a:ext uri="{FF2B5EF4-FFF2-40B4-BE49-F238E27FC236}">
              <a16:creationId xmlns:a16="http://schemas.microsoft.com/office/drawing/2014/main" xmlns="" id="{00000000-0008-0000-0800-0000B5000000}"/>
            </a:ext>
          </a:extLst>
        </xdr:cNvPr>
        <xdr:cNvSpPr txBox="1"/>
      </xdr:nvSpPr>
      <xdr:spPr>
        <a:xfrm>
          <a:off x="2907506" y="1075967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1038225</xdr:colOff>
      <xdr:row>60</xdr:row>
      <xdr:rowOff>28575</xdr:rowOff>
    </xdr:from>
    <xdr:to>
      <xdr:col>2</xdr:col>
      <xdr:colOff>1039813</xdr:colOff>
      <xdr:row>60</xdr:row>
      <xdr:rowOff>400050</xdr:rowOff>
    </xdr:to>
    <xdr:cxnSp macro="">
      <xdr:nvCxnSpPr>
        <xdr:cNvPr id="182" name="Straight Connector 181">
          <a:extLst>
            <a:ext uri="{FF2B5EF4-FFF2-40B4-BE49-F238E27FC236}">
              <a16:creationId xmlns:a16="http://schemas.microsoft.com/office/drawing/2014/main" xmlns="" id="{00000000-0008-0000-0800-0000B6000000}"/>
            </a:ext>
          </a:extLst>
        </xdr:cNvPr>
        <xdr:cNvCxnSpPr/>
      </xdr:nvCxnSpPr>
      <xdr:spPr>
        <a:xfrm rot="5400000">
          <a:off x="3177381" y="18968244"/>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1152525</xdr:colOff>
      <xdr:row>60</xdr:row>
      <xdr:rowOff>190500</xdr:rowOff>
    </xdr:from>
    <xdr:ext cx="1095375" cy="180975"/>
    <xdr:sp macro="" textlink="">
      <xdr:nvSpPr>
        <xdr:cNvPr id="183" name="TextBox 182">
          <a:extLst>
            <a:ext uri="{FF2B5EF4-FFF2-40B4-BE49-F238E27FC236}">
              <a16:creationId xmlns:a16="http://schemas.microsoft.com/office/drawing/2014/main" xmlns="" id="{00000000-0008-0000-0800-0000B7000000}"/>
            </a:ext>
          </a:extLst>
        </xdr:cNvPr>
        <xdr:cNvSpPr txBox="1"/>
      </xdr:nvSpPr>
      <xdr:spPr>
        <a:xfrm>
          <a:off x="3476625" y="18945225"/>
          <a:ext cx="10953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lap</a:t>
          </a:r>
          <a:r>
            <a:rPr lang="en-US" sz="1100" baseline="0"/>
            <a:t> length=2.33</a:t>
          </a:r>
          <a:endParaRPr lang="en-US" sz="1100"/>
        </a:p>
        <a:p>
          <a:endParaRPr lang="en-US" sz="1100"/>
        </a:p>
      </xdr:txBody>
    </xdr:sp>
    <xdr:clientData/>
  </xdr:oneCellAnchor>
  <xdr:twoCellAnchor>
    <xdr:from>
      <xdr:col>2</xdr:col>
      <xdr:colOff>971550</xdr:colOff>
      <xdr:row>26</xdr:row>
      <xdr:rowOff>180975</xdr:rowOff>
    </xdr:from>
    <xdr:to>
      <xdr:col>2</xdr:col>
      <xdr:colOff>1276350</xdr:colOff>
      <xdr:row>26</xdr:row>
      <xdr:rowOff>438150</xdr:rowOff>
    </xdr:to>
    <xdr:sp macro="" textlink="">
      <xdr:nvSpPr>
        <xdr:cNvPr id="184" name="Rectangle 183">
          <a:extLst>
            <a:ext uri="{FF2B5EF4-FFF2-40B4-BE49-F238E27FC236}">
              <a16:creationId xmlns:a16="http://schemas.microsoft.com/office/drawing/2014/main" xmlns="" id="{00000000-0008-0000-0800-0000B8000000}"/>
            </a:ext>
          </a:extLst>
        </xdr:cNvPr>
        <xdr:cNvSpPr/>
      </xdr:nvSpPr>
      <xdr:spPr>
        <a:xfrm>
          <a:off x="3295650" y="79057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26</xdr:row>
      <xdr:rowOff>195513</xdr:rowOff>
    </xdr:from>
    <xdr:to>
      <xdr:col>2</xdr:col>
      <xdr:colOff>1102895</xdr:colOff>
      <xdr:row>26</xdr:row>
      <xdr:rowOff>315828</xdr:rowOff>
    </xdr:to>
    <xdr:cxnSp macro="">
      <xdr:nvCxnSpPr>
        <xdr:cNvPr id="186" name="Straight Connector 185">
          <a:extLst>
            <a:ext uri="{FF2B5EF4-FFF2-40B4-BE49-F238E27FC236}">
              <a16:creationId xmlns:a16="http://schemas.microsoft.com/office/drawing/2014/main" xmlns="" id="{00000000-0008-0000-0800-0000BA000000}"/>
            </a:ext>
          </a:extLst>
        </xdr:cNvPr>
        <xdr:cNvCxnSpPr/>
      </xdr:nvCxnSpPr>
      <xdr:spPr>
        <a:xfrm>
          <a:off x="3298657" y="7900737"/>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26</xdr:row>
      <xdr:rowOff>182484</xdr:rowOff>
    </xdr:from>
    <xdr:to>
      <xdr:col>2</xdr:col>
      <xdr:colOff>1155035</xdr:colOff>
      <xdr:row>26</xdr:row>
      <xdr:rowOff>302799</xdr:rowOff>
    </xdr:to>
    <xdr:cxnSp macro="">
      <xdr:nvCxnSpPr>
        <xdr:cNvPr id="187" name="Straight Connector 186">
          <a:extLst>
            <a:ext uri="{FF2B5EF4-FFF2-40B4-BE49-F238E27FC236}">
              <a16:creationId xmlns:a16="http://schemas.microsoft.com/office/drawing/2014/main" xmlns="" id="{00000000-0008-0000-0800-0000BB000000}"/>
            </a:ext>
          </a:extLst>
        </xdr:cNvPr>
        <xdr:cNvCxnSpPr/>
      </xdr:nvCxnSpPr>
      <xdr:spPr>
        <a:xfrm>
          <a:off x="3350797" y="788770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26</xdr:row>
      <xdr:rowOff>225592</xdr:rowOff>
    </xdr:from>
    <xdr:ext cx="323849" cy="142875"/>
    <xdr:sp macro="" textlink="">
      <xdr:nvSpPr>
        <xdr:cNvPr id="188" name="TextBox 187">
          <a:extLst>
            <a:ext uri="{FF2B5EF4-FFF2-40B4-BE49-F238E27FC236}">
              <a16:creationId xmlns:a16="http://schemas.microsoft.com/office/drawing/2014/main" xmlns="" id="{00000000-0008-0000-0800-0000BC000000}"/>
            </a:ext>
          </a:extLst>
        </xdr:cNvPr>
        <xdr:cNvSpPr txBox="1"/>
      </xdr:nvSpPr>
      <xdr:spPr>
        <a:xfrm>
          <a:off x="2882566" y="793081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1333500</xdr:colOff>
      <xdr:row>26</xdr:row>
      <xdr:rowOff>220579</xdr:rowOff>
    </xdr:from>
    <xdr:ext cx="323849" cy="142875"/>
    <xdr:sp macro="" textlink="">
      <xdr:nvSpPr>
        <xdr:cNvPr id="189" name="TextBox 188">
          <a:extLst>
            <a:ext uri="{FF2B5EF4-FFF2-40B4-BE49-F238E27FC236}">
              <a16:creationId xmlns:a16="http://schemas.microsoft.com/office/drawing/2014/main" xmlns="" id="{00000000-0008-0000-0800-0000BD000000}"/>
            </a:ext>
          </a:extLst>
        </xdr:cNvPr>
        <xdr:cNvSpPr txBox="1"/>
      </xdr:nvSpPr>
      <xdr:spPr>
        <a:xfrm>
          <a:off x="3659605" y="7925803"/>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967539</xdr:colOff>
      <xdr:row>26</xdr:row>
      <xdr:rowOff>471236</xdr:rowOff>
    </xdr:from>
    <xdr:ext cx="323849" cy="142875"/>
    <xdr:sp macro="" textlink="">
      <xdr:nvSpPr>
        <xdr:cNvPr id="190" name="TextBox 189">
          <a:extLst>
            <a:ext uri="{FF2B5EF4-FFF2-40B4-BE49-F238E27FC236}">
              <a16:creationId xmlns:a16="http://schemas.microsoft.com/office/drawing/2014/main" xmlns="" id="{00000000-0008-0000-0800-0000BE000000}"/>
            </a:ext>
          </a:extLst>
        </xdr:cNvPr>
        <xdr:cNvSpPr txBox="1"/>
      </xdr:nvSpPr>
      <xdr:spPr>
        <a:xfrm>
          <a:off x="3293644" y="817646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957514</xdr:colOff>
      <xdr:row>26</xdr:row>
      <xdr:rowOff>35092</xdr:rowOff>
    </xdr:from>
    <xdr:ext cx="323849" cy="142875"/>
    <xdr:sp macro="" textlink="">
      <xdr:nvSpPr>
        <xdr:cNvPr id="191" name="TextBox 190">
          <a:extLst>
            <a:ext uri="{FF2B5EF4-FFF2-40B4-BE49-F238E27FC236}">
              <a16:creationId xmlns:a16="http://schemas.microsoft.com/office/drawing/2014/main" xmlns="" id="{00000000-0008-0000-0800-0000BF000000}"/>
            </a:ext>
          </a:extLst>
        </xdr:cNvPr>
        <xdr:cNvSpPr txBox="1"/>
      </xdr:nvSpPr>
      <xdr:spPr>
        <a:xfrm>
          <a:off x="3283619" y="774031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26</xdr:row>
      <xdr:rowOff>364435</xdr:rowOff>
    </xdr:from>
    <xdr:ext cx="836544" cy="198782"/>
    <xdr:sp macro="" textlink="">
      <xdr:nvSpPr>
        <xdr:cNvPr id="192" name="TextBox 191">
          <a:extLst>
            <a:ext uri="{FF2B5EF4-FFF2-40B4-BE49-F238E27FC236}">
              <a16:creationId xmlns:a16="http://schemas.microsoft.com/office/drawing/2014/main" xmlns="" id="{00000000-0008-0000-0800-0000C0000000}"/>
            </a:ext>
          </a:extLst>
        </xdr:cNvPr>
        <xdr:cNvSpPr txBox="1"/>
      </xdr:nvSpPr>
      <xdr:spPr>
        <a:xfrm>
          <a:off x="3826565" y="8100392"/>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31</xdr:row>
      <xdr:rowOff>180975</xdr:rowOff>
    </xdr:from>
    <xdr:to>
      <xdr:col>2</xdr:col>
      <xdr:colOff>1276350</xdr:colOff>
      <xdr:row>31</xdr:row>
      <xdr:rowOff>438150</xdr:rowOff>
    </xdr:to>
    <xdr:sp macro="" textlink="">
      <xdr:nvSpPr>
        <xdr:cNvPr id="193" name="Rectangle 192">
          <a:extLst>
            <a:ext uri="{FF2B5EF4-FFF2-40B4-BE49-F238E27FC236}">
              <a16:creationId xmlns:a16="http://schemas.microsoft.com/office/drawing/2014/main" xmlns="" id="{00000000-0008-0000-0800-0000C1000000}"/>
            </a:ext>
          </a:extLst>
        </xdr:cNvPr>
        <xdr:cNvSpPr/>
      </xdr:nvSpPr>
      <xdr:spPr>
        <a:xfrm>
          <a:off x="3295650" y="79057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31</xdr:row>
      <xdr:rowOff>195513</xdr:rowOff>
    </xdr:from>
    <xdr:to>
      <xdr:col>2</xdr:col>
      <xdr:colOff>1102895</xdr:colOff>
      <xdr:row>31</xdr:row>
      <xdr:rowOff>315828</xdr:rowOff>
    </xdr:to>
    <xdr:cxnSp macro="">
      <xdr:nvCxnSpPr>
        <xdr:cNvPr id="194" name="Straight Connector 193">
          <a:extLst>
            <a:ext uri="{FF2B5EF4-FFF2-40B4-BE49-F238E27FC236}">
              <a16:creationId xmlns:a16="http://schemas.microsoft.com/office/drawing/2014/main" xmlns="" id="{00000000-0008-0000-0800-0000C2000000}"/>
            </a:ext>
          </a:extLst>
        </xdr:cNvPr>
        <xdr:cNvCxnSpPr/>
      </xdr:nvCxnSpPr>
      <xdr:spPr>
        <a:xfrm>
          <a:off x="3296652" y="792028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31</xdr:row>
      <xdr:rowOff>182484</xdr:rowOff>
    </xdr:from>
    <xdr:to>
      <xdr:col>2</xdr:col>
      <xdr:colOff>1155035</xdr:colOff>
      <xdr:row>31</xdr:row>
      <xdr:rowOff>302799</xdr:rowOff>
    </xdr:to>
    <xdr:cxnSp macro="">
      <xdr:nvCxnSpPr>
        <xdr:cNvPr id="195" name="Straight Connector 194">
          <a:extLst>
            <a:ext uri="{FF2B5EF4-FFF2-40B4-BE49-F238E27FC236}">
              <a16:creationId xmlns:a16="http://schemas.microsoft.com/office/drawing/2014/main" xmlns="" id="{00000000-0008-0000-0800-0000C3000000}"/>
            </a:ext>
          </a:extLst>
        </xdr:cNvPr>
        <xdr:cNvCxnSpPr/>
      </xdr:nvCxnSpPr>
      <xdr:spPr>
        <a:xfrm>
          <a:off x="3348792" y="790725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31</xdr:row>
      <xdr:rowOff>225592</xdr:rowOff>
    </xdr:from>
    <xdr:ext cx="323849" cy="142875"/>
    <xdr:sp macro="" textlink="">
      <xdr:nvSpPr>
        <xdr:cNvPr id="196" name="TextBox 195">
          <a:extLst>
            <a:ext uri="{FF2B5EF4-FFF2-40B4-BE49-F238E27FC236}">
              <a16:creationId xmlns:a16="http://schemas.microsoft.com/office/drawing/2014/main" xmlns="" id="{00000000-0008-0000-0800-0000C4000000}"/>
            </a:ext>
          </a:extLst>
        </xdr:cNvPr>
        <xdr:cNvSpPr txBox="1"/>
      </xdr:nvSpPr>
      <xdr:spPr>
        <a:xfrm>
          <a:off x="2880561" y="79503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1333500</xdr:colOff>
      <xdr:row>31</xdr:row>
      <xdr:rowOff>220579</xdr:rowOff>
    </xdr:from>
    <xdr:ext cx="323849" cy="142875"/>
    <xdr:sp macro="" textlink="">
      <xdr:nvSpPr>
        <xdr:cNvPr id="197" name="TextBox 196">
          <a:extLst>
            <a:ext uri="{FF2B5EF4-FFF2-40B4-BE49-F238E27FC236}">
              <a16:creationId xmlns:a16="http://schemas.microsoft.com/office/drawing/2014/main" xmlns="" id="{00000000-0008-0000-0800-0000C5000000}"/>
            </a:ext>
          </a:extLst>
        </xdr:cNvPr>
        <xdr:cNvSpPr txBox="1"/>
      </xdr:nvSpPr>
      <xdr:spPr>
        <a:xfrm>
          <a:off x="3657600" y="7945354"/>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967539</xdr:colOff>
      <xdr:row>31</xdr:row>
      <xdr:rowOff>471236</xdr:rowOff>
    </xdr:from>
    <xdr:ext cx="323849" cy="142875"/>
    <xdr:sp macro="" textlink="">
      <xdr:nvSpPr>
        <xdr:cNvPr id="198" name="TextBox 197">
          <a:extLst>
            <a:ext uri="{FF2B5EF4-FFF2-40B4-BE49-F238E27FC236}">
              <a16:creationId xmlns:a16="http://schemas.microsoft.com/office/drawing/2014/main" xmlns="" id="{00000000-0008-0000-0800-0000C6000000}"/>
            </a:ext>
          </a:extLst>
        </xdr:cNvPr>
        <xdr:cNvSpPr txBox="1"/>
      </xdr:nvSpPr>
      <xdr:spPr>
        <a:xfrm>
          <a:off x="3291639" y="8196011"/>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957514</xdr:colOff>
      <xdr:row>31</xdr:row>
      <xdr:rowOff>35092</xdr:rowOff>
    </xdr:from>
    <xdr:ext cx="323849" cy="142875"/>
    <xdr:sp macro="" textlink="">
      <xdr:nvSpPr>
        <xdr:cNvPr id="199" name="TextBox 198">
          <a:extLst>
            <a:ext uri="{FF2B5EF4-FFF2-40B4-BE49-F238E27FC236}">
              <a16:creationId xmlns:a16="http://schemas.microsoft.com/office/drawing/2014/main" xmlns="" id="{00000000-0008-0000-0800-0000C7000000}"/>
            </a:ext>
          </a:extLst>
        </xdr:cNvPr>
        <xdr:cNvSpPr txBox="1"/>
      </xdr:nvSpPr>
      <xdr:spPr>
        <a:xfrm>
          <a:off x="3281614" y="7759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1499152</xdr:colOff>
      <xdr:row>31</xdr:row>
      <xdr:rowOff>364435</xdr:rowOff>
    </xdr:from>
    <xdr:ext cx="836544" cy="198782"/>
    <xdr:sp macro="" textlink="">
      <xdr:nvSpPr>
        <xdr:cNvPr id="200" name="TextBox 199">
          <a:extLst>
            <a:ext uri="{FF2B5EF4-FFF2-40B4-BE49-F238E27FC236}">
              <a16:creationId xmlns:a16="http://schemas.microsoft.com/office/drawing/2014/main" xmlns="" id="{00000000-0008-0000-0800-0000C8000000}"/>
            </a:ext>
          </a:extLst>
        </xdr:cNvPr>
        <xdr:cNvSpPr txBox="1"/>
      </xdr:nvSpPr>
      <xdr:spPr>
        <a:xfrm>
          <a:off x="3823252" y="808921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995362</xdr:colOff>
      <xdr:row>32</xdr:row>
      <xdr:rowOff>157163</xdr:rowOff>
    </xdr:from>
    <xdr:to>
      <xdr:col>2</xdr:col>
      <xdr:colOff>1252537</xdr:colOff>
      <xdr:row>32</xdr:row>
      <xdr:rowOff>461963</xdr:rowOff>
    </xdr:to>
    <xdr:sp macro="" textlink="">
      <xdr:nvSpPr>
        <xdr:cNvPr id="201" name="Rectangle 200">
          <a:extLst>
            <a:ext uri="{FF2B5EF4-FFF2-40B4-BE49-F238E27FC236}">
              <a16:creationId xmlns:a16="http://schemas.microsoft.com/office/drawing/2014/main" xmlns="" id="{00000000-0008-0000-0800-0000C9000000}"/>
            </a:ext>
          </a:extLst>
        </xdr:cNvPr>
        <xdr:cNvSpPr/>
      </xdr:nvSpPr>
      <xdr:spPr>
        <a:xfrm rot="3102700">
          <a:off x="3295650" y="108013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1034716</xdr:colOff>
      <xdr:row>32</xdr:row>
      <xdr:rowOff>171449</xdr:rowOff>
    </xdr:from>
    <xdr:to>
      <xdr:col>2</xdr:col>
      <xdr:colOff>1155031</xdr:colOff>
      <xdr:row>32</xdr:row>
      <xdr:rowOff>301792</xdr:rowOff>
    </xdr:to>
    <xdr:cxnSp macro="">
      <xdr:nvCxnSpPr>
        <xdr:cNvPr id="202" name="Straight Connector 201">
          <a:extLst>
            <a:ext uri="{FF2B5EF4-FFF2-40B4-BE49-F238E27FC236}">
              <a16:creationId xmlns:a16="http://schemas.microsoft.com/office/drawing/2014/main" xmlns="" id="{00000000-0008-0000-0800-0000CA000000}"/>
            </a:ext>
          </a:extLst>
        </xdr:cNvPr>
        <xdr:cNvCxnSpPr/>
      </xdr:nvCxnSpPr>
      <xdr:spPr>
        <a:xfrm rot="3102700">
          <a:off x="3353802" y="107968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1086856</xdr:colOff>
      <xdr:row>32</xdr:row>
      <xdr:rowOff>167945</xdr:rowOff>
    </xdr:from>
    <xdr:to>
      <xdr:col>2</xdr:col>
      <xdr:colOff>1207171</xdr:colOff>
      <xdr:row>32</xdr:row>
      <xdr:rowOff>298288</xdr:rowOff>
    </xdr:to>
    <xdr:cxnSp macro="">
      <xdr:nvCxnSpPr>
        <xdr:cNvPr id="203" name="Straight Connector 202">
          <a:extLst>
            <a:ext uri="{FF2B5EF4-FFF2-40B4-BE49-F238E27FC236}">
              <a16:creationId xmlns:a16="http://schemas.microsoft.com/office/drawing/2014/main" xmlns="" id="{00000000-0008-0000-0800-0000CB000000}"/>
            </a:ext>
          </a:extLst>
        </xdr:cNvPr>
        <xdr:cNvCxnSpPr/>
      </xdr:nvCxnSpPr>
      <xdr:spPr>
        <a:xfrm rot="3102700">
          <a:off x="3405942" y="10793334"/>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699336</xdr:colOff>
      <xdr:row>32</xdr:row>
      <xdr:rowOff>358942</xdr:rowOff>
    </xdr:from>
    <xdr:ext cx="323849" cy="142875"/>
    <xdr:sp macro="" textlink="">
      <xdr:nvSpPr>
        <xdr:cNvPr id="204" name="TextBox 203">
          <a:extLst>
            <a:ext uri="{FF2B5EF4-FFF2-40B4-BE49-F238E27FC236}">
              <a16:creationId xmlns:a16="http://schemas.microsoft.com/office/drawing/2014/main" xmlns="" id="{00000000-0008-0000-0800-0000CC000000}"/>
            </a:ext>
          </a:extLst>
        </xdr:cNvPr>
        <xdr:cNvSpPr txBox="1"/>
      </xdr:nvSpPr>
      <xdr:spPr>
        <a:xfrm>
          <a:off x="3023436" y="109793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1266825</xdr:colOff>
      <xdr:row>32</xdr:row>
      <xdr:rowOff>134854</xdr:rowOff>
    </xdr:from>
    <xdr:ext cx="323849" cy="142875"/>
    <xdr:sp macro="" textlink="">
      <xdr:nvSpPr>
        <xdr:cNvPr id="205" name="TextBox 204">
          <a:extLst>
            <a:ext uri="{FF2B5EF4-FFF2-40B4-BE49-F238E27FC236}">
              <a16:creationId xmlns:a16="http://schemas.microsoft.com/office/drawing/2014/main" xmlns="" id="{00000000-0008-0000-0800-0000CD000000}"/>
            </a:ext>
          </a:extLst>
        </xdr:cNvPr>
        <xdr:cNvSpPr txBox="1"/>
      </xdr:nvSpPr>
      <xdr:spPr>
        <a:xfrm>
          <a:off x="3590925" y="1075522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1177089</xdr:colOff>
      <xdr:row>32</xdr:row>
      <xdr:rowOff>461711</xdr:rowOff>
    </xdr:from>
    <xdr:ext cx="323849" cy="142875"/>
    <xdr:sp macro="" textlink="">
      <xdr:nvSpPr>
        <xdr:cNvPr id="206" name="TextBox 205">
          <a:extLst>
            <a:ext uri="{FF2B5EF4-FFF2-40B4-BE49-F238E27FC236}">
              <a16:creationId xmlns:a16="http://schemas.microsoft.com/office/drawing/2014/main" xmlns="" id="{00000000-0008-0000-0800-0000CE000000}"/>
            </a:ext>
          </a:extLst>
        </xdr:cNvPr>
        <xdr:cNvSpPr txBox="1"/>
      </xdr:nvSpPr>
      <xdr:spPr>
        <a:xfrm>
          <a:off x="3501189" y="1108208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843214</xdr:colOff>
      <xdr:row>32</xdr:row>
      <xdr:rowOff>54142</xdr:rowOff>
    </xdr:from>
    <xdr:ext cx="323849" cy="142875"/>
    <xdr:sp macro="" textlink="">
      <xdr:nvSpPr>
        <xdr:cNvPr id="207" name="TextBox 206">
          <a:extLst>
            <a:ext uri="{FF2B5EF4-FFF2-40B4-BE49-F238E27FC236}">
              <a16:creationId xmlns:a16="http://schemas.microsoft.com/office/drawing/2014/main" xmlns="" id="{00000000-0008-0000-0800-0000CF000000}"/>
            </a:ext>
          </a:extLst>
        </xdr:cNvPr>
        <xdr:cNvSpPr txBox="1"/>
      </xdr:nvSpPr>
      <xdr:spPr>
        <a:xfrm>
          <a:off x="3167314" y="106745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32</xdr:row>
      <xdr:rowOff>364435</xdr:rowOff>
    </xdr:from>
    <xdr:ext cx="836544" cy="198782"/>
    <xdr:sp macro="" textlink="">
      <xdr:nvSpPr>
        <xdr:cNvPr id="208" name="TextBox 207">
          <a:extLst>
            <a:ext uri="{FF2B5EF4-FFF2-40B4-BE49-F238E27FC236}">
              <a16:creationId xmlns:a16="http://schemas.microsoft.com/office/drawing/2014/main" xmlns="" id="{00000000-0008-0000-0800-0000D0000000}"/>
            </a:ext>
          </a:extLst>
        </xdr:cNvPr>
        <xdr:cNvSpPr txBox="1"/>
      </xdr:nvSpPr>
      <xdr:spPr>
        <a:xfrm>
          <a:off x="3823252" y="1035616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38</xdr:row>
      <xdr:rowOff>180975</xdr:rowOff>
    </xdr:from>
    <xdr:to>
      <xdr:col>2</xdr:col>
      <xdr:colOff>1276350</xdr:colOff>
      <xdr:row>38</xdr:row>
      <xdr:rowOff>438150</xdr:rowOff>
    </xdr:to>
    <xdr:sp macro="" textlink="">
      <xdr:nvSpPr>
        <xdr:cNvPr id="213" name="Rectangle 212">
          <a:extLst>
            <a:ext uri="{FF2B5EF4-FFF2-40B4-BE49-F238E27FC236}">
              <a16:creationId xmlns:a16="http://schemas.microsoft.com/office/drawing/2014/main" xmlns="" id="{00000000-0008-0000-0800-0000D5000000}"/>
            </a:ext>
          </a:extLst>
        </xdr:cNvPr>
        <xdr:cNvSpPr/>
      </xdr:nvSpPr>
      <xdr:spPr>
        <a:xfrm>
          <a:off x="3295650" y="101727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38</xdr:row>
      <xdr:rowOff>195513</xdr:rowOff>
    </xdr:from>
    <xdr:to>
      <xdr:col>2</xdr:col>
      <xdr:colOff>1102895</xdr:colOff>
      <xdr:row>38</xdr:row>
      <xdr:rowOff>315828</xdr:rowOff>
    </xdr:to>
    <xdr:cxnSp macro="">
      <xdr:nvCxnSpPr>
        <xdr:cNvPr id="214" name="Straight Connector 213">
          <a:extLst>
            <a:ext uri="{FF2B5EF4-FFF2-40B4-BE49-F238E27FC236}">
              <a16:creationId xmlns:a16="http://schemas.microsoft.com/office/drawing/2014/main" xmlns="" id="{00000000-0008-0000-0800-0000D6000000}"/>
            </a:ext>
          </a:extLst>
        </xdr:cNvPr>
        <xdr:cNvCxnSpPr/>
      </xdr:nvCxnSpPr>
      <xdr:spPr>
        <a:xfrm>
          <a:off x="3296652" y="101872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38</xdr:row>
      <xdr:rowOff>182484</xdr:rowOff>
    </xdr:from>
    <xdr:to>
      <xdr:col>2</xdr:col>
      <xdr:colOff>1155035</xdr:colOff>
      <xdr:row>38</xdr:row>
      <xdr:rowOff>302799</xdr:rowOff>
    </xdr:to>
    <xdr:cxnSp macro="">
      <xdr:nvCxnSpPr>
        <xdr:cNvPr id="215" name="Straight Connector 214">
          <a:extLst>
            <a:ext uri="{FF2B5EF4-FFF2-40B4-BE49-F238E27FC236}">
              <a16:creationId xmlns:a16="http://schemas.microsoft.com/office/drawing/2014/main" xmlns="" id="{00000000-0008-0000-0800-0000D7000000}"/>
            </a:ext>
          </a:extLst>
        </xdr:cNvPr>
        <xdr:cNvCxnSpPr/>
      </xdr:nvCxnSpPr>
      <xdr:spPr>
        <a:xfrm>
          <a:off x="3348792" y="1017420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38</xdr:row>
      <xdr:rowOff>225592</xdr:rowOff>
    </xdr:from>
    <xdr:ext cx="323849" cy="142875"/>
    <xdr:sp macro="" textlink="">
      <xdr:nvSpPr>
        <xdr:cNvPr id="216" name="TextBox 215">
          <a:extLst>
            <a:ext uri="{FF2B5EF4-FFF2-40B4-BE49-F238E27FC236}">
              <a16:creationId xmlns:a16="http://schemas.microsoft.com/office/drawing/2014/main" xmlns="" id="{00000000-0008-0000-0800-0000D8000000}"/>
            </a:ext>
          </a:extLst>
        </xdr:cNvPr>
        <xdr:cNvSpPr txBox="1"/>
      </xdr:nvSpPr>
      <xdr:spPr>
        <a:xfrm>
          <a:off x="2880561" y="102173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1333500</xdr:colOff>
      <xdr:row>38</xdr:row>
      <xdr:rowOff>220579</xdr:rowOff>
    </xdr:from>
    <xdr:ext cx="323849" cy="142875"/>
    <xdr:sp macro="" textlink="">
      <xdr:nvSpPr>
        <xdr:cNvPr id="217" name="TextBox 216">
          <a:extLst>
            <a:ext uri="{FF2B5EF4-FFF2-40B4-BE49-F238E27FC236}">
              <a16:creationId xmlns:a16="http://schemas.microsoft.com/office/drawing/2014/main" xmlns="" id="{00000000-0008-0000-0800-0000D9000000}"/>
            </a:ext>
          </a:extLst>
        </xdr:cNvPr>
        <xdr:cNvSpPr txBox="1"/>
      </xdr:nvSpPr>
      <xdr:spPr>
        <a:xfrm>
          <a:off x="3657600" y="10212304"/>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967539</xdr:colOff>
      <xdr:row>38</xdr:row>
      <xdr:rowOff>471236</xdr:rowOff>
    </xdr:from>
    <xdr:ext cx="323849" cy="142875"/>
    <xdr:sp macro="" textlink="">
      <xdr:nvSpPr>
        <xdr:cNvPr id="218" name="TextBox 217">
          <a:extLst>
            <a:ext uri="{FF2B5EF4-FFF2-40B4-BE49-F238E27FC236}">
              <a16:creationId xmlns:a16="http://schemas.microsoft.com/office/drawing/2014/main" xmlns="" id="{00000000-0008-0000-0800-0000DA000000}"/>
            </a:ext>
          </a:extLst>
        </xdr:cNvPr>
        <xdr:cNvSpPr txBox="1"/>
      </xdr:nvSpPr>
      <xdr:spPr>
        <a:xfrm>
          <a:off x="3291639" y="10462961"/>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957514</xdr:colOff>
      <xdr:row>38</xdr:row>
      <xdr:rowOff>35092</xdr:rowOff>
    </xdr:from>
    <xdr:ext cx="323849" cy="142875"/>
    <xdr:sp macro="" textlink="">
      <xdr:nvSpPr>
        <xdr:cNvPr id="219" name="TextBox 218">
          <a:extLst>
            <a:ext uri="{FF2B5EF4-FFF2-40B4-BE49-F238E27FC236}">
              <a16:creationId xmlns:a16="http://schemas.microsoft.com/office/drawing/2014/main" xmlns="" id="{00000000-0008-0000-0800-0000DB000000}"/>
            </a:ext>
          </a:extLst>
        </xdr:cNvPr>
        <xdr:cNvSpPr txBox="1"/>
      </xdr:nvSpPr>
      <xdr:spPr>
        <a:xfrm>
          <a:off x="3281614" y="100268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1499152</xdr:colOff>
      <xdr:row>38</xdr:row>
      <xdr:rowOff>364435</xdr:rowOff>
    </xdr:from>
    <xdr:ext cx="836544" cy="198782"/>
    <xdr:sp macro="" textlink="">
      <xdr:nvSpPr>
        <xdr:cNvPr id="220" name="TextBox 219">
          <a:extLst>
            <a:ext uri="{FF2B5EF4-FFF2-40B4-BE49-F238E27FC236}">
              <a16:creationId xmlns:a16="http://schemas.microsoft.com/office/drawing/2014/main" xmlns="" id="{00000000-0008-0000-0800-0000DC000000}"/>
            </a:ext>
          </a:extLst>
        </xdr:cNvPr>
        <xdr:cNvSpPr txBox="1"/>
      </xdr:nvSpPr>
      <xdr:spPr>
        <a:xfrm>
          <a:off x="3823252" y="1035616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995362</xdr:colOff>
      <xdr:row>39</xdr:row>
      <xdr:rowOff>157163</xdr:rowOff>
    </xdr:from>
    <xdr:to>
      <xdr:col>2</xdr:col>
      <xdr:colOff>1252537</xdr:colOff>
      <xdr:row>39</xdr:row>
      <xdr:rowOff>461963</xdr:rowOff>
    </xdr:to>
    <xdr:sp macro="" textlink="">
      <xdr:nvSpPr>
        <xdr:cNvPr id="221" name="Rectangle 220">
          <a:extLst>
            <a:ext uri="{FF2B5EF4-FFF2-40B4-BE49-F238E27FC236}">
              <a16:creationId xmlns:a16="http://schemas.microsoft.com/office/drawing/2014/main" xmlns="" id="{00000000-0008-0000-0800-0000DD000000}"/>
            </a:ext>
          </a:extLst>
        </xdr:cNvPr>
        <xdr:cNvSpPr/>
      </xdr:nvSpPr>
      <xdr:spPr>
        <a:xfrm rot="3102700">
          <a:off x="3295650" y="108013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1034716</xdr:colOff>
      <xdr:row>39</xdr:row>
      <xdr:rowOff>171449</xdr:rowOff>
    </xdr:from>
    <xdr:to>
      <xdr:col>2</xdr:col>
      <xdr:colOff>1155031</xdr:colOff>
      <xdr:row>39</xdr:row>
      <xdr:rowOff>301792</xdr:rowOff>
    </xdr:to>
    <xdr:cxnSp macro="">
      <xdr:nvCxnSpPr>
        <xdr:cNvPr id="222" name="Straight Connector 221">
          <a:extLst>
            <a:ext uri="{FF2B5EF4-FFF2-40B4-BE49-F238E27FC236}">
              <a16:creationId xmlns:a16="http://schemas.microsoft.com/office/drawing/2014/main" xmlns="" id="{00000000-0008-0000-0800-0000DE000000}"/>
            </a:ext>
          </a:extLst>
        </xdr:cNvPr>
        <xdr:cNvCxnSpPr/>
      </xdr:nvCxnSpPr>
      <xdr:spPr>
        <a:xfrm rot="3102700">
          <a:off x="3353802" y="107968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1086856</xdr:colOff>
      <xdr:row>39</xdr:row>
      <xdr:rowOff>167945</xdr:rowOff>
    </xdr:from>
    <xdr:to>
      <xdr:col>2</xdr:col>
      <xdr:colOff>1207171</xdr:colOff>
      <xdr:row>39</xdr:row>
      <xdr:rowOff>298288</xdr:rowOff>
    </xdr:to>
    <xdr:cxnSp macro="">
      <xdr:nvCxnSpPr>
        <xdr:cNvPr id="223" name="Straight Connector 222">
          <a:extLst>
            <a:ext uri="{FF2B5EF4-FFF2-40B4-BE49-F238E27FC236}">
              <a16:creationId xmlns:a16="http://schemas.microsoft.com/office/drawing/2014/main" xmlns="" id="{00000000-0008-0000-0800-0000DF000000}"/>
            </a:ext>
          </a:extLst>
        </xdr:cNvPr>
        <xdr:cNvCxnSpPr/>
      </xdr:nvCxnSpPr>
      <xdr:spPr>
        <a:xfrm rot="3102700">
          <a:off x="3405942" y="10793334"/>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699336</xdr:colOff>
      <xdr:row>39</xdr:row>
      <xdr:rowOff>358942</xdr:rowOff>
    </xdr:from>
    <xdr:ext cx="323849" cy="142875"/>
    <xdr:sp macro="" textlink="">
      <xdr:nvSpPr>
        <xdr:cNvPr id="224" name="TextBox 223">
          <a:extLst>
            <a:ext uri="{FF2B5EF4-FFF2-40B4-BE49-F238E27FC236}">
              <a16:creationId xmlns:a16="http://schemas.microsoft.com/office/drawing/2014/main" xmlns="" id="{00000000-0008-0000-0800-0000E0000000}"/>
            </a:ext>
          </a:extLst>
        </xdr:cNvPr>
        <xdr:cNvSpPr txBox="1"/>
      </xdr:nvSpPr>
      <xdr:spPr>
        <a:xfrm>
          <a:off x="3023436" y="109793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1266825</xdr:colOff>
      <xdr:row>39</xdr:row>
      <xdr:rowOff>134854</xdr:rowOff>
    </xdr:from>
    <xdr:ext cx="323849" cy="142875"/>
    <xdr:sp macro="" textlink="">
      <xdr:nvSpPr>
        <xdr:cNvPr id="225" name="TextBox 224">
          <a:extLst>
            <a:ext uri="{FF2B5EF4-FFF2-40B4-BE49-F238E27FC236}">
              <a16:creationId xmlns:a16="http://schemas.microsoft.com/office/drawing/2014/main" xmlns="" id="{00000000-0008-0000-0800-0000E1000000}"/>
            </a:ext>
          </a:extLst>
        </xdr:cNvPr>
        <xdr:cNvSpPr txBox="1"/>
      </xdr:nvSpPr>
      <xdr:spPr>
        <a:xfrm>
          <a:off x="3590925" y="1075522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1177089</xdr:colOff>
      <xdr:row>39</xdr:row>
      <xdr:rowOff>461711</xdr:rowOff>
    </xdr:from>
    <xdr:ext cx="323849" cy="142875"/>
    <xdr:sp macro="" textlink="">
      <xdr:nvSpPr>
        <xdr:cNvPr id="226" name="TextBox 225">
          <a:extLst>
            <a:ext uri="{FF2B5EF4-FFF2-40B4-BE49-F238E27FC236}">
              <a16:creationId xmlns:a16="http://schemas.microsoft.com/office/drawing/2014/main" xmlns="" id="{00000000-0008-0000-0800-0000E2000000}"/>
            </a:ext>
          </a:extLst>
        </xdr:cNvPr>
        <xdr:cNvSpPr txBox="1"/>
      </xdr:nvSpPr>
      <xdr:spPr>
        <a:xfrm>
          <a:off x="3501189" y="1108208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843214</xdr:colOff>
      <xdr:row>39</xdr:row>
      <xdr:rowOff>54142</xdr:rowOff>
    </xdr:from>
    <xdr:ext cx="323849" cy="142875"/>
    <xdr:sp macro="" textlink="">
      <xdr:nvSpPr>
        <xdr:cNvPr id="227" name="TextBox 226">
          <a:extLst>
            <a:ext uri="{FF2B5EF4-FFF2-40B4-BE49-F238E27FC236}">
              <a16:creationId xmlns:a16="http://schemas.microsoft.com/office/drawing/2014/main" xmlns="" id="{00000000-0008-0000-0800-0000E3000000}"/>
            </a:ext>
          </a:extLst>
        </xdr:cNvPr>
        <xdr:cNvSpPr txBox="1"/>
      </xdr:nvSpPr>
      <xdr:spPr>
        <a:xfrm>
          <a:off x="3167314" y="106745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39</xdr:row>
      <xdr:rowOff>364435</xdr:rowOff>
    </xdr:from>
    <xdr:ext cx="836544" cy="198782"/>
    <xdr:sp macro="" textlink="">
      <xdr:nvSpPr>
        <xdr:cNvPr id="228" name="TextBox 227">
          <a:extLst>
            <a:ext uri="{FF2B5EF4-FFF2-40B4-BE49-F238E27FC236}">
              <a16:creationId xmlns:a16="http://schemas.microsoft.com/office/drawing/2014/main" xmlns="" id="{00000000-0008-0000-0800-0000E4000000}"/>
            </a:ext>
          </a:extLst>
        </xdr:cNvPr>
        <xdr:cNvSpPr txBox="1"/>
      </xdr:nvSpPr>
      <xdr:spPr>
        <a:xfrm>
          <a:off x="3823252" y="1098481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55</xdr:row>
      <xdr:rowOff>180975</xdr:rowOff>
    </xdr:from>
    <xdr:to>
      <xdr:col>2</xdr:col>
      <xdr:colOff>1276350</xdr:colOff>
      <xdr:row>55</xdr:row>
      <xdr:rowOff>438150</xdr:rowOff>
    </xdr:to>
    <xdr:sp macro="" textlink="">
      <xdr:nvSpPr>
        <xdr:cNvPr id="229" name="Rectangle 228">
          <a:extLst>
            <a:ext uri="{FF2B5EF4-FFF2-40B4-BE49-F238E27FC236}">
              <a16:creationId xmlns:a16="http://schemas.microsoft.com/office/drawing/2014/main" xmlns="" id="{00000000-0008-0000-0800-0000E5000000}"/>
            </a:ext>
          </a:extLst>
        </xdr:cNvPr>
        <xdr:cNvSpPr/>
      </xdr:nvSpPr>
      <xdr:spPr>
        <a:xfrm>
          <a:off x="3295650" y="79057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55</xdr:row>
      <xdr:rowOff>195513</xdr:rowOff>
    </xdr:from>
    <xdr:to>
      <xdr:col>2</xdr:col>
      <xdr:colOff>1102895</xdr:colOff>
      <xdr:row>55</xdr:row>
      <xdr:rowOff>315828</xdr:rowOff>
    </xdr:to>
    <xdr:cxnSp macro="">
      <xdr:nvCxnSpPr>
        <xdr:cNvPr id="230" name="Straight Connector 229">
          <a:extLst>
            <a:ext uri="{FF2B5EF4-FFF2-40B4-BE49-F238E27FC236}">
              <a16:creationId xmlns:a16="http://schemas.microsoft.com/office/drawing/2014/main" xmlns="" id="{00000000-0008-0000-0800-0000E6000000}"/>
            </a:ext>
          </a:extLst>
        </xdr:cNvPr>
        <xdr:cNvCxnSpPr/>
      </xdr:nvCxnSpPr>
      <xdr:spPr>
        <a:xfrm>
          <a:off x="3296652" y="792028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55</xdr:row>
      <xdr:rowOff>182484</xdr:rowOff>
    </xdr:from>
    <xdr:to>
      <xdr:col>2</xdr:col>
      <xdr:colOff>1155035</xdr:colOff>
      <xdr:row>55</xdr:row>
      <xdr:rowOff>302799</xdr:rowOff>
    </xdr:to>
    <xdr:cxnSp macro="">
      <xdr:nvCxnSpPr>
        <xdr:cNvPr id="231" name="Straight Connector 230">
          <a:extLst>
            <a:ext uri="{FF2B5EF4-FFF2-40B4-BE49-F238E27FC236}">
              <a16:creationId xmlns:a16="http://schemas.microsoft.com/office/drawing/2014/main" xmlns="" id="{00000000-0008-0000-0800-0000E7000000}"/>
            </a:ext>
          </a:extLst>
        </xdr:cNvPr>
        <xdr:cNvCxnSpPr/>
      </xdr:nvCxnSpPr>
      <xdr:spPr>
        <a:xfrm>
          <a:off x="3348792" y="790725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55</xdr:row>
      <xdr:rowOff>225592</xdr:rowOff>
    </xdr:from>
    <xdr:ext cx="323849" cy="142875"/>
    <xdr:sp macro="" textlink="">
      <xdr:nvSpPr>
        <xdr:cNvPr id="232" name="TextBox 231">
          <a:extLst>
            <a:ext uri="{FF2B5EF4-FFF2-40B4-BE49-F238E27FC236}">
              <a16:creationId xmlns:a16="http://schemas.microsoft.com/office/drawing/2014/main" xmlns="" id="{00000000-0008-0000-0800-0000E8000000}"/>
            </a:ext>
          </a:extLst>
        </xdr:cNvPr>
        <xdr:cNvSpPr txBox="1"/>
      </xdr:nvSpPr>
      <xdr:spPr>
        <a:xfrm>
          <a:off x="2880561" y="79503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1304925</xdr:colOff>
      <xdr:row>55</xdr:row>
      <xdr:rowOff>190500</xdr:rowOff>
    </xdr:from>
    <xdr:ext cx="323849" cy="142875"/>
    <xdr:sp macro="" textlink="">
      <xdr:nvSpPr>
        <xdr:cNvPr id="233" name="TextBox 232">
          <a:extLst>
            <a:ext uri="{FF2B5EF4-FFF2-40B4-BE49-F238E27FC236}">
              <a16:creationId xmlns:a16="http://schemas.microsoft.com/office/drawing/2014/main" xmlns="" id="{00000000-0008-0000-0800-0000E9000000}"/>
            </a:ext>
          </a:extLst>
        </xdr:cNvPr>
        <xdr:cNvSpPr txBox="1"/>
      </xdr:nvSpPr>
      <xdr:spPr>
        <a:xfrm>
          <a:off x="3629025" y="20888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0.83</a:t>
          </a:r>
        </a:p>
        <a:p>
          <a:endParaRPr lang="en-US" sz="1100"/>
        </a:p>
      </xdr:txBody>
    </xdr:sp>
    <xdr:clientData/>
  </xdr:oneCellAnchor>
  <xdr:oneCellAnchor>
    <xdr:from>
      <xdr:col>2</xdr:col>
      <xdr:colOff>967539</xdr:colOff>
      <xdr:row>55</xdr:row>
      <xdr:rowOff>476250</xdr:rowOff>
    </xdr:from>
    <xdr:ext cx="323849" cy="142875"/>
    <xdr:sp macro="" textlink="">
      <xdr:nvSpPr>
        <xdr:cNvPr id="234" name="TextBox 233">
          <a:extLst>
            <a:ext uri="{FF2B5EF4-FFF2-40B4-BE49-F238E27FC236}">
              <a16:creationId xmlns:a16="http://schemas.microsoft.com/office/drawing/2014/main" xmlns="" id="{00000000-0008-0000-0800-0000EA000000}"/>
            </a:ext>
          </a:extLst>
        </xdr:cNvPr>
        <xdr:cNvSpPr txBox="1"/>
      </xdr:nvSpPr>
      <xdr:spPr>
        <a:xfrm>
          <a:off x="3291639" y="211740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957514</xdr:colOff>
      <xdr:row>55</xdr:row>
      <xdr:rowOff>35092</xdr:rowOff>
    </xdr:from>
    <xdr:ext cx="323849" cy="142875"/>
    <xdr:sp macro="" textlink="">
      <xdr:nvSpPr>
        <xdr:cNvPr id="235" name="TextBox 234">
          <a:extLst>
            <a:ext uri="{FF2B5EF4-FFF2-40B4-BE49-F238E27FC236}">
              <a16:creationId xmlns:a16="http://schemas.microsoft.com/office/drawing/2014/main" xmlns="" id="{00000000-0008-0000-0800-0000EB000000}"/>
            </a:ext>
          </a:extLst>
        </xdr:cNvPr>
        <xdr:cNvSpPr txBox="1"/>
      </xdr:nvSpPr>
      <xdr:spPr>
        <a:xfrm>
          <a:off x="3281614" y="7759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1403902</xdr:colOff>
      <xdr:row>55</xdr:row>
      <xdr:rowOff>342900</xdr:rowOff>
    </xdr:from>
    <xdr:ext cx="836544" cy="198782"/>
    <xdr:sp macro="" textlink="">
      <xdr:nvSpPr>
        <xdr:cNvPr id="236" name="TextBox 235">
          <a:extLst>
            <a:ext uri="{FF2B5EF4-FFF2-40B4-BE49-F238E27FC236}">
              <a16:creationId xmlns:a16="http://schemas.microsoft.com/office/drawing/2014/main" xmlns="" id="{00000000-0008-0000-0800-0000EC000000}"/>
            </a:ext>
          </a:extLst>
        </xdr:cNvPr>
        <xdr:cNvSpPr txBox="1"/>
      </xdr:nvSpPr>
      <xdr:spPr>
        <a:xfrm>
          <a:off x="3728002" y="21040725"/>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61</xdr:row>
      <xdr:rowOff>180975</xdr:rowOff>
    </xdr:from>
    <xdr:to>
      <xdr:col>2</xdr:col>
      <xdr:colOff>1276350</xdr:colOff>
      <xdr:row>61</xdr:row>
      <xdr:rowOff>438150</xdr:rowOff>
    </xdr:to>
    <xdr:sp macro="" textlink="">
      <xdr:nvSpPr>
        <xdr:cNvPr id="237" name="Rectangle 236">
          <a:extLst>
            <a:ext uri="{FF2B5EF4-FFF2-40B4-BE49-F238E27FC236}">
              <a16:creationId xmlns:a16="http://schemas.microsoft.com/office/drawing/2014/main" xmlns="" id="{00000000-0008-0000-0800-0000ED000000}"/>
            </a:ext>
          </a:extLst>
        </xdr:cNvPr>
        <xdr:cNvSpPr/>
      </xdr:nvSpPr>
      <xdr:spPr>
        <a:xfrm>
          <a:off x="3295650" y="132588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61</xdr:row>
      <xdr:rowOff>195513</xdr:rowOff>
    </xdr:from>
    <xdr:to>
      <xdr:col>2</xdr:col>
      <xdr:colOff>1102895</xdr:colOff>
      <xdr:row>61</xdr:row>
      <xdr:rowOff>315828</xdr:rowOff>
    </xdr:to>
    <xdr:cxnSp macro="">
      <xdr:nvCxnSpPr>
        <xdr:cNvPr id="238" name="Straight Connector 237">
          <a:extLst>
            <a:ext uri="{FF2B5EF4-FFF2-40B4-BE49-F238E27FC236}">
              <a16:creationId xmlns:a16="http://schemas.microsoft.com/office/drawing/2014/main" xmlns="" id="{00000000-0008-0000-0800-0000EE000000}"/>
            </a:ext>
          </a:extLst>
        </xdr:cNvPr>
        <xdr:cNvCxnSpPr/>
      </xdr:nvCxnSpPr>
      <xdr:spPr>
        <a:xfrm>
          <a:off x="3296652" y="132733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61</xdr:row>
      <xdr:rowOff>182484</xdr:rowOff>
    </xdr:from>
    <xdr:to>
      <xdr:col>2</xdr:col>
      <xdr:colOff>1155035</xdr:colOff>
      <xdr:row>61</xdr:row>
      <xdr:rowOff>302799</xdr:rowOff>
    </xdr:to>
    <xdr:cxnSp macro="">
      <xdr:nvCxnSpPr>
        <xdr:cNvPr id="239" name="Straight Connector 238">
          <a:extLst>
            <a:ext uri="{FF2B5EF4-FFF2-40B4-BE49-F238E27FC236}">
              <a16:creationId xmlns:a16="http://schemas.microsoft.com/office/drawing/2014/main" xmlns="" id="{00000000-0008-0000-0800-0000EF000000}"/>
            </a:ext>
          </a:extLst>
        </xdr:cNvPr>
        <xdr:cNvCxnSpPr/>
      </xdr:nvCxnSpPr>
      <xdr:spPr>
        <a:xfrm>
          <a:off x="3348792" y="1326030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61</xdr:row>
      <xdr:rowOff>225592</xdr:rowOff>
    </xdr:from>
    <xdr:ext cx="323849" cy="142875"/>
    <xdr:sp macro="" textlink="">
      <xdr:nvSpPr>
        <xdr:cNvPr id="240" name="TextBox 239">
          <a:extLst>
            <a:ext uri="{FF2B5EF4-FFF2-40B4-BE49-F238E27FC236}">
              <a16:creationId xmlns:a16="http://schemas.microsoft.com/office/drawing/2014/main" xmlns="" id="{00000000-0008-0000-0800-0000F0000000}"/>
            </a:ext>
          </a:extLst>
        </xdr:cNvPr>
        <xdr:cNvSpPr txBox="1"/>
      </xdr:nvSpPr>
      <xdr:spPr>
        <a:xfrm>
          <a:off x="2880561" y="133034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1333500</xdr:colOff>
      <xdr:row>61</xdr:row>
      <xdr:rowOff>220579</xdr:rowOff>
    </xdr:from>
    <xdr:ext cx="323849" cy="142875"/>
    <xdr:sp macro="" textlink="">
      <xdr:nvSpPr>
        <xdr:cNvPr id="241" name="TextBox 240">
          <a:extLst>
            <a:ext uri="{FF2B5EF4-FFF2-40B4-BE49-F238E27FC236}">
              <a16:creationId xmlns:a16="http://schemas.microsoft.com/office/drawing/2014/main" xmlns="" id="{00000000-0008-0000-0800-0000F1000000}"/>
            </a:ext>
          </a:extLst>
        </xdr:cNvPr>
        <xdr:cNvSpPr txBox="1"/>
      </xdr:nvSpPr>
      <xdr:spPr>
        <a:xfrm>
          <a:off x="3657600" y="13298404"/>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967539</xdr:colOff>
      <xdr:row>61</xdr:row>
      <xdr:rowOff>471236</xdr:rowOff>
    </xdr:from>
    <xdr:ext cx="323849" cy="142875"/>
    <xdr:sp macro="" textlink="">
      <xdr:nvSpPr>
        <xdr:cNvPr id="242" name="TextBox 241">
          <a:extLst>
            <a:ext uri="{FF2B5EF4-FFF2-40B4-BE49-F238E27FC236}">
              <a16:creationId xmlns:a16="http://schemas.microsoft.com/office/drawing/2014/main" xmlns="" id="{00000000-0008-0000-0800-0000F2000000}"/>
            </a:ext>
          </a:extLst>
        </xdr:cNvPr>
        <xdr:cNvSpPr txBox="1"/>
      </xdr:nvSpPr>
      <xdr:spPr>
        <a:xfrm>
          <a:off x="3291639" y="13549061"/>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957514</xdr:colOff>
      <xdr:row>61</xdr:row>
      <xdr:rowOff>35092</xdr:rowOff>
    </xdr:from>
    <xdr:ext cx="323849" cy="142875"/>
    <xdr:sp macro="" textlink="">
      <xdr:nvSpPr>
        <xdr:cNvPr id="243" name="TextBox 242">
          <a:extLst>
            <a:ext uri="{FF2B5EF4-FFF2-40B4-BE49-F238E27FC236}">
              <a16:creationId xmlns:a16="http://schemas.microsoft.com/office/drawing/2014/main" xmlns="" id="{00000000-0008-0000-0800-0000F3000000}"/>
            </a:ext>
          </a:extLst>
        </xdr:cNvPr>
        <xdr:cNvSpPr txBox="1"/>
      </xdr:nvSpPr>
      <xdr:spPr>
        <a:xfrm>
          <a:off x="3281614" y="131129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1499152</xdr:colOff>
      <xdr:row>61</xdr:row>
      <xdr:rowOff>364435</xdr:rowOff>
    </xdr:from>
    <xdr:ext cx="836544" cy="198782"/>
    <xdr:sp macro="" textlink="">
      <xdr:nvSpPr>
        <xdr:cNvPr id="244" name="TextBox 243">
          <a:extLst>
            <a:ext uri="{FF2B5EF4-FFF2-40B4-BE49-F238E27FC236}">
              <a16:creationId xmlns:a16="http://schemas.microsoft.com/office/drawing/2014/main" xmlns="" id="{00000000-0008-0000-0800-0000F4000000}"/>
            </a:ext>
          </a:extLst>
        </xdr:cNvPr>
        <xdr:cNvSpPr txBox="1"/>
      </xdr:nvSpPr>
      <xdr:spPr>
        <a:xfrm>
          <a:off x="3823252" y="1344226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995362</xdr:colOff>
      <xdr:row>62</xdr:row>
      <xdr:rowOff>157163</xdr:rowOff>
    </xdr:from>
    <xdr:to>
      <xdr:col>2</xdr:col>
      <xdr:colOff>1252537</xdr:colOff>
      <xdr:row>62</xdr:row>
      <xdr:rowOff>461963</xdr:rowOff>
    </xdr:to>
    <xdr:sp macro="" textlink="">
      <xdr:nvSpPr>
        <xdr:cNvPr id="245" name="Rectangle 244">
          <a:extLst>
            <a:ext uri="{FF2B5EF4-FFF2-40B4-BE49-F238E27FC236}">
              <a16:creationId xmlns:a16="http://schemas.microsoft.com/office/drawing/2014/main" xmlns="" id="{00000000-0008-0000-0800-0000F5000000}"/>
            </a:ext>
          </a:extLst>
        </xdr:cNvPr>
        <xdr:cNvSpPr/>
      </xdr:nvSpPr>
      <xdr:spPr>
        <a:xfrm rot="3102700">
          <a:off x="3295650" y="138874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1034716</xdr:colOff>
      <xdr:row>62</xdr:row>
      <xdr:rowOff>171449</xdr:rowOff>
    </xdr:from>
    <xdr:to>
      <xdr:col>2</xdr:col>
      <xdr:colOff>1155031</xdr:colOff>
      <xdr:row>62</xdr:row>
      <xdr:rowOff>301792</xdr:rowOff>
    </xdr:to>
    <xdr:cxnSp macro="">
      <xdr:nvCxnSpPr>
        <xdr:cNvPr id="246" name="Straight Connector 245">
          <a:extLst>
            <a:ext uri="{FF2B5EF4-FFF2-40B4-BE49-F238E27FC236}">
              <a16:creationId xmlns:a16="http://schemas.microsoft.com/office/drawing/2014/main" xmlns="" id="{00000000-0008-0000-0800-0000F6000000}"/>
            </a:ext>
          </a:extLst>
        </xdr:cNvPr>
        <xdr:cNvCxnSpPr/>
      </xdr:nvCxnSpPr>
      <xdr:spPr>
        <a:xfrm rot="3102700">
          <a:off x="3353802" y="138829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1086856</xdr:colOff>
      <xdr:row>62</xdr:row>
      <xdr:rowOff>167945</xdr:rowOff>
    </xdr:from>
    <xdr:to>
      <xdr:col>2</xdr:col>
      <xdr:colOff>1207171</xdr:colOff>
      <xdr:row>62</xdr:row>
      <xdr:rowOff>298288</xdr:rowOff>
    </xdr:to>
    <xdr:cxnSp macro="">
      <xdr:nvCxnSpPr>
        <xdr:cNvPr id="247" name="Straight Connector 246">
          <a:extLst>
            <a:ext uri="{FF2B5EF4-FFF2-40B4-BE49-F238E27FC236}">
              <a16:creationId xmlns:a16="http://schemas.microsoft.com/office/drawing/2014/main" xmlns="" id="{00000000-0008-0000-0800-0000F7000000}"/>
            </a:ext>
          </a:extLst>
        </xdr:cNvPr>
        <xdr:cNvCxnSpPr/>
      </xdr:nvCxnSpPr>
      <xdr:spPr>
        <a:xfrm rot="3102700">
          <a:off x="3405942" y="13879434"/>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699336</xdr:colOff>
      <xdr:row>62</xdr:row>
      <xdr:rowOff>358942</xdr:rowOff>
    </xdr:from>
    <xdr:ext cx="323849" cy="142875"/>
    <xdr:sp macro="" textlink="">
      <xdr:nvSpPr>
        <xdr:cNvPr id="248" name="TextBox 247">
          <a:extLst>
            <a:ext uri="{FF2B5EF4-FFF2-40B4-BE49-F238E27FC236}">
              <a16:creationId xmlns:a16="http://schemas.microsoft.com/office/drawing/2014/main" xmlns="" id="{00000000-0008-0000-0800-0000F8000000}"/>
            </a:ext>
          </a:extLst>
        </xdr:cNvPr>
        <xdr:cNvSpPr txBox="1"/>
      </xdr:nvSpPr>
      <xdr:spPr>
        <a:xfrm>
          <a:off x="3023436" y="140654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1266825</xdr:colOff>
      <xdr:row>62</xdr:row>
      <xdr:rowOff>134854</xdr:rowOff>
    </xdr:from>
    <xdr:ext cx="323849" cy="142875"/>
    <xdr:sp macro="" textlink="">
      <xdr:nvSpPr>
        <xdr:cNvPr id="249" name="TextBox 248">
          <a:extLst>
            <a:ext uri="{FF2B5EF4-FFF2-40B4-BE49-F238E27FC236}">
              <a16:creationId xmlns:a16="http://schemas.microsoft.com/office/drawing/2014/main" xmlns="" id="{00000000-0008-0000-0800-0000F9000000}"/>
            </a:ext>
          </a:extLst>
        </xdr:cNvPr>
        <xdr:cNvSpPr txBox="1"/>
      </xdr:nvSpPr>
      <xdr:spPr>
        <a:xfrm>
          <a:off x="3590925" y="1384132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1177089</xdr:colOff>
      <xdr:row>62</xdr:row>
      <xdr:rowOff>461711</xdr:rowOff>
    </xdr:from>
    <xdr:ext cx="323849" cy="142875"/>
    <xdr:sp macro="" textlink="">
      <xdr:nvSpPr>
        <xdr:cNvPr id="250" name="TextBox 249">
          <a:extLst>
            <a:ext uri="{FF2B5EF4-FFF2-40B4-BE49-F238E27FC236}">
              <a16:creationId xmlns:a16="http://schemas.microsoft.com/office/drawing/2014/main" xmlns="" id="{00000000-0008-0000-0800-0000FA000000}"/>
            </a:ext>
          </a:extLst>
        </xdr:cNvPr>
        <xdr:cNvSpPr txBox="1"/>
      </xdr:nvSpPr>
      <xdr:spPr>
        <a:xfrm>
          <a:off x="3501189" y="1416818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843214</xdr:colOff>
      <xdr:row>62</xdr:row>
      <xdr:rowOff>54142</xdr:rowOff>
    </xdr:from>
    <xdr:ext cx="323849" cy="142875"/>
    <xdr:sp macro="" textlink="">
      <xdr:nvSpPr>
        <xdr:cNvPr id="251" name="TextBox 250">
          <a:extLst>
            <a:ext uri="{FF2B5EF4-FFF2-40B4-BE49-F238E27FC236}">
              <a16:creationId xmlns:a16="http://schemas.microsoft.com/office/drawing/2014/main" xmlns="" id="{00000000-0008-0000-0800-0000FB000000}"/>
            </a:ext>
          </a:extLst>
        </xdr:cNvPr>
        <xdr:cNvSpPr txBox="1"/>
      </xdr:nvSpPr>
      <xdr:spPr>
        <a:xfrm>
          <a:off x="3167314" y="137606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62</xdr:row>
      <xdr:rowOff>364435</xdr:rowOff>
    </xdr:from>
    <xdr:ext cx="836544" cy="198782"/>
    <xdr:sp macro="" textlink="">
      <xdr:nvSpPr>
        <xdr:cNvPr id="252" name="TextBox 251">
          <a:extLst>
            <a:ext uri="{FF2B5EF4-FFF2-40B4-BE49-F238E27FC236}">
              <a16:creationId xmlns:a16="http://schemas.microsoft.com/office/drawing/2014/main" xmlns="" id="{00000000-0008-0000-0800-0000FC000000}"/>
            </a:ext>
          </a:extLst>
        </xdr:cNvPr>
        <xdr:cNvSpPr txBox="1"/>
      </xdr:nvSpPr>
      <xdr:spPr>
        <a:xfrm>
          <a:off x="3823252" y="1407091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78</xdr:row>
      <xdr:rowOff>180975</xdr:rowOff>
    </xdr:from>
    <xdr:to>
      <xdr:col>2</xdr:col>
      <xdr:colOff>1276350</xdr:colOff>
      <xdr:row>78</xdr:row>
      <xdr:rowOff>438150</xdr:rowOff>
    </xdr:to>
    <xdr:sp macro="" textlink="">
      <xdr:nvSpPr>
        <xdr:cNvPr id="253" name="Rectangle 252">
          <a:extLst>
            <a:ext uri="{FF2B5EF4-FFF2-40B4-BE49-F238E27FC236}">
              <a16:creationId xmlns:a16="http://schemas.microsoft.com/office/drawing/2014/main" xmlns="" id="{00000000-0008-0000-0800-0000FD000000}"/>
            </a:ext>
          </a:extLst>
        </xdr:cNvPr>
        <xdr:cNvSpPr/>
      </xdr:nvSpPr>
      <xdr:spPr>
        <a:xfrm>
          <a:off x="3295650" y="208788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78</xdr:row>
      <xdr:rowOff>195513</xdr:rowOff>
    </xdr:from>
    <xdr:to>
      <xdr:col>2</xdr:col>
      <xdr:colOff>1102895</xdr:colOff>
      <xdr:row>78</xdr:row>
      <xdr:rowOff>315828</xdr:rowOff>
    </xdr:to>
    <xdr:cxnSp macro="">
      <xdr:nvCxnSpPr>
        <xdr:cNvPr id="254" name="Straight Connector 253">
          <a:extLst>
            <a:ext uri="{FF2B5EF4-FFF2-40B4-BE49-F238E27FC236}">
              <a16:creationId xmlns:a16="http://schemas.microsoft.com/office/drawing/2014/main" xmlns="" id="{00000000-0008-0000-0800-0000FE000000}"/>
            </a:ext>
          </a:extLst>
        </xdr:cNvPr>
        <xdr:cNvCxnSpPr/>
      </xdr:nvCxnSpPr>
      <xdr:spPr>
        <a:xfrm>
          <a:off x="3296652" y="208933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78</xdr:row>
      <xdr:rowOff>182484</xdr:rowOff>
    </xdr:from>
    <xdr:to>
      <xdr:col>2</xdr:col>
      <xdr:colOff>1155035</xdr:colOff>
      <xdr:row>78</xdr:row>
      <xdr:rowOff>302799</xdr:rowOff>
    </xdr:to>
    <xdr:cxnSp macro="">
      <xdr:nvCxnSpPr>
        <xdr:cNvPr id="255" name="Straight Connector 254">
          <a:extLst>
            <a:ext uri="{FF2B5EF4-FFF2-40B4-BE49-F238E27FC236}">
              <a16:creationId xmlns:a16="http://schemas.microsoft.com/office/drawing/2014/main" xmlns="" id="{00000000-0008-0000-0800-0000FF000000}"/>
            </a:ext>
          </a:extLst>
        </xdr:cNvPr>
        <xdr:cNvCxnSpPr/>
      </xdr:nvCxnSpPr>
      <xdr:spPr>
        <a:xfrm>
          <a:off x="3348792" y="2088030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604086</xdr:colOff>
      <xdr:row>78</xdr:row>
      <xdr:rowOff>225592</xdr:rowOff>
    </xdr:from>
    <xdr:ext cx="323849" cy="142875"/>
    <xdr:sp macro="" textlink="">
      <xdr:nvSpPr>
        <xdr:cNvPr id="256" name="TextBox 255">
          <a:extLst>
            <a:ext uri="{FF2B5EF4-FFF2-40B4-BE49-F238E27FC236}">
              <a16:creationId xmlns:a16="http://schemas.microsoft.com/office/drawing/2014/main" xmlns="" id="{00000000-0008-0000-0800-000000010000}"/>
            </a:ext>
          </a:extLst>
        </xdr:cNvPr>
        <xdr:cNvSpPr txBox="1"/>
      </xdr:nvSpPr>
      <xdr:spPr>
        <a:xfrm>
          <a:off x="2928186" y="31000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1390650</xdr:colOff>
      <xdr:row>78</xdr:row>
      <xdr:rowOff>200025</xdr:rowOff>
    </xdr:from>
    <xdr:ext cx="323849" cy="142875"/>
    <xdr:sp macro="" textlink="">
      <xdr:nvSpPr>
        <xdr:cNvPr id="257" name="TextBox 256">
          <a:extLst>
            <a:ext uri="{FF2B5EF4-FFF2-40B4-BE49-F238E27FC236}">
              <a16:creationId xmlns:a16="http://schemas.microsoft.com/office/drawing/2014/main" xmlns="" id="{00000000-0008-0000-0800-000001010000}"/>
            </a:ext>
          </a:extLst>
        </xdr:cNvPr>
        <xdr:cNvSpPr txBox="1"/>
      </xdr:nvSpPr>
      <xdr:spPr>
        <a:xfrm>
          <a:off x="3714750" y="309753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967539</xdr:colOff>
      <xdr:row>78</xdr:row>
      <xdr:rowOff>476250</xdr:rowOff>
    </xdr:from>
    <xdr:ext cx="323849" cy="142875"/>
    <xdr:sp macro="" textlink="">
      <xdr:nvSpPr>
        <xdr:cNvPr id="258" name="TextBox 257">
          <a:extLst>
            <a:ext uri="{FF2B5EF4-FFF2-40B4-BE49-F238E27FC236}">
              <a16:creationId xmlns:a16="http://schemas.microsoft.com/office/drawing/2014/main" xmlns="" id="{00000000-0008-0000-0800-000002010000}"/>
            </a:ext>
          </a:extLst>
        </xdr:cNvPr>
        <xdr:cNvSpPr txBox="1"/>
      </xdr:nvSpPr>
      <xdr:spPr>
        <a:xfrm>
          <a:off x="3291639" y="211740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957514</xdr:colOff>
      <xdr:row>78</xdr:row>
      <xdr:rowOff>35092</xdr:rowOff>
    </xdr:from>
    <xdr:ext cx="323849" cy="142875"/>
    <xdr:sp macro="" textlink="">
      <xdr:nvSpPr>
        <xdr:cNvPr id="259" name="TextBox 258">
          <a:extLst>
            <a:ext uri="{FF2B5EF4-FFF2-40B4-BE49-F238E27FC236}">
              <a16:creationId xmlns:a16="http://schemas.microsoft.com/office/drawing/2014/main" xmlns="" id="{00000000-0008-0000-0800-000003010000}"/>
            </a:ext>
          </a:extLst>
        </xdr:cNvPr>
        <xdr:cNvSpPr txBox="1"/>
      </xdr:nvSpPr>
      <xdr:spPr>
        <a:xfrm>
          <a:off x="3281614" y="207329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1403902</xdr:colOff>
      <xdr:row>78</xdr:row>
      <xdr:rowOff>342900</xdr:rowOff>
    </xdr:from>
    <xdr:ext cx="836544" cy="198782"/>
    <xdr:sp macro="" textlink="">
      <xdr:nvSpPr>
        <xdr:cNvPr id="260" name="TextBox 259">
          <a:extLst>
            <a:ext uri="{FF2B5EF4-FFF2-40B4-BE49-F238E27FC236}">
              <a16:creationId xmlns:a16="http://schemas.microsoft.com/office/drawing/2014/main" xmlns="" id="{00000000-0008-0000-0800-000004010000}"/>
            </a:ext>
          </a:extLst>
        </xdr:cNvPr>
        <xdr:cNvSpPr txBox="1"/>
      </xdr:nvSpPr>
      <xdr:spPr>
        <a:xfrm>
          <a:off x="3728002" y="21040725"/>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723900</xdr:colOff>
      <xdr:row>82</xdr:row>
      <xdr:rowOff>104775</xdr:rowOff>
    </xdr:from>
    <xdr:to>
      <xdr:col>2</xdr:col>
      <xdr:colOff>1800225</xdr:colOff>
      <xdr:row>82</xdr:row>
      <xdr:rowOff>106363</xdr:rowOff>
    </xdr:to>
    <xdr:cxnSp macro="">
      <xdr:nvCxnSpPr>
        <xdr:cNvPr id="264" name="Straight Connector 263">
          <a:extLst>
            <a:ext uri="{FF2B5EF4-FFF2-40B4-BE49-F238E27FC236}">
              <a16:creationId xmlns:a16="http://schemas.microsoft.com/office/drawing/2014/main" xmlns="" id="{00000000-0008-0000-0800-000008010000}"/>
            </a:ext>
          </a:extLst>
        </xdr:cNvPr>
        <xdr:cNvCxnSpPr/>
      </xdr:nvCxnSpPr>
      <xdr:spPr>
        <a:xfrm>
          <a:off x="3048000" y="3208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82</xdr:row>
      <xdr:rowOff>180975</xdr:rowOff>
    </xdr:from>
    <xdr:ext cx="323849" cy="142875"/>
    <xdr:sp macro="" textlink="">
      <xdr:nvSpPr>
        <xdr:cNvPr id="265" name="TextBox 264">
          <a:extLst>
            <a:ext uri="{FF2B5EF4-FFF2-40B4-BE49-F238E27FC236}">
              <a16:creationId xmlns:a16="http://schemas.microsoft.com/office/drawing/2014/main" xmlns="" id="{00000000-0008-0000-0800-000009010000}"/>
            </a:ext>
          </a:extLst>
        </xdr:cNvPr>
        <xdr:cNvSpPr txBox="1"/>
      </xdr:nvSpPr>
      <xdr:spPr>
        <a:xfrm>
          <a:off x="3352800" y="3215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32.5</a:t>
          </a:r>
        </a:p>
        <a:p>
          <a:endParaRPr lang="en-US" sz="1100"/>
        </a:p>
      </xdr:txBody>
    </xdr:sp>
    <xdr:clientData/>
  </xdr:oneCellAnchor>
  <xdr:twoCellAnchor>
    <xdr:from>
      <xdr:col>2</xdr:col>
      <xdr:colOff>723900</xdr:colOff>
      <xdr:row>83</xdr:row>
      <xdr:rowOff>104775</xdr:rowOff>
    </xdr:from>
    <xdr:to>
      <xdr:col>2</xdr:col>
      <xdr:colOff>1800225</xdr:colOff>
      <xdr:row>83</xdr:row>
      <xdr:rowOff>106363</xdr:rowOff>
    </xdr:to>
    <xdr:cxnSp macro="">
      <xdr:nvCxnSpPr>
        <xdr:cNvPr id="266" name="Straight Connector 265">
          <a:extLst>
            <a:ext uri="{FF2B5EF4-FFF2-40B4-BE49-F238E27FC236}">
              <a16:creationId xmlns:a16="http://schemas.microsoft.com/office/drawing/2014/main" xmlns="" id="{00000000-0008-0000-0800-00000A010000}"/>
            </a:ext>
          </a:extLst>
        </xdr:cNvPr>
        <xdr:cNvCxnSpPr/>
      </xdr:nvCxnSpPr>
      <xdr:spPr>
        <a:xfrm>
          <a:off x="3048000" y="3208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83</xdr:row>
      <xdr:rowOff>180975</xdr:rowOff>
    </xdr:from>
    <xdr:ext cx="323849" cy="142875"/>
    <xdr:sp macro="" textlink="">
      <xdr:nvSpPr>
        <xdr:cNvPr id="267" name="TextBox 266">
          <a:extLst>
            <a:ext uri="{FF2B5EF4-FFF2-40B4-BE49-F238E27FC236}">
              <a16:creationId xmlns:a16="http://schemas.microsoft.com/office/drawing/2014/main" xmlns="" id="{00000000-0008-0000-0800-00000B010000}"/>
            </a:ext>
          </a:extLst>
        </xdr:cNvPr>
        <xdr:cNvSpPr txBox="1"/>
      </xdr:nvSpPr>
      <xdr:spPr>
        <a:xfrm>
          <a:off x="3352800" y="3215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a:t>
          </a:r>
        </a:p>
        <a:p>
          <a:endParaRPr lang="en-US" sz="1100"/>
        </a:p>
      </xdr:txBody>
    </xdr:sp>
    <xdr:clientData/>
  </xdr:oneCellAnchor>
  <xdr:twoCellAnchor>
    <xdr:from>
      <xdr:col>2</xdr:col>
      <xdr:colOff>723900</xdr:colOff>
      <xdr:row>85</xdr:row>
      <xdr:rowOff>104775</xdr:rowOff>
    </xdr:from>
    <xdr:to>
      <xdr:col>2</xdr:col>
      <xdr:colOff>1800225</xdr:colOff>
      <xdr:row>85</xdr:row>
      <xdr:rowOff>106363</xdr:rowOff>
    </xdr:to>
    <xdr:cxnSp macro="">
      <xdr:nvCxnSpPr>
        <xdr:cNvPr id="268" name="Straight Connector 267">
          <a:extLst>
            <a:ext uri="{FF2B5EF4-FFF2-40B4-BE49-F238E27FC236}">
              <a16:creationId xmlns:a16="http://schemas.microsoft.com/office/drawing/2014/main" xmlns="" id="{00000000-0008-0000-0800-00000C010000}"/>
            </a:ext>
          </a:extLst>
        </xdr:cNvPr>
        <xdr:cNvCxnSpPr/>
      </xdr:nvCxnSpPr>
      <xdr:spPr>
        <a:xfrm>
          <a:off x="3048000" y="3208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85</xdr:row>
      <xdr:rowOff>180975</xdr:rowOff>
    </xdr:from>
    <xdr:ext cx="323849" cy="142875"/>
    <xdr:sp macro="" textlink="">
      <xdr:nvSpPr>
        <xdr:cNvPr id="269" name="TextBox 268">
          <a:extLst>
            <a:ext uri="{FF2B5EF4-FFF2-40B4-BE49-F238E27FC236}">
              <a16:creationId xmlns:a16="http://schemas.microsoft.com/office/drawing/2014/main" xmlns="" id="{00000000-0008-0000-0800-00000D010000}"/>
            </a:ext>
          </a:extLst>
        </xdr:cNvPr>
        <xdr:cNvSpPr txBox="1"/>
      </xdr:nvSpPr>
      <xdr:spPr>
        <a:xfrm>
          <a:off x="3352800" y="3215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27.5</a:t>
          </a:r>
        </a:p>
        <a:p>
          <a:endParaRPr lang="en-US" sz="1100"/>
        </a:p>
      </xdr:txBody>
    </xdr:sp>
    <xdr:clientData/>
  </xdr:oneCellAnchor>
  <xdr:twoCellAnchor>
    <xdr:from>
      <xdr:col>2</xdr:col>
      <xdr:colOff>723900</xdr:colOff>
      <xdr:row>86</xdr:row>
      <xdr:rowOff>104775</xdr:rowOff>
    </xdr:from>
    <xdr:to>
      <xdr:col>2</xdr:col>
      <xdr:colOff>1800225</xdr:colOff>
      <xdr:row>86</xdr:row>
      <xdr:rowOff>106363</xdr:rowOff>
    </xdr:to>
    <xdr:cxnSp macro="">
      <xdr:nvCxnSpPr>
        <xdr:cNvPr id="270" name="Straight Connector 269">
          <a:extLst>
            <a:ext uri="{FF2B5EF4-FFF2-40B4-BE49-F238E27FC236}">
              <a16:creationId xmlns:a16="http://schemas.microsoft.com/office/drawing/2014/main" xmlns="" id="{00000000-0008-0000-0800-00000E010000}"/>
            </a:ext>
          </a:extLst>
        </xdr:cNvPr>
        <xdr:cNvCxnSpPr/>
      </xdr:nvCxnSpPr>
      <xdr:spPr>
        <a:xfrm>
          <a:off x="3048000" y="32461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86</xdr:row>
      <xdr:rowOff>180975</xdr:rowOff>
    </xdr:from>
    <xdr:ext cx="323849" cy="142875"/>
    <xdr:sp macro="" textlink="">
      <xdr:nvSpPr>
        <xdr:cNvPr id="271" name="TextBox 270">
          <a:extLst>
            <a:ext uri="{FF2B5EF4-FFF2-40B4-BE49-F238E27FC236}">
              <a16:creationId xmlns:a16="http://schemas.microsoft.com/office/drawing/2014/main" xmlns="" id="{00000000-0008-0000-0800-00000F010000}"/>
            </a:ext>
          </a:extLst>
        </xdr:cNvPr>
        <xdr:cNvSpPr txBox="1"/>
      </xdr:nvSpPr>
      <xdr:spPr>
        <a:xfrm>
          <a:off x="3352800" y="32537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17.83</a:t>
          </a:r>
        </a:p>
        <a:p>
          <a:endParaRPr lang="en-US" sz="1100"/>
        </a:p>
      </xdr:txBody>
    </xdr:sp>
    <xdr:clientData/>
  </xdr:oneCellAnchor>
  <xdr:twoCellAnchor>
    <xdr:from>
      <xdr:col>2</xdr:col>
      <xdr:colOff>723900</xdr:colOff>
      <xdr:row>89</xdr:row>
      <xdr:rowOff>104775</xdr:rowOff>
    </xdr:from>
    <xdr:to>
      <xdr:col>2</xdr:col>
      <xdr:colOff>1800225</xdr:colOff>
      <xdr:row>89</xdr:row>
      <xdr:rowOff>106363</xdr:rowOff>
    </xdr:to>
    <xdr:cxnSp macro="">
      <xdr:nvCxnSpPr>
        <xdr:cNvPr id="272" name="Straight Connector 271">
          <a:extLst>
            <a:ext uri="{FF2B5EF4-FFF2-40B4-BE49-F238E27FC236}">
              <a16:creationId xmlns:a16="http://schemas.microsoft.com/office/drawing/2014/main" xmlns="" id="{00000000-0008-0000-0800-000010010000}"/>
            </a:ext>
          </a:extLst>
        </xdr:cNvPr>
        <xdr:cNvCxnSpPr/>
      </xdr:nvCxnSpPr>
      <xdr:spPr>
        <a:xfrm>
          <a:off x="3048000" y="3208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89</xdr:row>
      <xdr:rowOff>180975</xdr:rowOff>
    </xdr:from>
    <xdr:ext cx="323849" cy="142875"/>
    <xdr:sp macro="" textlink="">
      <xdr:nvSpPr>
        <xdr:cNvPr id="273" name="TextBox 272">
          <a:extLst>
            <a:ext uri="{FF2B5EF4-FFF2-40B4-BE49-F238E27FC236}">
              <a16:creationId xmlns:a16="http://schemas.microsoft.com/office/drawing/2014/main" xmlns="" id="{00000000-0008-0000-0800-000011010000}"/>
            </a:ext>
          </a:extLst>
        </xdr:cNvPr>
        <xdr:cNvSpPr txBox="1"/>
      </xdr:nvSpPr>
      <xdr:spPr>
        <a:xfrm>
          <a:off x="3352800" y="3215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32.5</a:t>
          </a:r>
        </a:p>
        <a:p>
          <a:endParaRPr lang="en-US" sz="1100"/>
        </a:p>
      </xdr:txBody>
    </xdr:sp>
    <xdr:clientData/>
  </xdr:oneCellAnchor>
  <xdr:twoCellAnchor>
    <xdr:from>
      <xdr:col>2</xdr:col>
      <xdr:colOff>723900</xdr:colOff>
      <xdr:row>90</xdr:row>
      <xdr:rowOff>104775</xdr:rowOff>
    </xdr:from>
    <xdr:to>
      <xdr:col>2</xdr:col>
      <xdr:colOff>1800225</xdr:colOff>
      <xdr:row>90</xdr:row>
      <xdr:rowOff>106363</xdr:rowOff>
    </xdr:to>
    <xdr:cxnSp macro="">
      <xdr:nvCxnSpPr>
        <xdr:cNvPr id="274" name="Straight Connector 273">
          <a:extLst>
            <a:ext uri="{FF2B5EF4-FFF2-40B4-BE49-F238E27FC236}">
              <a16:creationId xmlns:a16="http://schemas.microsoft.com/office/drawing/2014/main" xmlns="" id="{00000000-0008-0000-0800-000012010000}"/>
            </a:ext>
          </a:extLst>
        </xdr:cNvPr>
        <xdr:cNvCxnSpPr/>
      </xdr:nvCxnSpPr>
      <xdr:spPr>
        <a:xfrm>
          <a:off x="3048000" y="32461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90</xdr:row>
      <xdr:rowOff>180975</xdr:rowOff>
    </xdr:from>
    <xdr:ext cx="323849" cy="142875"/>
    <xdr:sp macro="" textlink="">
      <xdr:nvSpPr>
        <xdr:cNvPr id="275" name="TextBox 274">
          <a:extLst>
            <a:ext uri="{FF2B5EF4-FFF2-40B4-BE49-F238E27FC236}">
              <a16:creationId xmlns:a16="http://schemas.microsoft.com/office/drawing/2014/main" xmlns="" id="{00000000-0008-0000-0800-000013010000}"/>
            </a:ext>
          </a:extLst>
        </xdr:cNvPr>
        <xdr:cNvSpPr txBox="1"/>
      </xdr:nvSpPr>
      <xdr:spPr>
        <a:xfrm>
          <a:off x="3352800" y="32537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a:t>
          </a:r>
        </a:p>
        <a:p>
          <a:endParaRPr lang="en-US" sz="1100"/>
        </a:p>
      </xdr:txBody>
    </xdr:sp>
    <xdr:clientData/>
  </xdr:oneCellAnchor>
  <xdr:twoCellAnchor>
    <xdr:from>
      <xdr:col>2</xdr:col>
      <xdr:colOff>723900</xdr:colOff>
      <xdr:row>93</xdr:row>
      <xdr:rowOff>104775</xdr:rowOff>
    </xdr:from>
    <xdr:to>
      <xdr:col>2</xdr:col>
      <xdr:colOff>1800225</xdr:colOff>
      <xdr:row>93</xdr:row>
      <xdr:rowOff>106363</xdr:rowOff>
    </xdr:to>
    <xdr:cxnSp macro="">
      <xdr:nvCxnSpPr>
        <xdr:cNvPr id="276" name="Straight Connector 275">
          <a:extLst>
            <a:ext uri="{FF2B5EF4-FFF2-40B4-BE49-F238E27FC236}">
              <a16:creationId xmlns:a16="http://schemas.microsoft.com/office/drawing/2014/main" xmlns="" id="{00000000-0008-0000-0800-000014010000}"/>
            </a:ext>
          </a:extLst>
        </xdr:cNvPr>
        <xdr:cNvCxnSpPr/>
      </xdr:nvCxnSpPr>
      <xdr:spPr>
        <a:xfrm>
          <a:off x="3048000" y="33223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93</xdr:row>
      <xdr:rowOff>180975</xdr:rowOff>
    </xdr:from>
    <xdr:ext cx="323849" cy="142875"/>
    <xdr:sp macro="" textlink="">
      <xdr:nvSpPr>
        <xdr:cNvPr id="277" name="TextBox 276">
          <a:extLst>
            <a:ext uri="{FF2B5EF4-FFF2-40B4-BE49-F238E27FC236}">
              <a16:creationId xmlns:a16="http://schemas.microsoft.com/office/drawing/2014/main" xmlns="" id="{00000000-0008-0000-0800-000015010000}"/>
            </a:ext>
          </a:extLst>
        </xdr:cNvPr>
        <xdr:cNvSpPr txBox="1"/>
      </xdr:nvSpPr>
      <xdr:spPr>
        <a:xfrm>
          <a:off x="3352800" y="33299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27.5</a:t>
          </a:r>
        </a:p>
        <a:p>
          <a:endParaRPr lang="en-US" sz="1100"/>
        </a:p>
      </xdr:txBody>
    </xdr:sp>
    <xdr:clientData/>
  </xdr:oneCellAnchor>
  <xdr:twoCellAnchor>
    <xdr:from>
      <xdr:col>2</xdr:col>
      <xdr:colOff>723900</xdr:colOff>
      <xdr:row>94</xdr:row>
      <xdr:rowOff>104775</xdr:rowOff>
    </xdr:from>
    <xdr:to>
      <xdr:col>2</xdr:col>
      <xdr:colOff>1800225</xdr:colOff>
      <xdr:row>94</xdr:row>
      <xdr:rowOff>106363</xdr:rowOff>
    </xdr:to>
    <xdr:cxnSp macro="">
      <xdr:nvCxnSpPr>
        <xdr:cNvPr id="278" name="Straight Connector 277">
          <a:extLst>
            <a:ext uri="{FF2B5EF4-FFF2-40B4-BE49-F238E27FC236}">
              <a16:creationId xmlns:a16="http://schemas.microsoft.com/office/drawing/2014/main" xmlns="" id="{00000000-0008-0000-0800-000016010000}"/>
            </a:ext>
          </a:extLst>
        </xdr:cNvPr>
        <xdr:cNvCxnSpPr/>
      </xdr:nvCxnSpPr>
      <xdr:spPr>
        <a:xfrm>
          <a:off x="3048000" y="33604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94</xdr:row>
      <xdr:rowOff>180975</xdr:rowOff>
    </xdr:from>
    <xdr:ext cx="323849" cy="142875"/>
    <xdr:sp macro="" textlink="">
      <xdr:nvSpPr>
        <xdr:cNvPr id="279" name="TextBox 278">
          <a:extLst>
            <a:ext uri="{FF2B5EF4-FFF2-40B4-BE49-F238E27FC236}">
              <a16:creationId xmlns:a16="http://schemas.microsoft.com/office/drawing/2014/main" xmlns="" id="{00000000-0008-0000-0800-000017010000}"/>
            </a:ext>
          </a:extLst>
        </xdr:cNvPr>
        <xdr:cNvSpPr txBox="1"/>
      </xdr:nvSpPr>
      <xdr:spPr>
        <a:xfrm>
          <a:off x="3352800" y="33680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17.83</a:t>
          </a:r>
        </a:p>
        <a:p>
          <a:endParaRPr lang="en-US" sz="1100"/>
        </a:p>
      </xdr:txBody>
    </xdr:sp>
    <xdr:clientData/>
  </xdr:oneCellAnchor>
  <xdr:twoCellAnchor>
    <xdr:from>
      <xdr:col>2</xdr:col>
      <xdr:colOff>704850</xdr:colOff>
      <xdr:row>110</xdr:row>
      <xdr:rowOff>323850</xdr:rowOff>
    </xdr:from>
    <xdr:to>
      <xdr:col>2</xdr:col>
      <xdr:colOff>1676400</xdr:colOff>
      <xdr:row>110</xdr:row>
      <xdr:rowOff>325438</xdr:rowOff>
    </xdr:to>
    <xdr:cxnSp macro="">
      <xdr:nvCxnSpPr>
        <xdr:cNvPr id="280" name="Straight Connector 279">
          <a:extLst>
            <a:ext uri="{FF2B5EF4-FFF2-40B4-BE49-F238E27FC236}">
              <a16:creationId xmlns:a16="http://schemas.microsoft.com/office/drawing/2014/main" xmlns="" id="{00000000-0008-0000-0800-000018010000}"/>
            </a:ext>
          </a:extLst>
        </xdr:cNvPr>
        <xdr:cNvCxnSpPr/>
      </xdr:nvCxnSpPr>
      <xdr:spPr>
        <a:xfrm>
          <a:off x="3028950" y="254984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110</xdr:row>
      <xdr:rowOff>57944</xdr:rowOff>
    </xdr:from>
    <xdr:to>
      <xdr:col>2</xdr:col>
      <xdr:colOff>705645</xdr:colOff>
      <xdr:row>110</xdr:row>
      <xdr:rowOff>315119</xdr:rowOff>
    </xdr:to>
    <xdr:cxnSp macro="">
      <xdr:nvCxnSpPr>
        <xdr:cNvPr id="281" name="Straight Connector 280">
          <a:extLst>
            <a:ext uri="{FF2B5EF4-FFF2-40B4-BE49-F238E27FC236}">
              <a16:creationId xmlns:a16="http://schemas.microsoft.com/office/drawing/2014/main" xmlns="" id="{00000000-0008-0000-0800-000019010000}"/>
            </a:ext>
          </a:extLst>
        </xdr:cNvPr>
        <xdr:cNvCxnSpPr/>
      </xdr:nvCxnSpPr>
      <xdr:spPr>
        <a:xfrm rot="5400000" flipH="1" flipV="1">
          <a:off x="2900363" y="253603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110</xdr:row>
      <xdr:rowOff>67469</xdr:rowOff>
    </xdr:from>
    <xdr:to>
      <xdr:col>2</xdr:col>
      <xdr:colOff>1677196</xdr:colOff>
      <xdr:row>110</xdr:row>
      <xdr:rowOff>324644</xdr:rowOff>
    </xdr:to>
    <xdr:cxnSp macro="">
      <xdr:nvCxnSpPr>
        <xdr:cNvPr id="282" name="Straight Connector 281">
          <a:extLst>
            <a:ext uri="{FF2B5EF4-FFF2-40B4-BE49-F238E27FC236}">
              <a16:creationId xmlns:a16="http://schemas.microsoft.com/office/drawing/2014/main" xmlns="" id="{00000000-0008-0000-0800-00001A010000}"/>
            </a:ext>
          </a:extLst>
        </xdr:cNvPr>
        <xdr:cNvCxnSpPr/>
      </xdr:nvCxnSpPr>
      <xdr:spPr>
        <a:xfrm rot="5400000" flipH="1" flipV="1">
          <a:off x="3871914" y="253698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110</xdr:row>
      <xdr:rowOff>85725</xdr:rowOff>
    </xdr:from>
    <xdr:ext cx="323849" cy="142875"/>
    <xdr:sp macro="" textlink="">
      <xdr:nvSpPr>
        <xdr:cNvPr id="283" name="TextBox 282">
          <a:extLst>
            <a:ext uri="{FF2B5EF4-FFF2-40B4-BE49-F238E27FC236}">
              <a16:creationId xmlns:a16="http://schemas.microsoft.com/office/drawing/2014/main" xmlns="" id="{00000000-0008-0000-0800-00001B010000}"/>
            </a:ext>
          </a:extLst>
        </xdr:cNvPr>
        <xdr:cNvSpPr txBox="1"/>
      </xdr:nvSpPr>
      <xdr:spPr>
        <a:xfrm>
          <a:off x="2667001" y="252603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110</xdr:row>
      <xdr:rowOff>114300</xdr:rowOff>
    </xdr:from>
    <xdr:ext cx="323849" cy="142875"/>
    <xdr:sp macro="" textlink="">
      <xdr:nvSpPr>
        <xdr:cNvPr id="284" name="TextBox 283">
          <a:extLst>
            <a:ext uri="{FF2B5EF4-FFF2-40B4-BE49-F238E27FC236}">
              <a16:creationId xmlns:a16="http://schemas.microsoft.com/office/drawing/2014/main" xmlns="" id="{00000000-0008-0000-0800-00001C010000}"/>
            </a:ext>
          </a:extLst>
        </xdr:cNvPr>
        <xdr:cNvSpPr txBox="1"/>
      </xdr:nvSpPr>
      <xdr:spPr>
        <a:xfrm>
          <a:off x="4048126" y="252888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110</xdr:row>
      <xdr:rowOff>400050</xdr:rowOff>
    </xdr:from>
    <xdr:ext cx="323849" cy="142875"/>
    <xdr:sp macro="" textlink="">
      <xdr:nvSpPr>
        <xdr:cNvPr id="285" name="TextBox 284">
          <a:extLst>
            <a:ext uri="{FF2B5EF4-FFF2-40B4-BE49-F238E27FC236}">
              <a16:creationId xmlns:a16="http://schemas.microsoft.com/office/drawing/2014/main" xmlns="" id="{00000000-0008-0000-0800-00001D010000}"/>
            </a:ext>
          </a:extLst>
        </xdr:cNvPr>
        <xdr:cNvSpPr txBox="1"/>
      </xdr:nvSpPr>
      <xdr:spPr>
        <a:xfrm>
          <a:off x="3333751" y="255746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111</xdr:row>
      <xdr:rowOff>323850</xdr:rowOff>
    </xdr:from>
    <xdr:to>
      <xdr:col>2</xdr:col>
      <xdr:colOff>1676400</xdr:colOff>
      <xdr:row>111</xdr:row>
      <xdr:rowOff>325438</xdr:rowOff>
    </xdr:to>
    <xdr:cxnSp macro="">
      <xdr:nvCxnSpPr>
        <xdr:cNvPr id="286" name="Straight Connector 285">
          <a:extLst>
            <a:ext uri="{FF2B5EF4-FFF2-40B4-BE49-F238E27FC236}">
              <a16:creationId xmlns:a16="http://schemas.microsoft.com/office/drawing/2014/main" xmlns="" id="{00000000-0008-0000-0800-00001E010000}"/>
            </a:ext>
          </a:extLst>
        </xdr:cNvPr>
        <xdr:cNvCxnSpPr/>
      </xdr:nvCxnSpPr>
      <xdr:spPr>
        <a:xfrm>
          <a:off x="3028950" y="261270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111</xdr:row>
      <xdr:rowOff>57944</xdr:rowOff>
    </xdr:from>
    <xdr:to>
      <xdr:col>2</xdr:col>
      <xdr:colOff>705645</xdr:colOff>
      <xdr:row>111</xdr:row>
      <xdr:rowOff>315119</xdr:rowOff>
    </xdr:to>
    <xdr:cxnSp macro="">
      <xdr:nvCxnSpPr>
        <xdr:cNvPr id="287" name="Straight Connector 286">
          <a:extLst>
            <a:ext uri="{FF2B5EF4-FFF2-40B4-BE49-F238E27FC236}">
              <a16:creationId xmlns:a16="http://schemas.microsoft.com/office/drawing/2014/main" xmlns="" id="{00000000-0008-0000-0800-00001F010000}"/>
            </a:ext>
          </a:extLst>
        </xdr:cNvPr>
        <xdr:cNvCxnSpPr/>
      </xdr:nvCxnSpPr>
      <xdr:spPr>
        <a:xfrm rot="5400000" flipH="1" flipV="1">
          <a:off x="2900363" y="259889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111</xdr:row>
      <xdr:rowOff>67469</xdr:rowOff>
    </xdr:from>
    <xdr:to>
      <xdr:col>2</xdr:col>
      <xdr:colOff>1677196</xdr:colOff>
      <xdr:row>111</xdr:row>
      <xdr:rowOff>324644</xdr:rowOff>
    </xdr:to>
    <xdr:cxnSp macro="">
      <xdr:nvCxnSpPr>
        <xdr:cNvPr id="288" name="Straight Connector 287">
          <a:extLst>
            <a:ext uri="{FF2B5EF4-FFF2-40B4-BE49-F238E27FC236}">
              <a16:creationId xmlns:a16="http://schemas.microsoft.com/office/drawing/2014/main" xmlns="" id="{00000000-0008-0000-0800-000020010000}"/>
            </a:ext>
          </a:extLst>
        </xdr:cNvPr>
        <xdr:cNvCxnSpPr/>
      </xdr:nvCxnSpPr>
      <xdr:spPr>
        <a:xfrm rot="5400000" flipH="1" flipV="1">
          <a:off x="3871914" y="259984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111</xdr:row>
      <xdr:rowOff>85725</xdr:rowOff>
    </xdr:from>
    <xdr:ext cx="323849" cy="142875"/>
    <xdr:sp macro="" textlink="">
      <xdr:nvSpPr>
        <xdr:cNvPr id="289" name="TextBox 288">
          <a:extLst>
            <a:ext uri="{FF2B5EF4-FFF2-40B4-BE49-F238E27FC236}">
              <a16:creationId xmlns:a16="http://schemas.microsoft.com/office/drawing/2014/main" xmlns="" id="{00000000-0008-0000-0800-000021010000}"/>
            </a:ext>
          </a:extLst>
        </xdr:cNvPr>
        <xdr:cNvSpPr txBox="1"/>
      </xdr:nvSpPr>
      <xdr:spPr>
        <a:xfrm>
          <a:off x="2667001" y="25888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111</xdr:row>
      <xdr:rowOff>114300</xdr:rowOff>
    </xdr:from>
    <xdr:ext cx="323849" cy="142875"/>
    <xdr:sp macro="" textlink="">
      <xdr:nvSpPr>
        <xdr:cNvPr id="290" name="TextBox 289">
          <a:extLst>
            <a:ext uri="{FF2B5EF4-FFF2-40B4-BE49-F238E27FC236}">
              <a16:creationId xmlns:a16="http://schemas.microsoft.com/office/drawing/2014/main" xmlns="" id="{00000000-0008-0000-0800-000022010000}"/>
            </a:ext>
          </a:extLst>
        </xdr:cNvPr>
        <xdr:cNvSpPr txBox="1"/>
      </xdr:nvSpPr>
      <xdr:spPr>
        <a:xfrm>
          <a:off x="4048126" y="259175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111</xdr:row>
      <xdr:rowOff>400050</xdr:rowOff>
    </xdr:from>
    <xdr:ext cx="323849" cy="142875"/>
    <xdr:sp macro="" textlink="">
      <xdr:nvSpPr>
        <xdr:cNvPr id="291" name="TextBox 290">
          <a:extLst>
            <a:ext uri="{FF2B5EF4-FFF2-40B4-BE49-F238E27FC236}">
              <a16:creationId xmlns:a16="http://schemas.microsoft.com/office/drawing/2014/main" xmlns="" id="{00000000-0008-0000-0800-000023010000}"/>
            </a:ext>
          </a:extLst>
        </xdr:cNvPr>
        <xdr:cNvSpPr txBox="1"/>
      </xdr:nvSpPr>
      <xdr:spPr>
        <a:xfrm>
          <a:off x="3333751" y="262032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112</xdr:row>
      <xdr:rowOff>85725</xdr:rowOff>
    </xdr:from>
    <xdr:to>
      <xdr:col>2</xdr:col>
      <xdr:colOff>1676400</xdr:colOff>
      <xdr:row>112</xdr:row>
      <xdr:rowOff>87313</xdr:rowOff>
    </xdr:to>
    <xdr:cxnSp macro="">
      <xdr:nvCxnSpPr>
        <xdr:cNvPr id="292" name="Straight Connector 291">
          <a:extLst>
            <a:ext uri="{FF2B5EF4-FFF2-40B4-BE49-F238E27FC236}">
              <a16:creationId xmlns:a16="http://schemas.microsoft.com/office/drawing/2014/main" xmlns="" id="{00000000-0008-0000-0800-000024010000}"/>
            </a:ext>
          </a:extLst>
        </xdr:cNvPr>
        <xdr:cNvCxnSpPr/>
      </xdr:nvCxnSpPr>
      <xdr:spPr>
        <a:xfrm>
          <a:off x="3028950" y="265176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112</xdr:row>
      <xdr:rowOff>86519</xdr:rowOff>
    </xdr:from>
    <xdr:to>
      <xdr:col>2</xdr:col>
      <xdr:colOff>705645</xdr:colOff>
      <xdr:row>112</xdr:row>
      <xdr:rowOff>343694</xdr:rowOff>
    </xdr:to>
    <xdr:cxnSp macro="">
      <xdr:nvCxnSpPr>
        <xdr:cNvPr id="293" name="Straight Connector 292">
          <a:extLst>
            <a:ext uri="{FF2B5EF4-FFF2-40B4-BE49-F238E27FC236}">
              <a16:creationId xmlns:a16="http://schemas.microsoft.com/office/drawing/2014/main" xmlns="" id="{00000000-0008-0000-0800-000025010000}"/>
            </a:ext>
          </a:extLst>
        </xdr:cNvPr>
        <xdr:cNvCxnSpPr/>
      </xdr:nvCxnSpPr>
      <xdr:spPr>
        <a:xfrm rot="5400000" flipH="1" flipV="1">
          <a:off x="2900363" y="266461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112</xdr:row>
      <xdr:rowOff>96044</xdr:rowOff>
    </xdr:from>
    <xdr:to>
      <xdr:col>2</xdr:col>
      <xdr:colOff>1677196</xdr:colOff>
      <xdr:row>112</xdr:row>
      <xdr:rowOff>353219</xdr:rowOff>
    </xdr:to>
    <xdr:cxnSp macro="">
      <xdr:nvCxnSpPr>
        <xdr:cNvPr id="294" name="Straight Connector 293">
          <a:extLst>
            <a:ext uri="{FF2B5EF4-FFF2-40B4-BE49-F238E27FC236}">
              <a16:creationId xmlns:a16="http://schemas.microsoft.com/office/drawing/2014/main" xmlns="" id="{00000000-0008-0000-0800-000026010000}"/>
            </a:ext>
          </a:extLst>
        </xdr:cNvPr>
        <xdr:cNvCxnSpPr/>
      </xdr:nvCxnSpPr>
      <xdr:spPr>
        <a:xfrm rot="5400000" flipH="1" flipV="1">
          <a:off x="3871914" y="266557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112</xdr:row>
      <xdr:rowOff>85725</xdr:rowOff>
    </xdr:from>
    <xdr:ext cx="323849" cy="142875"/>
    <xdr:sp macro="" textlink="">
      <xdr:nvSpPr>
        <xdr:cNvPr id="295" name="TextBox 294">
          <a:extLst>
            <a:ext uri="{FF2B5EF4-FFF2-40B4-BE49-F238E27FC236}">
              <a16:creationId xmlns:a16="http://schemas.microsoft.com/office/drawing/2014/main" xmlns="" id="{00000000-0008-0000-0800-000027010000}"/>
            </a:ext>
          </a:extLst>
        </xdr:cNvPr>
        <xdr:cNvSpPr txBox="1"/>
      </xdr:nvSpPr>
      <xdr:spPr>
        <a:xfrm>
          <a:off x="2667001" y="265176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112</xdr:row>
      <xdr:rowOff>114300</xdr:rowOff>
    </xdr:from>
    <xdr:ext cx="323849" cy="142875"/>
    <xdr:sp macro="" textlink="">
      <xdr:nvSpPr>
        <xdr:cNvPr id="296" name="TextBox 295">
          <a:extLst>
            <a:ext uri="{FF2B5EF4-FFF2-40B4-BE49-F238E27FC236}">
              <a16:creationId xmlns:a16="http://schemas.microsoft.com/office/drawing/2014/main" xmlns="" id="{00000000-0008-0000-0800-000028010000}"/>
            </a:ext>
          </a:extLst>
        </xdr:cNvPr>
        <xdr:cNvSpPr txBox="1"/>
      </xdr:nvSpPr>
      <xdr:spPr>
        <a:xfrm>
          <a:off x="4048126" y="26546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112</xdr:row>
      <xdr:rowOff>247650</xdr:rowOff>
    </xdr:from>
    <xdr:ext cx="323849" cy="142875"/>
    <xdr:sp macro="" textlink="">
      <xdr:nvSpPr>
        <xdr:cNvPr id="297" name="TextBox 296">
          <a:extLst>
            <a:ext uri="{FF2B5EF4-FFF2-40B4-BE49-F238E27FC236}">
              <a16:creationId xmlns:a16="http://schemas.microsoft.com/office/drawing/2014/main" xmlns="" id="{00000000-0008-0000-0800-000029010000}"/>
            </a:ext>
          </a:extLst>
        </xdr:cNvPr>
        <xdr:cNvSpPr txBox="1"/>
      </xdr:nvSpPr>
      <xdr:spPr>
        <a:xfrm>
          <a:off x="3333751" y="266795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113</xdr:row>
      <xdr:rowOff>85725</xdr:rowOff>
    </xdr:from>
    <xdr:to>
      <xdr:col>2</xdr:col>
      <xdr:colOff>1676400</xdr:colOff>
      <xdr:row>113</xdr:row>
      <xdr:rowOff>87313</xdr:rowOff>
    </xdr:to>
    <xdr:cxnSp macro="">
      <xdr:nvCxnSpPr>
        <xdr:cNvPr id="298" name="Straight Connector 297">
          <a:extLst>
            <a:ext uri="{FF2B5EF4-FFF2-40B4-BE49-F238E27FC236}">
              <a16:creationId xmlns:a16="http://schemas.microsoft.com/office/drawing/2014/main" xmlns="" id="{00000000-0008-0000-0800-00002A010000}"/>
            </a:ext>
          </a:extLst>
        </xdr:cNvPr>
        <xdr:cNvCxnSpPr/>
      </xdr:nvCxnSpPr>
      <xdr:spPr>
        <a:xfrm>
          <a:off x="3028950" y="271462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113</xdr:row>
      <xdr:rowOff>86519</xdr:rowOff>
    </xdr:from>
    <xdr:to>
      <xdr:col>2</xdr:col>
      <xdr:colOff>705645</xdr:colOff>
      <xdr:row>113</xdr:row>
      <xdr:rowOff>343694</xdr:rowOff>
    </xdr:to>
    <xdr:cxnSp macro="">
      <xdr:nvCxnSpPr>
        <xdr:cNvPr id="299" name="Straight Connector 298">
          <a:extLst>
            <a:ext uri="{FF2B5EF4-FFF2-40B4-BE49-F238E27FC236}">
              <a16:creationId xmlns:a16="http://schemas.microsoft.com/office/drawing/2014/main" xmlns="" id="{00000000-0008-0000-0800-00002B010000}"/>
            </a:ext>
          </a:extLst>
        </xdr:cNvPr>
        <xdr:cNvCxnSpPr/>
      </xdr:nvCxnSpPr>
      <xdr:spPr>
        <a:xfrm rot="5400000" flipH="1" flipV="1">
          <a:off x="2900363" y="272748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113</xdr:row>
      <xdr:rowOff>96044</xdr:rowOff>
    </xdr:from>
    <xdr:to>
      <xdr:col>2</xdr:col>
      <xdr:colOff>1677196</xdr:colOff>
      <xdr:row>113</xdr:row>
      <xdr:rowOff>353219</xdr:rowOff>
    </xdr:to>
    <xdr:cxnSp macro="">
      <xdr:nvCxnSpPr>
        <xdr:cNvPr id="300" name="Straight Connector 299">
          <a:extLst>
            <a:ext uri="{FF2B5EF4-FFF2-40B4-BE49-F238E27FC236}">
              <a16:creationId xmlns:a16="http://schemas.microsoft.com/office/drawing/2014/main" xmlns="" id="{00000000-0008-0000-0800-00002C010000}"/>
            </a:ext>
          </a:extLst>
        </xdr:cNvPr>
        <xdr:cNvCxnSpPr/>
      </xdr:nvCxnSpPr>
      <xdr:spPr>
        <a:xfrm rot="5400000" flipH="1" flipV="1">
          <a:off x="3871914" y="272843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113</xdr:row>
      <xdr:rowOff>104775</xdr:rowOff>
    </xdr:from>
    <xdr:ext cx="323849" cy="142875"/>
    <xdr:sp macro="" textlink="">
      <xdr:nvSpPr>
        <xdr:cNvPr id="301" name="TextBox 300">
          <a:extLst>
            <a:ext uri="{FF2B5EF4-FFF2-40B4-BE49-F238E27FC236}">
              <a16:creationId xmlns:a16="http://schemas.microsoft.com/office/drawing/2014/main" xmlns="" id="{00000000-0008-0000-0800-00002D010000}"/>
            </a:ext>
          </a:extLst>
        </xdr:cNvPr>
        <xdr:cNvSpPr txBox="1"/>
      </xdr:nvSpPr>
      <xdr:spPr>
        <a:xfrm>
          <a:off x="2657476" y="271653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113</xdr:row>
      <xdr:rowOff>133350</xdr:rowOff>
    </xdr:from>
    <xdr:ext cx="323849" cy="142875"/>
    <xdr:sp macro="" textlink="">
      <xdr:nvSpPr>
        <xdr:cNvPr id="302" name="TextBox 301">
          <a:extLst>
            <a:ext uri="{FF2B5EF4-FFF2-40B4-BE49-F238E27FC236}">
              <a16:creationId xmlns:a16="http://schemas.microsoft.com/office/drawing/2014/main" xmlns="" id="{00000000-0008-0000-0800-00002E010000}"/>
            </a:ext>
          </a:extLst>
        </xdr:cNvPr>
        <xdr:cNvSpPr txBox="1"/>
      </xdr:nvSpPr>
      <xdr:spPr>
        <a:xfrm>
          <a:off x="4095751" y="271938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113</xdr:row>
      <xdr:rowOff>247650</xdr:rowOff>
    </xdr:from>
    <xdr:ext cx="323849" cy="142875"/>
    <xdr:sp macro="" textlink="">
      <xdr:nvSpPr>
        <xdr:cNvPr id="303" name="TextBox 302">
          <a:extLst>
            <a:ext uri="{FF2B5EF4-FFF2-40B4-BE49-F238E27FC236}">
              <a16:creationId xmlns:a16="http://schemas.microsoft.com/office/drawing/2014/main" xmlns="" id="{00000000-0008-0000-0800-00002F010000}"/>
            </a:ext>
          </a:extLst>
        </xdr:cNvPr>
        <xdr:cNvSpPr txBox="1"/>
      </xdr:nvSpPr>
      <xdr:spPr>
        <a:xfrm>
          <a:off x="3333751" y="27308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29.75</a:t>
          </a:r>
        </a:p>
        <a:p>
          <a:endParaRPr lang="en-US" sz="1100"/>
        </a:p>
      </xdr:txBody>
    </xdr:sp>
    <xdr:clientData/>
  </xdr:oneCellAnchor>
  <xdr:twoCellAnchor>
    <xdr:from>
      <xdr:col>2</xdr:col>
      <xdr:colOff>704850</xdr:colOff>
      <xdr:row>117</xdr:row>
      <xdr:rowOff>323850</xdr:rowOff>
    </xdr:from>
    <xdr:to>
      <xdr:col>2</xdr:col>
      <xdr:colOff>1676400</xdr:colOff>
      <xdr:row>117</xdr:row>
      <xdr:rowOff>325438</xdr:rowOff>
    </xdr:to>
    <xdr:cxnSp macro="">
      <xdr:nvCxnSpPr>
        <xdr:cNvPr id="304" name="Straight Connector 303">
          <a:extLst>
            <a:ext uri="{FF2B5EF4-FFF2-40B4-BE49-F238E27FC236}">
              <a16:creationId xmlns:a16="http://schemas.microsoft.com/office/drawing/2014/main" xmlns="" id="{00000000-0008-0000-0800-000030010000}"/>
            </a:ext>
          </a:extLst>
        </xdr:cNvPr>
        <xdr:cNvCxnSpPr/>
      </xdr:nvCxnSpPr>
      <xdr:spPr>
        <a:xfrm>
          <a:off x="3028950" y="285845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117</xdr:row>
      <xdr:rowOff>57944</xdr:rowOff>
    </xdr:from>
    <xdr:to>
      <xdr:col>2</xdr:col>
      <xdr:colOff>705645</xdr:colOff>
      <xdr:row>117</xdr:row>
      <xdr:rowOff>315119</xdr:rowOff>
    </xdr:to>
    <xdr:cxnSp macro="">
      <xdr:nvCxnSpPr>
        <xdr:cNvPr id="305" name="Straight Connector 304">
          <a:extLst>
            <a:ext uri="{FF2B5EF4-FFF2-40B4-BE49-F238E27FC236}">
              <a16:creationId xmlns:a16="http://schemas.microsoft.com/office/drawing/2014/main" xmlns="" id="{00000000-0008-0000-0800-000031010000}"/>
            </a:ext>
          </a:extLst>
        </xdr:cNvPr>
        <xdr:cNvCxnSpPr/>
      </xdr:nvCxnSpPr>
      <xdr:spPr>
        <a:xfrm rot="5400000" flipH="1" flipV="1">
          <a:off x="2900363" y="284464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117</xdr:row>
      <xdr:rowOff>67469</xdr:rowOff>
    </xdr:from>
    <xdr:to>
      <xdr:col>2</xdr:col>
      <xdr:colOff>1677196</xdr:colOff>
      <xdr:row>117</xdr:row>
      <xdr:rowOff>324644</xdr:rowOff>
    </xdr:to>
    <xdr:cxnSp macro="">
      <xdr:nvCxnSpPr>
        <xdr:cNvPr id="306" name="Straight Connector 305">
          <a:extLst>
            <a:ext uri="{FF2B5EF4-FFF2-40B4-BE49-F238E27FC236}">
              <a16:creationId xmlns:a16="http://schemas.microsoft.com/office/drawing/2014/main" xmlns="" id="{00000000-0008-0000-0800-000032010000}"/>
            </a:ext>
          </a:extLst>
        </xdr:cNvPr>
        <xdr:cNvCxnSpPr/>
      </xdr:nvCxnSpPr>
      <xdr:spPr>
        <a:xfrm rot="5400000" flipH="1" flipV="1">
          <a:off x="3871914" y="284559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117</xdr:row>
      <xdr:rowOff>85725</xdr:rowOff>
    </xdr:from>
    <xdr:ext cx="323849" cy="142875"/>
    <xdr:sp macro="" textlink="">
      <xdr:nvSpPr>
        <xdr:cNvPr id="307" name="TextBox 306">
          <a:extLst>
            <a:ext uri="{FF2B5EF4-FFF2-40B4-BE49-F238E27FC236}">
              <a16:creationId xmlns:a16="http://schemas.microsoft.com/office/drawing/2014/main" xmlns="" id="{00000000-0008-0000-0800-000033010000}"/>
            </a:ext>
          </a:extLst>
        </xdr:cNvPr>
        <xdr:cNvSpPr txBox="1"/>
      </xdr:nvSpPr>
      <xdr:spPr>
        <a:xfrm>
          <a:off x="2667001" y="2834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117</xdr:row>
      <xdr:rowOff>114300</xdr:rowOff>
    </xdr:from>
    <xdr:ext cx="323849" cy="142875"/>
    <xdr:sp macro="" textlink="">
      <xdr:nvSpPr>
        <xdr:cNvPr id="308" name="TextBox 307">
          <a:extLst>
            <a:ext uri="{FF2B5EF4-FFF2-40B4-BE49-F238E27FC236}">
              <a16:creationId xmlns:a16="http://schemas.microsoft.com/office/drawing/2014/main" xmlns="" id="{00000000-0008-0000-0800-000034010000}"/>
            </a:ext>
          </a:extLst>
        </xdr:cNvPr>
        <xdr:cNvSpPr txBox="1"/>
      </xdr:nvSpPr>
      <xdr:spPr>
        <a:xfrm>
          <a:off x="4048126" y="283749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117</xdr:row>
      <xdr:rowOff>400050</xdr:rowOff>
    </xdr:from>
    <xdr:ext cx="323849" cy="142875"/>
    <xdr:sp macro="" textlink="">
      <xdr:nvSpPr>
        <xdr:cNvPr id="309" name="TextBox 308">
          <a:extLst>
            <a:ext uri="{FF2B5EF4-FFF2-40B4-BE49-F238E27FC236}">
              <a16:creationId xmlns:a16="http://schemas.microsoft.com/office/drawing/2014/main" xmlns="" id="{00000000-0008-0000-0800-000035010000}"/>
            </a:ext>
          </a:extLst>
        </xdr:cNvPr>
        <xdr:cNvSpPr txBox="1"/>
      </xdr:nvSpPr>
      <xdr:spPr>
        <a:xfrm>
          <a:off x="3333751" y="286607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118</xdr:row>
      <xdr:rowOff>323850</xdr:rowOff>
    </xdr:from>
    <xdr:to>
      <xdr:col>2</xdr:col>
      <xdr:colOff>1676400</xdr:colOff>
      <xdr:row>118</xdr:row>
      <xdr:rowOff>325438</xdr:rowOff>
    </xdr:to>
    <xdr:cxnSp macro="">
      <xdr:nvCxnSpPr>
        <xdr:cNvPr id="310" name="Straight Connector 309">
          <a:extLst>
            <a:ext uri="{FF2B5EF4-FFF2-40B4-BE49-F238E27FC236}">
              <a16:creationId xmlns:a16="http://schemas.microsoft.com/office/drawing/2014/main" xmlns="" id="{00000000-0008-0000-0800-000036010000}"/>
            </a:ext>
          </a:extLst>
        </xdr:cNvPr>
        <xdr:cNvCxnSpPr/>
      </xdr:nvCxnSpPr>
      <xdr:spPr>
        <a:xfrm>
          <a:off x="3028950" y="292131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118</xdr:row>
      <xdr:rowOff>57944</xdr:rowOff>
    </xdr:from>
    <xdr:to>
      <xdr:col>2</xdr:col>
      <xdr:colOff>705645</xdr:colOff>
      <xdr:row>118</xdr:row>
      <xdr:rowOff>315119</xdr:rowOff>
    </xdr:to>
    <xdr:cxnSp macro="">
      <xdr:nvCxnSpPr>
        <xdr:cNvPr id="311" name="Straight Connector 310">
          <a:extLst>
            <a:ext uri="{FF2B5EF4-FFF2-40B4-BE49-F238E27FC236}">
              <a16:creationId xmlns:a16="http://schemas.microsoft.com/office/drawing/2014/main" xmlns="" id="{00000000-0008-0000-0800-000037010000}"/>
            </a:ext>
          </a:extLst>
        </xdr:cNvPr>
        <xdr:cNvCxnSpPr/>
      </xdr:nvCxnSpPr>
      <xdr:spPr>
        <a:xfrm rot="5400000" flipH="1" flipV="1">
          <a:off x="2900363" y="290750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118</xdr:row>
      <xdr:rowOff>67469</xdr:rowOff>
    </xdr:from>
    <xdr:to>
      <xdr:col>2</xdr:col>
      <xdr:colOff>1677196</xdr:colOff>
      <xdr:row>118</xdr:row>
      <xdr:rowOff>324644</xdr:rowOff>
    </xdr:to>
    <xdr:cxnSp macro="">
      <xdr:nvCxnSpPr>
        <xdr:cNvPr id="312" name="Straight Connector 311">
          <a:extLst>
            <a:ext uri="{FF2B5EF4-FFF2-40B4-BE49-F238E27FC236}">
              <a16:creationId xmlns:a16="http://schemas.microsoft.com/office/drawing/2014/main" xmlns="" id="{00000000-0008-0000-0800-000038010000}"/>
            </a:ext>
          </a:extLst>
        </xdr:cNvPr>
        <xdr:cNvCxnSpPr/>
      </xdr:nvCxnSpPr>
      <xdr:spPr>
        <a:xfrm rot="5400000" flipH="1" flipV="1">
          <a:off x="3871914" y="290845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118</xdr:row>
      <xdr:rowOff>85725</xdr:rowOff>
    </xdr:from>
    <xdr:ext cx="323849" cy="142875"/>
    <xdr:sp macro="" textlink="">
      <xdr:nvSpPr>
        <xdr:cNvPr id="313" name="TextBox 312">
          <a:extLst>
            <a:ext uri="{FF2B5EF4-FFF2-40B4-BE49-F238E27FC236}">
              <a16:creationId xmlns:a16="http://schemas.microsoft.com/office/drawing/2014/main" xmlns="" id="{00000000-0008-0000-0800-000039010000}"/>
            </a:ext>
          </a:extLst>
        </xdr:cNvPr>
        <xdr:cNvSpPr txBox="1"/>
      </xdr:nvSpPr>
      <xdr:spPr>
        <a:xfrm>
          <a:off x="2667001" y="289750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118</xdr:row>
      <xdr:rowOff>114300</xdr:rowOff>
    </xdr:from>
    <xdr:ext cx="323849" cy="142875"/>
    <xdr:sp macro="" textlink="">
      <xdr:nvSpPr>
        <xdr:cNvPr id="314" name="TextBox 313">
          <a:extLst>
            <a:ext uri="{FF2B5EF4-FFF2-40B4-BE49-F238E27FC236}">
              <a16:creationId xmlns:a16="http://schemas.microsoft.com/office/drawing/2014/main" xmlns="" id="{00000000-0008-0000-0800-00003A010000}"/>
            </a:ext>
          </a:extLst>
        </xdr:cNvPr>
        <xdr:cNvSpPr txBox="1"/>
      </xdr:nvSpPr>
      <xdr:spPr>
        <a:xfrm>
          <a:off x="4048126" y="290036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118</xdr:row>
      <xdr:rowOff>400050</xdr:rowOff>
    </xdr:from>
    <xdr:ext cx="323849" cy="142875"/>
    <xdr:sp macro="" textlink="">
      <xdr:nvSpPr>
        <xdr:cNvPr id="315" name="TextBox 314">
          <a:extLst>
            <a:ext uri="{FF2B5EF4-FFF2-40B4-BE49-F238E27FC236}">
              <a16:creationId xmlns:a16="http://schemas.microsoft.com/office/drawing/2014/main" xmlns="" id="{00000000-0008-0000-0800-00003B010000}"/>
            </a:ext>
          </a:extLst>
        </xdr:cNvPr>
        <xdr:cNvSpPr txBox="1"/>
      </xdr:nvSpPr>
      <xdr:spPr>
        <a:xfrm>
          <a:off x="3333751" y="292893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119</xdr:row>
      <xdr:rowOff>85725</xdr:rowOff>
    </xdr:from>
    <xdr:to>
      <xdr:col>2</xdr:col>
      <xdr:colOff>1676400</xdr:colOff>
      <xdr:row>119</xdr:row>
      <xdr:rowOff>87313</xdr:rowOff>
    </xdr:to>
    <xdr:cxnSp macro="">
      <xdr:nvCxnSpPr>
        <xdr:cNvPr id="316" name="Straight Connector 315">
          <a:extLst>
            <a:ext uri="{FF2B5EF4-FFF2-40B4-BE49-F238E27FC236}">
              <a16:creationId xmlns:a16="http://schemas.microsoft.com/office/drawing/2014/main" xmlns="" id="{00000000-0008-0000-0800-00003C010000}"/>
            </a:ext>
          </a:extLst>
        </xdr:cNvPr>
        <xdr:cNvCxnSpPr/>
      </xdr:nvCxnSpPr>
      <xdr:spPr>
        <a:xfrm>
          <a:off x="3028950" y="296037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119</xdr:row>
      <xdr:rowOff>86519</xdr:rowOff>
    </xdr:from>
    <xdr:to>
      <xdr:col>2</xdr:col>
      <xdr:colOff>705645</xdr:colOff>
      <xdr:row>119</xdr:row>
      <xdr:rowOff>343694</xdr:rowOff>
    </xdr:to>
    <xdr:cxnSp macro="">
      <xdr:nvCxnSpPr>
        <xdr:cNvPr id="317" name="Straight Connector 316">
          <a:extLst>
            <a:ext uri="{FF2B5EF4-FFF2-40B4-BE49-F238E27FC236}">
              <a16:creationId xmlns:a16="http://schemas.microsoft.com/office/drawing/2014/main" xmlns="" id="{00000000-0008-0000-0800-00003D010000}"/>
            </a:ext>
          </a:extLst>
        </xdr:cNvPr>
        <xdr:cNvCxnSpPr/>
      </xdr:nvCxnSpPr>
      <xdr:spPr>
        <a:xfrm rot="5400000" flipH="1" flipV="1">
          <a:off x="2900363" y="297322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119</xdr:row>
      <xdr:rowOff>96044</xdr:rowOff>
    </xdr:from>
    <xdr:to>
      <xdr:col>2</xdr:col>
      <xdr:colOff>1677196</xdr:colOff>
      <xdr:row>119</xdr:row>
      <xdr:rowOff>353219</xdr:rowOff>
    </xdr:to>
    <xdr:cxnSp macro="">
      <xdr:nvCxnSpPr>
        <xdr:cNvPr id="318" name="Straight Connector 317">
          <a:extLst>
            <a:ext uri="{FF2B5EF4-FFF2-40B4-BE49-F238E27FC236}">
              <a16:creationId xmlns:a16="http://schemas.microsoft.com/office/drawing/2014/main" xmlns="" id="{00000000-0008-0000-0800-00003E010000}"/>
            </a:ext>
          </a:extLst>
        </xdr:cNvPr>
        <xdr:cNvCxnSpPr/>
      </xdr:nvCxnSpPr>
      <xdr:spPr>
        <a:xfrm rot="5400000" flipH="1" flipV="1">
          <a:off x="3871914" y="297418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119</xdr:row>
      <xdr:rowOff>85725</xdr:rowOff>
    </xdr:from>
    <xdr:ext cx="323849" cy="142875"/>
    <xdr:sp macro="" textlink="">
      <xdr:nvSpPr>
        <xdr:cNvPr id="319" name="TextBox 318">
          <a:extLst>
            <a:ext uri="{FF2B5EF4-FFF2-40B4-BE49-F238E27FC236}">
              <a16:creationId xmlns:a16="http://schemas.microsoft.com/office/drawing/2014/main" xmlns="" id="{00000000-0008-0000-0800-00003F010000}"/>
            </a:ext>
          </a:extLst>
        </xdr:cNvPr>
        <xdr:cNvSpPr txBox="1"/>
      </xdr:nvSpPr>
      <xdr:spPr>
        <a:xfrm>
          <a:off x="2667001" y="296037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119</xdr:row>
      <xdr:rowOff>114300</xdr:rowOff>
    </xdr:from>
    <xdr:ext cx="323849" cy="142875"/>
    <xdr:sp macro="" textlink="">
      <xdr:nvSpPr>
        <xdr:cNvPr id="320" name="TextBox 319">
          <a:extLst>
            <a:ext uri="{FF2B5EF4-FFF2-40B4-BE49-F238E27FC236}">
              <a16:creationId xmlns:a16="http://schemas.microsoft.com/office/drawing/2014/main" xmlns="" id="{00000000-0008-0000-0800-000040010000}"/>
            </a:ext>
          </a:extLst>
        </xdr:cNvPr>
        <xdr:cNvSpPr txBox="1"/>
      </xdr:nvSpPr>
      <xdr:spPr>
        <a:xfrm>
          <a:off x="4048126" y="296322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119</xdr:row>
      <xdr:rowOff>247650</xdr:rowOff>
    </xdr:from>
    <xdr:ext cx="323849" cy="142875"/>
    <xdr:sp macro="" textlink="">
      <xdr:nvSpPr>
        <xdr:cNvPr id="321" name="TextBox 320">
          <a:extLst>
            <a:ext uri="{FF2B5EF4-FFF2-40B4-BE49-F238E27FC236}">
              <a16:creationId xmlns:a16="http://schemas.microsoft.com/office/drawing/2014/main" xmlns="" id="{00000000-0008-0000-0800-000041010000}"/>
            </a:ext>
          </a:extLst>
        </xdr:cNvPr>
        <xdr:cNvSpPr txBox="1"/>
      </xdr:nvSpPr>
      <xdr:spPr>
        <a:xfrm>
          <a:off x="3333751" y="297656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120</xdr:row>
      <xdr:rowOff>85725</xdr:rowOff>
    </xdr:from>
    <xdr:to>
      <xdr:col>2</xdr:col>
      <xdr:colOff>1676400</xdr:colOff>
      <xdr:row>120</xdr:row>
      <xdr:rowOff>87313</xdr:rowOff>
    </xdr:to>
    <xdr:cxnSp macro="">
      <xdr:nvCxnSpPr>
        <xdr:cNvPr id="322" name="Straight Connector 321">
          <a:extLst>
            <a:ext uri="{FF2B5EF4-FFF2-40B4-BE49-F238E27FC236}">
              <a16:creationId xmlns:a16="http://schemas.microsoft.com/office/drawing/2014/main" xmlns="" id="{00000000-0008-0000-0800-000042010000}"/>
            </a:ext>
          </a:extLst>
        </xdr:cNvPr>
        <xdr:cNvCxnSpPr/>
      </xdr:nvCxnSpPr>
      <xdr:spPr>
        <a:xfrm>
          <a:off x="3028950" y="302323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120</xdr:row>
      <xdr:rowOff>86519</xdr:rowOff>
    </xdr:from>
    <xdr:to>
      <xdr:col>2</xdr:col>
      <xdr:colOff>705645</xdr:colOff>
      <xdr:row>120</xdr:row>
      <xdr:rowOff>343694</xdr:rowOff>
    </xdr:to>
    <xdr:cxnSp macro="">
      <xdr:nvCxnSpPr>
        <xdr:cNvPr id="323" name="Straight Connector 322">
          <a:extLst>
            <a:ext uri="{FF2B5EF4-FFF2-40B4-BE49-F238E27FC236}">
              <a16:creationId xmlns:a16="http://schemas.microsoft.com/office/drawing/2014/main" xmlns="" id="{00000000-0008-0000-0800-000043010000}"/>
            </a:ext>
          </a:extLst>
        </xdr:cNvPr>
        <xdr:cNvCxnSpPr/>
      </xdr:nvCxnSpPr>
      <xdr:spPr>
        <a:xfrm rot="5400000" flipH="1" flipV="1">
          <a:off x="2900363" y="303609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120</xdr:row>
      <xdr:rowOff>96044</xdr:rowOff>
    </xdr:from>
    <xdr:to>
      <xdr:col>2</xdr:col>
      <xdr:colOff>1677196</xdr:colOff>
      <xdr:row>120</xdr:row>
      <xdr:rowOff>353219</xdr:rowOff>
    </xdr:to>
    <xdr:cxnSp macro="">
      <xdr:nvCxnSpPr>
        <xdr:cNvPr id="324" name="Straight Connector 323">
          <a:extLst>
            <a:ext uri="{FF2B5EF4-FFF2-40B4-BE49-F238E27FC236}">
              <a16:creationId xmlns:a16="http://schemas.microsoft.com/office/drawing/2014/main" xmlns="" id="{00000000-0008-0000-0800-000044010000}"/>
            </a:ext>
          </a:extLst>
        </xdr:cNvPr>
        <xdr:cNvCxnSpPr/>
      </xdr:nvCxnSpPr>
      <xdr:spPr>
        <a:xfrm rot="5400000" flipH="1" flipV="1">
          <a:off x="3871914" y="303704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333376</xdr:colOff>
      <xdr:row>120</xdr:row>
      <xdr:rowOff>140493</xdr:rowOff>
    </xdr:from>
    <xdr:ext cx="323849" cy="142875"/>
    <xdr:sp macro="" textlink="">
      <xdr:nvSpPr>
        <xdr:cNvPr id="325" name="TextBox 324">
          <a:extLst>
            <a:ext uri="{FF2B5EF4-FFF2-40B4-BE49-F238E27FC236}">
              <a16:creationId xmlns:a16="http://schemas.microsoft.com/office/drawing/2014/main" xmlns="" id="{00000000-0008-0000-0800-000045010000}"/>
            </a:ext>
          </a:extLst>
        </xdr:cNvPr>
        <xdr:cNvSpPr txBox="1"/>
      </xdr:nvSpPr>
      <xdr:spPr>
        <a:xfrm>
          <a:off x="2657476" y="3028711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1771651</xdr:colOff>
      <xdr:row>120</xdr:row>
      <xdr:rowOff>133350</xdr:rowOff>
    </xdr:from>
    <xdr:ext cx="323849" cy="142875"/>
    <xdr:sp macro="" textlink="">
      <xdr:nvSpPr>
        <xdr:cNvPr id="326" name="TextBox 325">
          <a:extLst>
            <a:ext uri="{FF2B5EF4-FFF2-40B4-BE49-F238E27FC236}">
              <a16:creationId xmlns:a16="http://schemas.microsoft.com/office/drawing/2014/main" xmlns="" id="{00000000-0008-0000-0800-000046010000}"/>
            </a:ext>
          </a:extLst>
        </xdr:cNvPr>
        <xdr:cNvSpPr txBox="1"/>
      </xdr:nvSpPr>
      <xdr:spPr>
        <a:xfrm>
          <a:off x="4095751" y="302799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1019176</xdr:colOff>
      <xdr:row>120</xdr:row>
      <xdr:rowOff>152400</xdr:rowOff>
    </xdr:from>
    <xdr:ext cx="323849" cy="142875"/>
    <xdr:sp macro="" textlink="">
      <xdr:nvSpPr>
        <xdr:cNvPr id="327" name="TextBox 326">
          <a:extLst>
            <a:ext uri="{FF2B5EF4-FFF2-40B4-BE49-F238E27FC236}">
              <a16:creationId xmlns:a16="http://schemas.microsoft.com/office/drawing/2014/main" xmlns="" id="{00000000-0008-0000-0800-000047010000}"/>
            </a:ext>
          </a:extLst>
        </xdr:cNvPr>
        <xdr:cNvSpPr txBox="1"/>
      </xdr:nvSpPr>
      <xdr:spPr>
        <a:xfrm>
          <a:off x="3343276" y="30299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989807</xdr:colOff>
      <xdr:row>98</xdr:row>
      <xdr:rowOff>98426</xdr:rowOff>
    </xdr:from>
    <xdr:to>
      <xdr:col>2</xdr:col>
      <xdr:colOff>991395</xdr:colOff>
      <xdr:row>98</xdr:row>
      <xdr:rowOff>469901</xdr:rowOff>
    </xdr:to>
    <xdr:cxnSp macro="">
      <xdr:nvCxnSpPr>
        <xdr:cNvPr id="328" name="Straight Connector 327">
          <a:extLst>
            <a:ext uri="{FF2B5EF4-FFF2-40B4-BE49-F238E27FC236}">
              <a16:creationId xmlns:a16="http://schemas.microsoft.com/office/drawing/2014/main" xmlns="" id="{00000000-0008-0000-0800-000048010000}"/>
            </a:ext>
          </a:extLst>
        </xdr:cNvPr>
        <xdr:cNvCxnSpPr/>
      </xdr:nvCxnSpPr>
      <xdr:spPr>
        <a:xfrm rot="5400000">
          <a:off x="3128963" y="221813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98</xdr:row>
      <xdr:rowOff>196453</xdr:rowOff>
    </xdr:from>
    <xdr:ext cx="323849" cy="142875"/>
    <xdr:sp macro="" textlink="">
      <xdr:nvSpPr>
        <xdr:cNvPr id="329" name="TextBox 328">
          <a:extLst>
            <a:ext uri="{FF2B5EF4-FFF2-40B4-BE49-F238E27FC236}">
              <a16:creationId xmlns:a16="http://schemas.microsoft.com/office/drawing/2014/main" xmlns="" id="{00000000-0008-0000-0800-000049010000}"/>
            </a:ext>
          </a:extLst>
        </xdr:cNvPr>
        <xdr:cNvSpPr txBox="1"/>
      </xdr:nvSpPr>
      <xdr:spPr>
        <a:xfrm>
          <a:off x="2907506" y="2209442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989807</xdr:colOff>
      <xdr:row>99</xdr:row>
      <xdr:rowOff>203201</xdr:rowOff>
    </xdr:from>
    <xdr:to>
      <xdr:col>2</xdr:col>
      <xdr:colOff>991395</xdr:colOff>
      <xdr:row>99</xdr:row>
      <xdr:rowOff>574676</xdr:rowOff>
    </xdr:to>
    <xdr:cxnSp macro="">
      <xdr:nvCxnSpPr>
        <xdr:cNvPr id="330" name="Straight Connector 329">
          <a:extLst>
            <a:ext uri="{FF2B5EF4-FFF2-40B4-BE49-F238E27FC236}">
              <a16:creationId xmlns:a16="http://schemas.microsoft.com/office/drawing/2014/main" xmlns="" id="{00000000-0008-0000-0800-00004A010000}"/>
            </a:ext>
          </a:extLst>
        </xdr:cNvPr>
        <xdr:cNvCxnSpPr/>
      </xdr:nvCxnSpPr>
      <xdr:spPr>
        <a:xfrm rot="5400000">
          <a:off x="3128963" y="22914770"/>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583406</xdr:colOff>
      <xdr:row>99</xdr:row>
      <xdr:rowOff>196453</xdr:rowOff>
    </xdr:from>
    <xdr:ext cx="323849" cy="142875"/>
    <xdr:sp macro="" textlink="">
      <xdr:nvSpPr>
        <xdr:cNvPr id="331" name="TextBox 330">
          <a:extLst>
            <a:ext uri="{FF2B5EF4-FFF2-40B4-BE49-F238E27FC236}">
              <a16:creationId xmlns:a16="http://schemas.microsoft.com/office/drawing/2014/main" xmlns="" id="{00000000-0008-0000-0800-00004B010000}"/>
            </a:ext>
          </a:extLst>
        </xdr:cNvPr>
        <xdr:cNvSpPr txBox="1"/>
      </xdr:nvSpPr>
      <xdr:spPr>
        <a:xfrm>
          <a:off x="2907506" y="2272307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9.33</a:t>
          </a:r>
        </a:p>
        <a:p>
          <a:endParaRPr lang="en-US" sz="1100"/>
        </a:p>
      </xdr:txBody>
    </xdr:sp>
    <xdr:clientData/>
  </xdr:oneCellAnchor>
  <xdr:twoCellAnchor>
    <xdr:from>
      <xdr:col>2</xdr:col>
      <xdr:colOff>1038225</xdr:colOff>
      <xdr:row>99</xdr:row>
      <xdr:rowOff>28575</xdr:rowOff>
    </xdr:from>
    <xdr:to>
      <xdr:col>2</xdr:col>
      <xdr:colOff>1039813</xdr:colOff>
      <xdr:row>99</xdr:row>
      <xdr:rowOff>400050</xdr:rowOff>
    </xdr:to>
    <xdr:cxnSp macro="">
      <xdr:nvCxnSpPr>
        <xdr:cNvPr id="332" name="Straight Connector 331">
          <a:extLst>
            <a:ext uri="{FF2B5EF4-FFF2-40B4-BE49-F238E27FC236}">
              <a16:creationId xmlns:a16="http://schemas.microsoft.com/office/drawing/2014/main" xmlns="" id="{00000000-0008-0000-0800-00004C010000}"/>
            </a:ext>
          </a:extLst>
        </xdr:cNvPr>
        <xdr:cNvCxnSpPr/>
      </xdr:nvCxnSpPr>
      <xdr:spPr>
        <a:xfrm rot="5400000">
          <a:off x="3177381" y="22740144"/>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1152525</xdr:colOff>
      <xdr:row>99</xdr:row>
      <xdr:rowOff>190500</xdr:rowOff>
    </xdr:from>
    <xdr:ext cx="1095375" cy="180975"/>
    <xdr:sp macro="" textlink="">
      <xdr:nvSpPr>
        <xdr:cNvPr id="333" name="TextBox 332">
          <a:extLst>
            <a:ext uri="{FF2B5EF4-FFF2-40B4-BE49-F238E27FC236}">
              <a16:creationId xmlns:a16="http://schemas.microsoft.com/office/drawing/2014/main" xmlns="" id="{00000000-0008-0000-0800-00004D010000}"/>
            </a:ext>
          </a:extLst>
        </xdr:cNvPr>
        <xdr:cNvSpPr txBox="1"/>
      </xdr:nvSpPr>
      <xdr:spPr>
        <a:xfrm>
          <a:off x="3476625" y="22717125"/>
          <a:ext cx="10953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lap</a:t>
          </a:r>
          <a:r>
            <a:rPr lang="en-US" sz="1100" baseline="0"/>
            <a:t> length=3.17</a:t>
          </a:r>
          <a:endParaRPr lang="en-US" sz="1100"/>
        </a:p>
        <a:p>
          <a:endParaRPr lang="en-US" sz="1100"/>
        </a:p>
      </xdr:txBody>
    </xdr:sp>
    <xdr:clientData/>
  </xdr:oneCellAnchor>
  <xdr:twoCellAnchor>
    <xdr:from>
      <xdr:col>2</xdr:col>
      <xdr:colOff>971550</xdr:colOff>
      <xdr:row>100</xdr:row>
      <xdr:rowOff>180975</xdr:rowOff>
    </xdr:from>
    <xdr:to>
      <xdr:col>2</xdr:col>
      <xdr:colOff>1276350</xdr:colOff>
      <xdr:row>100</xdr:row>
      <xdr:rowOff>438150</xdr:rowOff>
    </xdr:to>
    <xdr:sp macro="" textlink="">
      <xdr:nvSpPr>
        <xdr:cNvPr id="334" name="Rectangle 333">
          <a:extLst>
            <a:ext uri="{FF2B5EF4-FFF2-40B4-BE49-F238E27FC236}">
              <a16:creationId xmlns:a16="http://schemas.microsoft.com/office/drawing/2014/main" xmlns="" id="{00000000-0008-0000-0800-00004E010000}"/>
            </a:ext>
          </a:extLst>
        </xdr:cNvPr>
        <xdr:cNvSpPr/>
      </xdr:nvSpPr>
      <xdr:spPr>
        <a:xfrm>
          <a:off x="3295650" y="233362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100</xdr:row>
      <xdr:rowOff>195513</xdr:rowOff>
    </xdr:from>
    <xdr:to>
      <xdr:col>2</xdr:col>
      <xdr:colOff>1102895</xdr:colOff>
      <xdr:row>100</xdr:row>
      <xdr:rowOff>315828</xdr:rowOff>
    </xdr:to>
    <xdr:cxnSp macro="">
      <xdr:nvCxnSpPr>
        <xdr:cNvPr id="335" name="Straight Connector 334">
          <a:extLst>
            <a:ext uri="{FF2B5EF4-FFF2-40B4-BE49-F238E27FC236}">
              <a16:creationId xmlns:a16="http://schemas.microsoft.com/office/drawing/2014/main" xmlns="" id="{00000000-0008-0000-0800-00004F010000}"/>
            </a:ext>
          </a:extLst>
        </xdr:cNvPr>
        <xdr:cNvCxnSpPr/>
      </xdr:nvCxnSpPr>
      <xdr:spPr>
        <a:xfrm>
          <a:off x="3296652" y="2335078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100</xdr:row>
      <xdr:rowOff>182484</xdr:rowOff>
    </xdr:from>
    <xdr:to>
      <xdr:col>2</xdr:col>
      <xdr:colOff>1155035</xdr:colOff>
      <xdr:row>100</xdr:row>
      <xdr:rowOff>302799</xdr:rowOff>
    </xdr:to>
    <xdr:cxnSp macro="">
      <xdr:nvCxnSpPr>
        <xdr:cNvPr id="336" name="Straight Connector 335">
          <a:extLst>
            <a:ext uri="{FF2B5EF4-FFF2-40B4-BE49-F238E27FC236}">
              <a16:creationId xmlns:a16="http://schemas.microsoft.com/office/drawing/2014/main" xmlns="" id="{00000000-0008-0000-0800-000050010000}"/>
            </a:ext>
          </a:extLst>
        </xdr:cNvPr>
        <xdr:cNvCxnSpPr/>
      </xdr:nvCxnSpPr>
      <xdr:spPr>
        <a:xfrm>
          <a:off x="3348792" y="2333775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100</xdr:row>
      <xdr:rowOff>225592</xdr:rowOff>
    </xdr:from>
    <xdr:ext cx="323849" cy="142875"/>
    <xdr:sp macro="" textlink="">
      <xdr:nvSpPr>
        <xdr:cNvPr id="337" name="TextBox 336">
          <a:extLst>
            <a:ext uri="{FF2B5EF4-FFF2-40B4-BE49-F238E27FC236}">
              <a16:creationId xmlns:a16="http://schemas.microsoft.com/office/drawing/2014/main" xmlns="" id="{00000000-0008-0000-0800-000051010000}"/>
            </a:ext>
          </a:extLst>
        </xdr:cNvPr>
        <xdr:cNvSpPr txBox="1"/>
      </xdr:nvSpPr>
      <xdr:spPr>
        <a:xfrm>
          <a:off x="2880561" y="23380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1333500</xdr:colOff>
      <xdr:row>100</xdr:row>
      <xdr:rowOff>220579</xdr:rowOff>
    </xdr:from>
    <xdr:ext cx="323849" cy="142875"/>
    <xdr:sp macro="" textlink="">
      <xdr:nvSpPr>
        <xdr:cNvPr id="338" name="TextBox 337">
          <a:extLst>
            <a:ext uri="{FF2B5EF4-FFF2-40B4-BE49-F238E27FC236}">
              <a16:creationId xmlns:a16="http://schemas.microsoft.com/office/drawing/2014/main" xmlns="" id="{00000000-0008-0000-0800-000052010000}"/>
            </a:ext>
          </a:extLst>
        </xdr:cNvPr>
        <xdr:cNvSpPr txBox="1"/>
      </xdr:nvSpPr>
      <xdr:spPr>
        <a:xfrm>
          <a:off x="3657600" y="23375854"/>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967539</xdr:colOff>
      <xdr:row>100</xdr:row>
      <xdr:rowOff>471236</xdr:rowOff>
    </xdr:from>
    <xdr:ext cx="323849" cy="142875"/>
    <xdr:sp macro="" textlink="">
      <xdr:nvSpPr>
        <xdr:cNvPr id="339" name="TextBox 338">
          <a:extLst>
            <a:ext uri="{FF2B5EF4-FFF2-40B4-BE49-F238E27FC236}">
              <a16:creationId xmlns:a16="http://schemas.microsoft.com/office/drawing/2014/main" xmlns="" id="{00000000-0008-0000-0800-000053010000}"/>
            </a:ext>
          </a:extLst>
        </xdr:cNvPr>
        <xdr:cNvSpPr txBox="1"/>
      </xdr:nvSpPr>
      <xdr:spPr>
        <a:xfrm>
          <a:off x="3291639" y="23626511"/>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957514</xdr:colOff>
      <xdr:row>100</xdr:row>
      <xdr:rowOff>35092</xdr:rowOff>
    </xdr:from>
    <xdr:ext cx="323849" cy="142875"/>
    <xdr:sp macro="" textlink="">
      <xdr:nvSpPr>
        <xdr:cNvPr id="340" name="TextBox 339">
          <a:extLst>
            <a:ext uri="{FF2B5EF4-FFF2-40B4-BE49-F238E27FC236}">
              <a16:creationId xmlns:a16="http://schemas.microsoft.com/office/drawing/2014/main" xmlns="" id="{00000000-0008-0000-0800-000054010000}"/>
            </a:ext>
          </a:extLst>
        </xdr:cNvPr>
        <xdr:cNvSpPr txBox="1"/>
      </xdr:nvSpPr>
      <xdr:spPr>
        <a:xfrm>
          <a:off x="3281614" y="231903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1499152</xdr:colOff>
      <xdr:row>100</xdr:row>
      <xdr:rowOff>364435</xdr:rowOff>
    </xdr:from>
    <xdr:ext cx="836544" cy="198782"/>
    <xdr:sp macro="" textlink="">
      <xdr:nvSpPr>
        <xdr:cNvPr id="341" name="TextBox 340">
          <a:extLst>
            <a:ext uri="{FF2B5EF4-FFF2-40B4-BE49-F238E27FC236}">
              <a16:creationId xmlns:a16="http://schemas.microsoft.com/office/drawing/2014/main" xmlns="" id="{00000000-0008-0000-0800-000055010000}"/>
            </a:ext>
          </a:extLst>
        </xdr:cNvPr>
        <xdr:cNvSpPr txBox="1"/>
      </xdr:nvSpPr>
      <xdr:spPr>
        <a:xfrm>
          <a:off x="3823252" y="2351971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995362</xdr:colOff>
      <xdr:row>101</xdr:row>
      <xdr:rowOff>157163</xdr:rowOff>
    </xdr:from>
    <xdr:to>
      <xdr:col>2</xdr:col>
      <xdr:colOff>1252537</xdr:colOff>
      <xdr:row>101</xdr:row>
      <xdr:rowOff>461963</xdr:rowOff>
    </xdr:to>
    <xdr:sp macro="" textlink="">
      <xdr:nvSpPr>
        <xdr:cNvPr id="342" name="Rectangle 341">
          <a:extLst>
            <a:ext uri="{FF2B5EF4-FFF2-40B4-BE49-F238E27FC236}">
              <a16:creationId xmlns:a16="http://schemas.microsoft.com/office/drawing/2014/main" xmlns="" id="{00000000-0008-0000-0800-000056010000}"/>
            </a:ext>
          </a:extLst>
        </xdr:cNvPr>
        <xdr:cNvSpPr/>
      </xdr:nvSpPr>
      <xdr:spPr>
        <a:xfrm rot="3102700">
          <a:off x="3295650" y="239649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1034716</xdr:colOff>
      <xdr:row>101</xdr:row>
      <xdr:rowOff>171449</xdr:rowOff>
    </xdr:from>
    <xdr:to>
      <xdr:col>2</xdr:col>
      <xdr:colOff>1155031</xdr:colOff>
      <xdr:row>101</xdr:row>
      <xdr:rowOff>301792</xdr:rowOff>
    </xdr:to>
    <xdr:cxnSp macro="">
      <xdr:nvCxnSpPr>
        <xdr:cNvPr id="343" name="Straight Connector 342">
          <a:extLst>
            <a:ext uri="{FF2B5EF4-FFF2-40B4-BE49-F238E27FC236}">
              <a16:creationId xmlns:a16="http://schemas.microsoft.com/office/drawing/2014/main" xmlns="" id="{00000000-0008-0000-0800-000057010000}"/>
            </a:ext>
          </a:extLst>
        </xdr:cNvPr>
        <xdr:cNvCxnSpPr/>
      </xdr:nvCxnSpPr>
      <xdr:spPr>
        <a:xfrm rot="3102700">
          <a:off x="3353802" y="2396038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1086856</xdr:colOff>
      <xdr:row>101</xdr:row>
      <xdr:rowOff>167945</xdr:rowOff>
    </xdr:from>
    <xdr:to>
      <xdr:col>2</xdr:col>
      <xdr:colOff>1207171</xdr:colOff>
      <xdr:row>101</xdr:row>
      <xdr:rowOff>298288</xdr:rowOff>
    </xdr:to>
    <xdr:cxnSp macro="">
      <xdr:nvCxnSpPr>
        <xdr:cNvPr id="344" name="Straight Connector 343">
          <a:extLst>
            <a:ext uri="{FF2B5EF4-FFF2-40B4-BE49-F238E27FC236}">
              <a16:creationId xmlns:a16="http://schemas.microsoft.com/office/drawing/2014/main" xmlns="" id="{00000000-0008-0000-0800-000058010000}"/>
            </a:ext>
          </a:extLst>
        </xdr:cNvPr>
        <xdr:cNvCxnSpPr/>
      </xdr:nvCxnSpPr>
      <xdr:spPr>
        <a:xfrm rot="3102700">
          <a:off x="3405942" y="23956884"/>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699336</xdr:colOff>
      <xdr:row>101</xdr:row>
      <xdr:rowOff>358942</xdr:rowOff>
    </xdr:from>
    <xdr:ext cx="323849" cy="142875"/>
    <xdr:sp macro="" textlink="">
      <xdr:nvSpPr>
        <xdr:cNvPr id="345" name="TextBox 344">
          <a:extLst>
            <a:ext uri="{FF2B5EF4-FFF2-40B4-BE49-F238E27FC236}">
              <a16:creationId xmlns:a16="http://schemas.microsoft.com/office/drawing/2014/main" xmlns="" id="{00000000-0008-0000-0800-000059010000}"/>
            </a:ext>
          </a:extLst>
        </xdr:cNvPr>
        <xdr:cNvSpPr txBox="1"/>
      </xdr:nvSpPr>
      <xdr:spPr>
        <a:xfrm>
          <a:off x="3023436" y="24142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1266825</xdr:colOff>
      <xdr:row>101</xdr:row>
      <xdr:rowOff>134854</xdr:rowOff>
    </xdr:from>
    <xdr:ext cx="323849" cy="142875"/>
    <xdr:sp macro="" textlink="">
      <xdr:nvSpPr>
        <xdr:cNvPr id="346" name="TextBox 345">
          <a:extLst>
            <a:ext uri="{FF2B5EF4-FFF2-40B4-BE49-F238E27FC236}">
              <a16:creationId xmlns:a16="http://schemas.microsoft.com/office/drawing/2014/main" xmlns="" id="{00000000-0008-0000-0800-00005A010000}"/>
            </a:ext>
          </a:extLst>
        </xdr:cNvPr>
        <xdr:cNvSpPr txBox="1"/>
      </xdr:nvSpPr>
      <xdr:spPr>
        <a:xfrm>
          <a:off x="3590925" y="2391877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1177089</xdr:colOff>
      <xdr:row>101</xdr:row>
      <xdr:rowOff>461711</xdr:rowOff>
    </xdr:from>
    <xdr:ext cx="323849" cy="142875"/>
    <xdr:sp macro="" textlink="">
      <xdr:nvSpPr>
        <xdr:cNvPr id="347" name="TextBox 346">
          <a:extLst>
            <a:ext uri="{FF2B5EF4-FFF2-40B4-BE49-F238E27FC236}">
              <a16:creationId xmlns:a16="http://schemas.microsoft.com/office/drawing/2014/main" xmlns="" id="{00000000-0008-0000-0800-00005B010000}"/>
            </a:ext>
          </a:extLst>
        </xdr:cNvPr>
        <xdr:cNvSpPr txBox="1"/>
      </xdr:nvSpPr>
      <xdr:spPr>
        <a:xfrm>
          <a:off x="3501189" y="2424563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843214</xdr:colOff>
      <xdr:row>101</xdr:row>
      <xdr:rowOff>54142</xdr:rowOff>
    </xdr:from>
    <xdr:ext cx="323849" cy="142875"/>
    <xdr:sp macro="" textlink="">
      <xdr:nvSpPr>
        <xdr:cNvPr id="348" name="TextBox 347">
          <a:extLst>
            <a:ext uri="{FF2B5EF4-FFF2-40B4-BE49-F238E27FC236}">
              <a16:creationId xmlns:a16="http://schemas.microsoft.com/office/drawing/2014/main" xmlns="" id="{00000000-0008-0000-0800-00005C010000}"/>
            </a:ext>
          </a:extLst>
        </xdr:cNvPr>
        <xdr:cNvSpPr txBox="1"/>
      </xdr:nvSpPr>
      <xdr:spPr>
        <a:xfrm>
          <a:off x="3167314" y="238380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101</xdr:row>
      <xdr:rowOff>364435</xdr:rowOff>
    </xdr:from>
    <xdr:ext cx="836544" cy="198782"/>
    <xdr:sp macro="" textlink="">
      <xdr:nvSpPr>
        <xdr:cNvPr id="349" name="TextBox 348">
          <a:extLst>
            <a:ext uri="{FF2B5EF4-FFF2-40B4-BE49-F238E27FC236}">
              <a16:creationId xmlns:a16="http://schemas.microsoft.com/office/drawing/2014/main" xmlns="" id="{00000000-0008-0000-0800-00005D010000}"/>
            </a:ext>
          </a:extLst>
        </xdr:cNvPr>
        <xdr:cNvSpPr txBox="1"/>
      </xdr:nvSpPr>
      <xdr:spPr>
        <a:xfrm>
          <a:off x="3823252" y="2414836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971550</xdr:colOff>
      <xdr:row>121</xdr:row>
      <xdr:rowOff>180975</xdr:rowOff>
    </xdr:from>
    <xdr:to>
      <xdr:col>2</xdr:col>
      <xdr:colOff>1276350</xdr:colOff>
      <xdr:row>121</xdr:row>
      <xdr:rowOff>438150</xdr:rowOff>
    </xdr:to>
    <xdr:sp macro="" textlink="">
      <xdr:nvSpPr>
        <xdr:cNvPr id="350" name="Rectangle 349">
          <a:extLst>
            <a:ext uri="{FF2B5EF4-FFF2-40B4-BE49-F238E27FC236}">
              <a16:creationId xmlns:a16="http://schemas.microsoft.com/office/drawing/2014/main" xmlns="" id="{00000000-0008-0000-0800-00005E010000}"/>
            </a:ext>
          </a:extLst>
        </xdr:cNvPr>
        <xdr:cNvSpPr/>
      </xdr:nvSpPr>
      <xdr:spPr>
        <a:xfrm>
          <a:off x="3295650" y="309562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121</xdr:row>
      <xdr:rowOff>195513</xdr:rowOff>
    </xdr:from>
    <xdr:to>
      <xdr:col>2</xdr:col>
      <xdr:colOff>1102895</xdr:colOff>
      <xdr:row>121</xdr:row>
      <xdr:rowOff>315828</xdr:rowOff>
    </xdr:to>
    <xdr:cxnSp macro="">
      <xdr:nvCxnSpPr>
        <xdr:cNvPr id="351" name="Straight Connector 350">
          <a:extLst>
            <a:ext uri="{FF2B5EF4-FFF2-40B4-BE49-F238E27FC236}">
              <a16:creationId xmlns:a16="http://schemas.microsoft.com/office/drawing/2014/main" xmlns="" id="{00000000-0008-0000-0800-00005F010000}"/>
            </a:ext>
          </a:extLst>
        </xdr:cNvPr>
        <xdr:cNvCxnSpPr/>
      </xdr:nvCxnSpPr>
      <xdr:spPr>
        <a:xfrm>
          <a:off x="3296652" y="3097078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121</xdr:row>
      <xdr:rowOff>182484</xdr:rowOff>
    </xdr:from>
    <xdr:to>
      <xdr:col>2</xdr:col>
      <xdr:colOff>1155035</xdr:colOff>
      <xdr:row>121</xdr:row>
      <xdr:rowOff>302799</xdr:rowOff>
    </xdr:to>
    <xdr:cxnSp macro="">
      <xdr:nvCxnSpPr>
        <xdr:cNvPr id="352" name="Straight Connector 351">
          <a:extLst>
            <a:ext uri="{FF2B5EF4-FFF2-40B4-BE49-F238E27FC236}">
              <a16:creationId xmlns:a16="http://schemas.microsoft.com/office/drawing/2014/main" xmlns="" id="{00000000-0008-0000-0800-000060010000}"/>
            </a:ext>
          </a:extLst>
        </xdr:cNvPr>
        <xdr:cNvCxnSpPr/>
      </xdr:nvCxnSpPr>
      <xdr:spPr>
        <a:xfrm>
          <a:off x="3348792" y="3095775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604086</xdr:colOff>
      <xdr:row>121</xdr:row>
      <xdr:rowOff>225592</xdr:rowOff>
    </xdr:from>
    <xdr:ext cx="323849" cy="142875"/>
    <xdr:sp macro="" textlink="">
      <xdr:nvSpPr>
        <xdr:cNvPr id="353" name="TextBox 352">
          <a:extLst>
            <a:ext uri="{FF2B5EF4-FFF2-40B4-BE49-F238E27FC236}">
              <a16:creationId xmlns:a16="http://schemas.microsoft.com/office/drawing/2014/main" xmlns="" id="{00000000-0008-0000-0800-000061010000}"/>
            </a:ext>
          </a:extLst>
        </xdr:cNvPr>
        <xdr:cNvSpPr txBox="1"/>
      </xdr:nvSpPr>
      <xdr:spPr>
        <a:xfrm>
          <a:off x="2928186" y="310008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1390650</xdr:colOff>
      <xdr:row>121</xdr:row>
      <xdr:rowOff>200025</xdr:rowOff>
    </xdr:from>
    <xdr:ext cx="323849" cy="142875"/>
    <xdr:sp macro="" textlink="">
      <xdr:nvSpPr>
        <xdr:cNvPr id="354" name="TextBox 353">
          <a:extLst>
            <a:ext uri="{FF2B5EF4-FFF2-40B4-BE49-F238E27FC236}">
              <a16:creationId xmlns:a16="http://schemas.microsoft.com/office/drawing/2014/main" xmlns="" id="{00000000-0008-0000-0800-000062010000}"/>
            </a:ext>
          </a:extLst>
        </xdr:cNvPr>
        <xdr:cNvSpPr txBox="1"/>
      </xdr:nvSpPr>
      <xdr:spPr>
        <a:xfrm>
          <a:off x="3714750" y="309753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967539</xdr:colOff>
      <xdr:row>121</xdr:row>
      <xdr:rowOff>476250</xdr:rowOff>
    </xdr:from>
    <xdr:ext cx="323849" cy="142875"/>
    <xdr:sp macro="" textlink="">
      <xdr:nvSpPr>
        <xdr:cNvPr id="355" name="TextBox 354">
          <a:extLst>
            <a:ext uri="{FF2B5EF4-FFF2-40B4-BE49-F238E27FC236}">
              <a16:creationId xmlns:a16="http://schemas.microsoft.com/office/drawing/2014/main" xmlns="" id="{00000000-0008-0000-0800-000063010000}"/>
            </a:ext>
          </a:extLst>
        </xdr:cNvPr>
        <xdr:cNvSpPr txBox="1"/>
      </xdr:nvSpPr>
      <xdr:spPr>
        <a:xfrm>
          <a:off x="3291639" y="312515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957514</xdr:colOff>
      <xdr:row>121</xdr:row>
      <xdr:rowOff>35092</xdr:rowOff>
    </xdr:from>
    <xdr:ext cx="323849" cy="142875"/>
    <xdr:sp macro="" textlink="">
      <xdr:nvSpPr>
        <xdr:cNvPr id="356" name="TextBox 355">
          <a:extLst>
            <a:ext uri="{FF2B5EF4-FFF2-40B4-BE49-F238E27FC236}">
              <a16:creationId xmlns:a16="http://schemas.microsoft.com/office/drawing/2014/main" xmlns="" id="{00000000-0008-0000-0800-000064010000}"/>
            </a:ext>
          </a:extLst>
        </xdr:cNvPr>
        <xdr:cNvSpPr txBox="1"/>
      </xdr:nvSpPr>
      <xdr:spPr>
        <a:xfrm>
          <a:off x="3281614" y="3081036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1403902</xdr:colOff>
      <xdr:row>121</xdr:row>
      <xdr:rowOff>342900</xdr:rowOff>
    </xdr:from>
    <xdr:ext cx="836544" cy="198782"/>
    <xdr:sp macro="" textlink="">
      <xdr:nvSpPr>
        <xdr:cNvPr id="357" name="TextBox 356">
          <a:extLst>
            <a:ext uri="{FF2B5EF4-FFF2-40B4-BE49-F238E27FC236}">
              <a16:creationId xmlns:a16="http://schemas.microsoft.com/office/drawing/2014/main" xmlns="" id="{00000000-0008-0000-0800-000065010000}"/>
            </a:ext>
          </a:extLst>
        </xdr:cNvPr>
        <xdr:cNvSpPr txBox="1"/>
      </xdr:nvSpPr>
      <xdr:spPr>
        <a:xfrm>
          <a:off x="3728002" y="31118175"/>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723900</xdr:colOff>
      <xdr:row>125</xdr:row>
      <xdr:rowOff>104775</xdr:rowOff>
    </xdr:from>
    <xdr:to>
      <xdr:col>2</xdr:col>
      <xdr:colOff>1800225</xdr:colOff>
      <xdr:row>125</xdr:row>
      <xdr:rowOff>106363</xdr:rowOff>
    </xdr:to>
    <xdr:cxnSp macro="">
      <xdr:nvCxnSpPr>
        <xdr:cNvPr id="358" name="Straight Connector 357">
          <a:extLst>
            <a:ext uri="{FF2B5EF4-FFF2-40B4-BE49-F238E27FC236}">
              <a16:creationId xmlns:a16="http://schemas.microsoft.com/office/drawing/2014/main" xmlns="" id="{00000000-0008-0000-0800-000066010000}"/>
            </a:ext>
          </a:extLst>
        </xdr:cNvPr>
        <xdr:cNvCxnSpPr/>
      </xdr:nvCxnSpPr>
      <xdr:spPr>
        <a:xfrm>
          <a:off x="3048000" y="3208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125</xdr:row>
      <xdr:rowOff>180975</xdr:rowOff>
    </xdr:from>
    <xdr:ext cx="323849" cy="142875"/>
    <xdr:sp macro="" textlink="">
      <xdr:nvSpPr>
        <xdr:cNvPr id="359" name="TextBox 358">
          <a:extLst>
            <a:ext uri="{FF2B5EF4-FFF2-40B4-BE49-F238E27FC236}">
              <a16:creationId xmlns:a16="http://schemas.microsoft.com/office/drawing/2014/main" xmlns="" id="{00000000-0008-0000-0800-000067010000}"/>
            </a:ext>
          </a:extLst>
        </xdr:cNvPr>
        <xdr:cNvSpPr txBox="1"/>
      </xdr:nvSpPr>
      <xdr:spPr>
        <a:xfrm>
          <a:off x="3352800" y="3215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32.5</a:t>
          </a:r>
        </a:p>
        <a:p>
          <a:endParaRPr lang="en-US" sz="1100"/>
        </a:p>
      </xdr:txBody>
    </xdr:sp>
    <xdr:clientData/>
  </xdr:oneCellAnchor>
  <xdr:twoCellAnchor>
    <xdr:from>
      <xdr:col>2</xdr:col>
      <xdr:colOff>723900</xdr:colOff>
      <xdr:row>126</xdr:row>
      <xdr:rowOff>104775</xdr:rowOff>
    </xdr:from>
    <xdr:to>
      <xdr:col>2</xdr:col>
      <xdr:colOff>1800225</xdr:colOff>
      <xdr:row>126</xdr:row>
      <xdr:rowOff>106363</xdr:rowOff>
    </xdr:to>
    <xdr:cxnSp macro="">
      <xdr:nvCxnSpPr>
        <xdr:cNvPr id="360" name="Straight Connector 359">
          <a:extLst>
            <a:ext uri="{FF2B5EF4-FFF2-40B4-BE49-F238E27FC236}">
              <a16:creationId xmlns:a16="http://schemas.microsoft.com/office/drawing/2014/main" xmlns="" id="{00000000-0008-0000-0800-000068010000}"/>
            </a:ext>
          </a:extLst>
        </xdr:cNvPr>
        <xdr:cNvCxnSpPr/>
      </xdr:nvCxnSpPr>
      <xdr:spPr>
        <a:xfrm>
          <a:off x="3048000" y="32461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126</xdr:row>
      <xdr:rowOff>180975</xdr:rowOff>
    </xdr:from>
    <xdr:ext cx="323849" cy="142875"/>
    <xdr:sp macro="" textlink="">
      <xdr:nvSpPr>
        <xdr:cNvPr id="361" name="TextBox 360">
          <a:extLst>
            <a:ext uri="{FF2B5EF4-FFF2-40B4-BE49-F238E27FC236}">
              <a16:creationId xmlns:a16="http://schemas.microsoft.com/office/drawing/2014/main" xmlns="" id="{00000000-0008-0000-0800-000069010000}"/>
            </a:ext>
          </a:extLst>
        </xdr:cNvPr>
        <xdr:cNvSpPr txBox="1"/>
      </xdr:nvSpPr>
      <xdr:spPr>
        <a:xfrm>
          <a:off x="3352800" y="32537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a:t>
          </a:r>
        </a:p>
        <a:p>
          <a:endParaRPr lang="en-US" sz="1100"/>
        </a:p>
      </xdr:txBody>
    </xdr:sp>
    <xdr:clientData/>
  </xdr:oneCellAnchor>
  <xdr:twoCellAnchor>
    <xdr:from>
      <xdr:col>2</xdr:col>
      <xdr:colOff>723900</xdr:colOff>
      <xdr:row>128</xdr:row>
      <xdr:rowOff>104775</xdr:rowOff>
    </xdr:from>
    <xdr:to>
      <xdr:col>2</xdr:col>
      <xdr:colOff>1800225</xdr:colOff>
      <xdr:row>128</xdr:row>
      <xdr:rowOff>106363</xdr:rowOff>
    </xdr:to>
    <xdr:cxnSp macro="">
      <xdr:nvCxnSpPr>
        <xdr:cNvPr id="362" name="Straight Connector 361">
          <a:extLst>
            <a:ext uri="{FF2B5EF4-FFF2-40B4-BE49-F238E27FC236}">
              <a16:creationId xmlns:a16="http://schemas.microsoft.com/office/drawing/2014/main" xmlns="" id="{00000000-0008-0000-0800-00006A010000}"/>
            </a:ext>
          </a:extLst>
        </xdr:cNvPr>
        <xdr:cNvCxnSpPr/>
      </xdr:nvCxnSpPr>
      <xdr:spPr>
        <a:xfrm>
          <a:off x="3048000" y="33223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128</xdr:row>
      <xdr:rowOff>180975</xdr:rowOff>
    </xdr:from>
    <xdr:ext cx="323849" cy="142875"/>
    <xdr:sp macro="" textlink="">
      <xdr:nvSpPr>
        <xdr:cNvPr id="363" name="TextBox 362">
          <a:extLst>
            <a:ext uri="{FF2B5EF4-FFF2-40B4-BE49-F238E27FC236}">
              <a16:creationId xmlns:a16="http://schemas.microsoft.com/office/drawing/2014/main" xmlns="" id="{00000000-0008-0000-0800-00006B010000}"/>
            </a:ext>
          </a:extLst>
        </xdr:cNvPr>
        <xdr:cNvSpPr txBox="1"/>
      </xdr:nvSpPr>
      <xdr:spPr>
        <a:xfrm>
          <a:off x="3352800" y="33299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27.5</a:t>
          </a:r>
        </a:p>
        <a:p>
          <a:endParaRPr lang="en-US" sz="1100"/>
        </a:p>
      </xdr:txBody>
    </xdr:sp>
    <xdr:clientData/>
  </xdr:oneCellAnchor>
  <xdr:twoCellAnchor>
    <xdr:from>
      <xdr:col>2</xdr:col>
      <xdr:colOff>723900</xdr:colOff>
      <xdr:row>129</xdr:row>
      <xdr:rowOff>104775</xdr:rowOff>
    </xdr:from>
    <xdr:to>
      <xdr:col>2</xdr:col>
      <xdr:colOff>1800225</xdr:colOff>
      <xdr:row>129</xdr:row>
      <xdr:rowOff>106363</xdr:rowOff>
    </xdr:to>
    <xdr:cxnSp macro="">
      <xdr:nvCxnSpPr>
        <xdr:cNvPr id="364" name="Straight Connector 363">
          <a:extLst>
            <a:ext uri="{FF2B5EF4-FFF2-40B4-BE49-F238E27FC236}">
              <a16:creationId xmlns:a16="http://schemas.microsoft.com/office/drawing/2014/main" xmlns="" id="{00000000-0008-0000-0800-00006C010000}"/>
            </a:ext>
          </a:extLst>
        </xdr:cNvPr>
        <xdr:cNvCxnSpPr/>
      </xdr:nvCxnSpPr>
      <xdr:spPr>
        <a:xfrm>
          <a:off x="3048000" y="33604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129</xdr:row>
      <xdr:rowOff>180975</xdr:rowOff>
    </xdr:from>
    <xdr:ext cx="323849" cy="142875"/>
    <xdr:sp macro="" textlink="">
      <xdr:nvSpPr>
        <xdr:cNvPr id="365" name="TextBox 364">
          <a:extLst>
            <a:ext uri="{FF2B5EF4-FFF2-40B4-BE49-F238E27FC236}">
              <a16:creationId xmlns:a16="http://schemas.microsoft.com/office/drawing/2014/main" xmlns="" id="{00000000-0008-0000-0800-00006D010000}"/>
            </a:ext>
          </a:extLst>
        </xdr:cNvPr>
        <xdr:cNvSpPr txBox="1"/>
      </xdr:nvSpPr>
      <xdr:spPr>
        <a:xfrm>
          <a:off x="3352800" y="33680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17.83</a:t>
          </a:r>
        </a:p>
        <a:p>
          <a:endParaRPr lang="en-US" sz="1100"/>
        </a:p>
      </xdr:txBody>
    </xdr:sp>
    <xdr:clientData/>
  </xdr:oneCellAnchor>
  <xdr:twoCellAnchor>
    <xdr:from>
      <xdr:col>2</xdr:col>
      <xdr:colOff>723900</xdr:colOff>
      <xdr:row>132</xdr:row>
      <xdr:rowOff>104775</xdr:rowOff>
    </xdr:from>
    <xdr:to>
      <xdr:col>2</xdr:col>
      <xdr:colOff>1800225</xdr:colOff>
      <xdr:row>132</xdr:row>
      <xdr:rowOff>106363</xdr:rowOff>
    </xdr:to>
    <xdr:cxnSp macro="">
      <xdr:nvCxnSpPr>
        <xdr:cNvPr id="366" name="Straight Connector 365">
          <a:extLst>
            <a:ext uri="{FF2B5EF4-FFF2-40B4-BE49-F238E27FC236}">
              <a16:creationId xmlns:a16="http://schemas.microsoft.com/office/drawing/2014/main" xmlns="" id="{00000000-0008-0000-0800-00006E010000}"/>
            </a:ext>
          </a:extLst>
        </xdr:cNvPr>
        <xdr:cNvCxnSpPr/>
      </xdr:nvCxnSpPr>
      <xdr:spPr>
        <a:xfrm>
          <a:off x="3048000" y="34366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132</xdr:row>
      <xdr:rowOff>180975</xdr:rowOff>
    </xdr:from>
    <xdr:ext cx="323849" cy="142875"/>
    <xdr:sp macro="" textlink="">
      <xdr:nvSpPr>
        <xdr:cNvPr id="367" name="TextBox 366">
          <a:extLst>
            <a:ext uri="{FF2B5EF4-FFF2-40B4-BE49-F238E27FC236}">
              <a16:creationId xmlns:a16="http://schemas.microsoft.com/office/drawing/2014/main" xmlns="" id="{00000000-0008-0000-0800-00006F010000}"/>
            </a:ext>
          </a:extLst>
        </xdr:cNvPr>
        <xdr:cNvSpPr txBox="1"/>
      </xdr:nvSpPr>
      <xdr:spPr>
        <a:xfrm>
          <a:off x="3352800" y="34442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32.5</a:t>
          </a:r>
        </a:p>
        <a:p>
          <a:endParaRPr lang="en-US" sz="1100"/>
        </a:p>
      </xdr:txBody>
    </xdr:sp>
    <xdr:clientData/>
  </xdr:oneCellAnchor>
  <xdr:twoCellAnchor>
    <xdr:from>
      <xdr:col>2</xdr:col>
      <xdr:colOff>723900</xdr:colOff>
      <xdr:row>133</xdr:row>
      <xdr:rowOff>104775</xdr:rowOff>
    </xdr:from>
    <xdr:to>
      <xdr:col>2</xdr:col>
      <xdr:colOff>1800225</xdr:colOff>
      <xdr:row>133</xdr:row>
      <xdr:rowOff>106363</xdr:rowOff>
    </xdr:to>
    <xdr:cxnSp macro="">
      <xdr:nvCxnSpPr>
        <xdr:cNvPr id="368" name="Straight Connector 367">
          <a:extLst>
            <a:ext uri="{FF2B5EF4-FFF2-40B4-BE49-F238E27FC236}">
              <a16:creationId xmlns:a16="http://schemas.microsoft.com/office/drawing/2014/main" xmlns="" id="{00000000-0008-0000-0800-000070010000}"/>
            </a:ext>
          </a:extLst>
        </xdr:cNvPr>
        <xdr:cNvCxnSpPr/>
      </xdr:nvCxnSpPr>
      <xdr:spPr>
        <a:xfrm>
          <a:off x="3048000" y="34747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133</xdr:row>
      <xdr:rowOff>180975</xdr:rowOff>
    </xdr:from>
    <xdr:ext cx="323849" cy="142875"/>
    <xdr:sp macro="" textlink="">
      <xdr:nvSpPr>
        <xdr:cNvPr id="369" name="TextBox 368">
          <a:extLst>
            <a:ext uri="{FF2B5EF4-FFF2-40B4-BE49-F238E27FC236}">
              <a16:creationId xmlns:a16="http://schemas.microsoft.com/office/drawing/2014/main" xmlns="" id="{00000000-0008-0000-0800-000071010000}"/>
            </a:ext>
          </a:extLst>
        </xdr:cNvPr>
        <xdr:cNvSpPr txBox="1"/>
      </xdr:nvSpPr>
      <xdr:spPr>
        <a:xfrm>
          <a:off x="3352800" y="34823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a:t>
          </a:r>
        </a:p>
        <a:p>
          <a:endParaRPr lang="en-US" sz="1100"/>
        </a:p>
      </xdr:txBody>
    </xdr:sp>
    <xdr:clientData/>
  </xdr:oneCellAnchor>
  <xdr:twoCellAnchor>
    <xdr:from>
      <xdr:col>2</xdr:col>
      <xdr:colOff>723900</xdr:colOff>
      <xdr:row>136</xdr:row>
      <xdr:rowOff>104775</xdr:rowOff>
    </xdr:from>
    <xdr:to>
      <xdr:col>2</xdr:col>
      <xdr:colOff>1800225</xdr:colOff>
      <xdr:row>136</xdr:row>
      <xdr:rowOff>106363</xdr:rowOff>
    </xdr:to>
    <xdr:cxnSp macro="">
      <xdr:nvCxnSpPr>
        <xdr:cNvPr id="370" name="Straight Connector 369">
          <a:extLst>
            <a:ext uri="{FF2B5EF4-FFF2-40B4-BE49-F238E27FC236}">
              <a16:creationId xmlns:a16="http://schemas.microsoft.com/office/drawing/2014/main" xmlns="" id="{00000000-0008-0000-0800-000072010000}"/>
            </a:ext>
          </a:extLst>
        </xdr:cNvPr>
        <xdr:cNvCxnSpPr/>
      </xdr:nvCxnSpPr>
      <xdr:spPr>
        <a:xfrm>
          <a:off x="3048000" y="35509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136</xdr:row>
      <xdr:rowOff>180975</xdr:rowOff>
    </xdr:from>
    <xdr:ext cx="323849" cy="142875"/>
    <xdr:sp macro="" textlink="">
      <xdr:nvSpPr>
        <xdr:cNvPr id="371" name="TextBox 370">
          <a:extLst>
            <a:ext uri="{FF2B5EF4-FFF2-40B4-BE49-F238E27FC236}">
              <a16:creationId xmlns:a16="http://schemas.microsoft.com/office/drawing/2014/main" xmlns="" id="{00000000-0008-0000-0800-000073010000}"/>
            </a:ext>
          </a:extLst>
        </xdr:cNvPr>
        <xdr:cNvSpPr txBox="1"/>
      </xdr:nvSpPr>
      <xdr:spPr>
        <a:xfrm>
          <a:off x="3352800" y="35585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27.5</a:t>
          </a:r>
        </a:p>
        <a:p>
          <a:endParaRPr lang="en-US" sz="1100"/>
        </a:p>
      </xdr:txBody>
    </xdr:sp>
    <xdr:clientData/>
  </xdr:oneCellAnchor>
  <xdr:twoCellAnchor>
    <xdr:from>
      <xdr:col>2</xdr:col>
      <xdr:colOff>723900</xdr:colOff>
      <xdr:row>137</xdr:row>
      <xdr:rowOff>104775</xdr:rowOff>
    </xdr:from>
    <xdr:to>
      <xdr:col>2</xdr:col>
      <xdr:colOff>1800225</xdr:colOff>
      <xdr:row>137</xdr:row>
      <xdr:rowOff>106363</xdr:rowOff>
    </xdr:to>
    <xdr:cxnSp macro="">
      <xdr:nvCxnSpPr>
        <xdr:cNvPr id="372" name="Straight Connector 371">
          <a:extLst>
            <a:ext uri="{FF2B5EF4-FFF2-40B4-BE49-F238E27FC236}">
              <a16:creationId xmlns:a16="http://schemas.microsoft.com/office/drawing/2014/main" xmlns="" id="{00000000-0008-0000-0800-000074010000}"/>
            </a:ext>
          </a:extLst>
        </xdr:cNvPr>
        <xdr:cNvCxnSpPr/>
      </xdr:nvCxnSpPr>
      <xdr:spPr>
        <a:xfrm>
          <a:off x="3048000" y="358902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137</xdr:row>
      <xdr:rowOff>180975</xdr:rowOff>
    </xdr:from>
    <xdr:ext cx="323849" cy="142875"/>
    <xdr:sp macro="" textlink="">
      <xdr:nvSpPr>
        <xdr:cNvPr id="373" name="TextBox 372">
          <a:extLst>
            <a:ext uri="{FF2B5EF4-FFF2-40B4-BE49-F238E27FC236}">
              <a16:creationId xmlns:a16="http://schemas.microsoft.com/office/drawing/2014/main" xmlns="" id="{00000000-0008-0000-0800-000075010000}"/>
            </a:ext>
          </a:extLst>
        </xdr:cNvPr>
        <xdr:cNvSpPr txBox="1"/>
      </xdr:nvSpPr>
      <xdr:spPr>
        <a:xfrm>
          <a:off x="3352800" y="359664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17.83</a:t>
          </a:r>
        </a:p>
        <a:p>
          <a:endParaRPr lang="en-US" sz="1100"/>
        </a:p>
      </xdr:txBody>
    </xdr:sp>
    <xdr:clientData/>
  </xdr:oneCellAnchor>
  <xdr:twoCellAnchor>
    <xdr:from>
      <xdr:col>2</xdr:col>
      <xdr:colOff>989807</xdr:colOff>
      <xdr:row>102</xdr:row>
      <xdr:rowOff>98426</xdr:rowOff>
    </xdr:from>
    <xdr:to>
      <xdr:col>2</xdr:col>
      <xdr:colOff>991395</xdr:colOff>
      <xdr:row>102</xdr:row>
      <xdr:rowOff>469901</xdr:rowOff>
    </xdr:to>
    <xdr:cxnSp macro="">
      <xdr:nvCxnSpPr>
        <xdr:cNvPr id="374" name="Straight Connector 373">
          <a:extLst>
            <a:ext uri="{FF2B5EF4-FFF2-40B4-BE49-F238E27FC236}">
              <a16:creationId xmlns:a16="http://schemas.microsoft.com/office/drawing/2014/main" xmlns="" id="{00000000-0008-0000-0800-000076010000}"/>
            </a:ext>
          </a:extLst>
        </xdr:cNvPr>
        <xdr:cNvCxnSpPr/>
      </xdr:nvCxnSpPr>
      <xdr:spPr>
        <a:xfrm rot="5400000">
          <a:off x="3128963" y="3702129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1059656</xdr:colOff>
      <xdr:row>102</xdr:row>
      <xdr:rowOff>196453</xdr:rowOff>
    </xdr:from>
    <xdr:ext cx="323849" cy="142875"/>
    <xdr:sp macro="" textlink="">
      <xdr:nvSpPr>
        <xdr:cNvPr id="375" name="TextBox 374">
          <a:extLst>
            <a:ext uri="{FF2B5EF4-FFF2-40B4-BE49-F238E27FC236}">
              <a16:creationId xmlns:a16="http://schemas.microsoft.com/office/drawing/2014/main" xmlns="" id="{00000000-0008-0000-0800-000077010000}"/>
            </a:ext>
          </a:extLst>
        </xdr:cNvPr>
        <xdr:cNvSpPr txBox="1"/>
      </xdr:nvSpPr>
      <xdr:spPr>
        <a:xfrm>
          <a:off x="3383756" y="3944897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a:t>
          </a:r>
        </a:p>
        <a:p>
          <a:endParaRPr lang="en-US" sz="1100"/>
        </a:p>
      </xdr:txBody>
    </xdr:sp>
    <xdr:clientData/>
  </xdr:oneCellAnchor>
  <xdr:oneCellAnchor>
    <xdr:from>
      <xdr:col>2</xdr:col>
      <xdr:colOff>1021556</xdr:colOff>
      <xdr:row>103</xdr:row>
      <xdr:rowOff>291703</xdr:rowOff>
    </xdr:from>
    <xdr:ext cx="323849" cy="142875"/>
    <xdr:sp macro="" textlink="">
      <xdr:nvSpPr>
        <xdr:cNvPr id="377" name="TextBox 376">
          <a:extLst>
            <a:ext uri="{FF2B5EF4-FFF2-40B4-BE49-F238E27FC236}">
              <a16:creationId xmlns:a16="http://schemas.microsoft.com/office/drawing/2014/main" xmlns="" id="{00000000-0008-0000-0800-000079010000}"/>
            </a:ext>
          </a:extLst>
        </xdr:cNvPr>
        <xdr:cNvSpPr txBox="1"/>
      </xdr:nvSpPr>
      <xdr:spPr>
        <a:xfrm>
          <a:off x="3345656" y="40172878"/>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a:t>
          </a:r>
        </a:p>
        <a:p>
          <a:endParaRPr lang="en-US" sz="1100"/>
        </a:p>
      </xdr:txBody>
    </xdr:sp>
    <xdr:clientData/>
  </xdr:oneCellAnchor>
  <xdr:twoCellAnchor>
    <xdr:from>
      <xdr:col>2</xdr:col>
      <xdr:colOff>933450</xdr:colOff>
      <xdr:row>103</xdr:row>
      <xdr:rowOff>123826</xdr:rowOff>
    </xdr:from>
    <xdr:to>
      <xdr:col>2</xdr:col>
      <xdr:colOff>935038</xdr:colOff>
      <xdr:row>103</xdr:row>
      <xdr:rowOff>495301</xdr:rowOff>
    </xdr:to>
    <xdr:cxnSp macro="">
      <xdr:nvCxnSpPr>
        <xdr:cNvPr id="378" name="Straight Connector 377">
          <a:extLst>
            <a:ext uri="{FF2B5EF4-FFF2-40B4-BE49-F238E27FC236}">
              <a16:creationId xmlns:a16="http://schemas.microsoft.com/office/drawing/2014/main" xmlns="" id="{00000000-0008-0000-0800-00007A010000}"/>
            </a:ext>
          </a:extLst>
        </xdr:cNvPr>
        <xdr:cNvCxnSpPr/>
      </xdr:nvCxnSpPr>
      <xdr:spPr>
        <a:xfrm rot="5400000">
          <a:off x="3072606" y="40189945"/>
          <a:ext cx="3714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104</xdr:row>
      <xdr:rowOff>180975</xdr:rowOff>
    </xdr:from>
    <xdr:to>
      <xdr:col>2</xdr:col>
      <xdr:colOff>1276350</xdr:colOff>
      <xdr:row>104</xdr:row>
      <xdr:rowOff>438150</xdr:rowOff>
    </xdr:to>
    <xdr:sp macro="" textlink="">
      <xdr:nvSpPr>
        <xdr:cNvPr id="380" name="Rectangle 379">
          <a:extLst>
            <a:ext uri="{FF2B5EF4-FFF2-40B4-BE49-F238E27FC236}">
              <a16:creationId xmlns:a16="http://schemas.microsoft.com/office/drawing/2014/main" xmlns="" id="{00000000-0008-0000-0800-00007C010000}"/>
            </a:ext>
          </a:extLst>
        </xdr:cNvPr>
        <xdr:cNvSpPr/>
      </xdr:nvSpPr>
      <xdr:spPr>
        <a:xfrm>
          <a:off x="3295650" y="381762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104</xdr:row>
      <xdr:rowOff>195513</xdr:rowOff>
    </xdr:from>
    <xdr:to>
      <xdr:col>2</xdr:col>
      <xdr:colOff>1102895</xdr:colOff>
      <xdr:row>104</xdr:row>
      <xdr:rowOff>315828</xdr:rowOff>
    </xdr:to>
    <xdr:cxnSp macro="">
      <xdr:nvCxnSpPr>
        <xdr:cNvPr id="381" name="Straight Connector 380">
          <a:extLst>
            <a:ext uri="{FF2B5EF4-FFF2-40B4-BE49-F238E27FC236}">
              <a16:creationId xmlns:a16="http://schemas.microsoft.com/office/drawing/2014/main" xmlns="" id="{00000000-0008-0000-0800-00007D010000}"/>
            </a:ext>
          </a:extLst>
        </xdr:cNvPr>
        <xdr:cNvCxnSpPr/>
      </xdr:nvCxnSpPr>
      <xdr:spPr>
        <a:xfrm>
          <a:off x="3296652" y="381907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104</xdr:row>
      <xdr:rowOff>182484</xdr:rowOff>
    </xdr:from>
    <xdr:to>
      <xdr:col>2</xdr:col>
      <xdr:colOff>1155035</xdr:colOff>
      <xdr:row>104</xdr:row>
      <xdr:rowOff>302799</xdr:rowOff>
    </xdr:to>
    <xdr:cxnSp macro="">
      <xdr:nvCxnSpPr>
        <xdr:cNvPr id="382" name="Straight Connector 381">
          <a:extLst>
            <a:ext uri="{FF2B5EF4-FFF2-40B4-BE49-F238E27FC236}">
              <a16:creationId xmlns:a16="http://schemas.microsoft.com/office/drawing/2014/main" xmlns="" id="{00000000-0008-0000-0800-00007E010000}"/>
            </a:ext>
          </a:extLst>
        </xdr:cNvPr>
        <xdr:cNvCxnSpPr/>
      </xdr:nvCxnSpPr>
      <xdr:spPr>
        <a:xfrm>
          <a:off x="3348792" y="3817770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556461</xdr:colOff>
      <xdr:row>104</xdr:row>
      <xdr:rowOff>225592</xdr:rowOff>
    </xdr:from>
    <xdr:ext cx="323849" cy="142875"/>
    <xdr:sp macro="" textlink="">
      <xdr:nvSpPr>
        <xdr:cNvPr id="383" name="TextBox 382">
          <a:extLst>
            <a:ext uri="{FF2B5EF4-FFF2-40B4-BE49-F238E27FC236}">
              <a16:creationId xmlns:a16="http://schemas.microsoft.com/office/drawing/2014/main" xmlns="" id="{00000000-0008-0000-0800-00007F010000}"/>
            </a:ext>
          </a:extLst>
        </xdr:cNvPr>
        <xdr:cNvSpPr txBox="1"/>
      </xdr:nvSpPr>
      <xdr:spPr>
        <a:xfrm>
          <a:off x="2880561" y="382208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1333500</xdr:colOff>
      <xdr:row>104</xdr:row>
      <xdr:rowOff>220579</xdr:rowOff>
    </xdr:from>
    <xdr:ext cx="323849" cy="142875"/>
    <xdr:sp macro="" textlink="">
      <xdr:nvSpPr>
        <xdr:cNvPr id="384" name="TextBox 383">
          <a:extLst>
            <a:ext uri="{FF2B5EF4-FFF2-40B4-BE49-F238E27FC236}">
              <a16:creationId xmlns:a16="http://schemas.microsoft.com/office/drawing/2014/main" xmlns="" id="{00000000-0008-0000-0800-000080010000}"/>
            </a:ext>
          </a:extLst>
        </xdr:cNvPr>
        <xdr:cNvSpPr txBox="1"/>
      </xdr:nvSpPr>
      <xdr:spPr>
        <a:xfrm>
          <a:off x="3657600" y="38215804"/>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967539</xdr:colOff>
      <xdr:row>104</xdr:row>
      <xdr:rowOff>471236</xdr:rowOff>
    </xdr:from>
    <xdr:ext cx="323849" cy="142875"/>
    <xdr:sp macro="" textlink="">
      <xdr:nvSpPr>
        <xdr:cNvPr id="385" name="TextBox 384">
          <a:extLst>
            <a:ext uri="{FF2B5EF4-FFF2-40B4-BE49-F238E27FC236}">
              <a16:creationId xmlns:a16="http://schemas.microsoft.com/office/drawing/2014/main" xmlns="" id="{00000000-0008-0000-0800-000081010000}"/>
            </a:ext>
          </a:extLst>
        </xdr:cNvPr>
        <xdr:cNvSpPr txBox="1"/>
      </xdr:nvSpPr>
      <xdr:spPr>
        <a:xfrm>
          <a:off x="3291639" y="38466461"/>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957514</xdr:colOff>
      <xdr:row>104</xdr:row>
      <xdr:rowOff>35092</xdr:rowOff>
    </xdr:from>
    <xdr:ext cx="323849" cy="142875"/>
    <xdr:sp macro="" textlink="">
      <xdr:nvSpPr>
        <xdr:cNvPr id="386" name="TextBox 385">
          <a:extLst>
            <a:ext uri="{FF2B5EF4-FFF2-40B4-BE49-F238E27FC236}">
              <a16:creationId xmlns:a16="http://schemas.microsoft.com/office/drawing/2014/main" xmlns="" id="{00000000-0008-0000-0800-000082010000}"/>
            </a:ext>
          </a:extLst>
        </xdr:cNvPr>
        <xdr:cNvSpPr txBox="1"/>
      </xdr:nvSpPr>
      <xdr:spPr>
        <a:xfrm>
          <a:off x="3281614" y="380303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0.75</a:t>
          </a:r>
        </a:p>
        <a:p>
          <a:endParaRPr lang="en-US" sz="1100"/>
        </a:p>
      </xdr:txBody>
    </xdr:sp>
    <xdr:clientData/>
  </xdr:oneCellAnchor>
  <xdr:oneCellAnchor>
    <xdr:from>
      <xdr:col>2</xdr:col>
      <xdr:colOff>1499152</xdr:colOff>
      <xdr:row>104</xdr:row>
      <xdr:rowOff>364435</xdr:rowOff>
    </xdr:from>
    <xdr:ext cx="836544" cy="198782"/>
    <xdr:sp macro="" textlink="">
      <xdr:nvSpPr>
        <xdr:cNvPr id="387" name="TextBox 386">
          <a:extLst>
            <a:ext uri="{FF2B5EF4-FFF2-40B4-BE49-F238E27FC236}">
              <a16:creationId xmlns:a16="http://schemas.microsoft.com/office/drawing/2014/main" xmlns="" id="{00000000-0008-0000-0800-000083010000}"/>
            </a:ext>
          </a:extLst>
        </xdr:cNvPr>
        <xdr:cNvSpPr txBox="1"/>
      </xdr:nvSpPr>
      <xdr:spPr>
        <a:xfrm>
          <a:off x="3823252" y="3835966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995362</xdr:colOff>
      <xdr:row>105</xdr:row>
      <xdr:rowOff>157163</xdr:rowOff>
    </xdr:from>
    <xdr:to>
      <xdr:col>2</xdr:col>
      <xdr:colOff>1252537</xdr:colOff>
      <xdr:row>105</xdr:row>
      <xdr:rowOff>461963</xdr:rowOff>
    </xdr:to>
    <xdr:sp macro="" textlink="">
      <xdr:nvSpPr>
        <xdr:cNvPr id="388" name="Rectangle 387">
          <a:extLst>
            <a:ext uri="{FF2B5EF4-FFF2-40B4-BE49-F238E27FC236}">
              <a16:creationId xmlns:a16="http://schemas.microsoft.com/office/drawing/2014/main" xmlns="" id="{00000000-0008-0000-0800-000084010000}"/>
            </a:ext>
          </a:extLst>
        </xdr:cNvPr>
        <xdr:cNvSpPr/>
      </xdr:nvSpPr>
      <xdr:spPr>
        <a:xfrm rot="3102700">
          <a:off x="3295650" y="3880485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1034716</xdr:colOff>
      <xdr:row>105</xdr:row>
      <xdr:rowOff>171449</xdr:rowOff>
    </xdr:from>
    <xdr:to>
      <xdr:col>2</xdr:col>
      <xdr:colOff>1155031</xdr:colOff>
      <xdr:row>105</xdr:row>
      <xdr:rowOff>301792</xdr:rowOff>
    </xdr:to>
    <xdr:cxnSp macro="">
      <xdr:nvCxnSpPr>
        <xdr:cNvPr id="389" name="Straight Connector 388">
          <a:extLst>
            <a:ext uri="{FF2B5EF4-FFF2-40B4-BE49-F238E27FC236}">
              <a16:creationId xmlns:a16="http://schemas.microsoft.com/office/drawing/2014/main" xmlns="" id="{00000000-0008-0000-0800-000085010000}"/>
            </a:ext>
          </a:extLst>
        </xdr:cNvPr>
        <xdr:cNvCxnSpPr/>
      </xdr:nvCxnSpPr>
      <xdr:spPr>
        <a:xfrm rot="3102700">
          <a:off x="3353802" y="388003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1086856</xdr:colOff>
      <xdr:row>105</xdr:row>
      <xdr:rowOff>167945</xdr:rowOff>
    </xdr:from>
    <xdr:to>
      <xdr:col>2</xdr:col>
      <xdr:colOff>1207171</xdr:colOff>
      <xdr:row>105</xdr:row>
      <xdr:rowOff>298288</xdr:rowOff>
    </xdr:to>
    <xdr:cxnSp macro="">
      <xdr:nvCxnSpPr>
        <xdr:cNvPr id="390" name="Straight Connector 389">
          <a:extLst>
            <a:ext uri="{FF2B5EF4-FFF2-40B4-BE49-F238E27FC236}">
              <a16:creationId xmlns:a16="http://schemas.microsoft.com/office/drawing/2014/main" xmlns="" id="{00000000-0008-0000-0800-000086010000}"/>
            </a:ext>
          </a:extLst>
        </xdr:cNvPr>
        <xdr:cNvCxnSpPr/>
      </xdr:nvCxnSpPr>
      <xdr:spPr>
        <a:xfrm rot="3102700">
          <a:off x="3405942" y="38796834"/>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699336</xdr:colOff>
      <xdr:row>105</xdr:row>
      <xdr:rowOff>358942</xdr:rowOff>
    </xdr:from>
    <xdr:ext cx="323849" cy="142875"/>
    <xdr:sp macro="" textlink="">
      <xdr:nvSpPr>
        <xdr:cNvPr id="391" name="TextBox 390">
          <a:extLst>
            <a:ext uri="{FF2B5EF4-FFF2-40B4-BE49-F238E27FC236}">
              <a16:creationId xmlns:a16="http://schemas.microsoft.com/office/drawing/2014/main" xmlns="" id="{00000000-0008-0000-0800-000087010000}"/>
            </a:ext>
          </a:extLst>
        </xdr:cNvPr>
        <xdr:cNvSpPr txBox="1"/>
      </xdr:nvSpPr>
      <xdr:spPr>
        <a:xfrm>
          <a:off x="3023436" y="389828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1266825</xdr:colOff>
      <xdr:row>105</xdr:row>
      <xdr:rowOff>134854</xdr:rowOff>
    </xdr:from>
    <xdr:ext cx="323849" cy="142875"/>
    <xdr:sp macro="" textlink="">
      <xdr:nvSpPr>
        <xdr:cNvPr id="392" name="TextBox 391">
          <a:extLst>
            <a:ext uri="{FF2B5EF4-FFF2-40B4-BE49-F238E27FC236}">
              <a16:creationId xmlns:a16="http://schemas.microsoft.com/office/drawing/2014/main" xmlns="" id="{00000000-0008-0000-0800-000088010000}"/>
            </a:ext>
          </a:extLst>
        </xdr:cNvPr>
        <xdr:cNvSpPr txBox="1"/>
      </xdr:nvSpPr>
      <xdr:spPr>
        <a:xfrm>
          <a:off x="3590925" y="38758729"/>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1177089</xdr:colOff>
      <xdr:row>105</xdr:row>
      <xdr:rowOff>461711</xdr:rowOff>
    </xdr:from>
    <xdr:ext cx="323849" cy="142875"/>
    <xdr:sp macro="" textlink="">
      <xdr:nvSpPr>
        <xdr:cNvPr id="393" name="TextBox 392">
          <a:extLst>
            <a:ext uri="{FF2B5EF4-FFF2-40B4-BE49-F238E27FC236}">
              <a16:creationId xmlns:a16="http://schemas.microsoft.com/office/drawing/2014/main" xmlns="" id="{00000000-0008-0000-0800-000089010000}"/>
            </a:ext>
          </a:extLst>
        </xdr:cNvPr>
        <xdr:cNvSpPr txBox="1"/>
      </xdr:nvSpPr>
      <xdr:spPr>
        <a:xfrm>
          <a:off x="3501189" y="39085586"/>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843214</xdr:colOff>
      <xdr:row>105</xdr:row>
      <xdr:rowOff>54142</xdr:rowOff>
    </xdr:from>
    <xdr:ext cx="323849" cy="142875"/>
    <xdr:sp macro="" textlink="">
      <xdr:nvSpPr>
        <xdr:cNvPr id="394" name="TextBox 393">
          <a:extLst>
            <a:ext uri="{FF2B5EF4-FFF2-40B4-BE49-F238E27FC236}">
              <a16:creationId xmlns:a16="http://schemas.microsoft.com/office/drawing/2014/main" xmlns="" id="{00000000-0008-0000-0800-00008A010000}"/>
            </a:ext>
          </a:extLst>
        </xdr:cNvPr>
        <xdr:cNvSpPr txBox="1"/>
      </xdr:nvSpPr>
      <xdr:spPr>
        <a:xfrm>
          <a:off x="3167314" y="386780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1499152</xdr:colOff>
      <xdr:row>105</xdr:row>
      <xdr:rowOff>364435</xdr:rowOff>
    </xdr:from>
    <xdr:ext cx="836544" cy="198782"/>
    <xdr:sp macro="" textlink="">
      <xdr:nvSpPr>
        <xdr:cNvPr id="395" name="TextBox 394">
          <a:extLst>
            <a:ext uri="{FF2B5EF4-FFF2-40B4-BE49-F238E27FC236}">
              <a16:creationId xmlns:a16="http://schemas.microsoft.com/office/drawing/2014/main" xmlns="" id="{00000000-0008-0000-0800-00008B010000}"/>
            </a:ext>
          </a:extLst>
        </xdr:cNvPr>
        <xdr:cNvSpPr txBox="1"/>
      </xdr:nvSpPr>
      <xdr:spPr>
        <a:xfrm>
          <a:off x="3823252" y="38988310"/>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704850</xdr:colOff>
      <xdr:row>143</xdr:row>
      <xdr:rowOff>323850</xdr:rowOff>
    </xdr:from>
    <xdr:to>
      <xdr:col>2</xdr:col>
      <xdr:colOff>1676400</xdr:colOff>
      <xdr:row>143</xdr:row>
      <xdr:rowOff>325438</xdr:rowOff>
    </xdr:to>
    <xdr:cxnSp macro="">
      <xdr:nvCxnSpPr>
        <xdr:cNvPr id="396" name="Straight Connector 395">
          <a:extLst>
            <a:ext uri="{FF2B5EF4-FFF2-40B4-BE49-F238E27FC236}">
              <a16:creationId xmlns:a16="http://schemas.microsoft.com/office/drawing/2014/main" xmlns="" id="{00000000-0008-0000-0800-00008C010000}"/>
            </a:ext>
          </a:extLst>
        </xdr:cNvPr>
        <xdr:cNvCxnSpPr/>
      </xdr:nvCxnSpPr>
      <xdr:spPr>
        <a:xfrm>
          <a:off x="3028950" y="428529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143</xdr:row>
      <xdr:rowOff>57944</xdr:rowOff>
    </xdr:from>
    <xdr:to>
      <xdr:col>2</xdr:col>
      <xdr:colOff>705645</xdr:colOff>
      <xdr:row>143</xdr:row>
      <xdr:rowOff>315119</xdr:rowOff>
    </xdr:to>
    <xdr:cxnSp macro="">
      <xdr:nvCxnSpPr>
        <xdr:cNvPr id="397" name="Straight Connector 396">
          <a:extLst>
            <a:ext uri="{FF2B5EF4-FFF2-40B4-BE49-F238E27FC236}">
              <a16:creationId xmlns:a16="http://schemas.microsoft.com/office/drawing/2014/main" xmlns="" id="{00000000-0008-0000-0800-00008D010000}"/>
            </a:ext>
          </a:extLst>
        </xdr:cNvPr>
        <xdr:cNvCxnSpPr/>
      </xdr:nvCxnSpPr>
      <xdr:spPr>
        <a:xfrm rot="5400000" flipH="1" flipV="1">
          <a:off x="2900363" y="427148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143</xdr:row>
      <xdr:rowOff>67469</xdr:rowOff>
    </xdr:from>
    <xdr:to>
      <xdr:col>2</xdr:col>
      <xdr:colOff>1677196</xdr:colOff>
      <xdr:row>143</xdr:row>
      <xdr:rowOff>324644</xdr:rowOff>
    </xdr:to>
    <xdr:cxnSp macro="">
      <xdr:nvCxnSpPr>
        <xdr:cNvPr id="398" name="Straight Connector 397">
          <a:extLst>
            <a:ext uri="{FF2B5EF4-FFF2-40B4-BE49-F238E27FC236}">
              <a16:creationId xmlns:a16="http://schemas.microsoft.com/office/drawing/2014/main" xmlns="" id="{00000000-0008-0000-0800-00008E010000}"/>
            </a:ext>
          </a:extLst>
        </xdr:cNvPr>
        <xdr:cNvCxnSpPr/>
      </xdr:nvCxnSpPr>
      <xdr:spPr>
        <a:xfrm rot="5400000" flipH="1" flipV="1">
          <a:off x="3871914" y="427243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381001</xdr:colOff>
      <xdr:row>143</xdr:row>
      <xdr:rowOff>104775</xdr:rowOff>
    </xdr:from>
    <xdr:ext cx="323849" cy="142875"/>
    <xdr:sp macro="" textlink="">
      <xdr:nvSpPr>
        <xdr:cNvPr id="399" name="TextBox 398">
          <a:extLst>
            <a:ext uri="{FF2B5EF4-FFF2-40B4-BE49-F238E27FC236}">
              <a16:creationId xmlns:a16="http://schemas.microsoft.com/office/drawing/2014/main" xmlns="" id="{00000000-0008-0000-0800-00008F010000}"/>
            </a:ext>
          </a:extLst>
        </xdr:cNvPr>
        <xdr:cNvSpPr txBox="1"/>
      </xdr:nvSpPr>
      <xdr:spPr>
        <a:xfrm>
          <a:off x="2705101" y="547687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143</xdr:row>
      <xdr:rowOff>114300</xdr:rowOff>
    </xdr:from>
    <xdr:ext cx="323849" cy="142875"/>
    <xdr:sp macro="" textlink="">
      <xdr:nvSpPr>
        <xdr:cNvPr id="400" name="TextBox 399">
          <a:extLst>
            <a:ext uri="{FF2B5EF4-FFF2-40B4-BE49-F238E27FC236}">
              <a16:creationId xmlns:a16="http://schemas.microsoft.com/office/drawing/2014/main" xmlns="" id="{00000000-0008-0000-0800-000090010000}"/>
            </a:ext>
          </a:extLst>
        </xdr:cNvPr>
        <xdr:cNvSpPr txBox="1"/>
      </xdr:nvSpPr>
      <xdr:spPr>
        <a:xfrm>
          <a:off x="4048126" y="426434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143</xdr:row>
      <xdr:rowOff>400050</xdr:rowOff>
    </xdr:from>
    <xdr:ext cx="323849" cy="142875"/>
    <xdr:sp macro="" textlink="">
      <xdr:nvSpPr>
        <xdr:cNvPr id="401" name="TextBox 400">
          <a:extLst>
            <a:ext uri="{FF2B5EF4-FFF2-40B4-BE49-F238E27FC236}">
              <a16:creationId xmlns:a16="http://schemas.microsoft.com/office/drawing/2014/main" xmlns="" id="{00000000-0008-0000-0800-000091010000}"/>
            </a:ext>
          </a:extLst>
        </xdr:cNvPr>
        <xdr:cNvSpPr txBox="1"/>
      </xdr:nvSpPr>
      <xdr:spPr>
        <a:xfrm>
          <a:off x="3333751" y="42929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17.75</a:t>
          </a:r>
        </a:p>
        <a:p>
          <a:endParaRPr lang="en-US" sz="1100"/>
        </a:p>
      </xdr:txBody>
    </xdr:sp>
    <xdr:clientData/>
  </xdr:oneCellAnchor>
  <xdr:twoCellAnchor>
    <xdr:from>
      <xdr:col>2</xdr:col>
      <xdr:colOff>704850</xdr:colOff>
      <xdr:row>144</xdr:row>
      <xdr:rowOff>323850</xdr:rowOff>
    </xdr:from>
    <xdr:to>
      <xdr:col>2</xdr:col>
      <xdr:colOff>1676400</xdr:colOff>
      <xdr:row>144</xdr:row>
      <xdr:rowOff>325438</xdr:rowOff>
    </xdr:to>
    <xdr:cxnSp macro="">
      <xdr:nvCxnSpPr>
        <xdr:cNvPr id="402" name="Straight Connector 401">
          <a:extLst>
            <a:ext uri="{FF2B5EF4-FFF2-40B4-BE49-F238E27FC236}">
              <a16:creationId xmlns:a16="http://schemas.microsoft.com/office/drawing/2014/main" xmlns="" id="{00000000-0008-0000-0800-000092010000}"/>
            </a:ext>
          </a:extLst>
        </xdr:cNvPr>
        <xdr:cNvCxnSpPr/>
      </xdr:nvCxnSpPr>
      <xdr:spPr>
        <a:xfrm>
          <a:off x="3028950" y="434816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144</xdr:row>
      <xdr:rowOff>57944</xdr:rowOff>
    </xdr:from>
    <xdr:to>
      <xdr:col>2</xdr:col>
      <xdr:colOff>705645</xdr:colOff>
      <xdr:row>144</xdr:row>
      <xdr:rowOff>315119</xdr:rowOff>
    </xdr:to>
    <xdr:cxnSp macro="">
      <xdr:nvCxnSpPr>
        <xdr:cNvPr id="403" name="Straight Connector 402">
          <a:extLst>
            <a:ext uri="{FF2B5EF4-FFF2-40B4-BE49-F238E27FC236}">
              <a16:creationId xmlns:a16="http://schemas.microsoft.com/office/drawing/2014/main" xmlns="" id="{00000000-0008-0000-0800-000093010000}"/>
            </a:ext>
          </a:extLst>
        </xdr:cNvPr>
        <xdr:cNvCxnSpPr/>
      </xdr:nvCxnSpPr>
      <xdr:spPr>
        <a:xfrm rot="5400000" flipH="1" flipV="1">
          <a:off x="2900363" y="433435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144</xdr:row>
      <xdr:rowOff>67469</xdr:rowOff>
    </xdr:from>
    <xdr:to>
      <xdr:col>2</xdr:col>
      <xdr:colOff>1677196</xdr:colOff>
      <xdr:row>144</xdr:row>
      <xdr:rowOff>324644</xdr:rowOff>
    </xdr:to>
    <xdr:cxnSp macro="">
      <xdr:nvCxnSpPr>
        <xdr:cNvPr id="404" name="Straight Connector 403">
          <a:extLst>
            <a:ext uri="{FF2B5EF4-FFF2-40B4-BE49-F238E27FC236}">
              <a16:creationId xmlns:a16="http://schemas.microsoft.com/office/drawing/2014/main" xmlns="" id="{00000000-0008-0000-0800-000094010000}"/>
            </a:ext>
          </a:extLst>
        </xdr:cNvPr>
        <xdr:cNvCxnSpPr/>
      </xdr:nvCxnSpPr>
      <xdr:spPr>
        <a:xfrm rot="5400000" flipH="1" flipV="1">
          <a:off x="3871914" y="433530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144</xdr:row>
      <xdr:rowOff>85725</xdr:rowOff>
    </xdr:from>
    <xdr:ext cx="323849" cy="142875"/>
    <xdr:sp macro="" textlink="">
      <xdr:nvSpPr>
        <xdr:cNvPr id="405" name="TextBox 404">
          <a:extLst>
            <a:ext uri="{FF2B5EF4-FFF2-40B4-BE49-F238E27FC236}">
              <a16:creationId xmlns:a16="http://schemas.microsoft.com/office/drawing/2014/main" xmlns="" id="{00000000-0008-0000-0800-000095010000}"/>
            </a:ext>
          </a:extLst>
        </xdr:cNvPr>
        <xdr:cNvSpPr txBox="1"/>
      </xdr:nvSpPr>
      <xdr:spPr>
        <a:xfrm>
          <a:off x="2667001" y="432435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144</xdr:row>
      <xdr:rowOff>114300</xdr:rowOff>
    </xdr:from>
    <xdr:ext cx="323849" cy="142875"/>
    <xdr:sp macro="" textlink="">
      <xdr:nvSpPr>
        <xdr:cNvPr id="406" name="TextBox 405">
          <a:extLst>
            <a:ext uri="{FF2B5EF4-FFF2-40B4-BE49-F238E27FC236}">
              <a16:creationId xmlns:a16="http://schemas.microsoft.com/office/drawing/2014/main" xmlns="" id="{00000000-0008-0000-0800-000096010000}"/>
            </a:ext>
          </a:extLst>
        </xdr:cNvPr>
        <xdr:cNvSpPr txBox="1"/>
      </xdr:nvSpPr>
      <xdr:spPr>
        <a:xfrm>
          <a:off x="4048126" y="432720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144</xdr:row>
      <xdr:rowOff>400050</xdr:rowOff>
    </xdr:from>
    <xdr:ext cx="323849" cy="142875"/>
    <xdr:sp macro="" textlink="">
      <xdr:nvSpPr>
        <xdr:cNvPr id="407" name="TextBox 406">
          <a:extLst>
            <a:ext uri="{FF2B5EF4-FFF2-40B4-BE49-F238E27FC236}">
              <a16:creationId xmlns:a16="http://schemas.microsoft.com/office/drawing/2014/main" xmlns="" id="{00000000-0008-0000-0800-000097010000}"/>
            </a:ext>
          </a:extLst>
        </xdr:cNvPr>
        <xdr:cNvSpPr txBox="1"/>
      </xdr:nvSpPr>
      <xdr:spPr>
        <a:xfrm>
          <a:off x="3333751" y="435578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17.75</a:t>
          </a:r>
        </a:p>
        <a:p>
          <a:endParaRPr lang="en-US" sz="1100"/>
        </a:p>
      </xdr:txBody>
    </xdr:sp>
    <xdr:clientData/>
  </xdr:oneCellAnchor>
  <xdr:twoCellAnchor>
    <xdr:from>
      <xdr:col>2</xdr:col>
      <xdr:colOff>704850</xdr:colOff>
      <xdr:row>145</xdr:row>
      <xdr:rowOff>85725</xdr:rowOff>
    </xdr:from>
    <xdr:to>
      <xdr:col>2</xdr:col>
      <xdr:colOff>1676400</xdr:colOff>
      <xdr:row>145</xdr:row>
      <xdr:rowOff>87313</xdr:rowOff>
    </xdr:to>
    <xdr:cxnSp macro="">
      <xdr:nvCxnSpPr>
        <xdr:cNvPr id="408" name="Straight Connector 407">
          <a:extLst>
            <a:ext uri="{FF2B5EF4-FFF2-40B4-BE49-F238E27FC236}">
              <a16:creationId xmlns:a16="http://schemas.microsoft.com/office/drawing/2014/main" xmlns="" id="{00000000-0008-0000-0800-000098010000}"/>
            </a:ext>
          </a:extLst>
        </xdr:cNvPr>
        <xdr:cNvCxnSpPr/>
      </xdr:nvCxnSpPr>
      <xdr:spPr>
        <a:xfrm>
          <a:off x="3028950" y="438721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1009651</xdr:colOff>
      <xdr:row>145</xdr:row>
      <xdr:rowOff>247650</xdr:rowOff>
    </xdr:from>
    <xdr:ext cx="323849" cy="142875"/>
    <xdr:sp macro="" textlink="">
      <xdr:nvSpPr>
        <xdr:cNvPr id="413" name="TextBox 412">
          <a:extLst>
            <a:ext uri="{FF2B5EF4-FFF2-40B4-BE49-F238E27FC236}">
              <a16:creationId xmlns:a16="http://schemas.microsoft.com/office/drawing/2014/main" xmlns="" id="{00000000-0008-0000-0800-00009D010000}"/>
            </a:ext>
          </a:extLst>
        </xdr:cNvPr>
        <xdr:cNvSpPr txBox="1"/>
      </xdr:nvSpPr>
      <xdr:spPr>
        <a:xfrm>
          <a:off x="3333751" y="440340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20.75</a:t>
          </a:r>
        </a:p>
        <a:p>
          <a:endParaRPr lang="en-US" sz="1100"/>
        </a:p>
      </xdr:txBody>
    </xdr:sp>
    <xdr:clientData/>
  </xdr:oneCellAnchor>
  <xdr:twoCellAnchor>
    <xdr:from>
      <xdr:col>2</xdr:col>
      <xdr:colOff>704850</xdr:colOff>
      <xdr:row>146</xdr:row>
      <xdr:rowOff>85725</xdr:rowOff>
    </xdr:from>
    <xdr:to>
      <xdr:col>2</xdr:col>
      <xdr:colOff>1676400</xdr:colOff>
      <xdr:row>146</xdr:row>
      <xdr:rowOff>87313</xdr:rowOff>
    </xdr:to>
    <xdr:cxnSp macro="">
      <xdr:nvCxnSpPr>
        <xdr:cNvPr id="414" name="Straight Connector 413">
          <a:extLst>
            <a:ext uri="{FF2B5EF4-FFF2-40B4-BE49-F238E27FC236}">
              <a16:creationId xmlns:a16="http://schemas.microsoft.com/office/drawing/2014/main" xmlns="" id="{00000000-0008-0000-0800-00009E010000}"/>
            </a:ext>
          </a:extLst>
        </xdr:cNvPr>
        <xdr:cNvCxnSpPr/>
      </xdr:nvCxnSpPr>
      <xdr:spPr>
        <a:xfrm>
          <a:off x="3028950" y="445008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1009651</xdr:colOff>
      <xdr:row>146</xdr:row>
      <xdr:rowOff>247650</xdr:rowOff>
    </xdr:from>
    <xdr:ext cx="323849" cy="142875"/>
    <xdr:sp macro="" textlink="">
      <xdr:nvSpPr>
        <xdr:cNvPr id="419" name="TextBox 418">
          <a:extLst>
            <a:ext uri="{FF2B5EF4-FFF2-40B4-BE49-F238E27FC236}">
              <a16:creationId xmlns:a16="http://schemas.microsoft.com/office/drawing/2014/main" xmlns="" id="{00000000-0008-0000-0800-0000A3010000}"/>
            </a:ext>
          </a:extLst>
        </xdr:cNvPr>
        <xdr:cNvSpPr txBox="1"/>
      </xdr:nvSpPr>
      <xdr:spPr>
        <a:xfrm>
          <a:off x="3333751" y="446627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20.75</a:t>
          </a:r>
        </a:p>
        <a:p>
          <a:endParaRPr lang="en-US" sz="1100"/>
        </a:p>
      </xdr:txBody>
    </xdr:sp>
    <xdr:clientData/>
  </xdr:oneCellAnchor>
  <xdr:twoCellAnchor>
    <xdr:from>
      <xdr:col>2</xdr:col>
      <xdr:colOff>704850</xdr:colOff>
      <xdr:row>150</xdr:row>
      <xdr:rowOff>323850</xdr:rowOff>
    </xdr:from>
    <xdr:to>
      <xdr:col>2</xdr:col>
      <xdr:colOff>1676400</xdr:colOff>
      <xdr:row>150</xdr:row>
      <xdr:rowOff>325438</xdr:rowOff>
    </xdr:to>
    <xdr:cxnSp macro="">
      <xdr:nvCxnSpPr>
        <xdr:cNvPr id="420" name="Straight Connector 419">
          <a:extLst>
            <a:ext uri="{FF2B5EF4-FFF2-40B4-BE49-F238E27FC236}">
              <a16:creationId xmlns:a16="http://schemas.microsoft.com/office/drawing/2014/main" xmlns="" id="{00000000-0008-0000-0800-0000A4010000}"/>
            </a:ext>
          </a:extLst>
        </xdr:cNvPr>
        <xdr:cNvCxnSpPr/>
      </xdr:nvCxnSpPr>
      <xdr:spPr>
        <a:xfrm>
          <a:off x="3028950" y="4593907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150</xdr:row>
      <xdr:rowOff>57944</xdr:rowOff>
    </xdr:from>
    <xdr:to>
      <xdr:col>2</xdr:col>
      <xdr:colOff>705645</xdr:colOff>
      <xdr:row>150</xdr:row>
      <xdr:rowOff>315119</xdr:rowOff>
    </xdr:to>
    <xdr:cxnSp macro="">
      <xdr:nvCxnSpPr>
        <xdr:cNvPr id="421" name="Straight Connector 420">
          <a:extLst>
            <a:ext uri="{FF2B5EF4-FFF2-40B4-BE49-F238E27FC236}">
              <a16:creationId xmlns:a16="http://schemas.microsoft.com/office/drawing/2014/main" xmlns="" id="{00000000-0008-0000-0800-0000A5010000}"/>
            </a:ext>
          </a:extLst>
        </xdr:cNvPr>
        <xdr:cNvCxnSpPr/>
      </xdr:nvCxnSpPr>
      <xdr:spPr>
        <a:xfrm rot="5400000" flipH="1" flipV="1">
          <a:off x="2900363" y="4580096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150</xdr:row>
      <xdr:rowOff>67469</xdr:rowOff>
    </xdr:from>
    <xdr:to>
      <xdr:col>2</xdr:col>
      <xdr:colOff>1677196</xdr:colOff>
      <xdr:row>150</xdr:row>
      <xdr:rowOff>324644</xdr:rowOff>
    </xdr:to>
    <xdr:cxnSp macro="">
      <xdr:nvCxnSpPr>
        <xdr:cNvPr id="422" name="Straight Connector 421">
          <a:extLst>
            <a:ext uri="{FF2B5EF4-FFF2-40B4-BE49-F238E27FC236}">
              <a16:creationId xmlns:a16="http://schemas.microsoft.com/office/drawing/2014/main" xmlns="" id="{00000000-0008-0000-0800-0000A6010000}"/>
            </a:ext>
          </a:extLst>
        </xdr:cNvPr>
        <xdr:cNvCxnSpPr/>
      </xdr:nvCxnSpPr>
      <xdr:spPr>
        <a:xfrm rot="5400000" flipH="1" flipV="1">
          <a:off x="3871914" y="4581048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150</xdr:row>
      <xdr:rowOff>85725</xdr:rowOff>
    </xdr:from>
    <xdr:ext cx="323849" cy="142875"/>
    <xdr:sp macro="" textlink="">
      <xdr:nvSpPr>
        <xdr:cNvPr id="423" name="TextBox 422">
          <a:extLst>
            <a:ext uri="{FF2B5EF4-FFF2-40B4-BE49-F238E27FC236}">
              <a16:creationId xmlns:a16="http://schemas.microsoft.com/office/drawing/2014/main" xmlns="" id="{00000000-0008-0000-0800-0000A7010000}"/>
            </a:ext>
          </a:extLst>
        </xdr:cNvPr>
        <xdr:cNvSpPr txBox="1"/>
      </xdr:nvSpPr>
      <xdr:spPr>
        <a:xfrm>
          <a:off x="2667001" y="45700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1724026</xdr:colOff>
      <xdr:row>150</xdr:row>
      <xdr:rowOff>114300</xdr:rowOff>
    </xdr:from>
    <xdr:ext cx="323849" cy="142875"/>
    <xdr:sp macro="" textlink="">
      <xdr:nvSpPr>
        <xdr:cNvPr id="424" name="TextBox 423">
          <a:extLst>
            <a:ext uri="{FF2B5EF4-FFF2-40B4-BE49-F238E27FC236}">
              <a16:creationId xmlns:a16="http://schemas.microsoft.com/office/drawing/2014/main" xmlns="" id="{00000000-0008-0000-0800-0000A8010000}"/>
            </a:ext>
          </a:extLst>
        </xdr:cNvPr>
        <xdr:cNvSpPr txBox="1"/>
      </xdr:nvSpPr>
      <xdr:spPr>
        <a:xfrm>
          <a:off x="4048126" y="457295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2.33</a:t>
          </a:r>
        </a:p>
        <a:p>
          <a:endParaRPr lang="en-US" sz="1100"/>
        </a:p>
      </xdr:txBody>
    </xdr:sp>
    <xdr:clientData/>
  </xdr:oneCellAnchor>
  <xdr:oneCellAnchor>
    <xdr:from>
      <xdr:col>2</xdr:col>
      <xdr:colOff>1009651</xdr:colOff>
      <xdr:row>150</xdr:row>
      <xdr:rowOff>400050</xdr:rowOff>
    </xdr:from>
    <xdr:ext cx="323849" cy="142875"/>
    <xdr:sp macro="" textlink="">
      <xdr:nvSpPr>
        <xdr:cNvPr id="425" name="TextBox 424">
          <a:extLst>
            <a:ext uri="{FF2B5EF4-FFF2-40B4-BE49-F238E27FC236}">
              <a16:creationId xmlns:a16="http://schemas.microsoft.com/office/drawing/2014/main" xmlns="" id="{00000000-0008-0000-0800-0000A9010000}"/>
            </a:ext>
          </a:extLst>
        </xdr:cNvPr>
        <xdr:cNvSpPr txBox="1"/>
      </xdr:nvSpPr>
      <xdr:spPr>
        <a:xfrm>
          <a:off x="3333751" y="460152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151</xdr:row>
      <xdr:rowOff>323850</xdr:rowOff>
    </xdr:from>
    <xdr:to>
      <xdr:col>2</xdr:col>
      <xdr:colOff>1676400</xdr:colOff>
      <xdr:row>151</xdr:row>
      <xdr:rowOff>325438</xdr:rowOff>
    </xdr:to>
    <xdr:cxnSp macro="">
      <xdr:nvCxnSpPr>
        <xdr:cNvPr id="426" name="Straight Connector 425">
          <a:extLst>
            <a:ext uri="{FF2B5EF4-FFF2-40B4-BE49-F238E27FC236}">
              <a16:creationId xmlns:a16="http://schemas.microsoft.com/office/drawing/2014/main" xmlns="" id="{00000000-0008-0000-0800-0000AA010000}"/>
            </a:ext>
          </a:extLst>
        </xdr:cNvPr>
        <xdr:cNvCxnSpPr/>
      </xdr:nvCxnSpPr>
      <xdr:spPr>
        <a:xfrm>
          <a:off x="3028950" y="46567725"/>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704057</xdr:colOff>
      <xdr:row>151</xdr:row>
      <xdr:rowOff>57944</xdr:rowOff>
    </xdr:from>
    <xdr:to>
      <xdr:col>2</xdr:col>
      <xdr:colOff>705645</xdr:colOff>
      <xdr:row>151</xdr:row>
      <xdr:rowOff>315119</xdr:rowOff>
    </xdr:to>
    <xdr:cxnSp macro="">
      <xdr:nvCxnSpPr>
        <xdr:cNvPr id="427" name="Straight Connector 426">
          <a:extLst>
            <a:ext uri="{FF2B5EF4-FFF2-40B4-BE49-F238E27FC236}">
              <a16:creationId xmlns:a16="http://schemas.microsoft.com/office/drawing/2014/main" xmlns="" id="{00000000-0008-0000-0800-0000AB010000}"/>
            </a:ext>
          </a:extLst>
        </xdr:cNvPr>
        <xdr:cNvCxnSpPr/>
      </xdr:nvCxnSpPr>
      <xdr:spPr>
        <a:xfrm rot="5400000" flipH="1" flipV="1">
          <a:off x="2900363" y="46429613"/>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1675608</xdr:colOff>
      <xdr:row>151</xdr:row>
      <xdr:rowOff>67469</xdr:rowOff>
    </xdr:from>
    <xdr:to>
      <xdr:col>2</xdr:col>
      <xdr:colOff>1677196</xdr:colOff>
      <xdr:row>151</xdr:row>
      <xdr:rowOff>324644</xdr:rowOff>
    </xdr:to>
    <xdr:cxnSp macro="">
      <xdr:nvCxnSpPr>
        <xdr:cNvPr id="428" name="Straight Connector 427">
          <a:extLst>
            <a:ext uri="{FF2B5EF4-FFF2-40B4-BE49-F238E27FC236}">
              <a16:creationId xmlns:a16="http://schemas.microsoft.com/office/drawing/2014/main" xmlns="" id="{00000000-0008-0000-0800-0000AC010000}"/>
            </a:ext>
          </a:extLst>
        </xdr:cNvPr>
        <xdr:cNvCxnSpPr/>
      </xdr:nvCxnSpPr>
      <xdr:spPr>
        <a:xfrm rot="5400000" flipH="1" flipV="1">
          <a:off x="3871914" y="46439138"/>
          <a:ext cx="25717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342901</xdr:colOff>
      <xdr:row>151</xdr:row>
      <xdr:rowOff>85725</xdr:rowOff>
    </xdr:from>
    <xdr:ext cx="323849" cy="142875"/>
    <xdr:sp macro="" textlink="">
      <xdr:nvSpPr>
        <xdr:cNvPr id="429" name="TextBox 428">
          <a:extLst>
            <a:ext uri="{FF2B5EF4-FFF2-40B4-BE49-F238E27FC236}">
              <a16:creationId xmlns:a16="http://schemas.microsoft.com/office/drawing/2014/main" xmlns="" id="{00000000-0008-0000-0800-0000AD010000}"/>
            </a:ext>
          </a:extLst>
        </xdr:cNvPr>
        <xdr:cNvSpPr txBox="1"/>
      </xdr:nvSpPr>
      <xdr:spPr>
        <a:xfrm>
          <a:off x="2667001" y="463296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1724026</xdr:colOff>
      <xdr:row>151</xdr:row>
      <xdr:rowOff>114300</xdr:rowOff>
    </xdr:from>
    <xdr:ext cx="323849" cy="142875"/>
    <xdr:sp macro="" textlink="">
      <xdr:nvSpPr>
        <xdr:cNvPr id="430" name="TextBox 429">
          <a:extLst>
            <a:ext uri="{FF2B5EF4-FFF2-40B4-BE49-F238E27FC236}">
              <a16:creationId xmlns:a16="http://schemas.microsoft.com/office/drawing/2014/main" xmlns="" id="{00000000-0008-0000-0800-0000AE010000}"/>
            </a:ext>
          </a:extLst>
        </xdr:cNvPr>
        <xdr:cNvSpPr txBox="1"/>
      </xdr:nvSpPr>
      <xdr:spPr>
        <a:xfrm>
          <a:off x="4048126" y="46358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1.5</a:t>
          </a:r>
        </a:p>
        <a:p>
          <a:endParaRPr lang="en-US" sz="1100"/>
        </a:p>
      </xdr:txBody>
    </xdr:sp>
    <xdr:clientData/>
  </xdr:oneCellAnchor>
  <xdr:oneCellAnchor>
    <xdr:from>
      <xdr:col>2</xdr:col>
      <xdr:colOff>1009651</xdr:colOff>
      <xdr:row>151</xdr:row>
      <xdr:rowOff>400050</xdr:rowOff>
    </xdr:from>
    <xdr:ext cx="323849" cy="142875"/>
    <xdr:sp macro="" textlink="">
      <xdr:nvSpPr>
        <xdr:cNvPr id="431" name="TextBox 430">
          <a:extLst>
            <a:ext uri="{FF2B5EF4-FFF2-40B4-BE49-F238E27FC236}">
              <a16:creationId xmlns:a16="http://schemas.microsoft.com/office/drawing/2014/main" xmlns="" id="{00000000-0008-0000-0800-0000AF010000}"/>
            </a:ext>
          </a:extLst>
        </xdr:cNvPr>
        <xdr:cNvSpPr txBox="1"/>
      </xdr:nvSpPr>
      <xdr:spPr>
        <a:xfrm>
          <a:off x="3333751" y="466439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24.75</a:t>
          </a:r>
        </a:p>
        <a:p>
          <a:endParaRPr lang="en-US" sz="1100"/>
        </a:p>
      </xdr:txBody>
    </xdr:sp>
    <xdr:clientData/>
  </xdr:oneCellAnchor>
  <xdr:twoCellAnchor>
    <xdr:from>
      <xdr:col>2</xdr:col>
      <xdr:colOff>704850</xdr:colOff>
      <xdr:row>152</xdr:row>
      <xdr:rowOff>85725</xdr:rowOff>
    </xdr:from>
    <xdr:to>
      <xdr:col>2</xdr:col>
      <xdr:colOff>1676400</xdr:colOff>
      <xdr:row>152</xdr:row>
      <xdr:rowOff>87313</xdr:rowOff>
    </xdr:to>
    <xdr:cxnSp macro="">
      <xdr:nvCxnSpPr>
        <xdr:cNvPr id="432" name="Straight Connector 431">
          <a:extLst>
            <a:ext uri="{FF2B5EF4-FFF2-40B4-BE49-F238E27FC236}">
              <a16:creationId xmlns:a16="http://schemas.microsoft.com/office/drawing/2014/main" xmlns="" id="{00000000-0008-0000-0800-0000B0010000}"/>
            </a:ext>
          </a:extLst>
        </xdr:cNvPr>
        <xdr:cNvCxnSpPr/>
      </xdr:nvCxnSpPr>
      <xdr:spPr>
        <a:xfrm>
          <a:off x="3028950" y="4695825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1009651</xdr:colOff>
      <xdr:row>152</xdr:row>
      <xdr:rowOff>247650</xdr:rowOff>
    </xdr:from>
    <xdr:ext cx="323849" cy="142875"/>
    <xdr:sp macro="" textlink="">
      <xdr:nvSpPr>
        <xdr:cNvPr id="437" name="TextBox 436">
          <a:extLst>
            <a:ext uri="{FF2B5EF4-FFF2-40B4-BE49-F238E27FC236}">
              <a16:creationId xmlns:a16="http://schemas.microsoft.com/office/drawing/2014/main" xmlns="" id="{00000000-0008-0000-0800-0000B5010000}"/>
            </a:ext>
          </a:extLst>
        </xdr:cNvPr>
        <xdr:cNvSpPr txBox="1"/>
      </xdr:nvSpPr>
      <xdr:spPr>
        <a:xfrm>
          <a:off x="3333751" y="471201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27.75</a:t>
          </a:r>
        </a:p>
        <a:p>
          <a:endParaRPr lang="en-US" sz="1100"/>
        </a:p>
      </xdr:txBody>
    </xdr:sp>
    <xdr:clientData/>
  </xdr:oneCellAnchor>
  <xdr:twoCellAnchor>
    <xdr:from>
      <xdr:col>2</xdr:col>
      <xdr:colOff>704850</xdr:colOff>
      <xdr:row>153</xdr:row>
      <xdr:rowOff>85725</xdr:rowOff>
    </xdr:from>
    <xdr:to>
      <xdr:col>2</xdr:col>
      <xdr:colOff>1676400</xdr:colOff>
      <xdr:row>153</xdr:row>
      <xdr:rowOff>87313</xdr:rowOff>
    </xdr:to>
    <xdr:cxnSp macro="">
      <xdr:nvCxnSpPr>
        <xdr:cNvPr id="438" name="Straight Connector 437">
          <a:extLst>
            <a:ext uri="{FF2B5EF4-FFF2-40B4-BE49-F238E27FC236}">
              <a16:creationId xmlns:a16="http://schemas.microsoft.com/office/drawing/2014/main" xmlns="" id="{00000000-0008-0000-0800-0000B6010000}"/>
            </a:ext>
          </a:extLst>
        </xdr:cNvPr>
        <xdr:cNvCxnSpPr/>
      </xdr:nvCxnSpPr>
      <xdr:spPr>
        <a:xfrm>
          <a:off x="3028950" y="47586900"/>
          <a:ext cx="9715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1019176</xdr:colOff>
      <xdr:row>153</xdr:row>
      <xdr:rowOff>152400</xdr:rowOff>
    </xdr:from>
    <xdr:ext cx="323849" cy="142875"/>
    <xdr:sp macro="" textlink="">
      <xdr:nvSpPr>
        <xdr:cNvPr id="443" name="TextBox 442">
          <a:extLst>
            <a:ext uri="{FF2B5EF4-FFF2-40B4-BE49-F238E27FC236}">
              <a16:creationId xmlns:a16="http://schemas.microsoft.com/office/drawing/2014/main" xmlns="" id="{00000000-0008-0000-0800-0000BB010000}"/>
            </a:ext>
          </a:extLst>
        </xdr:cNvPr>
        <xdr:cNvSpPr txBox="1"/>
      </xdr:nvSpPr>
      <xdr:spPr>
        <a:xfrm>
          <a:off x="3343276" y="476535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27.75</a:t>
          </a:r>
        </a:p>
        <a:p>
          <a:endParaRPr lang="en-US" sz="1100"/>
        </a:p>
      </xdr:txBody>
    </xdr:sp>
    <xdr:clientData/>
  </xdr:oneCellAnchor>
  <xdr:twoCellAnchor>
    <xdr:from>
      <xdr:col>2</xdr:col>
      <xdr:colOff>971550</xdr:colOff>
      <xdr:row>154</xdr:row>
      <xdr:rowOff>180975</xdr:rowOff>
    </xdr:from>
    <xdr:to>
      <xdr:col>2</xdr:col>
      <xdr:colOff>1276350</xdr:colOff>
      <xdr:row>154</xdr:row>
      <xdr:rowOff>438150</xdr:rowOff>
    </xdr:to>
    <xdr:sp macro="" textlink="">
      <xdr:nvSpPr>
        <xdr:cNvPr id="466" name="Rectangle 465">
          <a:extLst>
            <a:ext uri="{FF2B5EF4-FFF2-40B4-BE49-F238E27FC236}">
              <a16:creationId xmlns:a16="http://schemas.microsoft.com/office/drawing/2014/main" xmlns="" id="{00000000-0008-0000-0800-0000D2010000}"/>
            </a:ext>
          </a:extLst>
        </xdr:cNvPr>
        <xdr:cNvSpPr/>
      </xdr:nvSpPr>
      <xdr:spPr>
        <a:xfrm>
          <a:off x="3295650" y="48310800"/>
          <a:ext cx="304800" cy="257175"/>
        </a:xfrm>
        <a:prstGeom prst="rect">
          <a:avLst/>
        </a:prstGeom>
        <a:solidFill>
          <a:sysClr val="window" lastClr="FFFFFF"/>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ln>
              <a:solidFill>
                <a:sysClr val="windowText" lastClr="000000"/>
              </a:solidFill>
            </a:ln>
          </a:endParaRPr>
        </a:p>
      </xdr:txBody>
    </xdr:sp>
    <xdr:clientData/>
  </xdr:twoCellAnchor>
  <xdr:twoCellAnchor>
    <xdr:from>
      <xdr:col>2</xdr:col>
      <xdr:colOff>972552</xdr:colOff>
      <xdr:row>154</xdr:row>
      <xdr:rowOff>195513</xdr:rowOff>
    </xdr:from>
    <xdr:to>
      <xdr:col>2</xdr:col>
      <xdr:colOff>1102895</xdr:colOff>
      <xdr:row>154</xdr:row>
      <xdr:rowOff>315828</xdr:rowOff>
    </xdr:to>
    <xdr:cxnSp macro="">
      <xdr:nvCxnSpPr>
        <xdr:cNvPr id="467" name="Straight Connector 466">
          <a:extLst>
            <a:ext uri="{FF2B5EF4-FFF2-40B4-BE49-F238E27FC236}">
              <a16:creationId xmlns:a16="http://schemas.microsoft.com/office/drawing/2014/main" xmlns="" id="{00000000-0008-0000-0800-0000D3010000}"/>
            </a:ext>
          </a:extLst>
        </xdr:cNvPr>
        <xdr:cNvCxnSpPr/>
      </xdr:nvCxnSpPr>
      <xdr:spPr>
        <a:xfrm>
          <a:off x="3296652" y="48325338"/>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1024692</xdr:colOff>
      <xdr:row>154</xdr:row>
      <xdr:rowOff>182484</xdr:rowOff>
    </xdr:from>
    <xdr:to>
      <xdr:col>2</xdr:col>
      <xdr:colOff>1155035</xdr:colOff>
      <xdr:row>154</xdr:row>
      <xdr:rowOff>302799</xdr:rowOff>
    </xdr:to>
    <xdr:cxnSp macro="">
      <xdr:nvCxnSpPr>
        <xdr:cNvPr id="468" name="Straight Connector 467">
          <a:extLst>
            <a:ext uri="{FF2B5EF4-FFF2-40B4-BE49-F238E27FC236}">
              <a16:creationId xmlns:a16="http://schemas.microsoft.com/office/drawing/2014/main" xmlns="" id="{00000000-0008-0000-0800-0000D4010000}"/>
            </a:ext>
          </a:extLst>
        </xdr:cNvPr>
        <xdr:cNvCxnSpPr/>
      </xdr:nvCxnSpPr>
      <xdr:spPr>
        <a:xfrm>
          <a:off x="3348792" y="48312309"/>
          <a:ext cx="130343" cy="1203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604086</xdr:colOff>
      <xdr:row>154</xdr:row>
      <xdr:rowOff>225592</xdr:rowOff>
    </xdr:from>
    <xdr:ext cx="323849" cy="142875"/>
    <xdr:sp macro="" textlink="">
      <xdr:nvSpPr>
        <xdr:cNvPr id="469" name="TextBox 468">
          <a:extLst>
            <a:ext uri="{FF2B5EF4-FFF2-40B4-BE49-F238E27FC236}">
              <a16:creationId xmlns:a16="http://schemas.microsoft.com/office/drawing/2014/main" xmlns="" id="{00000000-0008-0000-0800-0000D5010000}"/>
            </a:ext>
          </a:extLst>
        </xdr:cNvPr>
        <xdr:cNvSpPr txBox="1"/>
      </xdr:nvSpPr>
      <xdr:spPr>
        <a:xfrm>
          <a:off x="2928186" y="483554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1390650</xdr:colOff>
      <xdr:row>154</xdr:row>
      <xdr:rowOff>200025</xdr:rowOff>
    </xdr:from>
    <xdr:ext cx="323849" cy="142875"/>
    <xdr:sp macro="" textlink="">
      <xdr:nvSpPr>
        <xdr:cNvPr id="470" name="TextBox 469">
          <a:extLst>
            <a:ext uri="{FF2B5EF4-FFF2-40B4-BE49-F238E27FC236}">
              <a16:creationId xmlns:a16="http://schemas.microsoft.com/office/drawing/2014/main" xmlns="" id="{00000000-0008-0000-0800-0000D6010000}"/>
            </a:ext>
          </a:extLst>
        </xdr:cNvPr>
        <xdr:cNvSpPr txBox="1"/>
      </xdr:nvSpPr>
      <xdr:spPr>
        <a:xfrm>
          <a:off x="3714750" y="483298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1</a:t>
          </a:r>
        </a:p>
        <a:p>
          <a:endParaRPr lang="en-US" sz="1100"/>
        </a:p>
      </xdr:txBody>
    </xdr:sp>
    <xdr:clientData/>
  </xdr:oneCellAnchor>
  <xdr:oneCellAnchor>
    <xdr:from>
      <xdr:col>2</xdr:col>
      <xdr:colOff>967539</xdr:colOff>
      <xdr:row>154</xdr:row>
      <xdr:rowOff>476250</xdr:rowOff>
    </xdr:from>
    <xdr:ext cx="323849" cy="142875"/>
    <xdr:sp macro="" textlink="">
      <xdr:nvSpPr>
        <xdr:cNvPr id="471" name="TextBox 470">
          <a:extLst>
            <a:ext uri="{FF2B5EF4-FFF2-40B4-BE49-F238E27FC236}">
              <a16:creationId xmlns:a16="http://schemas.microsoft.com/office/drawing/2014/main" xmlns="" id="{00000000-0008-0000-0800-0000D7010000}"/>
            </a:ext>
          </a:extLst>
        </xdr:cNvPr>
        <xdr:cNvSpPr txBox="1"/>
      </xdr:nvSpPr>
      <xdr:spPr>
        <a:xfrm>
          <a:off x="3291639" y="4860607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957514</xdr:colOff>
      <xdr:row>154</xdr:row>
      <xdr:rowOff>35092</xdr:rowOff>
    </xdr:from>
    <xdr:ext cx="323849" cy="142875"/>
    <xdr:sp macro="" textlink="">
      <xdr:nvSpPr>
        <xdr:cNvPr id="472" name="TextBox 471">
          <a:extLst>
            <a:ext uri="{FF2B5EF4-FFF2-40B4-BE49-F238E27FC236}">
              <a16:creationId xmlns:a16="http://schemas.microsoft.com/office/drawing/2014/main" xmlns="" id="{00000000-0008-0000-0800-0000D8010000}"/>
            </a:ext>
          </a:extLst>
        </xdr:cNvPr>
        <xdr:cNvSpPr txBox="1"/>
      </xdr:nvSpPr>
      <xdr:spPr>
        <a:xfrm>
          <a:off x="3281614" y="48164917"/>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0.58</a:t>
          </a:r>
        </a:p>
        <a:p>
          <a:endParaRPr lang="en-US" sz="1100"/>
        </a:p>
      </xdr:txBody>
    </xdr:sp>
    <xdr:clientData/>
  </xdr:oneCellAnchor>
  <xdr:oneCellAnchor>
    <xdr:from>
      <xdr:col>2</xdr:col>
      <xdr:colOff>1403902</xdr:colOff>
      <xdr:row>154</xdr:row>
      <xdr:rowOff>342900</xdr:rowOff>
    </xdr:from>
    <xdr:ext cx="836544" cy="198782"/>
    <xdr:sp macro="" textlink="">
      <xdr:nvSpPr>
        <xdr:cNvPr id="473" name="TextBox 472">
          <a:extLst>
            <a:ext uri="{FF2B5EF4-FFF2-40B4-BE49-F238E27FC236}">
              <a16:creationId xmlns:a16="http://schemas.microsoft.com/office/drawing/2014/main" xmlns="" id="{00000000-0008-0000-0800-0000D9010000}"/>
            </a:ext>
          </a:extLst>
        </xdr:cNvPr>
        <xdr:cNvSpPr txBox="1"/>
      </xdr:nvSpPr>
      <xdr:spPr>
        <a:xfrm>
          <a:off x="3728002" y="48472725"/>
          <a:ext cx="836544"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hook=0.25</a:t>
          </a:r>
        </a:p>
      </xdr:txBody>
    </xdr:sp>
    <xdr:clientData/>
  </xdr:oneCellAnchor>
  <xdr:twoCellAnchor>
    <xdr:from>
      <xdr:col>2</xdr:col>
      <xdr:colOff>723900</xdr:colOff>
      <xdr:row>158</xdr:row>
      <xdr:rowOff>104775</xdr:rowOff>
    </xdr:from>
    <xdr:to>
      <xdr:col>2</xdr:col>
      <xdr:colOff>1800225</xdr:colOff>
      <xdr:row>158</xdr:row>
      <xdr:rowOff>106363</xdr:rowOff>
    </xdr:to>
    <xdr:cxnSp macro="">
      <xdr:nvCxnSpPr>
        <xdr:cNvPr id="474" name="Straight Connector 473">
          <a:extLst>
            <a:ext uri="{FF2B5EF4-FFF2-40B4-BE49-F238E27FC236}">
              <a16:creationId xmlns:a16="http://schemas.microsoft.com/office/drawing/2014/main" xmlns="" id="{00000000-0008-0000-0800-0000DA010000}"/>
            </a:ext>
          </a:extLst>
        </xdr:cNvPr>
        <xdr:cNvCxnSpPr/>
      </xdr:nvCxnSpPr>
      <xdr:spPr>
        <a:xfrm>
          <a:off x="3048000" y="494347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158</xdr:row>
      <xdr:rowOff>180975</xdr:rowOff>
    </xdr:from>
    <xdr:ext cx="323849" cy="142875"/>
    <xdr:sp macro="" textlink="">
      <xdr:nvSpPr>
        <xdr:cNvPr id="475" name="TextBox 474">
          <a:extLst>
            <a:ext uri="{FF2B5EF4-FFF2-40B4-BE49-F238E27FC236}">
              <a16:creationId xmlns:a16="http://schemas.microsoft.com/office/drawing/2014/main" xmlns="" id="{00000000-0008-0000-0800-0000DB010000}"/>
            </a:ext>
          </a:extLst>
        </xdr:cNvPr>
        <xdr:cNvSpPr txBox="1"/>
      </xdr:nvSpPr>
      <xdr:spPr>
        <a:xfrm>
          <a:off x="3352800" y="49510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21.33</a:t>
          </a:r>
        </a:p>
        <a:p>
          <a:endParaRPr lang="en-US" sz="1100"/>
        </a:p>
      </xdr:txBody>
    </xdr:sp>
    <xdr:clientData/>
  </xdr:oneCellAnchor>
  <xdr:twoCellAnchor>
    <xdr:from>
      <xdr:col>2</xdr:col>
      <xdr:colOff>723900</xdr:colOff>
      <xdr:row>160</xdr:row>
      <xdr:rowOff>104775</xdr:rowOff>
    </xdr:from>
    <xdr:to>
      <xdr:col>2</xdr:col>
      <xdr:colOff>1800225</xdr:colOff>
      <xdr:row>160</xdr:row>
      <xdr:rowOff>106363</xdr:rowOff>
    </xdr:to>
    <xdr:cxnSp macro="">
      <xdr:nvCxnSpPr>
        <xdr:cNvPr id="478" name="Straight Connector 477">
          <a:extLst>
            <a:ext uri="{FF2B5EF4-FFF2-40B4-BE49-F238E27FC236}">
              <a16:creationId xmlns:a16="http://schemas.microsoft.com/office/drawing/2014/main" xmlns="" id="{00000000-0008-0000-0800-0000DE010000}"/>
            </a:ext>
          </a:extLst>
        </xdr:cNvPr>
        <xdr:cNvCxnSpPr/>
      </xdr:nvCxnSpPr>
      <xdr:spPr>
        <a:xfrm>
          <a:off x="3048000" y="505777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160</xdr:row>
      <xdr:rowOff>180975</xdr:rowOff>
    </xdr:from>
    <xdr:ext cx="323849" cy="142875"/>
    <xdr:sp macro="" textlink="">
      <xdr:nvSpPr>
        <xdr:cNvPr id="479" name="TextBox 478">
          <a:extLst>
            <a:ext uri="{FF2B5EF4-FFF2-40B4-BE49-F238E27FC236}">
              <a16:creationId xmlns:a16="http://schemas.microsoft.com/office/drawing/2014/main" xmlns="" id="{00000000-0008-0000-0800-0000DF010000}"/>
            </a:ext>
          </a:extLst>
        </xdr:cNvPr>
        <xdr:cNvSpPr txBox="1"/>
      </xdr:nvSpPr>
      <xdr:spPr>
        <a:xfrm>
          <a:off x="3352800" y="50653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28</a:t>
          </a:r>
        </a:p>
        <a:p>
          <a:endParaRPr lang="en-US" sz="1100"/>
        </a:p>
      </xdr:txBody>
    </xdr:sp>
    <xdr:clientData/>
  </xdr:oneCellAnchor>
  <xdr:twoCellAnchor>
    <xdr:from>
      <xdr:col>2</xdr:col>
      <xdr:colOff>723900</xdr:colOff>
      <xdr:row>163</xdr:row>
      <xdr:rowOff>104775</xdr:rowOff>
    </xdr:from>
    <xdr:to>
      <xdr:col>2</xdr:col>
      <xdr:colOff>1800225</xdr:colOff>
      <xdr:row>163</xdr:row>
      <xdr:rowOff>106363</xdr:rowOff>
    </xdr:to>
    <xdr:cxnSp macro="">
      <xdr:nvCxnSpPr>
        <xdr:cNvPr id="482" name="Straight Connector 481">
          <a:extLst>
            <a:ext uri="{FF2B5EF4-FFF2-40B4-BE49-F238E27FC236}">
              <a16:creationId xmlns:a16="http://schemas.microsoft.com/office/drawing/2014/main" xmlns="" id="{00000000-0008-0000-0800-0000E2010000}"/>
            </a:ext>
          </a:extLst>
        </xdr:cNvPr>
        <xdr:cNvCxnSpPr/>
      </xdr:nvCxnSpPr>
      <xdr:spPr>
        <a:xfrm>
          <a:off x="3048000" y="517207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163</xdr:row>
      <xdr:rowOff>180975</xdr:rowOff>
    </xdr:from>
    <xdr:ext cx="323849" cy="142875"/>
    <xdr:sp macro="" textlink="">
      <xdr:nvSpPr>
        <xdr:cNvPr id="483" name="TextBox 482">
          <a:extLst>
            <a:ext uri="{FF2B5EF4-FFF2-40B4-BE49-F238E27FC236}">
              <a16:creationId xmlns:a16="http://schemas.microsoft.com/office/drawing/2014/main" xmlns="" id="{00000000-0008-0000-0800-0000E3010000}"/>
            </a:ext>
          </a:extLst>
        </xdr:cNvPr>
        <xdr:cNvSpPr txBox="1"/>
      </xdr:nvSpPr>
      <xdr:spPr>
        <a:xfrm>
          <a:off x="3352800" y="51796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21.33</a:t>
          </a:r>
        </a:p>
        <a:p>
          <a:endParaRPr lang="en-US" sz="1100"/>
        </a:p>
      </xdr:txBody>
    </xdr:sp>
    <xdr:clientData/>
  </xdr:oneCellAnchor>
  <xdr:twoCellAnchor>
    <xdr:from>
      <xdr:col>2</xdr:col>
      <xdr:colOff>723900</xdr:colOff>
      <xdr:row>165</xdr:row>
      <xdr:rowOff>104775</xdr:rowOff>
    </xdr:from>
    <xdr:to>
      <xdr:col>2</xdr:col>
      <xdr:colOff>1800225</xdr:colOff>
      <xdr:row>165</xdr:row>
      <xdr:rowOff>106363</xdr:rowOff>
    </xdr:to>
    <xdr:cxnSp macro="">
      <xdr:nvCxnSpPr>
        <xdr:cNvPr id="486" name="Straight Connector 485">
          <a:extLst>
            <a:ext uri="{FF2B5EF4-FFF2-40B4-BE49-F238E27FC236}">
              <a16:creationId xmlns:a16="http://schemas.microsoft.com/office/drawing/2014/main" xmlns="" id="{00000000-0008-0000-0800-0000E6010000}"/>
            </a:ext>
          </a:extLst>
        </xdr:cNvPr>
        <xdr:cNvCxnSpPr/>
      </xdr:nvCxnSpPr>
      <xdr:spPr>
        <a:xfrm>
          <a:off x="3048000" y="528637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165</xdr:row>
      <xdr:rowOff>180975</xdr:rowOff>
    </xdr:from>
    <xdr:ext cx="323849" cy="142875"/>
    <xdr:sp macro="" textlink="">
      <xdr:nvSpPr>
        <xdr:cNvPr id="487" name="TextBox 486">
          <a:extLst>
            <a:ext uri="{FF2B5EF4-FFF2-40B4-BE49-F238E27FC236}">
              <a16:creationId xmlns:a16="http://schemas.microsoft.com/office/drawing/2014/main" xmlns="" id="{00000000-0008-0000-0800-0000E7010000}"/>
            </a:ext>
          </a:extLst>
        </xdr:cNvPr>
        <xdr:cNvSpPr txBox="1"/>
      </xdr:nvSpPr>
      <xdr:spPr>
        <a:xfrm>
          <a:off x="3352800" y="529399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28</a:t>
          </a:r>
        </a:p>
        <a:p>
          <a:endParaRPr lang="en-US" sz="1100"/>
        </a:p>
      </xdr:txBody>
    </xdr:sp>
    <xdr:clientData/>
  </xdr:oneCellAnchor>
  <xdr:twoCellAnchor>
    <xdr:from>
      <xdr:col>2</xdr:col>
      <xdr:colOff>649467</xdr:colOff>
      <xdr:row>169</xdr:row>
      <xdr:rowOff>523875</xdr:rowOff>
    </xdr:from>
    <xdr:to>
      <xdr:col>2</xdr:col>
      <xdr:colOff>904910</xdr:colOff>
      <xdr:row>169</xdr:row>
      <xdr:rowOff>525463</xdr:rowOff>
    </xdr:to>
    <xdr:cxnSp macro="">
      <xdr:nvCxnSpPr>
        <xdr:cNvPr id="511" name="Straight Connector 510">
          <a:extLst>
            <a:ext uri="{FF2B5EF4-FFF2-40B4-BE49-F238E27FC236}">
              <a16:creationId xmlns:a16="http://schemas.microsoft.com/office/drawing/2014/main" xmlns="" id="{00000000-0008-0000-0800-0000FF010000}"/>
            </a:ext>
          </a:extLst>
        </xdr:cNvPr>
        <xdr:cNvCxnSpPr/>
      </xdr:nvCxnSpPr>
      <xdr:spPr>
        <a:xfrm>
          <a:off x="2974433" y="64215818"/>
          <a:ext cx="255443"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904910</xdr:colOff>
      <xdr:row>169</xdr:row>
      <xdr:rowOff>155865</xdr:rowOff>
    </xdr:from>
    <xdr:to>
      <xdr:col>2</xdr:col>
      <xdr:colOff>1277251</xdr:colOff>
      <xdr:row>169</xdr:row>
      <xdr:rowOff>528206</xdr:rowOff>
    </xdr:to>
    <xdr:cxnSp macro="">
      <xdr:nvCxnSpPr>
        <xdr:cNvPr id="513" name="Straight Connector 512">
          <a:extLst>
            <a:ext uri="{FF2B5EF4-FFF2-40B4-BE49-F238E27FC236}">
              <a16:creationId xmlns:a16="http://schemas.microsoft.com/office/drawing/2014/main" xmlns="" id="{00000000-0008-0000-0800-000001020000}"/>
            </a:ext>
          </a:extLst>
        </xdr:cNvPr>
        <xdr:cNvCxnSpPr/>
      </xdr:nvCxnSpPr>
      <xdr:spPr>
        <a:xfrm rot="5400000" flipH="1" flipV="1">
          <a:off x="3229876" y="63847808"/>
          <a:ext cx="372341" cy="372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1277250</xdr:colOff>
      <xdr:row>169</xdr:row>
      <xdr:rowOff>155864</xdr:rowOff>
    </xdr:from>
    <xdr:to>
      <xdr:col>2</xdr:col>
      <xdr:colOff>1511046</xdr:colOff>
      <xdr:row>169</xdr:row>
      <xdr:rowOff>157452</xdr:rowOff>
    </xdr:to>
    <xdr:cxnSp macro="">
      <xdr:nvCxnSpPr>
        <xdr:cNvPr id="515" name="Straight Connector 514">
          <a:extLst>
            <a:ext uri="{FF2B5EF4-FFF2-40B4-BE49-F238E27FC236}">
              <a16:creationId xmlns:a16="http://schemas.microsoft.com/office/drawing/2014/main" xmlns="" id="{00000000-0008-0000-0800-000003020000}"/>
            </a:ext>
          </a:extLst>
        </xdr:cNvPr>
        <xdr:cNvCxnSpPr/>
      </xdr:nvCxnSpPr>
      <xdr:spPr>
        <a:xfrm>
          <a:off x="3602216" y="63847807"/>
          <a:ext cx="233796"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1552575</xdr:colOff>
      <xdr:row>169</xdr:row>
      <xdr:rowOff>114300</xdr:rowOff>
    </xdr:from>
    <xdr:ext cx="323849" cy="142875"/>
    <xdr:sp macro="" textlink="">
      <xdr:nvSpPr>
        <xdr:cNvPr id="516" name="TextBox 515">
          <a:extLst>
            <a:ext uri="{FF2B5EF4-FFF2-40B4-BE49-F238E27FC236}">
              <a16:creationId xmlns:a16="http://schemas.microsoft.com/office/drawing/2014/main" xmlns="" id="{00000000-0008-0000-0800-000004020000}"/>
            </a:ext>
          </a:extLst>
        </xdr:cNvPr>
        <xdr:cNvSpPr txBox="1"/>
      </xdr:nvSpPr>
      <xdr:spPr>
        <a:xfrm>
          <a:off x="3876675" y="63865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2.58</a:t>
          </a:r>
        </a:p>
        <a:p>
          <a:endParaRPr lang="en-US" sz="1100"/>
        </a:p>
      </xdr:txBody>
    </xdr:sp>
    <xdr:clientData/>
  </xdr:oneCellAnchor>
  <xdr:oneCellAnchor>
    <xdr:from>
      <xdr:col>2</xdr:col>
      <xdr:colOff>276225</xdr:colOff>
      <xdr:row>169</xdr:row>
      <xdr:rowOff>457200</xdr:rowOff>
    </xdr:from>
    <xdr:ext cx="323849" cy="142875"/>
    <xdr:sp macro="" textlink="">
      <xdr:nvSpPr>
        <xdr:cNvPr id="517" name="TextBox 516">
          <a:extLst>
            <a:ext uri="{FF2B5EF4-FFF2-40B4-BE49-F238E27FC236}">
              <a16:creationId xmlns:a16="http://schemas.microsoft.com/office/drawing/2014/main" xmlns="" id="{00000000-0008-0000-0800-000005020000}"/>
            </a:ext>
          </a:extLst>
        </xdr:cNvPr>
        <xdr:cNvSpPr txBox="1"/>
      </xdr:nvSpPr>
      <xdr:spPr>
        <a:xfrm>
          <a:off x="2600325" y="64208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3.75</a:t>
          </a:r>
        </a:p>
        <a:p>
          <a:endParaRPr lang="en-US" sz="1100"/>
        </a:p>
      </xdr:txBody>
    </xdr:sp>
    <xdr:clientData/>
  </xdr:oneCellAnchor>
  <xdr:oneCellAnchor>
    <xdr:from>
      <xdr:col>2</xdr:col>
      <xdr:colOff>904875</xdr:colOff>
      <xdr:row>169</xdr:row>
      <xdr:rowOff>190500</xdr:rowOff>
    </xdr:from>
    <xdr:ext cx="323849" cy="142875"/>
    <xdr:sp macro="" textlink="">
      <xdr:nvSpPr>
        <xdr:cNvPr id="518" name="TextBox 517">
          <a:extLst>
            <a:ext uri="{FF2B5EF4-FFF2-40B4-BE49-F238E27FC236}">
              <a16:creationId xmlns:a16="http://schemas.microsoft.com/office/drawing/2014/main" xmlns="" id="{00000000-0008-0000-0800-000006020000}"/>
            </a:ext>
          </a:extLst>
        </xdr:cNvPr>
        <xdr:cNvSpPr txBox="1"/>
      </xdr:nvSpPr>
      <xdr:spPr>
        <a:xfrm>
          <a:off x="3228975" y="63941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8.17</a:t>
          </a:r>
        </a:p>
        <a:p>
          <a:endParaRPr lang="en-US" sz="1100"/>
        </a:p>
      </xdr:txBody>
    </xdr:sp>
    <xdr:clientData/>
  </xdr:oneCellAnchor>
  <xdr:twoCellAnchor>
    <xdr:from>
      <xdr:col>2</xdr:col>
      <xdr:colOff>649467</xdr:colOff>
      <xdr:row>171</xdr:row>
      <xdr:rowOff>523875</xdr:rowOff>
    </xdr:from>
    <xdr:to>
      <xdr:col>2</xdr:col>
      <xdr:colOff>904910</xdr:colOff>
      <xdr:row>171</xdr:row>
      <xdr:rowOff>525463</xdr:rowOff>
    </xdr:to>
    <xdr:cxnSp macro="">
      <xdr:nvCxnSpPr>
        <xdr:cNvPr id="519" name="Straight Connector 518">
          <a:extLst>
            <a:ext uri="{FF2B5EF4-FFF2-40B4-BE49-F238E27FC236}">
              <a16:creationId xmlns:a16="http://schemas.microsoft.com/office/drawing/2014/main" xmlns="" id="{00000000-0008-0000-0800-000007020000}"/>
            </a:ext>
          </a:extLst>
        </xdr:cNvPr>
        <xdr:cNvCxnSpPr/>
      </xdr:nvCxnSpPr>
      <xdr:spPr>
        <a:xfrm>
          <a:off x="2973567" y="64274700"/>
          <a:ext cx="255443"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904910</xdr:colOff>
      <xdr:row>171</xdr:row>
      <xdr:rowOff>155865</xdr:rowOff>
    </xdr:from>
    <xdr:to>
      <xdr:col>2</xdr:col>
      <xdr:colOff>1277251</xdr:colOff>
      <xdr:row>171</xdr:row>
      <xdr:rowOff>528206</xdr:rowOff>
    </xdr:to>
    <xdr:cxnSp macro="">
      <xdr:nvCxnSpPr>
        <xdr:cNvPr id="520" name="Straight Connector 519">
          <a:extLst>
            <a:ext uri="{FF2B5EF4-FFF2-40B4-BE49-F238E27FC236}">
              <a16:creationId xmlns:a16="http://schemas.microsoft.com/office/drawing/2014/main" xmlns="" id="{00000000-0008-0000-0800-000008020000}"/>
            </a:ext>
          </a:extLst>
        </xdr:cNvPr>
        <xdr:cNvCxnSpPr/>
      </xdr:nvCxnSpPr>
      <xdr:spPr>
        <a:xfrm rot="5400000" flipH="1" flipV="1">
          <a:off x="3229010" y="63906690"/>
          <a:ext cx="372341" cy="372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1277250</xdr:colOff>
      <xdr:row>171</xdr:row>
      <xdr:rowOff>155864</xdr:rowOff>
    </xdr:from>
    <xdr:to>
      <xdr:col>2</xdr:col>
      <xdr:colOff>1511046</xdr:colOff>
      <xdr:row>171</xdr:row>
      <xdr:rowOff>157452</xdr:rowOff>
    </xdr:to>
    <xdr:cxnSp macro="">
      <xdr:nvCxnSpPr>
        <xdr:cNvPr id="521" name="Straight Connector 520">
          <a:extLst>
            <a:ext uri="{FF2B5EF4-FFF2-40B4-BE49-F238E27FC236}">
              <a16:creationId xmlns:a16="http://schemas.microsoft.com/office/drawing/2014/main" xmlns="" id="{00000000-0008-0000-0800-000009020000}"/>
            </a:ext>
          </a:extLst>
        </xdr:cNvPr>
        <xdr:cNvCxnSpPr/>
      </xdr:nvCxnSpPr>
      <xdr:spPr>
        <a:xfrm>
          <a:off x="3601350" y="63906689"/>
          <a:ext cx="233796"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1552575</xdr:colOff>
      <xdr:row>171</xdr:row>
      <xdr:rowOff>114300</xdr:rowOff>
    </xdr:from>
    <xdr:ext cx="323849" cy="142875"/>
    <xdr:sp macro="" textlink="">
      <xdr:nvSpPr>
        <xdr:cNvPr id="522" name="TextBox 521">
          <a:extLst>
            <a:ext uri="{FF2B5EF4-FFF2-40B4-BE49-F238E27FC236}">
              <a16:creationId xmlns:a16="http://schemas.microsoft.com/office/drawing/2014/main" xmlns="" id="{00000000-0008-0000-0800-00000A020000}"/>
            </a:ext>
          </a:extLst>
        </xdr:cNvPr>
        <xdr:cNvSpPr txBox="1"/>
      </xdr:nvSpPr>
      <xdr:spPr>
        <a:xfrm>
          <a:off x="3876675" y="638651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2.5</a:t>
          </a:r>
        </a:p>
        <a:p>
          <a:endParaRPr lang="en-US" sz="1100"/>
        </a:p>
      </xdr:txBody>
    </xdr:sp>
    <xdr:clientData/>
  </xdr:oneCellAnchor>
  <xdr:oneCellAnchor>
    <xdr:from>
      <xdr:col>2</xdr:col>
      <xdr:colOff>276225</xdr:colOff>
      <xdr:row>171</xdr:row>
      <xdr:rowOff>457200</xdr:rowOff>
    </xdr:from>
    <xdr:ext cx="323849" cy="142875"/>
    <xdr:sp macro="" textlink="">
      <xdr:nvSpPr>
        <xdr:cNvPr id="523" name="TextBox 522">
          <a:extLst>
            <a:ext uri="{FF2B5EF4-FFF2-40B4-BE49-F238E27FC236}">
              <a16:creationId xmlns:a16="http://schemas.microsoft.com/office/drawing/2014/main" xmlns="" id="{00000000-0008-0000-0800-00000B020000}"/>
            </a:ext>
          </a:extLst>
        </xdr:cNvPr>
        <xdr:cNvSpPr txBox="1"/>
      </xdr:nvSpPr>
      <xdr:spPr>
        <a:xfrm>
          <a:off x="2600325" y="642080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4.33</a:t>
          </a:r>
        </a:p>
        <a:p>
          <a:endParaRPr lang="en-US" sz="1100"/>
        </a:p>
      </xdr:txBody>
    </xdr:sp>
    <xdr:clientData/>
  </xdr:oneCellAnchor>
  <xdr:oneCellAnchor>
    <xdr:from>
      <xdr:col>2</xdr:col>
      <xdr:colOff>904875</xdr:colOff>
      <xdr:row>171</xdr:row>
      <xdr:rowOff>190500</xdr:rowOff>
    </xdr:from>
    <xdr:ext cx="323849" cy="142875"/>
    <xdr:sp macro="" textlink="">
      <xdr:nvSpPr>
        <xdr:cNvPr id="524" name="TextBox 523">
          <a:extLst>
            <a:ext uri="{FF2B5EF4-FFF2-40B4-BE49-F238E27FC236}">
              <a16:creationId xmlns:a16="http://schemas.microsoft.com/office/drawing/2014/main" xmlns="" id="{00000000-0008-0000-0800-00000C020000}"/>
            </a:ext>
          </a:extLst>
        </xdr:cNvPr>
        <xdr:cNvSpPr txBox="1"/>
      </xdr:nvSpPr>
      <xdr:spPr>
        <a:xfrm>
          <a:off x="3228975" y="63941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8.25</a:t>
          </a:r>
        </a:p>
        <a:p>
          <a:endParaRPr lang="en-US" sz="1100"/>
        </a:p>
      </xdr:txBody>
    </xdr:sp>
    <xdr:clientData/>
  </xdr:oneCellAnchor>
  <xdr:twoCellAnchor>
    <xdr:from>
      <xdr:col>2</xdr:col>
      <xdr:colOff>723900</xdr:colOff>
      <xdr:row>177</xdr:row>
      <xdr:rowOff>104775</xdr:rowOff>
    </xdr:from>
    <xdr:to>
      <xdr:col>2</xdr:col>
      <xdr:colOff>1800225</xdr:colOff>
      <xdr:row>177</xdr:row>
      <xdr:rowOff>106363</xdr:rowOff>
    </xdr:to>
    <xdr:cxnSp macro="">
      <xdr:nvCxnSpPr>
        <xdr:cNvPr id="525" name="Straight Connector 524">
          <a:extLst>
            <a:ext uri="{FF2B5EF4-FFF2-40B4-BE49-F238E27FC236}">
              <a16:creationId xmlns:a16="http://schemas.microsoft.com/office/drawing/2014/main" xmlns="" id="{00000000-0008-0000-0800-00000D020000}"/>
            </a:ext>
          </a:extLst>
        </xdr:cNvPr>
        <xdr:cNvCxnSpPr/>
      </xdr:nvCxnSpPr>
      <xdr:spPr>
        <a:xfrm>
          <a:off x="3048000" y="629031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177</xdr:row>
      <xdr:rowOff>180975</xdr:rowOff>
    </xdr:from>
    <xdr:ext cx="323849" cy="142875"/>
    <xdr:sp macro="" textlink="">
      <xdr:nvSpPr>
        <xdr:cNvPr id="526" name="TextBox 525">
          <a:extLst>
            <a:ext uri="{FF2B5EF4-FFF2-40B4-BE49-F238E27FC236}">
              <a16:creationId xmlns:a16="http://schemas.microsoft.com/office/drawing/2014/main" xmlns="" id="{00000000-0008-0000-0800-00000E020000}"/>
            </a:ext>
          </a:extLst>
        </xdr:cNvPr>
        <xdr:cNvSpPr txBox="1"/>
      </xdr:nvSpPr>
      <xdr:spPr>
        <a:xfrm>
          <a:off x="3352800" y="629793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8.67</a:t>
          </a:r>
        </a:p>
        <a:p>
          <a:endParaRPr lang="en-US" sz="1100"/>
        </a:p>
      </xdr:txBody>
    </xdr:sp>
    <xdr:clientData/>
  </xdr:oneCellAnchor>
  <xdr:twoCellAnchor>
    <xdr:from>
      <xdr:col>2</xdr:col>
      <xdr:colOff>723900</xdr:colOff>
      <xdr:row>172</xdr:row>
      <xdr:rowOff>104775</xdr:rowOff>
    </xdr:from>
    <xdr:to>
      <xdr:col>2</xdr:col>
      <xdr:colOff>1800225</xdr:colOff>
      <xdr:row>172</xdr:row>
      <xdr:rowOff>106363</xdr:rowOff>
    </xdr:to>
    <xdr:cxnSp macro="">
      <xdr:nvCxnSpPr>
        <xdr:cNvPr id="527" name="Straight Connector 526">
          <a:extLst>
            <a:ext uri="{FF2B5EF4-FFF2-40B4-BE49-F238E27FC236}">
              <a16:creationId xmlns:a16="http://schemas.microsoft.com/office/drawing/2014/main" xmlns="" id="{00000000-0008-0000-0800-00000F020000}"/>
            </a:ext>
          </a:extLst>
        </xdr:cNvPr>
        <xdr:cNvCxnSpPr/>
      </xdr:nvCxnSpPr>
      <xdr:spPr>
        <a:xfrm>
          <a:off x="3048000" y="657415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172</xdr:row>
      <xdr:rowOff>180975</xdr:rowOff>
    </xdr:from>
    <xdr:ext cx="323849" cy="142875"/>
    <xdr:sp macro="" textlink="">
      <xdr:nvSpPr>
        <xdr:cNvPr id="528" name="TextBox 527">
          <a:extLst>
            <a:ext uri="{FF2B5EF4-FFF2-40B4-BE49-F238E27FC236}">
              <a16:creationId xmlns:a16="http://schemas.microsoft.com/office/drawing/2014/main" xmlns="" id="{00000000-0008-0000-0800-000010020000}"/>
            </a:ext>
          </a:extLst>
        </xdr:cNvPr>
        <xdr:cNvSpPr txBox="1"/>
      </xdr:nvSpPr>
      <xdr:spPr>
        <a:xfrm>
          <a:off x="3352800" y="658177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3.17</a:t>
          </a:r>
        </a:p>
        <a:p>
          <a:endParaRPr lang="en-US" sz="1100"/>
        </a:p>
      </xdr:txBody>
    </xdr:sp>
    <xdr:clientData/>
  </xdr:oneCellAnchor>
  <xdr:twoCellAnchor>
    <xdr:from>
      <xdr:col>2</xdr:col>
      <xdr:colOff>723900</xdr:colOff>
      <xdr:row>170</xdr:row>
      <xdr:rowOff>104775</xdr:rowOff>
    </xdr:from>
    <xdr:to>
      <xdr:col>2</xdr:col>
      <xdr:colOff>1800225</xdr:colOff>
      <xdr:row>170</xdr:row>
      <xdr:rowOff>106363</xdr:rowOff>
    </xdr:to>
    <xdr:cxnSp macro="">
      <xdr:nvCxnSpPr>
        <xdr:cNvPr id="529" name="Straight Connector 528">
          <a:extLst>
            <a:ext uri="{FF2B5EF4-FFF2-40B4-BE49-F238E27FC236}">
              <a16:creationId xmlns:a16="http://schemas.microsoft.com/office/drawing/2014/main" xmlns="" id="{00000000-0008-0000-0800-000011020000}"/>
            </a:ext>
          </a:extLst>
        </xdr:cNvPr>
        <xdr:cNvCxnSpPr/>
      </xdr:nvCxnSpPr>
      <xdr:spPr>
        <a:xfrm>
          <a:off x="3048000" y="657415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170</xdr:row>
      <xdr:rowOff>180975</xdr:rowOff>
    </xdr:from>
    <xdr:ext cx="323849" cy="142875"/>
    <xdr:sp macro="" textlink="">
      <xdr:nvSpPr>
        <xdr:cNvPr id="530" name="TextBox 529">
          <a:extLst>
            <a:ext uri="{FF2B5EF4-FFF2-40B4-BE49-F238E27FC236}">
              <a16:creationId xmlns:a16="http://schemas.microsoft.com/office/drawing/2014/main" xmlns="" id="{00000000-0008-0000-0800-000012020000}"/>
            </a:ext>
          </a:extLst>
        </xdr:cNvPr>
        <xdr:cNvSpPr txBox="1"/>
      </xdr:nvSpPr>
      <xdr:spPr>
        <a:xfrm>
          <a:off x="3352800" y="658177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3.17</a:t>
          </a:r>
        </a:p>
        <a:p>
          <a:endParaRPr lang="en-US" sz="1100"/>
        </a:p>
      </xdr:txBody>
    </xdr:sp>
    <xdr:clientData/>
  </xdr:oneCellAnchor>
  <xdr:twoCellAnchor>
    <xdr:from>
      <xdr:col>2</xdr:col>
      <xdr:colOff>1268592</xdr:colOff>
      <xdr:row>173</xdr:row>
      <xdr:rowOff>523875</xdr:rowOff>
    </xdr:from>
    <xdr:to>
      <xdr:col>2</xdr:col>
      <xdr:colOff>1524035</xdr:colOff>
      <xdr:row>173</xdr:row>
      <xdr:rowOff>525463</xdr:rowOff>
    </xdr:to>
    <xdr:cxnSp macro="">
      <xdr:nvCxnSpPr>
        <xdr:cNvPr id="531" name="Straight Connector 530">
          <a:extLst>
            <a:ext uri="{FF2B5EF4-FFF2-40B4-BE49-F238E27FC236}">
              <a16:creationId xmlns:a16="http://schemas.microsoft.com/office/drawing/2014/main" xmlns="" id="{00000000-0008-0000-0800-000013020000}"/>
            </a:ext>
          </a:extLst>
        </xdr:cNvPr>
        <xdr:cNvCxnSpPr/>
      </xdr:nvCxnSpPr>
      <xdr:spPr>
        <a:xfrm flipH="1">
          <a:off x="3592692" y="66294000"/>
          <a:ext cx="255443"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904910</xdr:colOff>
      <xdr:row>173</xdr:row>
      <xdr:rowOff>155865</xdr:rowOff>
    </xdr:from>
    <xdr:to>
      <xdr:col>2</xdr:col>
      <xdr:colOff>1277251</xdr:colOff>
      <xdr:row>173</xdr:row>
      <xdr:rowOff>528206</xdr:rowOff>
    </xdr:to>
    <xdr:cxnSp macro="">
      <xdr:nvCxnSpPr>
        <xdr:cNvPr id="532" name="Straight Connector 531">
          <a:extLst>
            <a:ext uri="{FF2B5EF4-FFF2-40B4-BE49-F238E27FC236}">
              <a16:creationId xmlns:a16="http://schemas.microsoft.com/office/drawing/2014/main" xmlns="" id="{00000000-0008-0000-0800-000014020000}"/>
            </a:ext>
          </a:extLst>
        </xdr:cNvPr>
        <xdr:cNvCxnSpPr/>
      </xdr:nvCxnSpPr>
      <xdr:spPr>
        <a:xfrm rot="16200000" flipV="1">
          <a:off x="3229010" y="65925990"/>
          <a:ext cx="372341" cy="372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677175</xdr:colOff>
      <xdr:row>173</xdr:row>
      <xdr:rowOff>155864</xdr:rowOff>
    </xdr:from>
    <xdr:to>
      <xdr:col>2</xdr:col>
      <xdr:colOff>910971</xdr:colOff>
      <xdr:row>173</xdr:row>
      <xdr:rowOff>157452</xdr:rowOff>
    </xdr:to>
    <xdr:cxnSp macro="">
      <xdr:nvCxnSpPr>
        <xdr:cNvPr id="533" name="Straight Connector 532">
          <a:extLst>
            <a:ext uri="{FF2B5EF4-FFF2-40B4-BE49-F238E27FC236}">
              <a16:creationId xmlns:a16="http://schemas.microsoft.com/office/drawing/2014/main" xmlns="" id="{00000000-0008-0000-0800-000015020000}"/>
            </a:ext>
          </a:extLst>
        </xdr:cNvPr>
        <xdr:cNvCxnSpPr/>
      </xdr:nvCxnSpPr>
      <xdr:spPr>
        <a:xfrm flipH="1">
          <a:off x="3001275" y="65925989"/>
          <a:ext cx="233796"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323850</xdr:colOff>
      <xdr:row>173</xdr:row>
      <xdr:rowOff>114300</xdr:rowOff>
    </xdr:from>
    <xdr:ext cx="323849" cy="142875"/>
    <xdr:sp macro="" textlink="">
      <xdr:nvSpPr>
        <xdr:cNvPr id="534" name="TextBox 533">
          <a:extLst>
            <a:ext uri="{FF2B5EF4-FFF2-40B4-BE49-F238E27FC236}">
              <a16:creationId xmlns:a16="http://schemas.microsoft.com/office/drawing/2014/main" xmlns="" id="{00000000-0008-0000-0800-000016020000}"/>
            </a:ext>
          </a:extLst>
        </xdr:cNvPr>
        <xdr:cNvSpPr txBox="1"/>
      </xdr:nvSpPr>
      <xdr:spPr>
        <a:xfrm>
          <a:off x="2647950" y="658844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3.42</a:t>
          </a:r>
        </a:p>
        <a:p>
          <a:endParaRPr lang="en-US" sz="1100"/>
        </a:p>
      </xdr:txBody>
    </xdr:sp>
    <xdr:clientData/>
  </xdr:oneCellAnchor>
  <xdr:oneCellAnchor>
    <xdr:from>
      <xdr:col>2</xdr:col>
      <xdr:colOff>1600200</xdr:colOff>
      <xdr:row>173</xdr:row>
      <xdr:rowOff>457200</xdr:rowOff>
    </xdr:from>
    <xdr:ext cx="323849" cy="142875"/>
    <xdr:sp macro="" textlink="">
      <xdr:nvSpPr>
        <xdr:cNvPr id="535" name="TextBox 534">
          <a:extLst>
            <a:ext uri="{FF2B5EF4-FFF2-40B4-BE49-F238E27FC236}">
              <a16:creationId xmlns:a16="http://schemas.microsoft.com/office/drawing/2014/main" xmlns="" id="{00000000-0008-0000-0800-000017020000}"/>
            </a:ext>
          </a:extLst>
        </xdr:cNvPr>
        <xdr:cNvSpPr txBox="1"/>
      </xdr:nvSpPr>
      <xdr:spPr>
        <a:xfrm>
          <a:off x="3924300" y="66227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2.83</a:t>
          </a:r>
        </a:p>
        <a:p>
          <a:endParaRPr lang="en-US" sz="1100"/>
        </a:p>
      </xdr:txBody>
    </xdr:sp>
    <xdr:clientData/>
  </xdr:oneCellAnchor>
  <xdr:oneCellAnchor>
    <xdr:from>
      <xdr:col>2</xdr:col>
      <xdr:colOff>809625</xdr:colOff>
      <xdr:row>173</xdr:row>
      <xdr:rowOff>333375</xdr:rowOff>
    </xdr:from>
    <xdr:ext cx="323849" cy="142875"/>
    <xdr:sp macro="" textlink="">
      <xdr:nvSpPr>
        <xdr:cNvPr id="536" name="TextBox 535">
          <a:extLst>
            <a:ext uri="{FF2B5EF4-FFF2-40B4-BE49-F238E27FC236}">
              <a16:creationId xmlns:a16="http://schemas.microsoft.com/office/drawing/2014/main" xmlns="" id="{00000000-0008-0000-0800-000018020000}"/>
            </a:ext>
          </a:extLst>
        </xdr:cNvPr>
        <xdr:cNvSpPr txBox="1"/>
      </xdr:nvSpPr>
      <xdr:spPr>
        <a:xfrm>
          <a:off x="3133725" y="661035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8.25</a:t>
          </a:r>
        </a:p>
        <a:p>
          <a:endParaRPr lang="en-US" sz="1100"/>
        </a:p>
      </xdr:txBody>
    </xdr:sp>
    <xdr:clientData/>
  </xdr:oneCellAnchor>
  <xdr:twoCellAnchor>
    <xdr:from>
      <xdr:col>2</xdr:col>
      <xdr:colOff>723900</xdr:colOff>
      <xdr:row>176</xdr:row>
      <xdr:rowOff>104775</xdr:rowOff>
    </xdr:from>
    <xdr:to>
      <xdr:col>2</xdr:col>
      <xdr:colOff>1800225</xdr:colOff>
      <xdr:row>176</xdr:row>
      <xdr:rowOff>106363</xdr:rowOff>
    </xdr:to>
    <xdr:cxnSp macro="">
      <xdr:nvCxnSpPr>
        <xdr:cNvPr id="543" name="Straight Connector 542">
          <a:extLst>
            <a:ext uri="{FF2B5EF4-FFF2-40B4-BE49-F238E27FC236}">
              <a16:creationId xmlns:a16="http://schemas.microsoft.com/office/drawing/2014/main" xmlns="" id="{00000000-0008-0000-0800-00001F020000}"/>
            </a:ext>
          </a:extLst>
        </xdr:cNvPr>
        <xdr:cNvCxnSpPr/>
      </xdr:nvCxnSpPr>
      <xdr:spPr>
        <a:xfrm>
          <a:off x="3048000" y="6549390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176</xdr:row>
      <xdr:rowOff>180975</xdr:rowOff>
    </xdr:from>
    <xdr:ext cx="323849" cy="142875"/>
    <xdr:sp macro="" textlink="">
      <xdr:nvSpPr>
        <xdr:cNvPr id="544" name="TextBox 543">
          <a:extLst>
            <a:ext uri="{FF2B5EF4-FFF2-40B4-BE49-F238E27FC236}">
              <a16:creationId xmlns:a16="http://schemas.microsoft.com/office/drawing/2014/main" xmlns="" id="{00000000-0008-0000-0800-000020020000}"/>
            </a:ext>
          </a:extLst>
        </xdr:cNvPr>
        <xdr:cNvSpPr txBox="1"/>
      </xdr:nvSpPr>
      <xdr:spPr>
        <a:xfrm>
          <a:off x="3352800" y="655701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3.17</a:t>
          </a:r>
        </a:p>
        <a:p>
          <a:endParaRPr lang="en-US" sz="1100"/>
        </a:p>
      </xdr:txBody>
    </xdr:sp>
    <xdr:clientData/>
  </xdr:oneCellAnchor>
  <xdr:twoCellAnchor>
    <xdr:from>
      <xdr:col>2</xdr:col>
      <xdr:colOff>723900</xdr:colOff>
      <xdr:row>174</xdr:row>
      <xdr:rowOff>104775</xdr:rowOff>
    </xdr:from>
    <xdr:to>
      <xdr:col>2</xdr:col>
      <xdr:colOff>1800225</xdr:colOff>
      <xdr:row>174</xdr:row>
      <xdr:rowOff>106363</xdr:rowOff>
    </xdr:to>
    <xdr:cxnSp macro="">
      <xdr:nvCxnSpPr>
        <xdr:cNvPr id="545" name="Straight Connector 544">
          <a:extLst>
            <a:ext uri="{FF2B5EF4-FFF2-40B4-BE49-F238E27FC236}">
              <a16:creationId xmlns:a16="http://schemas.microsoft.com/office/drawing/2014/main" xmlns="" id="{00000000-0008-0000-0800-000021020000}"/>
            </a:ext>
          </a:extLst>
        </xdr:cNvPr>
        <xdr:cNvCxnSpPr/>
      </xdr:nvCxnSpPr>
      <xdr:spPr>
        <a:xfrm>
          <a:off x="3048000" y="64484250"/>
          <a:ext cx="107632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1028700</xdr:colOff>
      <xdr:row>174</xdr:row>
      <xdr:rowOff>180975</xdr:rowOff>
    </xdr:from>
    <xdr:ext cx="323849" cy="142875"/>
    <xdr:sp macro="" textlink="">
      <xdr:nvSpPr>
        <xdr:cNvPr id="546" name="TextBox 545">
          <a:extLst>
            <a:ext uri="{FF2B5EF4-FFF2-40B4-BE49-F238E27FC236}">
              <a16:creationId xmlns:a16="http://schemas.microsoft.com/office/drawing/2014/main" xmlns="" id="{00000000-0008-0000-0800-000022020000}"/>
            </a:ext>
          </a:extLst>
        </xdr:cNvPr>
        <xdr:cNvSpPr txBox="1"/>
      </xdr:nvSpPr>
      <xdr:spPr>
        <a:xfrm>
          <a:off x="3352800" y="6456045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3.17</a:t>
          </a:r>
        </a:p>
        <a:p>
          <a:endParaRPr lang="en-US" sz="1100"/>
        </a:p>
      </xdr:txBody>
    </xdr:sp>
    <xdr:clientData/>
  </xdr:oneCellAnchor>
  <xdr:twoCellAnchor>
    <xdr:from>
      <xdr:col>2</xdr:col>
      <xdr:colOff>1268592</xdr:colOff>
      <xdr:row>175</xdr:row>
      <xdr:rowOff>523875</xdr:rowOff>
    </xdr:from>
    <xdr:to>
      <xdr:col>2</xdr:col>
      <xdr:colOff>1524035</xdr:colOff>
      <xdr:row>175</xdr:row>
      <xdr:rowOff>525463</xdr:rowOff>
    </xdr:to>
    <xdr:cxnSp macro="">
      <xdr:nvCxnSpPr>
        <xdr:cNvPr id="547" name="Straight Connector 546">
          <a:extLst>
            <a:ext uri="{FF2B5EF4-FFF2-40B4-BE49-F238E27FC236}">
              <a16:creationId xmlns:a16="http://schemas.microsoft.com/office/drawing/2014/main" xmlns="" id="{00000000-0008-0000-0800-000023020000}"/>
            </a:ext>
          </a:extLst>
        </xdr:cNvPr>
        <xdr:cNvCxnSpPr/>
      </xdr:nvCxnSpPr>
      <xdr:spPr>
        <a:xfrm flipH="1">
          <a:off x="3592692" y="66294000"/>
          <a:ext cx="255443"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904910</xdr:colOff>
      <xdr:row>175</xdr:row>
      <xdr:rowOff>155865</xdr:rowOff>
    </xdr:from>
    <xdr:to>
      <xdr:col>2</xdr:col>
      <xdr:colOff>1277251</xdr:colOff>
      <xdr:row>175</xdr:row>
      <xdr:rowOff>528206</xdr:rowOff>
    </xdr:to>
    <xdr:cxnSp macro="">
      <xdr:nvCxnSpPr>
        <xdr:cNvPr id="548" name="Straight Connector 547">
          <a:extLst>
            <a:ext uri="{FF2B5EF4-FFF2-40B4-BE49-F238E27FC236}">
              <a16:creationId xmlns:a16="http://schemas.microsoft.com/office/drawing/2014/main" xmlns="" id="{00000000-0008-0000-0800-000024020000}"/>
            </a:ext>
          </a:extLst>
        </xdr:cNvPr>
        <xdr:cNvCxnSpPr/>
      </xdr:nvCxnSpPr>
      <xdr:spPr>
        <a:xfrm rot="16200000" flipV="1">
          <a:off x="3229010" y="65925990"/>
          <a:ext cx="372341" cy="3723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677175</xdr:colOff>
      <xdr:row>175</xdr:row>
      <xdr:rowOff>155864</xdr:rowOff>
    </xdr:from>
    <xdr:to>
      <xdr:col>2</xdr:col>
      <xdr:colOff>910971</xdr:colOff>
      <xdr:row>175</xdr:row>
      <xdr:rowOff>157452</xdr:rowOff>
    </xdr:to>
    <xdr:cxnSp macro="">
      <xdr:nvCxnSpPr>
        <xdr:cNvPr id="549" name="Straight Connector 548">
          <a:extLst>
            <a:ext uri="{FF2B5EF4-FFF2-40B4-BE49-F238E27FC236}">
              <a16:creationId xmlns:a16="http://schemas.microsoft.com/office/drawing/2014/main" xmlns="" id="{00000000-0008-0000-0800-000025020000}"/>
            </a:ext>
          </a:extLst>
        </xdr:cNvPr>
        <xdr:cNvCxnSpPr/>
      </xdr:nvCxnSpPr>
      <xdr:spPr>
        <a:xfrm flipH="1">
          <a:off x="3001275" y="65925989"/>
          <a:ext cx="233796"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323850</xdr:colOff>
      <xdr:row>175</xdr:row>
      <xdr:rowOff>114300</xdr:rowOff>
    </xdr:from>
    <xdr:ext cx="323849" cy="142875"/>
    <xdr:sp macro="" textlink="">
      <xdr:nvSpPr>
        <xdr:cNvPr id="550" name="TextBox 549">
          <a:extLst>
            <a:ext uri="{FF2B5EF4-FFF2-40B4-BE49-F238E27FC236}">
              <a16:creationId xmlns:a16="http://schemas.microsoft.com/office/drawing/2014/main" xmlns="" id="{00000000-0008-0000-0800-000026020000}"/>
            </a:ext>
          </a:extLst>
        </xdr:cNvPr>
        <xdr:cNvSpPr txBox="1"/>
      </xdr:nvSpPr>
      <xdr:spPr>
        <a:xfrm>
          <a:off x="2647950" y="658844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3.5</a:t>
          </a:r>
        </a:p>
        <a:p>
          <a:endParaRPr lang="en-US" sz="1100"/>
        </a:p>
      </xdr:txBody>
    </xdr:sp>
    <xdr:clientData/>
  </xdr:oneCellAnchor>
  <xdr:oneCellAnchor>
    <xdr:from>
      <xdr:col>2</xdr:col>
      <xdr:colOff>1600200</xdr:colOff>
      <xdr:row>175</xdr:row>
      <xdr:rowOff>457200</xdr:rowOff>
    </xdr:from>
    <xdr:ext cx="323849" cy="142875"/>
    <xdr:sp macro="" textlink="">
      <xdr:nvSpPr>
        <xdr:cNvPr id="551" name="TextBox 550">
          <a:extLst>
            <a:ext uri="{FF2B5EF4-FFF2-40B4-BE49-F238E27FC236}">
              <a16:creationId xmlns:a16="http://schemas.microsoft.com/office/drawing/2014/main" xmlns="" id="{00000000-0008-0000-0800-000027020000}"/>
            </a:ext>
          </a:extLst>
        </xdr:cNvPr>
        <xdr:cNvSpPr txBox="1"/>
      </xdr:nvSpPr>
      <xdr:spPr>
        <a:xfrm>
          <a:off x="3924300" y="66227325"/>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2.83</a:t>
          </a:r>
        </a:p>
        <a:p>
          <a:endParaRPr lang="en-US" sz="1100"/>
        </a:p>
      </xdr:txBody>
    </xdr:sp>
    <xdr:clientData/>
  </xdr:oneCellAnchor>
  <xdr:oneCellAnchor>
    <xdr:from>
      <xdr:col>2</xdr:col>
      <xdr:colOff>809625</xdr:colOff>
      <xdr:row>175</xdr:row>
      <xdr:rowOff>333375</xdr:rowOff>
    </xdr:from>
    <xdr:ext cx="323849" cy="142875"/>
    <xdr:sp macro="" textlink="">
      <xdr:nvSpPr>
        <xdr:cNvPr id="552" name="TextBox 551">
          <a:extLst>
            <a:ext uri="{FF2B5EF4-FFF2-40B4-BE49-F238E27FC236}">
              <a16:creationId xmlns:a16="http://schemas.microsoft.com/office/drawing/2014/main" xmlns="" id="{00000000-0008-0000-0800-000028020000}"/>
            </a:ext>
          </a:extLst>
        </xdr:cNvPr>
        <xdr:cNvSpPr txBox="1"/>
      </xdr:nvSpPr>
      <xdr:spPr>
        <a:xfrm>
          <a:off x="3133725" y="66103500"/>
          <a:ext cx="323849"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91440" rIns="0" bIns="0" rtlCol="0" anchor="ctr" anchorCtr="0">
          <a:noAutofit/>
        </a:bodyPr>
        <a:lstStyle/>
        <a:p>
          <a:r>
            <a:rPr lang="en-US" sz="1100"/>
            <a:t>8.17</a:t>
          </a: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81_082\rate\for%20all%20Civil%20rate%20analysis%2081%2082%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081_082\rate\For%20all%20Road-rate%20analysis%2081%2082%20shankharapur%20as%20per%20dor%20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3">
          <cell r="N53">
            <v>215037.9</v>
          </cell>
        </row>
      </sheetData>
      <sheetData sheetId="4"/>
      <sheetData sheetId="5"/>
      <sheetData sheetId="6">
        <row r="19">
          <cell r="H19">
            <v>663.31</v>
          </cell>
        </row>
        <row r="22">
          <cell r="H22">
            <v>938.4</v>
          </cell>
        </row>
        <row r="43">
          <cell r="H43">
            <v>14671.52</v>
          </cell>
        </row>
        <row r="65">
          <cell r="H65">
            <v>12983.1</v>
          </cell>
        </row>
        <row r="180">
          <cell r="H180">
            <v>1014.97</v>
          </cell>
        </row>
        <row r="311">
          <cell r="H311">
            <v>1950.4</v>
          </cell>
        </row>
      </sheetData>
      <sheetData sheetId="7">
        <row r="451">
          <cell r="H451">
            <v>10311.740000000002</v>
          </cell>
        </row>
        <row r="559">
          <cell r="F559">
            <v>1225</v>
          </cell>
        </row>
        <row r="560">
          <cell r="F560">
            <v>920</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 val="For all Road-rate analysis 81 8"/>
    </sheetNames>
    <sheetDataSet>
      <sheetData sheetId="0"/>
      <sheetData sheetId="1">
        <row r="54">
          <cell r="B54" t="str">
            <v>Scarifying Existing road Surface to a Depth of 50 mm by
Manual Means, Scarifying the existing road surface to a depth of 50 mm and disposal of scarified Material with all lifts and leads as per Drawing and Technical Specifications.</v>
          </cell>
        </row>
      </sheetData>
      <sheetData sheetId="2"/>
      <sheetData sheetId="3">
        <row r="21">
          <cell r="L21">
            <v>15.14</v>
          </cell>
        </row>
      </sheetData>
      <sheetData sheetId="4"/>
      <sheetData sheetId="5">
        <row r="11">
          <cell r="D11"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row r="99">
          <cell r="D99" t="str">
            <v>Brick work for footpath, Providing and laying  brick on edge  over  60 mm thick  sand bed in footpath including excavation sand bedding all complete as  per Drawing and Technical Specifications.</v>
          </cell>
          <cell r="M99">
            <v>1718.42</v>
          </cell>
        </row>
      </sheetData>
      <sheetData sheetId="6"/>
      <sheetData sheetId="7"/>
      <sheetData sheetId="8"/>
      <sheetData sheetId="9">
        <row r="501">
          <cell r="P501">
            <v>5406</v>
          </cell>
        </row>
      </sheetData>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zoomScaleSheetLayoutView="100" workbookViewId="0">
      <selection activeCell="J26" sqref="J26"/>
    </sheetView>
  </sheetViews>
  <sheetFormatPr defaultColWidth="9.140625" defaultRowHeight="15" x14ac:dyDescent="0.25"/>
  <cols>
    <col min="1" max="1" width="6.140625" style="20" customWidth="1"/>
    <col min="2" max="2" width="44.85546875" style="20" customWidth="1"/>
    <col min="3" max="3" width="5.5703125" style="20" customWidth="1"/>
    <col min="4" max="6" width="9.140625" style="20" customWidth="1"/>
    <col min="7" max="7" width="13.85546875" style="20" customWidth="1"/>
    <col min="8" max="8" width="6.85546875" style="20" customWidth="1"/>
    <col min="9" max="9" width="13.85546875" style="20" customWidth="1"/>
    <col min="10" max="10" width="14.5703125" style="21" bestFit="1" customWidth="1"/>
    <col min="11" max="11" width="19.28515625" style="20" bestFit="1"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c r="H6"/>
      <c r="I6"/>
      <c r="J6" s="6"/>
      <c r="K6"/>
    </row>
    <row r="7" spans="1:11" x14ac:dyDescent="0.25">
      <c r="A7" t="s">
        <v>47</v>
      </c>
      <c r="B7"/>
      <c r="C7"/>
      <c r="D7"/>
      <c r="E7"/>
      <c r="F7"/>
      <c r="G7"/>
      <c r="H7"/>
      <c r="I7"/>
      <c r="J7" s="20"/>
      <c r="K7" s="18" t="s">
        <v>44</v>
      </c>
    </row>
    <row r="8" spans="1:11" customFormat="1" x14ac:dyDescent="0.25">
      <c r="A8" t="s">
        <v>28</v>
      </c>
      <c r="J8" s="18"/>
      <c r="K8" s="22" t="s">
        <v>46</v>
      </c>
    </row>
    <row r="9" spans="1:11" customFormat="1" ht="22.5" customHeight="1" x14ac:dyDescent="0.25">
      <c r="A9" s="23" t="s">
        <v>0</v>
      </c>
      <c r="B9" s="23" t="s">
        <v>20</v>
      </c>
      <c r="C9" s="23" t="s">
        <v>1</v>
      </c>
      <c r="D9" s="23" t="s">
        <v>2</v>
      </c>
      <c r="E9" s="23" t="s">
        <v>3</v>
      </c>
      <c r="F9" s="23" t="s">
        <v>4</v>
      </c>
      <c r="G9" s="23" t="s">
        <v>6</v>
      </c>
      <c r="H9" s="23" t="s">
        <v>7</v>
      </c>
      <c r="I9" s="23" t="s">
        <v>8</v>
      </c>
      <c r="J9" s="24" t="s">
        <v>9</v>
      </c>
      <c r="K9" s="23" t="s">
        <v>5</v>
      </c>
    </row>
    <row r="10" spans="1:11" ht="15" customHeight="1" x14ac:dyDescent="0.25">
      <c r="A10" s="7"/>
      <c r="B10" s="7" t="s">
        <v>349</v>
      </c>
      <c r="C10" s="2">
        <v>1</v>
      </c>
      <c r="D10" s="2">
        <f>35*3.28</f>
        <v>114.8</v>
      </c>
      <c r="E10" s="2">
        <f>11*3.28</f>
        <v>36.08</v>
      </c>
      <c r="F10" s="2">
        <f>0.5</f>
        <v>0.5</v>
      </c>
      <c r="G10" s="25">
        <f>C10*E10*F10*D10</f>
        <v>2070.9919999999997</v>
      </c>
      <c r="H10" s="7"/>
      <c r="I10" s="37"/>
      <c r="J10" s="25"/>
      <c r="K10" s="2"/>
    </row>
    <row r="11" spans="1:11" ht="15" customHeight="1" x14ac:dyDescent="0.25">
      <c r="A11" s="7"/>
      <c r="B11" s="7"/>
      <c r="C11" s="2">
        <v>1</v>
      </c>
      <c r="D11" s="2">
        <f>12.5*3.28</f>
        <v>41</v>
      </c>
      <c r="E11" s="2">
        <f>7*3.28</f>
        <v>22.959999999999997</v>
      </c>
      <c r="F11" s="2">
        <v>0.5</v>
      </c>
      <c r="G11" s="25">
        <f>C11*E11*F11*D11</f>
        <v>470.67999999999995</v>
      </c>
      <c r="H11" s="7"/>
      <c r="I11" s="37"/>
      <c r="J11" s="98"/>
      <c r="K11" s="2"/>
    </row>
    <row r="12" spans="1:11" ht="15" customHeight="1" x14ac:dyDescent="0.25">
      <c r="A12" s="7"/>
      <c r="B12" s="7" t="s">
        <v>354</v>
      </c>
      <c r="C12" s="2"/>
      <c r="D12" s="2"/>
      <c r="E12" s="2"/>
      <c r="F12" s="2"/>
      <c r="G12" s="25"/>
      <c r="H12" s="7"/>
      <c r="I12" s="37"/>
      <c r="J12" s="98"/>
      <c r="K12" s="2"/>
    </row>
    <row r="13" spans="1:11" ht="15" customHeight="1" x14ac:dyDescent="0.25">
      <c r="A13" s="7"/>
      <c r="B13" s="7"/>
      <c r="C13" s="2">
        <v>-1</v>
      </c>
      <c r="D13" s="2">
        <f>2*3.28</f>
        <v>6.56</v>
      </c>
      <c r="E13" s="2">
        <f>2*3.28</f>
        <v>6.56</v>
      </c>
      <c r="F13" s="2">
        <v>0.5</v>
      </c>
      <c r="G13" s="25">
        <f>C13*E13*F13*D13</f>
        <v>-21.516799999999996</v>
      </c>
      <c r="H13" s="7"/>
      <c r="I13" s="37"/>
      <c r="J13" s="98"/>
      <c r="K13" s="2"/>
    </row>
    <row r="14" spans="1:11" ht="15" customHeight="1" x14ac:dyDescent="0.25">
      <c r="A14" s="7"/>
      <c r="B14" s="7"/>
      <c r="C14" s="2">
        <v>-1</v>
      </c>
      <c r="D14" s="2">
        <f>3*3.28</f>
        <v>9.84</v>
      </c>
      <c r="E14" s="2">
        <f>2.5*3.28</f>
        <v>8.1999999999999993</v>
      </c>
      <c r="F14" s="2">
        <v>0.5</v>
      </c>
      <c r="G14" s="25">
        <f>C14*E14*F14*D14</f>
        <v>-40.343999999999994</v>
      </c>
      <c r="H14" s="7"/>
      <c r="I14" s="37"/>
      <c r="J14" s="98"/>
      <c r="K14" s="2"/>
    </row>
    <row r="15" spans="1:11" ht="15" customHeight="1" x14ac:dyDescent="0.25">
      <c r="A15" s="7"/>
      <c r="B15" s="7"/>
      <c r="C15" s="2"/>
      <c r="D15" s="2"/>
      <c r="E15" s="2"/>
      <c r="F15" s="2"/>
      <c r="G15" s="25">
        <f>SUM(G10:G14)</f>
        <v>2479.8111999999996</v>
      </c>
      <c r="H15" s="7" t="s">
        <v>48</v>
      </c>
      <c r="I15" s="37"/>
      <c r="J15" s="98"/>
      <c r="K15" s="2"/>
    </row>
    <row r="16" spans="1:11" ht="15" customHeight="1" x14ac:dyDescent="0.25">
      <c r="A16" s="7"/>
      <c r="B16" s="7"/>
      <c r="C16" s="2"/>
      <c r="D16" s="2"/>
      <c r="E16" s="2"/>
      <c r="F16" s="2"/>
      <c r="G16" s="25">
        <f>CONVERT(CONVERT(CONVERT(G10,"ft","m"),"ft","m"),"ft","m")</f>
        <v>58.643962757259239</v>
      </c>
      <c r="H16" s="7" t="s">
        <v>350</v>
      </c>
      <c r="I16" s="37">
        <v>618</v>
      </c>
      <c r="J16" s="25">
        <f>I16*G16</f>
        <v>36241.968983986211</v>
      </c>
      <c r="K16" s="2" t="s">
        <v>24</v>
      </c>
    </row>
    <row r="17" spans="1:11" ht="15" customHeight="1" x14ac:dyDescent="0.25">
      <c r="A17" s="7"/>
      <c r="B17" s="7" t="s">
        <v>352</v>
      </c>
      <c r="C17" s="2"/>
      <c r="D17" s="2"/>
      <c r="E17" s="2"/>
      <c r="F17" s="2"/>
      <c r="G17" s="25"/>
      <c r="H17" s="7"/>
      <c r="I17" s="37"/>
      <c r="J17" s="25">
        <f>0.13*18*G16</f>
        <v>137.2268728519866</v>
      </c>
      <c r="K17" s="2" t="s">
        <v>353</v>
      </c>
    </row>
    <row r="18" spans="1:11" ht="15" customHeight="1" x14ac:dyDescent="0.25">
      <c r="A18" s="7"/>
      <c r="B18" s="7"/>
      <c r="C18" s="2"/>
      <c r="D18" s="2"/>
      <c r="E18" s="2"/>
      <c r="F18" s="2"/>
      <c r="G18" s="25"/>
      <c r="H18" s="7"/>
      <c r="I18" s="37"/>
      <c r="J18" s="25"/>
      <c r="K18" s="2"/>
    </row>
    <row r="19" spans="1:11" ht="15" customHeight="1" x14ac:dyDescent="0.25">
      <c r="A19" s="7"/>
      <c r="B19" s="7" t="s">
        <v>351</v>
      </c>
      <c r="C19" s="2">
        <v>1</v>
      </c>
      <c r="D19" s="2">
        <f>35*3.28</f>
        <v>114.8</v>
      </c>
      <c r="E19" s="2">
        <f>11*3.28</f>
        <v>36.08</v>
      </c>
      <c r="F19" s="2"/>
      <c r="G19" s="25">
        <f>E19*D19*C19</f>
        <v>4141.9839999999995</v>
      </c>
      <c r="H19" s="7"/>
      <c r="I19" s="37"/>
      <c r="J19" s="98"/>
      <c r="K19" s="2"/>
    </row>
    <row r="20" spans="1:11" ht="15" customHeight="1" x14ac:dyDescent="0.25">
      <c r="A20" s="7"/>
      <c r="B20" s="7"/>
      <c r="C20" s="2">
        <v>1</v>
      </c>
      <c r="D20" s="2">
        <f>12.5*3.28</f>
        <v>41</v>
      </c>
      <c r="E20" s="2">
        <f>7*3.28</f>
        <v>22.959999999999997</v>
      </c>
      <c r="F20" s="2"/>
      <c r="G20" s="25">
        <f>E20*D20*C20</f>
        <v>941.3599999999999</v>
      </c>
      <c r="H20" s="7"/>
      <c r="I20" s="37"/>
      <c r="J20" s="98"/>
      <c r="K20" s="2"/>
    </row>
    <row r="21" spans="1:11" ht="15" customHeight="1" x14ac:dyDescent="0.25">
      <c r="A21" s="7"/>
      <c r="B21" s="7" t="s">
        <v>354</v>
      </c>
      <c r="C21" s="2"/>
      <c r="D21" s="2"/>
      <c r="E21" s="2"/>
      <c r="F21" s="2"/>
      <c r="G21" s="25"/>
      <c r="H21" s="7"/>
      <c r="I21" s="37"/>
      <c r="J21" s="98"/>
      <c r="K21" s="2"/>
    </row>
    <row r="22" spans="1:11" ht="15" customHeight="1" x14ac:dyDescent="0.25">
      <c r="A22" s="7"/>
      <c r="B22" s="7"/>
      <c r="C22" s="2">
        <v>-1</v>
      </c>
      <c r="D22" s="2">
        <f>2*3.28</f>
        <v>6.56</v>
      </c>
      <c r="E22" s="2">
        <f>2*3.28</f>
        <v>6.56</v>
      </c>
      <c r="F22" s="2"/>
      <c r="G22" s="25">
        <f>E22*D22*C22</f>
        <v>-43.033599999999993</v>
      </c>
      <c r="H22" s="7"/>
      <c r="I22" s="37"/>
      <c r="J22" s="98"/>
      <c r="K22" s="2"/>
    </row>
    <row r="23" spans="1:11" ht="15" customHeight="1" x14ac:dyDescent="0.25">
      <c r="A23" s="7"/>
      <c r="B23" s="7"/>
      <c r="C23" s="2">
        <v>-1</v>
      </c>
      <c r="D23" s="2">
        <f>3*3.28</f>
        <v>9.84</v>
      </c>
      <c r="E23" s="2">
        <f>2.5*3.28</f>
        <v>8.1999999999999993</v>
      </c>
      <c r="F23" s="2"/>
      <c r="G23" s="25">
        <f>E23*D23*C23</f>
        <v>-80.687999999999988</v>
      </c>
      <c r="H23" s="7"/>
      <c r="I23" s="37"/>
      <c r="J23" s="98"/>
      <c r="K23" s="2"/>
    </row>
    <row r="24" spans="1:11" ht="15" customHeight="1" x14ac:dyDescent="0.25">
      <c r="A24" s="7"/>
      <c r="B24" s="7"/>
      <c r="C24" s="2"/>
      <c r="D24" s="2"/>
      <c r="E24" s="2"/>
      <c r="F24" s="2"/>
      <c r="G24" s="25">
        <f>SUM(G19:G23)</f>
        <v>4959.6223999999993</v>
      </c>
      <c r="H24" s="7" t="s">
        <v>51</v>
      </c>
      <c r="I24" s="37"/>
      <c r="J24" s="98"/>
      <c r="K24" s="2"/>
    </row>
    <row r="25" spans="1:11" ht="15" customHeight="1" x14ac:dyDescent="0.25">
      <c r="A25" s="7"/>
      <c r="B25" s="7"/>
      <c r="C25" s="2"/>
      <c r="D25" s="2"/>
      <c r="E25" s="2"/>
      <c r="F25" s="2"/>
      <c r="G25" s="25">
        <f>G24/10.76</f>
        <v>460.93144981412632</v>
      </c>
      <c r="H25" s="7" t="s">
        <v>58</v>
      </c>
      <c r="I25" s="37">
        <v>1700.93</v>
      </c>
      <c r="J25" s="98">
        <f>I25*G25</f>
        <v>784012.13093234191</v>
      </c>
      <c r="K25" s="2" t="s">
        <v>24</v>
      </c>
    </row>
    <row r="26" spans="1:11" ht="15" customHeight="1" x14ac:dyDescent="0.25">
      <c r="A26" s="7"/>
      <c r="B26" s="7" t="s">
        <v>352</v>
      </c>
      <c r="C26" s="2"/>
      <c r="D26" s="2"/>
      <c r="E26" s="2"/>
      <c r="F26" s="2"/>
      <c r="G26" s="25"/>
      <c r="H26" s="7"/>
      <c r="I26" s="37"/>
      <c r="J26" s="25">
        <f>1354.189*0.13*G25</f>
        <v>81144.478882004463</v>
      </c>
      <c r="K26" s="2"/>
    </row>
    <row r="27" spans="1:11" ht="15" customHeight="1" x14ac:dyDescent="0.25">
      <c r="A27" s="7"/>
      <c r="B27" s="7"/>
      <c r="C27" s="2"/>
      <c r="D27" s="2"/>
      <c r="E27" s="2"/>
      <c r="F27" s="2"/>
      <c r="G27" s="25"/>
      <c r="H27" s="7"/>
      <c r="I27" s="37"/>
      <c r="J27" s="98"/>
      <c r="K27" s="2"/>
    </row>
    <row r="28" spans="1:11" ht="15" customHeight="1" x14ac:dyDescent="0.25">
      <c r="A28" s="7"/>
      <c r="B28" s="7"/>
      <c r="C28" s="2"/>
      <c r="D28" s="2"/>
      <c r="E28" s="2"/>
      <c r="F28" s="2"/>
      <c r="G28" s="25"/>
      <c r="H28" s="7"/>
      <c r="I28" s="35" t="s">
        <v>310</v>
      </c>
      <c r="J28" s="99">
        <f>SUM(J11:J26)</f>
        <v>901535.80567118456</v>
      </c>
      <c r="K28" s="7" t="s">
        <v>24</v>
      </c>
    </row>
    <row r="29" spans="1:11" ht="22.5" customHeight="1" x14ac:dyDescent="0.25">
      <c r="A29" s="28"/>
      <c r="B29" s="28"/>
      <c r="G29" s="29"/>
      <c r="H29" s="28"/>
      <c r="J29" s="30"/>
    </row>
    <row r="30" spans="1:11" ht="22.5" customHeight="1" x14ac:dyDescent="0.25">
      <c r="B30" s="2" t="s">
        <v>40</v>
      </c>
      <c r="C30" s="190">
        <f>J28</f>
        <v>901535.80567118456</v>
      </c>
      <c r="D30" s="191"/>
      <c r="E30" s="2">
        <v>100</v>
      </c>
      <c r="G30" s="32"/>
      <c r="I30" s="33"/>
      <c r="J30" s="31"/>
      <c r="K30" s="28"/>
    </row>
    <row r="31" spans="1:11" x14ac:dyDescent="0.25">
      <c r="B31" s="2" t="s">
        <v>41</v>
      </c>
      <c r="C31" s="192">
        <v>1200000</v>
      </c>
      <c r="D31" s="192"/>
      <c r="E31" s="2">
        <f>C31/C30*100</f>
        <v>133.10619416902824</v>
      </c>
    </row>
    <row r="32" spans="1:11" x14ac:dyDescent="0.25">
      <c r="B32" s="2" t="s">
        <v>42</v>
      </c>
      <c r="C32" s="190">
        <f>C30-C31</f>
        <v>-298464.19432881544</v>
      </c>
      <c r="D32" s="191"/>
      <c r="E32" s="2">
        <f>E30-E31</f>
        <v>-33.106194169028242</v>
      </c>
    </row>
    <row r="33" spans="2:10" x14ac:dyDescent="0.25">
      <c r="B33" s="2" t="s">
        <v>45</v>
      </c>
      <c r="C33" s="193">
        <f>C31*0.03</f>
        <v>36000</v>
      </c>
      <c r="D33" s="194"/>
      <c r="E33" s="2"/>
      <c r="H33" s="184"/>
      <c r="I33" s="185"/>
      <c r="J33" s="185"/>
    </row>
  </sheetData>
  <mergeCells count="10">
    <mergeCell ref="H33:J33"/>
    <mergeCell ref="A1:K1"/>
    <mergeCell ref="A2:K2"/>
    <mergeCell ref="A4:K4"/>
    <mergeCell ref="A5:K5"/>
    <mergeCell ref="A3:K3"/>
    <mergeCell ref="C30:D30"/>
    <mergeCell ref="C31:D31"/>
    <mergeCell ref="C32:D32"/>
    <mergeCell ref="C33:D33"/>
  </mergeCells>
  <pageMargins left="0.7" right="0.7" top="0.75" bottom="0.75" header="0.3" footer="0.3"/>
  <pageSetup scale="80" orientation="landscape" verticalDpi="300" r:id="rId1"/>
  <headerFooter>
    <oddFooter>&amp;LPrepared ByEr Bal Krishna Manandhar&amp;RApproved ByPramod Simkhada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view="pageBreakPreview" topLeftCell="A5" zoomScaleSheetLayoutView="100" workbookViewId="0">
      <pane ySplit="5" topLeftCell="A75" activePane="bottomLeft" state="frozen"/>
      <selection activeCell="A5" sqref="A5"/>
      <selection pane="bottomLeft" activeCell="A11" sqref="A11:XFD87"/>
    </sheetView>
  </sheetViews>
  <sheetFormatPr defaultColWidth="9.140625" defaultRowHeight="15" x14ac:dyDescent="0.25"/>
  <cols>
    <col min="1" max="1" width="6.140625" style="20" customWidth="1"/>
    <col min="2" max="2" width="44.85546875" style="20" customWidth="1"/>
    <col min="3" max="3" width="4.85546875" style="20" bestFit="1" customWidth="1"/>
    <col min="4" max="4" width="7.85546875" style="20" bestFit="1" customWidth="1"/>
    <col min="5" max="5" width="8.7109375" style="20" bestFit="1" customWidth="1"/>
    <col min="6" max="6" width="7.5703125" style="20" bestFit="1" customWidth="1"/>
    <col min="7" max="7" width="9.42578125" style="32" bestFit="1" customWidth="1"/>
    <col min="8" max="8" width="5" style="20" bestFit="1" customWidth="1"/>
    <col min="9" max="9" width="10.5703125" style="20" customWidth="1"/>
    <col min="10" max="10" width="12"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
      <c r="A10" s="7"/>
      <c r="B10" s="39" t="s">
        <v>60</v>
      </c>
      <c r="C10" s="7"/>
      <c r="D10" s="7"/>
      <c r="E10" s="7"/>
      <c r="F10" s="7"/>
      <c r="G10" s="44"/>
      <c r="H10" s="7"/>
      <c r="I10" s="7"/>
      <c r="J10" s="27"/>
      <c r="K10" s="26"/>
    </row>
    <row r="11" spans="1:11" s="28" customFormat="1" x14ac:dyDescent="0.25">
      <c r="A11" s="7"/>
      <c r="B11" s="26" t="s">
        <v>158</v>
      </c>
      <c r="C11" s="2"/>
      <c r="D11" s="2"/>
      <c r="E11" s="2"/>
      <c r="F11" s="2"/>
      <c r="G11" s="56"/>
      <c r="H11" s="2"/>
      <c r="I11" s="7"/>
      <c r="J11" s="27"/>
      <c r="K11" s="26"/>
    </row>
    <row r="12" spans="1:11" s="28" customFormat="1" x14ac:dyDescent="0.25">
      <c r="A12" s="7"/>
      <c r="B12" s="26" t="s">
        <v>179</v>
      </c>
      <c r="C12" s="2"/>
      <c r="D12" s="2"/>
      <c r="E12" s="2"/>
      <c r="F12" s="2"/>
      <c r="G12" s="56"/>
      <c r="H12" s="2"/>
      <c r="I12" s="7"/>
      <c r="J12" s="27"/>
      <c r="K12" s="26"/>
    </row>
    <row r="13" spans="1:11" s="28" customFormat="1" x14ac:dyDescent="0.25">
      <c r="A13" s="7"/>
      <c r="B13" s="26" t="s">
        <v>152</v>
      </c>
      <c r="C13" s="2"/>
      <c r="D13" s="2"/>
      <c r="E13" s="2"/>
      <c r="F13" s="2"/>
      <c r="G13" s="56"/>
      <c r="H13" s="2"/>
      <c r="I13" s="7"/>
      <c r="J13" s="27"/>
      <c r="K13" s="26"/>
    </row>
    <row r="14" spans="1:11" s="28" customFormat="1" x14ac:dyDescent="0.25">
      <c r="A14" s="7"/>
      <c r="B14" s="4" t="s">
        <v>153</v>
      </c>
      <c r="C14" s="2"/>
      <c r="D14" s="2"/>
      <c r="E14" s="2"/>
      <c r="F14" s="2"/>
      <c r="G14" s="56"/>
      <c r="H14" s="2"/>
      <c r="I14" s="7"/>
      <c r="J14" s="27"/>
      <c r="K14" s="26"/>
    </row>
    <row r="15" spans="1:11" s="28" customFormat="1" x14ac:dyDescent="0.25">
      <c r="A15" s="7"/>
      <c r="B15" s="4" t="s">
        <v>180</v>
      </c>
      <c r="C15" s="2">
        <v>2</v>
      </c>
      <c r="D15" s="2">
        <v>22</v>
      </c>
      <c r="E15" s="2">
        <v>0.75</v>
      </c>
      <c r="F15" s="2">
        <v>0.33</v>
      </c>
      <c r="G15" s="56">
        <v>-10.89</v>
      </c>
      <c r="H15" s="2" t="s">
        <v>48</v>
      </c>
      <c r="I15" s="7"/>
      <c r="J15" s="27"/>
      <c r="K15" s="26"/>
    </row>
    <row r="16" spans="1:11" s="28" customFormat="1" x14ac:dyDescent="0.25">
      <c r="A16" s="7"/>
      <c r="B16" s="4" t="s">
        <v>181</v>
      </c>
      <c r="C16" s="2">
        <v>2</v>
      </c>
      <c r="D16" s="2">
        <v>26</v>
      </c>
      <c r="E16" s="2">
        <v>0.75</v>
      </c>
      <c r="F16" s="2">
        <v>0.33</v>
      </c>
      <c r="G16" s="56">
        <v>-12.870000000000001</v>
      </c>
      <c r="H16" s="2" t="s">
        <v>48</v>
      </c>
      <c r="I16" s="7"/>
      <c r="J16" s="27"/>
      <c r="K16" s="26"/>
    </row>
    <row r="17" spans="1:11" s="28" customFormat="1" x14ac:dyDescent="0.25">
      <c r="A17" s="7"/>
      <c r="B17" s="26" t="s">
        <v>160</v>
      </c>
      <c r="C17" s="2"/>
      <c r="D17" s="2"/>
      <c r="E17" s="2"/>
      <c r="F17" s="2"/>
      <c r="G17" s="56"/>
      <c r="H17" s="2"/>
      <c r="I17" s="7"/>
      <c r="J17" s="27"/>
      <c r="K17" s="26"/>
    </row>
    <row r="18" spans="1:11" s="28" customFormat="1" x14ac:dyDescent="0.25">
      <c r="A18" s="7"/>
      <c r="B18" s="4" t="s">
        <v>161</v>
      </c>
      <c r="C18" s="2"/>
      <c r="D18" s="2"/>
      <c r="E18" s="2"/>
      <c r="F18" s="2"/>
      <c r="G18" s="56"/>
      <c r="H18" s="2"/>
      <c r="I18" s="7"/>
      <c r="J18" s="27"/>
      <c r="K18" s="26"/>
    </row>
    <row r="19" spans="1:11" s="28" customFormat="1" x14ac:dyDescent="0.25">
      <c r="A19" s="7"/>
      <c r="B19" s="4" t="s">
        <v>180</v>
      </c>
      <c r="C19" s="2">
        <v>2</v>
      </c>
      <c r="D19" s="2">
        <v>22</v>
      </c>
      <c r="E19" s="2">
        <v>0.75</v>
      </c>
      <c r="F19" s="2">
        <v>0.33</v>
      </c>
      <c r="G19" s="56">
        <v>-10.89</v>
      </c>
      <c r="H19" s="2" t="s">
        <v>48</v>
      </c>
      <c r="I19" s="7"/>
      <c r="J19" s="27"/>
      <c r="K19" s="26"/>
    </row>
    <row r="20" spans="1:11" s="28" customFormat="1" x14ac:dyDescent="0.25">
      <c r="A20" s="7"/>
      <c r="B20" s="4" t="s">
        <v>181</v>
      </c>
      <c r="C20" s="2">
        <v>2</v>
      </c>
      <c r="D20" s="2">
        <v>22</v>
      </c>
      <c r="E20" s="2">
        <v>0.75</v>
      </c>
      <c r="F20" s="2">
        <v>0.33</v>
      </c>
      <c r="G20" s="56">
        <v>-10.89</v>
      </c>
      <c r="H20" s="2" t="s">
        <v>48</v>
      </c>
      <c r="I20" s="7"/>
      <c r="J20" s="27"/>
      <c r="K20" s="26"/>
    </row>
    <row r="21" spans="1:11" s="28" customFormat="1" x14ac:dyDescent="0.25">
      <c r="A21" s="7"/>
      <c r="B21" s="26" t="s">
        <v>178</v>
      </c>
      <c r="C21" s="2"/>
      <c r="D21" s="2"/>
      <c r="E21" s="2"/>
      <c r="F21" s="2"/>
      <c r="G21" s="56"/>
      <c r="H21" s="2"/>
      <c r="I21" s="7"/>
      <c r="J21" s="27"/>
      <c r="K21" s="26"/>
    </row>
    <row r="22" spans="1:11" s="28" customFormat="1" x14ac:dyDescent="0.25">
      <c r="A22" s="7"/>
      <c r="B22" s="26" t="s">
        <v>152</v>
      </c>
      <c r="C22" s="2"/>
      <c r="D22" s="2"/>
      <c r="E22" s="2"/>
      <c r="F22" s="2"/>
      <c r="G22" s="56"/>
      <c r="H22" s="2"/>
      <c r="I22" s="7"/>
      <c r="J22" s="27"/>
      <c r="K22" s="26"/>
    </row>
    <row r="23" spans="1:11" s="28" customFormat="1" x14ac:dyDescent="0.25">
      <c r="A23" s="7"/>
      <c r="B23" s="4" t="s">
        <v>170</v>
      </c>
      <c r="C23" s="2"/>
      <c r="D23" s="2"/>
      <c r="E23" s="2"/>
      <c r="F23" s="2"/>
      <c r="G23" s="56"/>
      <c r="H23" s="2"/>
      <c r="I23" s="7"/>
      <c r="J23" s="27"/>
      <c r="K23" s="26"/>
    </row>
    <row r="24" spans="1:11" s="28" customFormat="1" x14ac:dyDescent="0.25">
      <c r="A24" s="7"/>
      <c r="B24" s="4" t="s">
        <v>180</v>
      </c>
      <c r="C24" s="2">
        <v>1</v>
      </c>
      <c r="D24" s="2">
        <v>19.5</v>
      </c>
      <c r="E24" s="2">
        <v>0.375</v>
      </c>
      <c r="F24" s="2">
        <v>0.33</v>
      </c>
      <c r="G24" s="56">
        <v>-2.413125</v>
      </c>
      <c r="H24" s="2" t="s">
        <v>48</v>
      </c>
      <c r="I24" s="7"/>
      <c r="J24" s="27"/>
      <c r="K24" s="26"/>
    </row>
    <row r="25" spans="1:11" s="28" customFormat="1" x14ac:dyDescent="0.25">
      <c r="A25" s="7"/>
      <c r="B25" s="4" t="s">
        <v>181</v>
      </c>
      <c r="C25" s="2">
        <v>1</v>
      </c>
      <c r="D25" s="2">
        <v>22</v>
      </c>
      <c r="E25" s="2">
        <v>0.375</v>
      </c>
      <c r="F25" s="2">
        <v>0.33</v>
      </c>
      <c r="G25" s="56">
        <v>-2.7225000000000001</v>
      </c>
      <c r="H25" s="2" t="s">
        <v>48</v>
      </c>
      <c r="I25" s="7"/>
      <c r="J25" s="27"/>
      <c r="K25" s="26"/>
    </row>
    <row r="26" spans="1:11" s="28" customFormat="1" x14ac:dyDescent="0.25">
      <c r="A26" s="7"/>
      <c r="B26" s="4" t="s">
        <v>171</v>
      </c>
      <c r="C26" s="2"/>
      <c r="D26" s="2"/>
      <c r="E26" s="2"/>
      <c r="F26" s="2"/>
      <c r="G26" s="56"/>
      <c r="H26" s="2"/>
      <c r="I26" s="7"/>
      <c r="J26" s="27"/>
      <c r="K26" s="26"/>
    </row>
    <row r="27" spans="1:11" s="28" customFormat="1" x14ac:dyDescent="0.25">
      <c r="A27" s="7"/>
      <c r="B27" s="4" t="s">
        <v>180</v>
      </c>
      <c r="C27" s="2">
        <v>1</v>
      </c>
      <c r="D27" s="2">
        <v>11.83</v>
      </c>
      <c r="E27" s="2">
        <v>0.375</v>
      </c>
      <c r="F27" s="2">
        <v>0.33</v>
      </c>
      <c r="G27" s="56">
        <v>-1.4639625000000001</v>
      </c>
      <c r="H27" s="2" t="s">
        <v>48</v>
      </c>
      <c r="I27" s="7"/>
      <c r="J27" s="27"/>
      <c r="K27" s="26"/>
    </row>
    <row r="28" spans="1:11" s="28" customFormat="1" x14ac:dyDescent="0.25">
      <c r="A28" s="7"/>
      <c r="B28" s="4" t="s">
        <v>181</v>
      </c>
      <c r="C28" s="2">
        <v>1</v>
      </c>
      <c r="D28" s="2">
        <v>11.83</v>
      </c>
      <c r="E28" s="2">
        <v>0.375</v>
      </c>
      <c r="F28" s="2">
        <v>0.33</v>
      </c>
      <c r="G28" s="56">
        <v>-1.4639625000000001</v>
      </c>
      <c r="H28" s="2" t="s">
        <v>48</v>
      </c>
      <c r="I28" s="7"/>
      <c r="J28" s="27"/>
      <c r="K28" s="26"/>
    </row>
    <row r="29" spans="1:11" s="28" customFormat="1" x14ac:dyDescent="0.25">
      <c r="A29" s="7"/>
      <c r="B29" s="4" t="s">
        <v>172</v>
      </c>
      <c r="C29" s="2"/>
      <c r="D29" s="2"/>
      <c r="E29" s="2"/>
      <c r="F29" s="2"/>
      <c r="G29" s="56"/>
      <c r="H29" s="2"/>
      <c r="I29" s="7"/>
      <c r="J29" s="27"/>
      <c r="K29" s="26"/>
    </row>
    <row r="30" spans="1:11" s="28" customFormat="1" x14ac:dyDescent="0.25">
      <c r="A30" s="7"/>
      <c r="B30" s="4" t="s">
        <v>180</v>
      </c>
      <c r="C30" s="2">
        <v>1</v>
      </c>
      <c r="D30" s="2">
        <v>9.33</v>
      </c>
      <c r="E30" s="2">
        <v>0.375</v>
      </c>
      <c r="F30" s="2">
        <v>0.33</v>
      </c>
      <c r="G30" s="56">
        <v>-1.1545875000000001</v>
      </c>
      <c r="H30" s="2" t="s">
        <v>48</v>
      </c>
      <c r="I30" s="7"/>
      <c r="J30" s="27"/>
      <c r="K30" s="26"/>
    </row>
    <row r="31" spans="1:11" s="28" customFormat="1" x14ac:dyDescent="0.25">
      <c r="A31" s="7"/>
      <c r="B31" s="4" t="s">
        <v>181</v>
      </c>
      <c r="C31" s="2">
        <v>1</v>
      </c>
      <c r="D31" s="2">
        <v>9.33</v>
      </c>
      <c r="E31" s="2">
        <v>0.375</v>
      </c>
      <c r="F31" s="2">
        <v>0.33</v>
      </c>
      <c r="G31" s="56">
        <v>-1.1545875000000001</v>
      </c>
      <c r="H31" s="2" t="s">
        <v>48</v>
      </c>
      <c r="I31" s="7"/>
      <c r="J31" s="27"/>
      <c r="K31" s="26"/>
    </row>
    <row r="32" spans="1:11" s="28" customFormat="1" x14ac:dyDescent="0.25">
      <c r="A32" s="7"/>
      <c r="B32" s="26" t="s">
        <v>160</v>
      </c>
      <c r="C32" s="2"/>
      <c r="D32" s="2"/>
      <c r="E32" s="2"/>
      <c r="F32" s="2"/>
      <c r="G32" s="56"/>
      <c r="H32" s="2"/>
      <c r="I32" s="7"/>
      <c r="J32" s="27"/>
      <c r="K32" s="26"/>
    </row>
    <row r="33" spans="1:11" s="28" customFormat="1" x14ac:dyDescent="0.25">
      <c r="A33" s="7"/>
      <c r="B33" s="4" t="s">
        <v>173</v>
      </c>
      <c r="C33" s="2"/>
      <c r="D33" s="2"/>
      <c r="E33" s="2"/>
      <c r="F33" s="2"/>
      <c r="G33" s="56"/>
      <c r="H33" s="2"/>
      <c r="I33" s="7"/>
      <c r="J33" s="27"/>
      <c r="K33" s="26"/>
    </row>
    <row r="34" spans="1:11" s="28" customFormat="1" x14ac:dyDescent="0.25">
      <c r="A34" s="7"/>
      <c r="B34" s="4" t="s">
        <v>180</v>
      </c>
      <c r="C34" s="2">
        <v>1</v>
      </c>
      <c r="D34" s="2">
        <v>20.25</v>
      </c>
      <c r="E34" s="2">
        <v>0.375</v>
      </c>
      <c r="F34" s="2">
        <v>0.33</v>
      </c>
      <c r="G34" s="56">
        <v>-2.5059374999999999</v>
      </c>
      <c r="H34" s="2" t="s">
        <v>48</v>
      </c>
      <c r="I34" s="7"/>
      <c r="J34" s="27"/>
      <c r="K34" s="26"/>
    </row>
    <row r="35" spans="1:11" s="28" customFormat="1" x14ac:dyDescent="0.25">
      <c r="A35" s="7"/>
      <c r="B35" s="4" t="s">
        <v>181</v>
      </c>
      <c r="C35" s="2">
        <v>1</v>
      </c>
      <c r="D35" s="2">
        <v>26.25</v>
      </c>
      <c r="E35" s="2">
        <v>0.375</v>
      </c>
      <c r="F35" s="2">
        <v>0.33</v>
      </c>
      <c r="G35" s="56">
        <v>-3.2484375000000001</v>
      </c>
      <c r="H35" s="2" t="s">
        <v>48</v>
      </c>
      <c r="I35" s="7"/>
      <c r="J35" s="27"/>
      <c r="K35" s="26"/>
    </row>
    <row r="36" spans="1:11" s="28" customFormat="1" x14ac:dyDescent="0.25">
      <c r="A36" s="7"/>
      <c r="B36" s="4" t="s">
        <v>175</v>
      </c>
      <c r="C36" s="2"/>
      <c r="D36" s="2"/>
      <c r="E36" s="2"/>
      <c r="F36" s="2"/>
      <c r="G36" s="56"/>
      <c r="H36" s="2"/>
      <c r="I36" s="7"/>
      <c r="J36" s="27"/>
      <c r="K36" s="26"/>
    </row>
    <row r="37" spans="1:11" s="28" customFormat="1" x14ac:dyDescent="0.25">
      <c r="A37" s="7"/>
      <c r="B37" s="4" t="s">
        <v>180</v>
      </c>
      <c r="C37" s="2">
        <v>1</v>
      </c>
      <c r="D37" s="2">
        <v>2.75</v>
      </c>
      <c r="E37" s="2">
        <v>0.375</v>
      </c>
      <c r="F37" s="2">
        <v>0.33</v>
      </c>
      <c r="G37" s="56">
        <v>-0.34031250000000002</v>
      </c>
      <c r="H37" s="2" t="s">
        <v>48</v>
      </c>
      <c r="I37" s="7"/>
      <c r="J37" s="27"/>
      <c r="K37" s="26"/>
    </row>
    <row r="38" spans="1:11" s="28" customFormat="1" x14ac:dyDescent="0.25">
      <c r="A38" s="7"/>
      <c r="B38" s="4" t="s">
        <v>181</v>
      </c>
      <c r="C38" s="2">
        <v>1</v>
      </c>
      <c r="D38" s="2">
        <v>7.75</v>
      </c>
      <c r="E38" s="2">
        <v>0.375</v>
      </c>
      <c r="F38" s="2">
        <v>0.33</v>
      </c>
      <c r="G38" s="56">
        <v>-0.95906250000000004</v>
      </c>
      <c r="H38" s="2" t="s">
        <v>48</v>
      </c>
      <c r="I38" s="7"/>
      <c r="J38" s="27"/>
      <c r="K38" s="26"/>
    </row>
    <row r="39" spans="1:11" s="28" customFormat="1" x14ac:dyDescent="0.25">
      <c r="A39" s="7"/>
      <c r="B39" s="4"/>
      <c r="C39" s="2"/>
      <c r="D39" s="2"/>
      <c r="E39" s="2"/>
      <c r="F39" s="2"/>
      <c r="G39" s="56"/>
      <c r="H39" s="2"/>
      <c r="I39" s="7"/>
      <c r="J39" s="27"/>
      <c r="K39" s="26"/>
    </row>
    <row r="40" spans="1:11" s="28" customFormat="1" x14ac:dyDescent="0.25">
      <c r="A40" s="7"/>
      <c r="B40" s="26" t="s">
        <v>159</v>
      </c>
      <c r="C40" s="2"/>
      <c r="D40" s="2"/>
      <c r="E40" s="2"/>
      <c r="F40" s="2"/>
      <c r="G40" s="56"/>
      <c r="H40" s="2"/>
      <c r="I40" s="7"/>
      <c r="J40" s="27"/>
      <c r="K40" s="26"/>
    </row>
    <row r="41" spans="1:11" s="28" customFormat="1" x14ac:dyDescent="0.25">
      <c r="A41" s="7"/>
      <c r="B41" s="26" t="s">
        <v>179</v>
      </c>
      <c r="C41" s="2"/>
      <c r="D41" s="2"/>
      <c r="E41" s="2"/>
      <c r="F41" s="2"/>
      <c r="G41" s="56"/>
      <c r="H41" s="2"/>
      <c r="I41" s="7"/>
      <c r="J41" s="27"/>
      <c r="K41" s="26"/>
    </row>
    <row r="42" spans="1:11" s="28" customFormat="1" x14ac:dyDescent="0.25">
      <c r="A42" s="7"/>
      <c r="B42" s="26" t="s">
        <v>152</v>
      </c>
      <c r="C42" s="2"/>
      <c r="D42" s="2"/>
      <c r="E42" s="2"/>
      <c r="F42" s="2"/>
      <c r="G42" s="56"/>
      <c r="H42" s="2"/>
      <c r="I42" s="7"/>
      <c r="J42" s="27"/>
      <c r="K42" s="26"/>
    </row>
    <row r="43" spans="1:11" s="28" customFormat="1" x14ac:dyDescent="0.25">
      <c r="A43" s="7"/>
      <c r="B43" s="4" t="s">
        <v>153</v>
      </c>
      <c r="C43" s="2"/>
      <c r="D43" s="2"/>
      <c r="E43" s="2"/>
      <c r="F43" s="2"/>
      <c r="G43" s="56"/>
      <c r="H43" s="2"/>
      <c r="I43" s="7"/>
      <c r="J43" s="27"/>
      <c r="K43" s="26"/>
    </row>
    <row r="44" spans="1:11" s="28" customFormat="1" x14ac:dyDescent="0.25">
      <c r="A44" s="7"/>
      <c r="B44" s="4" t="s">
        <v>180</v>
      </c>
      <c r="C44" s="2">
        <v>2</v>
      </c>
      <c r="D44" s="2">
        <v>26</v>
      </c>
      <c r="E44" s="2">
        <v>0.75</v>
      </c>
      <c r="F44" s="2">
        <v>0.33</v>
      </c>
      <c r="G44" s="56">
        <v>-12.870000000000001</v>
      </c>
      <c r="H44" s="2" t="s">
        <v>48</v>
      </c>
      <c r="I44" s="7"/>
      <c r="J44" s="27"/>
      <c r="K44" s="26"/>
    </row>
    <row r="45" spans="1:11" s="28" customFormat="1" x14ac:dyDescent="0.25">
      <c r="A45" s="7"/>
      <c r="B45" s="4" t="s">
        <v>181</v>
      </c>
      <c r="C45" s="2">
        <v>2</v>
      </c>
      <c r="D45" s="2">
        <v>26</v>
      </c>
      <c r="E45" s="2">
        <v>0.75</v>
      </c>
      <c r="F45" s="2">
        <v>0.33</v>
      </c>
      <c r="G45" s="56">
        <v>-12.870000000000001</v>
      </c>
      <c r="H45" s="2" t="s">
        <v>48</v>
      </c>
      <c r="I45" s="7"/>
      <c r="J45" s="27"/>
      <c r="K45" s="26"/>
    </row>
    <row r="46" spans="1:11" s="28" customFormat="1" x14ac:dyDescent="0.25">
      <c r="A46" s="7"/>
      <c r="B46" s="26" t="s">
        <v>160</v>
      </c>
      <c r="C46" s="2"/>
      <c r="D46" s="2"/>
      <c r="E46" s="2"/>
      <c r="F46" s="2"/>
      <c r="G46" s="56"/>
      <c r="H46" s="2"/>
      <c r="I46" s="7"/>
      <c r="J46" s="27"/>
      <c r="K46" s="26"/>
    </row>
    <row r="47" spans="1:11" s="28" customFormat="1" x14ac:dyDescent="0.25">
      <c r="A47" s="7"/>
      <c r="B47" s="4" t="s">
        <v>161</v>
      </c>
      <c r="C47" s="2"/>
      <c r="D47" s="2"/>
      <c r="E47" s="2"/>
      <c r="F47" s="2"/>
      <c r="G47" s="56"/>
      <c r="H47" s="2"/>
      <c r="I47" s="7"/>
      <c r="J47" s="27"/>
      <c r="K47" s="26"/>
    </row>
    <row r="48" spans="1:11" s="28" customFormat="1" x14ac:dyDescent="0.25">
      <c r="A48" s="7"/>
      <c r="B48" s="4" t="s">
        <v>180</v>
      </c>
      <c r="C48" s="2">
        <v>2</v>
      </c>
      <c r="D48" s="2">
        <v>22</v>
      </c>
      <c r="E48" s="2">
        <v>0.75</v>
      </c>
      <c r="F48" s="2">
        <v>0.33</v>
      </c>
      <c r="G48" s="56">
        <v>-10.89</v>
      </c>
      <c r="H48" s="2" t="s">
        <v>48</v>
      </c>
      <c r="I48" s="7"/>
      <c r="J48" s="27"/>
      <c r="K48" s="26"/>
    </row>
    <row r="49" spans="1:11" s="28" customFormat="1" x14ac:dyDescent="0.25">
      <c r="A49" s="7"/>
      <c r="B49" s="4" t="s">
        <v>181</v>
      </c>
      <c r="C49" s="2">
        <v>2</v>
      </c>
      <c r="D49" s="2">
        <v>22</v>
      </c>
      <c r="E49" s="2">
        <v>0.75</v>
      </c>
      <c r="F49" s="2">
        <v>0.33</v>
      </c>
      <c r="G49" s="56">
        <v>-10.89</v>
      </c>
      <c r="H49" s="2" t="s">
        <v>48</v>
      </c>
      <c r="I49" s="7"/>
      <c r="J49" s="27"/>
      <c r="K49" s="26"/>
    </row>
    <row r="50" spans="1:11" s="28" customFormat="1" x14ac:dyDescent="0.25">
      <c r="A50" s="7"/>
      <c r="B50" s="26" t="s">
        <v>178</v>
      </c>
      <c r="C50" s="2"/>
      <c r="D50" s="2"/>
      <c r="E50" s="2"/>
      <c r="F50" s="2"/>
      <c r="G50" s="56"/>
      <c r="H50" s="2"/>
      <c r="I50" s="7"/>
      <c r="J50" s="27"/>
      <c r="K50" s="26"/>
    </row>
    <row r="51" spans="1:11" s="28" customFormat="1" x14ac:dyDescent="0.25">
      <c r="A51" s="7"/>
      <c r="B51" s="26" t="s">
        <v>152</v>
      </c>
      <c r="C51" s="2"/>
      <c r="D51" s="2"/>
      <c r="E51" s="2"/>
      <c r="F51" s="2"/>
      <c r="G51" s="56"/>
      <c r="H51" s="2"/>
      <c r="I51" s="7"/>
      <c r="J51" s="27"/>
      <c r="K51" s="26"/>
    </row>
    <row r="52" spans="1:11" s="28" customFormat="1" x14ac:dyDescent="0.25">
      <c r="A52" s="7"/>
      <c r="B52" s="4" t="s">
        <v>170</v>
      </c>
      <c r="C52" s="2"/>
      <c r="D52" s="2"/>
      <c r="E52" s="2"/>
      <c r="F52" s="2"/>
      <c r="G52" s="56"/>
      <c r="H52" s="2"/>
      <c r="I52" s="7"/>
      <c r="J52" s="27"/>
      <c r="K52" s="26"/>
    </row>
    <row r="53" spans="1:11" s="28" customFormat="1" x14ac:dyDescent="0.25">
      <c r="A53" s="7"/>
      <c r="B53" s="4" t="s">
        <v>180</v>
      </c>
      <c r="C53" s="2">
        <v>1</v>
      </c>
      <c r="D53" s="2">
        <v>20</v>
      </c>
      <c r="E53" s="2">
        <v>0.375</v>
      </c>
      <c r="F53" s="2">
        <v>0.33</v>
      </c>
      <c r="G53" s="56">
        <v>-2.4750000000000001</v>
      </c>
      <c r="H53" s="2" t="s">
        <v>48</v>
      </c>
      <c r="I53" s="7"/>
      <c r="J53" s="27"/>
      <c r="K53" s="26"/>
    </row>
    <row r="54" spans="1:11" s="28" customFormat="1" x14ac:dyDescent="0.25">
      <c r="A54" s="7"/>
      <c r="B54" s="4" t="s">
        <v>181</v>
      </c>
      <c r="C54" s="2">
        <v>1</v>
      </c>
      <c r="D54" s="2">
        <v>26</v>
      </c>
      <c r="E54" s="2">
        <v>0.375</v>
      </c>
      <c r="F54" s="2">
        <v>0.33</v>
      </c>
      <c r="G54" s="56">
        <v>-3.2175000000000002</v>
      </c>
      <c r="H54" s="2" t="s">
        <v>48</v>
      </c>
      <c r="I54" s="7"/>
      <c r="J54" s="27"/>
      <c r="K54" s="26"/>
    </row>
    <row r="55" spans="1:11" s="28" customFormat="1" x14ac:dyDescent="0.25">
      <c r="A55" s="7"/>
      <c r="B55" s="4" t="s">
        <v>172</v>
      </c>
      <c r="C55" s="2"/>
      <c r="D55" s="2"/>
      <c r="E55" s="2"/>
      <c r="F55" s="2"/>
      <c r="G55" s="56"/>
      <c r="H55" s="2"/>
      <c r="I55" s="7"/>
      <c r="J55" s="27"/>
      <c r="K55" s="26"/>
    </row>
    <row r="56" spans="1:11" s="28" customFormat="1" x14ac:dyDescent="0.25">
      <c r="A56" s="7"/>
      <c r="B56" s="4" t="s">
        <v>180</v>
      </c>
      <c r="C56" s="2">
        <v>1</v>
      </c>
      <c r="D56" s="2">
        <v>9.33</v>
      </c>
      <c r="E56" s="2">
        <v>0.375</v>
      </c>
      <c r="F56" s="2">
        <v>0.33</v>
      </c>
      <c r="G56" s="56">
        <v>-1.1545875000000001</v>
      </c>
      <c r="H56" s="2" t="s">
        <v>48</v>
      </c>
      <c r="I56" s="7"/>
      <c r="J56" s="27"/>
      <c r="K56" s="26"/>
    </row>
    <row r="57" spans="1:11" s="28" customFormat="1" x14ac:dyDescent="0.25">
      <c r="A57" s="7"/>
      <c r="B57" s="4" t="s">
        <v>181</v>
      </c>
      <c r="C57" s="2">
        <v>1</v>
      </c>
      <c r="D57" s="2">
        <v>9.33</v>
      </c>
      <c r="E57" s="2">
        <v>0.375</v>
      </c>
      <c r="F57" s="2">
        <v>0.33</v>
      </c>
      <c r="G57" s="56">
        <v>-1.1545875000000001</v>
      </c>
      <c r="H57" s="2" t="s">
        <v>48</v>
      </c>
      <c r="I57" s="7"/>
      <c r="J57" s="27"/>
      <c r="K57" s="26"/>
    </row>
    <row r="58" spans="1:11" s="28" customFormat="1" x14ac:dyDescent="0.25">
      <c r="A58" s="7"/>
      <c r="B58" s="26" t="s">
        <v>160</v>
      </c>
      <c r="C58" s="2"/>
      <c r="D58" s="2"/>
      <c r="E58" s="2"/>
      <c r="F58" s="2"/>
      <c r="G58" s="56"/>
      <c r="H58" s="2"/>
      <c r="I58" s="7"/>
      <c r="J58" s="27"/>
      <c r="K58" s="26"/>
    </row>
    <row r="59" spans="1:11" s="28" customFormat="1" x14ac:dyDescent="0.25">
      <c r="A59" s="7"/>
      <c r="B59" s="4" t="s">
        <v>176</v>
      </c>
      <c r="C59" s="2"/>
      <c r="D59" s="2"/>
      <c r="E59" s="2"/>
      <c r="F59" s="2"/>
      <c r="G59" s="56"/>
      <c r="H59" s="2"/>
      <c r="I59" s="7"/>
      <c r="J59" s="27"/>
      <c r="K59" s="26"/>
    </row>
    <row r="60" spans="1:11" s="28" customFormat="1" x14ac:dyDescent="0.25">
      <c r="A60" s="7"/>
      <c r="B60" s="4" t="s">
        <v>180</v>
      </c>
      <c r="C60" s="2">
        <v>1</v>
      </c>
      <c r="D60" s="2">
        <v>19</v>
      </c>
      <c r="E60" s="2">
        <v>0.375</v>
      </c>
      <c r="F60" s="2">
        <v>0.33</v>
      </c>
      <c r="G60" s="56">
        <v>-2.3512500000000003</v>
      </c>
      <c r="H60" s="2" t="s">
        <v>48</v>
      </c>
      <c r="I60" s="7"/>
      <c r="J60" s="27"/>
      <c r="K60" s="26"/>
    </row>
    <row r="61" spans="1:11" s="28" customFormat="1" x14ac:dyDescent="0.25">
      <c r="A61" s="7"/>
      <c r="B61" s="4" t="s">
        <v>181</v>
      </c>
      <c r="C61" s="2">
        <v>1</v>
      </c>
      <c r="D61" s="2">
        <v>22</v>
      </c>
      <c r="E61" s="2">
        <v>0.375</v>
      </c>
      <c r="F61" s="2">
        <v>0.33</v>
      </c>
      <c r="G61" s="56">
        <v>-2.7225000000000001</v>
      </c>
      <c r="H61" s="2" t="s">
        <v>48</v>
      </c>
      <c r="I61" s="7"/>
      <c r="J61" s="27"/>
      <c r="K61" s="26"/>
    </row>
    <row r="62" spans="1:11" s="28" customFormat="1" x14ac:dyDescent="0.25">
      <c r="A62" s="7"/>
      <c r="B62" s="4" t="s">
        <v>172</v>
      </c>
      <c r="C62" s="2"/>
      <c r="D62" s="2"/>
      <c r="E62" s="2"/>
      <c r="F62" s="2"/>
      <c r="G62" s="56"/>
      <c r="H62" s="2"/>
      <c r="I62" s="7"/>
      <c r="J62" s="27"/>
      <c r="K62" s="26"/>
    </row>
    <row r="63" spans="1:11" s="28" customFormat="1" x14ac:dyDescent="0.25">
      <c r="A63" s="7"/>
      <c r="B63" s="4" t="s">
        <v>180</v>
      </c>
      <c r="C63" s="2">
        <v>1</v>
      </c>
      <c r="D63" s="2">
        <v>1.42</v>
      </c>
      <c r="E63" s="2">
        <v>0.375</v>
      </c>
      <c r="F63" s="2">
        <v>0.33</v>
      </c>
      <c r="G63" s="56">
        <v>-0.17572499999999999</v>
      </c>
      <c r="H63" s="2" t="s">
        <v>48</v>
      </c>
      <c r="I63" s="7"/>
      <c r="J63" s="27"/>
      <c r="K63" s="26"/>
    </row>
    <row r="64" spans="1:11" s="28" customFormat="1" x14ac:dyDescent="0.25">
      <c r="A64" s="7"/>
      <c r="B64" s="4" t="s">
        <v>181</v>
      </c>
      <c r="C64" s="2">
        <v>1</v>
      </c>
      <c r="D64" s="2">
        <v>3.92</v>
      </c>
      <c r="E64" s="2">
        <v>0.375</v>
      </c>
      <c r="F64" s="2">
        <v>0.33</v>
      </c>
      <c r="G64" s="56">
        <v>-0.48510000000000003</v>
      </c>
      <c r="H64" s="2" t="s">
        <v>48</v>
      </c>
      <c r="I64" s="7"/>
      <c r="J64" s="27"/>
      <c r="K64" s="26"/>
    </row>
    <row r="65" spans="1:11" s="28" customFormat="1" x14ac:dyDescent="0.25">
      <c r="A65" s="7"/>
      <c r="B65" s="4"/>
      <c r="C65" s="2"/>
      <c r="D65" s="2"/>
      <c r="E65" s="2"/>
      <c r="F65" s="2"/>
      <c r="G65" s="56"/>
      <c r="H65" s="2"/>
      <c r="I65" s="7"/>
      <c r="J65" s="27"/>
      <c r="K65" s="26"/>
    </row>
    <row r="66" spans="1:11" s="28" customFormat="1" x14ac:dyDescent="0.25">
      <c r="A66" s="7"/>
      <c r="B66" s="26" t="s">
        <v>164</v>
      </c>
      <c r="C66" s="2"/>
      <c r="D66" s="2"/>
      <c r="E66" s="2"/>
      <c r="F66" s="2"/>
      <c r="G66" s="56"/>
      <c r="H66" s="2"/>
      <c r="I66" s="7"/>
      <c r="J66" s="27"/>
      <c r="K66" s="26"/>
    </row>
    <row r="67" spans="1:11" s="28" customFormat="1" x14ac:dyDescent="0.25">
      <c r="A67" s="7"/>
      <c r="B67" s="26" t="s">
        <v>179</v>
      </c>
      <c r="C67" s="2"/>
      <c r="D67" s="2"/>
      <c r="E67" s="2"/>
      <c r="F67" s="2"/>
      <c r="G67" s="56"/>
      <c r="H67" s="2"/>
      <c r="I67" s="7"/>
      <c r="J67" s="27"/>
      <c r="K67" s="26"/>
    </row>
    <row r="68" spans="1:11" s="28" customFormat="1" x14ac:dyDescent="0.25">
      <c r="A68" s="7"/>
      <c r="B68" s="26" t="s">
        <v>152</v>
      </c>
      <c r="C68" s="2"/>
      <c r="D68" s="2"/>
      <c r="E68" s="2"/>
      <c r="F68" s="2"/>
      <c r="G68" s="56"/>
      <c r="H68" s="2"/>
      <c r="I68" s="7"/>
      <c r="J68" s="27"/>
      <c r="K68" s="26"/>
    </row>
    <row r="69" spans="1:11" s="28" customFormat="1" x14ac:dyDescent="0.25">
      <c r="A69" s="7"/>
      <c r="B69" s="4" t="s">
        <v>165</v>
      </c>
      <c r="C69" s="2"/>
      <c r="D69" s="2"/>
      <c r="E69" s="2"/>
      <c r="F69" s="2"/>
      <c r="G69" s="56"/>
      <c r="H69" s="2"/>
      <c r="I69" s="7"/>
      <c r="J69" s="27"/>
      <c r="K69" s="26"/>
    </row>
    <row r="70" spans="1:11" s="28" customFormat="1" x14ac:dyDescent="0.25">
      <c r="A70" s="7"/>
      <c r="B70" s="4" t="s">
        <v>180</v>
      </c>
      <c r="C70" s="2">
        <v>2</v>
      </c>
      <c r="D70" s="2">
        <v>15</v>
      </c>
      <c r="E70" s="2">
        <v>0.75</v>
      </c>
      <c r="F70" s="2">
        <v>0.33</v>
      </c>
      <c r="G70" s="56">
        <v>-7.4250000000000007</v>
      </c>
      <c r="H70" s="2" t="s">
        <v>48</v>
      </c>
      <c r="I70" s="7"/>
      <c r="J70" s="27"/>
      <c r="K70" s="26"/>
    </row>
    <row r="71" spans="1:11" s="28" customFormat="1" x14ac:dyDescent="0.25">
      <c r="A71" s="7"/>
      <c r="B71" s="4" t="s">
        <v>181</v>
      </c>
      <c r="C71" s="2">
        <v>2</v>
      </c>
      <c r="D71" s="2">
        <v>15</v>
      </c>
      <c r="E71" s="2">
        <v>0.75</v>
      </c>
      <c r="F71" s="2">
        <v>0.33</v>
      </c>
      <c r="G71" s="56">
        <v>-7.4250000000000007</v>
      </c>
      <c r="H71" s="2" t="s">
        <v>48</v>
      </c>
      <c r="I71" s="7"/>
      <c r="J71" s="27"/>
      <c r="K71" s="26"/>
    </row>
    <row r="72" spans="1:11" s="28" customFormat="1" x14ac:dyDescent="0.25">
      <c r="A72" s="7"/>
      <c r="B72" s="26" t="s">
        <v>160</v>
      </c>
      <c r="C72" s="2"/>
      <c r="D72" s="2"/>
      <c r="E72" s="2"/>
      <c r="F72" s="2"/>
      <c r="G72" s="56"/>
      <c r="H72" s="2"/>
      <c r="I72" s="7"/>
      <c r="J72" s="27"/>
      <c r="K72" s="26"/>
    </row>
    <row r="73" spans="1:11" s="28" customFormat="1" x14ac:dyDescent="0.25">
      <c r="A73" s="7"/>
      <c r="B73" s="4" t="s">
        <v>166</v>
      </c>
      <c r="C73" s="2"/>
      <c r="D73" s="2"/>
      <c r="E73" s="2"/>
      <c r="F73" s="2"/>
      <c r="G73" s="56"/>
      <c r="H73" s="2"/>
      <c r="I73" s="7"/>
      <c r="J73" s="27"/>
      <c r="K73" s="26"/>
    </row>
    <row r="74" spans="1:11" s="28" customFormat="1" x14ac:dyDescent="0.25">
      <c r="A74" s="7"/>
      <c r="B74" s="4" t="s">
        <v>180</v>
      </c>
      <c r="C74" s="2">
        <v>2</v>
      </c>
      <c r="D74" s="2">
        <v>19</v>
      </c>
      <c r="E74" s="2">
        <v>0.75</v>
      </c>
      <c r="F74" s="2">
        <v>0.33</v>
      </c>
      <c r="G74" s="56">
        <v>-9.4050000000000011</v>
      </c>
      <c r="H74" s="2" t="s">
        <v>48</v>
      </c>
      <c r="I74" s="7"/>
      <c r="J74" s="27"/>
      <c r="K74" s="26"/>
    </row>
    <row r="75" spans="1:11" s="28" customFormat="1" x14ac:dyDescent="0.25">
      <c r="A75" s="7"/>
      <c r="B75" s="4" t="s">
        <v>181</v>
      </c>
      <c r="C75" s="2">
        <v>2</v>
      </c>
      <c r="D75" s="2">
        <v>22</v>
      </c>
      <c r="E75" s="2">
        <v>0.75</v>
      </c>
      <c r="F75" s="2">
        <v>0.33</v>
      </c>
      <c r="G75" s="56">
        <v>-10.89</v>
      </c>
      <c r="H75" s="2" t="s">
        <v>48</v>
      </c>
      <c r="I75" s="7"/>
      <c r="J75" s="27"/>
      <c r="K75" s="26"/>
    </row>
    <row r="76" spans="1:11" s="28" customFormat="1" x14ac:dyDescent="0.25">
      <c r="A76" s="7"/>
      <c r="B76" s="26" t="s">
        <v>178</v>
      </c>
      <c r="C76" s="2"/>
      <c r="D76" s="2"/>
      <c r="E76" s="2"/>
      <c r="F76" s="2"/>
      <c r="G76" s="56"/>
      <c r="H76" s="2"/>
      <c r="I76" s="7"/>
      <c r="J76" s="27"/>
      <c r="K76" s="26"/>
    </row>
    <row r="77" spans="1:11" s="28" customFormat="1" x14ac:dyDescent="0.25">
      <c r="A77" s="7"/>
      <c r="B77" s="26" t="s">
        <v>152</v>
      </c>
      <c r="C77" s="2"/>
      <c r="D77" s="2"/>
      <c r="E77" s="2"/>
      <c r="F77" s="2"/>
      <c r="G77" s="56"/>
      <c r="H77" s="2"/>
      <c r="I77" s="7"/>
      <c r="J77" s="27"/>
      <c r="K77" s="26"/>
    </row>
    <row r="78" spans="1:11" s="28" customFormat="1" x14ac:dyDescent="0.25">
      <c r="A78" s="7"/>
      <c r="B78" s="4" t="s">
        <v>177</v>
      </c>
      <c r="C78" s="2"/>
      <c r="D78" s="2"/>
      <c r="E78" s="2"/>
      <c r="F78" s="2"/>
      <c r="G78" s="56"/>
      <c r="H78" s="2"/>
      <c r="I78" s="7"/>
      <c r="J78" s="27"/>
      <c r="K78" s="26"/>
    </row>
    <row r="79" spans="1:11" s="28" customFormat="1" x14ac:dyDescent="0.25">
      <c r="A79" s="7"/>
      <c r="B79" s="4" t="s">
        <v>180</v>
      </c>
      <c r="C79" s="2">
        <v>1</v>
      </c>
      <c r="D79" s="2">
        <v>12</v>
      </c>
      <c r="E79" s="2">
        <v>0.375</v>
      </c>
      <c r="F79" s="2">
        <v>0.33</v>
      </c>
      <c r="G79" s="56">
        <v>-1.4850000000000001</v>
      </c>
      <c r="H79" s="2" t="s">
        <v>48</v>
      </c>
      <c r="I79" s="7"/>
      <c r="J79" s="27"/>
      <c r="K79" s="26"/>
    </row>
    <row r="80" spans="1:11" s="28" customFormat="1" x14ac:dyDescent="0.25">
      <c r="A80" s="7"/>
      <c r="B80" s="4" t="s">
        <v>181</v>
      </c>
      <c r="C80" s="2">
        <v>1</v>
      </c>
      <c r="D80" s="2">
        <v>15</v>
      </c>
      <c r="E80" s="2">
        <v>0.375</v>
      </c>
      <c r="F80" s="2">
        <v>0.33</v>
      </c>
      <c r="G80" s="56">
        <v>-1.8562500000000002</v>
      </c>
      <c r="H80" s="2" t="s">
        <v>48</v>
      </c>
      <c r="I80" s="7"/>
      <c r="J80" s="27"/>
      <c r="K80" s="26"/>
    </row>
    <row r="81" spans="1:11" s="28" customFormat="1" x14ac:dyDescent="0.25">
      <c r="A81" s="7"/>
      <c r="B81" s="4" t="s">
        <v>172</v>
      </c>
      <c r="C81" s="2"/>
      <c r="D81" s="2"/>
      <c r="E81" s="2"/>
      <c r="F81" s="2"/>
      <c r="G81" s="56"/>
      <c r="H81" s="2"/>
      <c r="I81" s="7"/>
      <c r="J81" s="27"/>
      <c r="K81" s="26"/>
    </row>
    <row r="82" spans="1:11" s="28" customFormat="1" x14ac:dyDescent="0.25">
      <c r="A82" s="7"/>
      <c r="B82" s="4" t="s">
        <v>180</v>
      </c>
      <c r="C82" s="2">
        <v>1</v>
      </c>
      <c r="D82" s="2">
        <v>9.33</v>
      </c>
      <c r="E82" s="2">
        <v>0.375</v>
      </c>
      <c r="F82" s="2">
        <v>0.33</v>
      </c>
      <c r="G82" s="56">
        <v>-1.1545875000000001</v>
      </c>
      <c r="H82" s="2" t="s">
        <v>48</v>
      </c>
      <c r="I82" s="7"/>
      <c r="J82" s="27"/>
      <c r="K82" s="26"/>
    </row>
    <row r="83" spans="1:11" s="28" customFormat="1" x14ac:dyDescent="0.25">
      <c r="A83" s="7"/>
      <c r="B83" s="4" t="s">
        <v>181</v>
      </c>
      <c r="C83" s="2">
        <v>1</v>
      </c>
      <c r="D83" s="2">
        <v>9.33</v>
      </c>
      <c r="E83" s="2">
        <v>0.375</v>
      </c>
      <c r="F83" s="2">
        <v>0.33</v>
      </c>
      <c r="G83" s="56">
        <v>-1.1545875000000001</v>
      </c>
      <c r="H83" s="2" t="s">
        <v>48</v>
      </c>
      <c r="I83" s="7"/>
      <c r="J83" s="27"/>
      <c r="K83" s="26"/>
    </row>
    <row r="84" spans="1:11" s="28" customFormat="1" x14ac:dyDescent="0.25">
      <c r="A84" s="7"/>
      <c r="B84" s="26" t="s">
        <v>160</v>
      </c>
      <c r="C84" s="2"/>
      <c r="D84" s="2"/>
      <c r="E84" s="2"/>
      <c r="F84" s="2"/>
      <c r="G84" s="56"/>
      <c r="H84" s="2"/>
      <c r="I84" s="7"/>
      <c r="J84" s="27"/>
      <c r="K84" s="26"/>
    </row>
    <row r="85" spans="1:11" s="28" customFormat="1" x14ac:dyDescent="0.25">
      <c r="A85" s="7"/>
      <c r="B85" s="4" t="s">
        <v>172</v>
      </c>
      <c r="C85" s="2"/>
      <c r="D85" s="2"/>
      <c r="E85" s="2"/>
      <c r="F85" s="2"/>
      <c r="G85" s="56"/>
      <c r="H85" s="2"/>
      <c r="I85" s="7"/>
      <c r="J85" s="27"/>
      <c r="K85" s="26"/>
    </row>
    <row r="86" spans="1:11" s="28" customFormat="1" x14ac:dyDescent="0.25">
      <c r="A86" s="7"/>
      <c r="B86" s="4" t="s">
        <v>180</v>
      </c>
      <c r="C86" s="2">
        <v>1</v>
      </c>
      <c r="D86" s="2">
        <v>1.42</v>
      </c>
      <c r="E86" s="2">
        <v>0.375</v>
      </c>
      <c r="F86" s="2">
        <v>0.33</v>
      </c>
      <c r="G86" s="56">
        <v>-0.17572499999999999</v>
      </c>
      <c r="H86" s="2" t="s">
        <v>48</v>
      </c>
      <c r="I86" s="7"/>
      <c r="J86" s="27"/>
      <c r="K86" s="26"/>
    </row>
    <row r="87" spans="1:11" s="28" customFormat="1" x14ac:dyDescent="0.25">
      <c r="A87" s="7"/>
      <c r="B87" s="4" t="s">
        <v>181</v>
      </c>
      <c r="C87" s="2">
        <v>1</v>
      </c>
      <c r="D87" s="2">
        <v>3.92</v>
      </c>
      <c r="E87" s="2">
        <v>0.375</v>
      </c>
      <c r="F87" s="2">
        <v>0.33</v>
      </c>
      <c r="G87" s="56">
        <v>-0.48510000000000003</v>
      </c>
      <c r="H87" s="2" t="s">
        <v>48</v>
      </c>
      <c r="I87" s="7"/>
      <c r="J87" s="27"/>
      <c r="K87" s="26"/>
    </row>
    <row r="88" spans="1:11" s="28" customFormat="1" x14ac:dyDescent="0.25">
      <c r="A88" s="7"/>
      <c r="B88" s="4"/>
      <c r="C88" s="2"/>
      <c r="D88" s="2"/>
      <c r="E88" s="2"/>
      <c r="F88" s="2"/>
      <c r="G88" s="56"/>
      <c r="H88" s="2"/>
      <c r="I88" s="7"/>
      <c r="J88" s="27"/>
      <c r="K88" s="26"/>
    </row>
    <row r="89" spans="1:11" s="28" customFormat="1" x14ac:dyDescent="0.25">
      <c r="A89" s="7"/>
      <c r="B89" s="4"/>
      <c r="C89" s="7"/>
      <c r="D89" s="7"/>
      <c r="E89" s="7"/>
      <c r="F89" s="7"/>
      <c r="G89" s="44">
        <v>1808.5917750000003</v>
      </c>
      <c r="H89" s="7" t="s">
        <v>48</v>
      </c>
      <c r="I89" s="7"/>
      <c r="J89" s="27"/>
      <c r="K89" s="26"/>
    </row>
    <row r="90" spans="1:11" s="28" customFormat="1" x14ac:dyDescent="0.25">
      <c r="A90" s="7"/>
      <c r="B90" s="26"/>
      <c r="C90" s="7"/>
      <c r="D90" s="7"/>
      <c r="E90" s="7"/>
      <c r="F90" s="7"/>
      <c r="G90" s="44">
        <v>51.213615840227995</v>
      </c>
      <c r="H90" s="7" t="s">
        <v>56</v>
      </c>
      <c r="I90" s="7"/>
      <c r="J90" s="27">
        <v>0</v>
      </c>
      <c r="K90" s="26"/>
    </row>
    <row r="91" spans="1:11" x14ac:dyDescent="0.25">
      <c r="A91" s="7"/>
      <c r="B91" s="7"/>
      <c r="C91" s="2"/>
      <c r="D91" s="2"/>
      <c r="E91" s="2"/>
      <c r="F91" s="2"/>
      <c r="G91" s="45"/>
      <c r="H91" s="7"/>
      <c r="I91" s="37" t="s">
        <v>10</v>
      </c>
      <c r="J91" s="40">
        <v>0</v>
      </c>
      <c r="K91" s="2" t="s">
        <v>24</v>
      </c>
    </row>
    <row r="92" spans="1:11" x14ac:dyDescent="0.25">
      <c r="A92" s="28"/>
      <c r="B92" s="28"/>
      <c r="G92" s="46"/>
      <c r="H92" s="28"/>
      <c r="J92"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view="pageBreakPreview" topLeftCell="A5" zoomScaleSheetLayoutView="100" workbookViewId="0">
      <pane ySplit="5" topLeftCell="A46" activePane="bottomLeft" state="frozen"/>
      <selection activeCell="A5" sqref="A5"/>
      <selection pane="bottomLeft" activeCell="B63" sqref="B63"/>
    </sheetView>
  </sheetViews>
  <sheetFormatPr defaultColWidth="9.140625" defaultRowHeight="15" x14ac:dyDescent="0.25"/>
  <cols>
    <col min="1" max="1" width="6.140625" style="20" customWidth="1"/>
    <col min="2" max="2" width="44.85546875" style="20" customWidth="1"/>
    <col min="3" max="3" width="4.85546875" style="20" bestFit="1" customWidth="1"/>
    <col min="4" max="4" width="7.85546875" style="20" bestFit="1" customWidth="1"/>
    <col min="5" max="5" width="8.7109375" style="20" bestFit="1" customWidth="1"/>
    <col min="6" max="6" width="7.5703125" style="20" bestFit="1" customWidth="1"/>
    <col min="7" max="7" width="9.42578125" style="32" bestFit="1" customWidth="1"/>
    <col min="8" max="8" width="5" style="20" bestFit="1" customWidth="1"/>
    <col min="9" max="9" width="10.5703125" style="20" customWidth="1"/>
    <col min="10" max="10" width="12"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customFormat="1" x14ac:dyDescent="0.25">
      <c r="A10" s="47"/>
      <c r="B10" s="50" t="s">
        <v>62</v>
      </c>
      <c r="C10" s="47"/>
      <c r="D10" s="47"/>
      <c r="E10" s="47"/>
      <c r="F10" s="47"/>
      <c r="G10" s="48"/>
      <c r="H10" s="47"/>
      <c r="I10" s="47"/>
      <c r="J10" s="49"/>
      <c r="K10" s="47"/>
    </row>
    <row r="11" spans="1:11" s="28" customFormat="1" x14ac:dyDescent="0.2">
      <c r="A11" s="7"/>
      <c r="B11" s="39" t="s">
        <v>60</v>
      </c>
      <c r="C11" s="7"/>
      <c r="D11" s="7"/>
      <c r="E11" s="7"/>
      <c r="F11" s="7"/>
      <c r="G11" s="44"/>
      <c r="H11" s="7"/>
      <c r="I11" s="7"/>
      <c r="J11" s="27"/>
      <c r="K11" s="26"/>
    </row>
    <row r="12" spans="1:11" s="28" customFormat="1" x14ac:dyDescent="0.25">
      <c r="A12" s="7"/>
      <c r="B12" s="38" t="s">
        <v>63</v>
      </c>
      <c r="C12" s="7"/>
      <c r="D12" s="7"/>
      <c r="E12" s="7"/>
      <c r="F12" s="7"/>
      <c r="G12" s="44"/>
      <c r="H12" s="7"/>
      <c r="I12" s="7"/>
      <c r="J12" s="27"/>
      <c r="K12" s="26"/>
    </row>
    <row r="13" spans="1:11" s="28" customFormat="1" x14ac:dyDescent="0.25">
      <c r="A13" s="7"/>
      <c r="B13" s="41" t="s">
        <v>66</v>
      </c>
      <c r="C13" s="7"/>
      <c r="D13" s="7"/>
      <c r="E13" s="7"/>
      <c r="F13" s="7"/>
      <c r="G13" s="44"/>
      <c r="H13" s="7"/>
      <c r="I13" s="7"/>
      <c r="J13" s="27"/>
      <c r="K13" s="26"/>
    </row>
    <row r="14" spans="1:11" s="28" customFormat="1" ht="30" x14ac:dyDescent="0.25">
      <c r="A14" s="7"/>
      <c r="B14" s="4" t="s">
        <v>64</v>
      </c>
      <c r="C14" s="2">
        <v>6</v>
      </c>
      <c r="D14" s="2">
        <v>10.33</v>
      </c>
      <c r="E14" s="2">
        <v>0.75</v>
      </c>
      <c r="F14" s="2">
        <f>3.58</f>
        <v>3.58</v>
      </c>
      <c r="G14" s="56">
        <f>PRODUCT(C14:F14)</f>
        <v>166.41630000000001</v>
      </c>
      <c r="H14" s="2" t="s">
        <v>48</v>
      </c>
      <c r="I14" s="7"/>
      <c r="J14" s="27"/>
      <c r="K14" s="26"/>
    </row>
    <row r="15" spans="1:11" s="28" customFormat="1" x14ac:dyDescent="0.25">
      <c r="A15" s="7"/>
      <c r="B15" s="4" t="s">
        <v>61</v>
      </c>
      <c r="C15" s="2">
        <v>3</v>
      </c>
      <c r="D15" s="2">
        <f>3.33</f>
        <v>3.33</v>
      </c>
      <c r="E15" s="2">
        <v>0.75</v>
      </c>
      <c r="F15" s="2">
        <v>3.58</v>
      </c>
      <c r="G15" s="56">
        <f>PRODUCT(C15:F15)</f>
        <v>26.823149999999998</v>
      </c>
      <c r="H15" s="2" t="s">
        <v>48</v>
      </c>
      <c r="I15" s="7"/>
      <c r="J15" s="27"/>
      <c r="K15" s="26"/>
    </row>
    <row r="16" spans="1:11" s="28" customFormat="1" x14ac:dyDescent="0.25">
      <c r="A16" s="7"/>
      <c r="B16" s="41" t="s">
        <v>67</v>
      </c>
      <c r="C16" s="2"/>
      <c r="D16" s="2"/>
      <c r="E16" s="2"/>
      <c r="F16" s="2"/>
      <c r="G16" s="56"/>
      <c r="H16" s="2"/>
      <c r="I16" s="7"/>
      <c r="J16" s="27"/>
      <c r="K16" s="26"/>
    </row>
    <row r="17" spans="1:11" s="28" customFormat="1" x14ac:dyDescent="0.25">
      <c r="A17" s="7"/>
      <c r="B17" s="4" t="s">
        <v>65</v>
      </c>
      <c r="C17" s="2">
        <v>4</v>
      </c>
      <c r="D17" s="2">
        <v>10.33</v>
      </c>
      <c r="E17" s="2">
        <v>0.75</v>
      </c>
      <c r="F17" s="2">
        <v>3.58</v>
      </c>
      <c r="G17" s="56">
        <f>PRODUCT(C17:F17)</f>
        <v>110.94420000000001</v>
      </c>
      <c r="H17" s="2" t="s">
        <v>48</v>
      </c>
      <c r="I17" s="7"/>
      <c r="J17" s="27"/>
      <c r="K17" s="26"/>
    </row>
    <row r="18" spans="1:11" s="28" customFormat="1" x14ac:dyDescent="0.25">
      <c r="A18" s="7"/>
      <c r="B18" s="4"/>
      <c r="C18" s="2"/>
      <c r="D18" s="2"/>
      <c r="E18" s="2"/>
      <c r="F18" s="2"/>
      <c r="G18" s="56"/>
      <c r="H18" s="2"/>
      <c r="I18" s="7"/>
      <c r="J18" s="27"/>
      <c r="K18" s="26"/>
    </row>
    <row r="19" spans="1:11" s="28" customFormat="1" x14ac:dyDescent="0.25">
      <c r="A19" s="7"/>
      <c r="B19" s="26" t="s">
        <v>158</v>
      </c>
      <c r="C19" s="2"/>
      <c r="D19" s="2"/>
      <c r="E19" s="2"/>
      <c r="F19" s="2"/>
      <c r="G19" s="56"/>
      <c r="H19" s="2"/>
      <c r="I19" s="7"/>
      <c r="J19" s="27"/>
      <c r="K19" s="26"/>
    </row>
    <row r="20" spans="1:11" s="28" customFormat="1" x14ac:dyDescent="0.25">
      <c r="A20" s="7"/>
      <c r="B20" s="26" t="s">
        <v>152</v>
      </c>
      <c r="C20" s="2"/>
      <c r="D20" s="2"/>
      <c r="E20" s="2"/>
      <c r="F20" s="2"/>
      <c r="G20" s="56"/>
      <c r="H20" s="2"/>
      <c r="I20" s="7"/>
      <c r="J20" s="27"/>
      <c r="K20" s="26"/>
    </row>
    <row r="21" spans="1:11" s="28" customFormat="1" x14ac:dyDescent="0.25">
      <c r="A21" s="7"/>
      <c r="B21" s="4" t="s">
        <v>153</v>
      </c>
      <c r="C21" s="2">
        <v>2</v>
      </c>
      <c r="D21" s="2">
        <v>26</v>
      </c>
      <c r="E21" s="2">
        <v>0.75</v>
      </c>
      <c r="F21" s="2">
        <f>9.33-1.17</f>
        <v>8.16</v>
      </c>
      <c r="G21" s="56">
        <f>PRODUCT(C21:F21)</f>
        <v>318.24</v>
      </c>
      <c r="H21" s="2" t="s">
        <v>48</v>
      </c>
      <c r="I21" s="7"/>
      <c r="J21" s="27"/>
      <c r="K21" s="26"/>
    </row>
    <row r="22" spans="1:11" s="28" customFormat="1" x14ac:dyDescent="0.25">
      <c r="A22" s="7"/>
      <c r="B22" s="4" t="s">
        <v>156</v>
      </c>
      <c r="C22" s="2">
        <v>-2</v>
      </c>
      <c r="D22" s="2">
        <f>22</f>
        <v>22</v>
      </c>
      <c r="E22" s="2">
        <v>0.75</v>
      </c>
      <c r="F22" s="2">
        <v>0.33</v>
      </c>
      <c r="G22" s="56">
        <f>PRODUCT(C22:F22)</f>
        <v>-10.89</v>
      </c>
      <c r="H22" s="2" t="s">
        <v>48</v>
      </c>
      <c r="I22" s="7"/>
      <c r="J22" s="27"/>
      <c r="K22" s="26"/>
    </row>
    <row r="23" spans="1:11" s="28" customFormat="1" x14ac:dyDescent="0.25">
      <c r="A23" s="7"/>
      <c r="B23" s="4" t="s">
        <v>157</v>
      </c>
      <c r="C23" s="2">
        <v>-2</v>
      </c>
      <c r="D23" s="2">
        <v>26</v>
      </c>
      <c r="E23" s="2">
        <v>0.75</v>
      </c>
      <c r="F23" s="2">
        <v>0.33</v>
      </c>
      <c r="G23" s="56">
        <f>PRODUCT(C23:F23)</f>
        <v>-12.870000000000001</v>
      </c>
      <c r="H23" s="2" t="s">
        <v>48</v>
      </c>
      <c r="I23" s="7"/>
      <c r="J23" s="27"/>
      <c r="K23" s="26"/>
    </row>
    <row r="24" spans="1:11" s="28" customFormat="1" ht="14.25" customHeight="1" x14ac:dyDescent="0.25">
      <c r="A24" s="7"/>
      <c r="B24" s="4" t="s">
        <v>154</v>
      </c>
      <c r="C24" s="2">
        <v>-3</v>
      </c>
      <c r="D24" s="2">
        <v>6</v>
      </c>
      <c r="E24" s="2">
        <v>0.75</v>
      </c>
      <c r="F24" s="2">
        <v>4.5</v>
      </c>
      <c r="G24" s="56">
        <f>PRODUCT(C24:F24)</f>
        <v>-60.75</v>
      </c>
      <c r="H24" s="2" t="s">
        <v>48</v>
      </c>
      <c r="I24" s="7"/>
      <c r="J24" s="27"/>
      <c r="K24" s="26"/>
    </row>
    <row r="25" spans="1:11" s="28" customFormat="1" x14ac:dyDescent="0.25">
      <c r="A25" s="7"/>
      <c r="B25" s="4" t="s">
        <v>155</v>
      </c>
      <c r="C25" s="2">
        <v>-2</v>
      </c>
      <c r="D25" s="2">
        <v>4</v>
      </c>
      <c r="E25" s="2">
        <v>0.75</v>
      </c>
      <c r="F25" s="2">
        <v>7</v>
      </c>
      <c r="G25" s="56">
        <f>PRODUCT(C25:F25)</f>
        <v>-42</v>
      </c>
      <c r="H25" s="2" t="s">
        <v>48</v>
      </c>
      <c r="I25" s="7"/>
      <c r="J25" s="27"/>
      <c r="K25" s="26"/>
    </row>
    <row r="26" spans="1:11" s="28" customFormat="1" x14ac:dyDescent="0.25">
      <c r="A26" s="7"/>
      <c r="B26" s="26" t="s">
        <v>160</v>
      </c>
      <c r="C26" s="2"/>
      <c r="D26" s="2"/>
      <c r="E26" s="2"/>
      <c r="F26" s="2"/>
      <c r="G26" s="56"/>
      <c r="H26" s="2"/>
      <c r="I26" s="7"/>
      <c r="J26" s="27"/>
      <c r="K26" s="26"/>
    </row>
    <row r="27" spans="1:11" s="28" customFormat="1" x14ac:dyDescent="0.25">
      <c r="A27" s="7"/>
      <c r="B27" s="4" t="s">
        <v>161</v>
      </c>
      <c r="C27" s="2">
        <v>2</v>
      </c>
      <c r="D27" s="2">
        <v>22</v>
      </c>
      <c r="E27" s="2">
        <v>0.75</v>
      </c>
      <c r="F27" s="2">
        <f>9.33-1.17</f>
        <v>8.16</v>
      </c>
      <c r="G27" s="56">
        <f>PRODUCT(C27:F27)</f>
        <v>269.28000000000003</v>
      </c>
      <c r="H27" s="2" t="s">
        <v>48</v>
      </c>
      <c r="I27" s="7"/>
      <c r="J27" s="27"/>
      <c r="K27" s="26"/>
    </row>
    <row r="28" spans="1:11" s="28" customFormat="1" x14ac:dyDescent="0.25">
      <c r="A28" s="7"/>
      <c r="B28" s="4" t="s">
        <v>156</v>
      </c>
      <c r="C28" s="2">
        <v>-2</v>
      </c>
      <c r="D28" s="2">
        <f>22</f>
        <v>22</v>
      </c>
      <c r="E28" s="2">
        <v>0.75</v>
      </c>
      <c r="F28" s="2">
        <v>0.33</v>
      </c>
      <c r="G28" s="56">
        <f>PRODUCT(C28:F28)</f>
        <v>-10.89</v>
      </c>
      <c r="H28" s="2" t="s">
        <v>48</v>
      </c>
      <c r="I28" s="7"/>
      <c r="J28" s="27"/>
      <c r="K28" s="26"/>
    </row>
    <row r="29" spans="1:11" s="28" customFormat="1" x14ac:dyDescent="0.25">
      <c r="A29" s="7"/>
      <c r="B29" s="4" t="s">
        <v>157</v>
      </c>
      <c r="C29" s="2">
        <v>-2</v>
      </c>
      <c r="D29" s="2">
        <v>22</v>
      </c>
      <c r="E29" s="2">
        <v>0.75</v>
      </c>
      <c r="F29" s="2">
        <v>0.33</v>
      </c>
      <c r="G29" s="56">
        <f>PRODUCT(C29:F29)</f>
        <v>-10.89</v>
      </c>
      <c r="H29" s="2" t="s">
        <v>48</v>
      </c>
      <c r="I29" s="7"/>
      <c r="J29" s="27"/>
      <c r="K29" s="26"/>
    </row>
    <row r="30" spans="1:11" s="28" customFormat="1" x14ac:dyDescent="0.25">
      <c r="A30" s="7"/>
      <c r="B30" s="4" t="s">
        <v>154</v>
      </c>
      <c r="C30" s="2">
        <v>-2</v>
      </c>
      <c r="D30" s="2">
        <v>6</v>
      </c>
      <c r="E30" s="2">
        <v>0.75</v>
      </c>
      <c r="F30" s="2">
        <v>4.5</v>
      </c>
      <c r="G30" s="56">
        <f>PRODUCT(C30:F30)</f>
        <v>-40.5</v>
      </c>
      <c r="H30" s="2" t="s">
        <v>48</v>
      </c>
      <c r="I30" s="7"/>
      <c r="J30" s="27"/>
      <c r="K30" s="26"/>
    </row>
    <row r="31" spans="1:11" s="28" customFormat="1" x14ac:dyDescent="0.25">
      <c r="A31" s="7"/>
      <c r="B31" s="4" t="s">
        <v>162</v>
      </c>
      <c r="C31" s="2">
        <v>-3</v>
      </c>
      <c r="D31" s="2">
        <v>3</v>
      </c>
      <c r="E31" s="2">
        <v>0.75</v>
      </c>
      <c r="F31" s="2">
        <v>2</v>
      </c>
      <c r="G31" s="56">
        <f>PRODUCT(C31:F31)</f>
        <v>-13.5</v>
      </c>
      <c r="H31" s="2" t="s">
        <v>48</v>
      </c>
      <c r="I31" s="7"/>
      <c r="J31" s="27"/>
      <c r="K31" s="26"/>
    </row>
    <row r="32" spans="1:11" s="28" customFormat="1" x14ac:dyDescent="0.25">
      <c r="A32" s="7"/>
      <c r="B32" s="4"/>
      <c r="C32" s="2"/>
      <c r="D32" s="2"/>
      <c r="E32" s="2"/>
      <c r="F32" s="2"/>
      <c r="G32" s="56"/>
      <c r="H32" s="2"/>
      <c r="I32" s="7"/>
      <c r="J32" s="27"/>
      <c r="K32" s="26"/>
    </row>
    <row r="33" spans="1:11" s="28" customFormat="1" x14ac:dyDescent="0.25">
      <c r="A33" s="7"/>
      <c r="B33" s="4"/>
      <c r="C33" s="2"/>
      <c r="D33" s="2"/>
      <c r="E33" s="2"/>
      <c r="F33" s="2"/>
      <c r="G33" s="56"/>
      <c r="H33" s="2"/>
      <c r="I33" s="7"/>
      <c r="J33" s="27"/>
      <c r="K33" s="26"/>
    </row>
    <row r="34" spans="1:11" s="28" customFormat="1" x14ac:dyDescent="0.25">
      <c r="A34" s="7"/>
      <c r="B34" s="26" t="s">
        <v>159</v>
      </c>
      <c r="C34" s="2"/>
      <c r="D34" s="2"/>
      <c r="E34" s="2"/>
      <c r="F34" s="2"/>
      <c r="G34" s="56"/>
      <c r="H34" s="2"/>
      <c r="I34" s="7"/>
      <c r="J34" s="27"/>
      <c r="K34" s="26"/>
    </row>
    <row r="35" spans="1:11" s="28" customFormat="1" x14ac:dyDescent="0.25">
      <c r="A35" s="7"/>
      <c r="B35" s="26" t="s">
        <v>152</v>
      </c>
      <c r="C35" s="2"/>
      <c r="D35" s="2"/>
      <c r="E35" s="2"/>
      <c r="F35" s="2"/>
      <c r="G35" s="56"/>
      <c r="H35" s="2"/>
      <c r="I35" s="7"/>
      <c r="J35" s="27"/>
      <c r="K35" s="26"/>
    </row>
    <row r="36" spans="1:11" s="28" customFormat="1" x14ac:dyDescent="0.25">
      <c r="A36" s="7"/>
      <c r="B36" s="4" t="s">
        <v>153</v>
      </c>
      <c r="C36" s="2">
        <v>2</v>
      </c>
      <c r="D36" s="2">
        <v>26</v>
      </c>
      <c r="E36" s="2">
        <v>0.75</v>
      </c>
      <c r="F36" s="2">
        <f>9.33-1.17</f>
        <v>8.16</v>
      </c>
      <c r="G36" s="56">
        <f>PRODUCT(C36:F36)</f>
        <v>318.24</v>
      </c>
      <c r="H36" s="2" t="s">
        <v>48</v>
      </c>
      <c r="I36" s="7"/>
      <c r="J36" s="27"/>
      <c r="K36" s="26"/>
    </row>
    <row r="37" spans="1:11" s="28" customFormat="1" x14ac:dyDescent="0.25">
      <c r="A37" s="7"/>
      <c r="B37" s="4" t="s">
        <v>156</v>
      </c>
      <c r="C37" s="2">
        <v>-2</v>
      </c>
      <c r="D37" s="2">
        <v>26</v>
      </c>
      <c r="E37" s="2">
        <v>0.75</v>
      </c>
      <c r="F37" s="2">
        <v>0.33</v>
      </c>
      <c r="G37" s="56">
        <f>PRODUCT(C37:F37)</f>
        <v>-12.870000000000001</v>
      </c>
      <c r="H37" s="2" t="s">
        <v>48</v>
      </c>
      <c r="I37" s="7"/>
      <c r="J37" s="27"/>
      <c r="K37" s="26"/>
    </row>
    <row r="38" spans="1:11" s="28" customFormat="1" x14ac:dyDescent="0.25">
      <c r="A38" s="7"/>
      <c r="B38" s="4" t="s">
        <v>157</v>
      </c>
      <c r="C38" s="2">
        <v>-2</v>
      </c>
      <c r="D38" s="2">
        <v>26</v>
      </c>
      <c r="E38" s="2">
        <v>0.75</v>
      </c>
      <c r="F38" s="2">
        <v>0.33</v>
      </c>
      <c r="G38" s="56">
        <f>PRODUCT(C38:F38)</f>
        <v>-12.870000000000001</v>
      </c>
      <c r="H38" s="2" t="s">
        <v>48</v>
      </c>
      <c r="I38" s="7"/>
      <c r="J38" s="27"/>
      <c r="K38" s="26"/>
    </row>
    <row r="39" spans="1:11" s="28" customFormat="1" x14ac:dyDescent="0.25">
      <c r="A39" s="7"/>
      <c r="B39" s="4" t="s">
        <v>154</v>
      </c>
      <c r="C39" s="2">
        <v>-3</v>
      </c>
      <c r="D39" s="2">
        <v>6</v>
      </c>
      <c r="E39" s="2">
        <v>0.75</v>
      </c>
      <c r="F39" s="2">
        <v>4.5</v>
      </c>
      <c r="G39" s="56">
        <f>PRODUCT(C39:F39)</f>
        <v>-60.75</v>
      </c>
      <c r="H39" s="2" t="s">
        <v>48</v>
      </c>
      <c r="I39" s="7"/>
      <c r="J39" s="27"/>
      <c r="K39" s="26"/>
    </row>
    <row r="40" spans="1:11" s="28" customFormat="1" x14ac:dyDescent="0.25">
      <c r="A40" s="7"/>
      <c r="B40" s="4" t="s">
        <v>163</v>
      </c>
      <c r="C40" s="2">
        <v>-2</v>
      </c>
      <c r="D40" s="2">
        <v>6</v>
      </c>
      <c r="E40" s="2">
        <v>0.75</v>
      </c>
      <c r="F40" s="2">
        <v>4.5</v>
      </c>
      <c r="G40" s="56">
        <f>PRODUCT(C40:F40)</f>
        <v>-40.5</v>
      </c>
      <c r="H40" s="2" t="s">
        <v>48</v>
      </c>
      <c r="I40" s="7"/>
      <c r="J40" s="27"/>
      <c r="K40" s="26"/>
    </row>
    <row r="41" spans="1:11" s="28" customFormat="1" x14ac:dyDescent="0.25">
      <c r="A41" s="7"/>
      <c r="B41" s="26" t="s">
        <v>160</v>
      </c>
      <c r="C41" s="2"/>
      <c r="D41" s="2"/>
      <c r="E41" s="2"/>
      <c r="F41" s="2"/>
      <c r="G41" s="56"/>
      <c r="H41" s="2"/>
      <c r="I41" s="7"/>
      <c r="J41" s="27"/>
      <c r="K41" s="26"/>
    </row>
    <row r="42" spans="1:11" s="28" customFormat="1" x14ac:dyDescent="0.25">
      <c r="A42" s="7"/>
      <c r="B42" s="4" t="s">
        <v>161</v>
      </c>
      <c r="C42" s="2">
        <v>2</v>
      </c>
      <c r="D42" s="2">
        <v>22</v>
      </c>
      <c r="E42" s="2">
        <v>0.75</v>
      </c>
      <c r="F42" s="2">
        <f>9.33-1.17</f>
        <v>8.16</v>
      </c>
      <c r="G42" s="56">
        <f>PRODUCT(C42:F42)</f>
        <v>269.28000000000003</v>
      </c>
      <c r="H42" s="2" t="s">
        <v>48</v>
      </c>
      <c r="I42" s="7"/>
      <c r="J42" s="27"/>
      <c r="K42" s="26"/>
    </row>
    <row r="43" spans="1:11" s="28" customFormat="1" x14ac:dyDescent="0.25">
      <c r="A43" s="7"/>
      <c r="B43" s="4" t="s">
        <v>156</v>
      </c>
      <c r="C43" s="2">
        <v>-2</v>
      </c>
      <c r="D43" s="2">
        <f>22</f>
        <v>22</v>
      </c>
      <c r="E43" s="2">
        <v>0.75</v>
      </c>
      <c r="F43" s="2">
        <v>0.33</v>
      </c>
      <c r="G43" s="56">
        <f>PRODUCT(C43:F43)</f>
        <v>-10.89</v>
      </c>
      <c r="H43" s="2" t="s">
        <v>48</v>
      </c>
      <c r="I43" s="7"/>
      <c r="J43" s="27"/>
      <c r="K43" s="26"/>
    </row>
    <row r="44" spans="1:11" s="28" customFormat="1" x14ac:dyDescent="0.25">
      <c r="A44" s="7"/>
      <c r="B44" s="4" t="s">
        <v>157</v>
      </c>
      <c r="C44" s="2">
        <v>-2</v>
      </c>
      <c r="D44" s="2">
        <v>22</v>
      </c>
      <c r="E44" s="2">
        <v>0.75</v>
      </c>
      <c r="F44" s="2">
        <v>0.33</v>
      </c>
      <c r="G44" s="56">
        <f>PRODUCT(C44:F44)</f>
        <v>-10.89</v>
      </c>
      <c r="H44" s="2" t="s">
        <v>48</v>
      </c>
      <c r="I44" s="7"/>
      <c r="J44" s="27"/>
      <c r="K44" s="26"/>
    </row>
    <row r="45" spans="1:11" s="28" customFormat="1" x14ac:dyDescent="0.25">
      <c r="A45" s="7"/>
      <c r="B45" s="4" t="s">
        <v>154</v>
      </c>
      <c r="C45" s="2">
        <v>-3</v>
      </c>
      <c r="D45" s="2">
        <v>6</v>
      </c>
      <c r="E45" s="2">
        <v>0.75</v>
      </c>
      <c r="F45" s="2">
        <v>4.5</v>
      </c>
      <c r="G45" s="56">
        <f>PRODUCT(C45:F45)</f>
        <v>-60.75</v>
      </c>
      <c r="H45" s="2" t="s">
        <v>48</v>
      </c>
      <c r="I45" s="7"/>
      <c r="J45" s="27"/>
      <c r="K45" s="26"/>
    </row>
    <row r="46" spans="1:11" s="28" customFormat="1" x14ac:dyDescent="0.25">
      <c r="A46" s="7"/>
      <c r="B46" s="4" t="s">
        <v>162</v>
      </c>
      <c r="C46" s="2">
        <v>-2</v>
      </c>
      <c r="D46" s="2">
        <v>3</v>
      </c>
      <c r="E46" s="2">
        <v>0.75</v>
      </c>
      <c r="F46" s="2">
        <v>2</v>
      </c>
      <c r="G46" s="56">
        <f>PRODUCT(C46:F46)</f>
        <v>-9</v>
      </c>
      <c r="H46" s="2" t="s">
        <v>48</v>
      </c>
      <c r="I46" s="7"/>
      <c r="J46" s="27"/>
      <c r="K46" s="26"/>
    </row>
    <row r="47" spans="1:11" s="28" customFormat="1" x14ac:dyDescent="0.25">
      <c r="A47" s="7"/>
      <c r="B47" s="4"/>
      <c r="C47" s="2"/>
      <c r="D47" s="2"/>
      <c r="E47" s="2"/>
      <c r="F47" s="2"/>
      <c r="G47" s="56"/>
      <c r="H47" s="2"/>
      <c r="I47" s="7"/>
      <c r="J47" s="27"/>
      <c r="K47" s="26"/>
    </row>
    <row r="48" spans="1:11" s="28" customFormat="1" x14ac:dyDescent="0.25">
      <c r="A48" s="7"/>
      <c r="B48" s="26" t="s">
        <v>164</v>
      </c>
      <c r="C48" s="2"/>
      <c r="D48" s="2"/>
      <c r="E48" s="2"/>
      <c r="F48" s="2"/>
      <c r="G48" s="56"/>
      <c r="H48" s="2"/>
      <c r="I48" s="7"/>
      <c r="J48" s="27"/>
      <c r="K48" s="26"/>
    </row>
    <row r="49" spans="1:11" s="28" customFormat="1" x14ac:dyDescent="0.25">
      <c r="A49" s="7"/>
      <c r="B49" s="26" t="s">
        <v>152</v>
      </c>
      <c r="C49" s="2"/>
      <c r="D49" s="2"/>
      <c r="E49" s="2"/>
      <c r="F49" s="2"/>
      <c r="G49" s="56"/>
      <c r="H49" s="2"/>
      <c r="I49" s="7"/>
      <c r="J49" s="27"/>
      <c r="K49" s="26"/>
    </row>
    <row r="50" spans="1:11" s="28" customFormat="1" x14ac:dyDescent="0.25">
      <c r="A50" s="7"/>
      <c r="B50" s="4" t="s">
        <v>165</v>
      </c>
      <c r="C50" s="2">
        <v>2</v>
      </c>
      <c r="D50" s="2">
        <v>15</v>
      </c>
      <c r="E50" s="2">
        <v>0.75</v>
      </c>
      <c r="F50" s="2">
        <f>9.33-1.17</f>
        <v>8.16</v>
      </c>
      <c r="G50" s="56">
        <f>PRODUCT(C50:F50)</f>
        <v>183.6</v>
      </c>
      <c r="H50" s="2" t="s">
        <v>48</v>
      </c>
      <c r="I50" s="7"/>
      <c r="J50" s="27"/>
      <c r="K50" s="26"/>
    </row>
    <row r="51" spans="1:11" s="28" customFormat="1" x14ac:dyDescent="0.25">
      <c r="A51" s="7"/>
      <c r="B51" s="4" t="s">
        <v>156</v>
      </c>
      <c r="C51" s="2">
        <v>-2</v>
      </c>
      <c r="D51" s="2">
        <v>15</v>
      </c>
      <c r="E51" s="2">
        <v>0.75</v>
      </c>
      <c r="F51" s="2">
        <v>0.33</v>
      </c>
      <c r="G51" s="56">
        <f>PRODUCT(C51:F51)</f>
        <v>-7.4250000000000007</v>
      </c>
      <c r="H51" s="2" t="s">
        <v>48</v>
      </c>
      <c r="I51" s="7"/>
      <c r="J51" s="27"/>
      <c r="K51" s="26"/>
    </row>
    <row r="52" spans="1:11" s="28" customFormat="1" x14ac:dyDescent="0.25">
      <c r="A52" s="7"/>
      <c r="B52" s="4" t="s">
        <v>157</v>
      </c>
      <c r="C52" s="2">
        <v>-2</v>
      </c>
      <c r="D52" s="2">
        <v>15</v>
      </c>
      <c r="E52" s="2">
        <v>0.75</v>
      </c>
      <c r="F52" s="2">
        <v>0.33</v>
      </c>
      <c r="G52" s="56">
        <f>PRODUCT(C52:F52)</f>
        <v>-7.4250000000000007</v>
      </c>
      <c r="H52" s="2" t="s">
        <v>48</v>
      </c>
      <c r="I52" s="7"/>
      <c r="J52" s="27"/>
      <c r="K52" s="26"/>
    </row>
    <row r="53" spans="1:11" s="28" customFormat="1" x14ac:dyDescent="0.25">
      <c r="A53" s="7"/>
      <c r="B53" s="4" t="s">
        <v>154</v>
      </c>
      <c r="C53" s="2">
        <v>-1</v>
      </c>
      <c r="D53" s="2">
        <v>6</v>
      </c>
      <c r="E53" s="2">
        <v>0.75</v>
      </c>
      <c r="F53" s="2">
        <v>4.5</v>
      </c>
      <c r="G53" s="56">
        <f>PRODUCT(C53:F53)</f>
        <v>-20.25</v>
      </c>
      <c r="H53" s="2" t="s">
        <v>48</v>
      </c>
      <c r="I53" s="7"/>
      <c r="J53" s="27"/>
      <c r="K53" s="26"/>
    </row>
    <row r="54" spans="1:11" s="28" customFormat="1" x14ac:dyDescent="0.25">
      <c r="A54" s="7"/>
      <c r="B54" s="4" t="s">
        <v>163</v>
      </c>
      <c r="C54" s="2">
        <v>-2</v>
      </c>
      <c r="D54" s="2">
        <v>6</v>
      </c>
      <c r="E54" s="2">
        <v>0.75</v>
      </c>
      <c r="F54" s="2">
        <v>4.5</v>
      </c>
      <c r="G54" s="56">
        <f>PRODUCT(C54:F54)</f>
        <v>-40.5</v>
      </c>
      <c r="H54" s="2" t="s">
        <v>48</v>
      </c>
      <c r="I54" s="7"/>
      <c r="J54" s="27"/>
      <c r="K54" s="26"/>
    </row>
    <row r="55" spans="1:11" s="28" customFormat="1" x14ac:dyDescent="0.25">
      <c r="A55" s="7"/>
      <c r="B55" s="26" t="s">
        <v>160</v>
      </c>
      <c r="C55" s="2"/>
      <c r="D55" s="2"/>
      <c r="E55" s="2"/>
      <c r="F55" s="2"/>
      <c r="G55" s="56"/>
      <c r="H55" s="2"/>
      <c r="I55" s="7"/>
      <c r="J55" s="27"/>
      <c r="K55" s="26"/>
    </row>
    <row r="56" spans="1:11" s="28" customFormat="1" x14ac:dyDescent="0.25">
      <c r="A56" s="7"/>
      <c r="B56" s="4" t="s">
        <v>166</v>
      </c>
      <c r="C56" s="2">
        <v>2</v>
      </c>
      <c r="D56" s="2">
        <v>22</v>
      </c>
      <c r="E56" s="2">
        <v>0.75</v>
      </c>
      <c r="F56" s="2">
        <f>9.33-1.17</f>
        <v>8.16</v>
      </c>
      <c r="G56" s="56">
        <f t="shared" ref="G56:G62" si="0">PRODUCT(C56:F56)</f>
        <v>269.28000000000003</v>
      </c>
      <c r="H56" s="2" t="s">
        <v>48</v>
      </c>
      <c r="I56" s="7"/>
      <c r="J56" s="27"/>
      <c r="K56" s="26"/>
    </row>
    <row r="57" spans="1:11" s="28" customFormat="1" x14ac:dyDescent="0.25">
      <c r="A57" s="7"/>
      <c r="B57" s="4" t="s">
        <v>156</v>
      </c>
      <c r="C57" s="2">
        <v>-2</v>
      </c>
      <c r="D57" s="2">
        <f>19</f>
        <v>19</v>
      </c>
      <c r="E57" s="2">
        <v>0.75</v>
      </c>
      <c r="F57" s="2">
        <v>0.33</v>
      </c>
      <c r="G57" s="56">
        <f t="shared" si="0"/>
        <v>-9.4050000000000011</v>
      </c>
      <c r="H57" s="2" t="s">
        <v>48</v>
      </c>
      <c r="I57" s="7"/>
      <c r="J57" s="27"/>
      <c r="K57" s="26"/>
    </row>
    <row r="58" spans="1:11" s="28" customFormat="1" x14ac:dyDescent="0.25">
      <c r="A58" s="7"/>
      <c r="B58" s="4" t="s">
        <v>157</v>
      </c>
      <c r="C58" s="2">
        <v>-2</v>
      </c>
      <c r="D58" s="2">
        <v>22</v>
      </c>
      <c r="E58" s="2">
        <v>0.75</v>
      </c>
      <c r="F58" s="2">
        <v>0.33</v>
      </c>
      <c r="G58" s="56">
        <f t="shared" si="0"/>
        <v>-10.89</v>
      </c>
      <c r="H58" s="2" t="s">
        <v>48</v>
      </c>
      <c r="I58" s="7"/>
      <c r="J58" s="27"/>
      <c r="K58" s="26"/>
    </row>
    <row r="59" spans="1:11" s="28" customFormat="1" x14ac:dyDescent="0.25">
      <c r="A59" s="7"/>
      <c r="B59" s="4" t="s">
        <v>154</v>
      </c>
      <c r="C59" s="2">
        <v>-2</v>
      </c>
      <c r="D59" s="2">
        <v>6</v>
      </c>
      <c r="E59" s="2">
        <v>0.75</v>
      </c>
      <c r="F59" s="2">
        <v>4.5</v>
      </c>
      <c r="G59" s="56">
        <f t="shared" si="0"/>
        <v>-40.5</v>
      </c>
      <c r="H59" s="2" t="s">
        <v>48</v>
      </c>
      <c r="I59" s="7"/>
      <c r="J59" s="27"/>
      <c r="K59" s="26"/>
    </row>
    <row r="60" spans="1:11" s="28" customFormat="1" x14ac:dyDescent="0.25">
      <c r="A60" s="7"/>
      <c r="B60" s="4" t="s">
        <v>162</v>
      </c>
      <c r="C60" s="2">
        <v>-2</v>
      </c>
      <c r="D60" s="2">
        <v>3</v>
      </c>
      <c r="E60" s="2">
        <v>0.75</v>
      </c>
      <c r="F60" s="2">
        <v>2</v>
      </c>
      <c r="G60" s="56">
        <f t="shared" si="0"/>
        <v>-9</v>
      </c>
      <c r="H60" s="2" t="s">
        <v>48</v>
      </c>
      <c r="I60" s="7"/>
      <c r="J60" s="27"/>
      <c r="K60" s="26"/>
    </row>
    <row r="61" spans="1:11" s="28" customFormat="1" x14ac:dyDescent="0.25">
      <c r="A61" s="7"/>
      <c r="B61" s="4" t="s">
        <v>167</v>
      </c>
      <c r="C61" s="2">
        <v>-1</v>
      </c>
      <c r="D61" s="2">
        <v>3</v>
      </c>
      <c r="E61" s="2">
        <v>0.75</v>
      </c>
      <c r="F61" s="2">
        <v>7</v>
      </c>
      <c r="G61" s="56">
        <f t="shared" si="0"/>
        <v>-15.75</v>
      </c>
      <c r="H61" s="2" t="s">
        <v>48</v>
      </c>
      <c r="I61" s="7"/>
      <c r="J61" s="27"/>
      <c r="K61" s="26"/>
    </row>
    <row r="62" spans="1:11" s="28" customFormat="1" x14ac:dyDescent="0.25">
      <c r="A62" s="7"/>
      <c r="B62" s="26" t="s">
        <v>168</v>
      </c>
      <c r="C62" s="2">
        <v>4</v>
      </c>
      <c r="D62" s="2">
        <v>11</v>
      </c>
      <c r="E62" s="2">
        <v>0.75</v>
      </c>
      <c r="F62" s="2">
        <v>2</v>
      </c>
      <c r="G62" s="56">
        <f t="shared" si="0"/>
        <v>66</v>
      </c>
      <c r="H62" s="2" t="s">
        <v>48</v>
      </c>
      <c r="I62" s="7"/>
      <c r="J62" s="27"/>
      <c r="K62" s="26"/>
    </row>
    <row r="63" spans="1:11" s="28" customFormat="1" x14ac:dyDescent="0.25">
      <c r="A63" s="7"/>
      <c r="B63" s="4"/>
      <c r="C63" s="2"/>
      <c r="D63" s="2"/>
      <c r="E63" s="2"/>
      <c r="F63" s="2"/>
      <c r="G63" s="56"/>
      <c r="H63" s="2"/>
      <c r="I63" s="7"/>
      <c r="J63" s="27"/>
      <c r="K63" s="26"/>
    </row>
    <row r="64" spans="1:11" s="28" customFormat="1" x14ac:dyDescent="0.25">
      <c r="A64" s="7"/>
      <c r="B64" s="4"/>
      <c r="C64" s="7"/>
      <c r="D64" s="7"/>
      <c r="E64" s="7"/>
      <c r="F64" s="7"/>
      <c r="G64" s="44">
        <f>SUM(G14:G63)</f>
        <v>1416.1486499999996</v>
      </c>
      <c r="H64" s="7" t="s">
        <v>48</v>
      </c>
      <c r="I64" s="7"/>
      <c r="J64" s="27"/>
      <c r="K64" s="26"/>
    </row>
    <row r="65" spans="1:11" s="28" customFormat="1" x14ac:dyDescent="0.25">
      <c r="A65" s="7"/>
      <c r="B65" s="26"/>
      <c r="C65" s="7"/>
      <c r="D65" s="7"/>
      <c r="E65" s="7"/>
      <c r="F65" s="7"/>
      <c r="G65" s="44">
        <f>CONVERT(CONVERT(CONVERT(G64,"ft","m"),"ft","m"),"ft","m")</f>
        <v>40.100864073517897</v>
      </c>
      <c r="H65" s="7" t="s">
        <v>56</v>
      </c>
      <c r="I65" s="7"/>
      <c r="J65" s="27">
        <f>G65*I65</f>
        <v>0</v>
      </c>
      <c r="K65" s="26"/>
    </row>
    <row r="66" spans="1:11" x14ac:dyDescent="0.25">
      <c r="A66" s="7"/>
      <c r="B66" s="7"/>
      <c r="C66" s="2"/>
      <c r="D66" s="2"/>
      <c r="E66" s="2"/>
      <c r="F66" s="2"/>
      <c r="G66" s="45"/>
      <c r="H66" s="7"/>
      <c r="I66" s="37" t="s">
        <v>10</v>
      </c>
      <c r="J66" s="40">
        <f>SUM(J12:J65)</f>
        <v>0</v>
      </c>
      <c r="K66" s="2" t="s">
        <v>24</v>
      </c>
    </row>
    <row r="67" spans="1:11" x14ac:dyDescent="0.25">
      <c r="A67" s="28"/>
      <c r="B67" s="28"/>
      <c r="G67" s="46"/>
      <c r="H67" s="28"/>
      <c r="J67"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view="pageBreakPreview" topLeftCell="A5" zoomScaleSheetLayoutView="100" workbookViewId="0">
      <pane ySplit="5" topLeftCell="A58" activePane="bottomLeft" state="frozen"/>
      <selection activeCell="A5" sqref="A5"/>
      <selection pane="bottomLeft" activeCell="D68" sqref="D68"/>
    </sheetView>
  </sheetViews>
  <sheetFormatPr defaultColWidth="9.140625" defaultRowHeight="15" x14ac:dyDescent="0.25"/>
  <cols>
    <col min="1" max="1" width="6.140625" style="20" customWidth="1"/>
    <col min="2" max="2" width="44.85546875" style="20" customWidth="1"/>
    <col min="3" max="3" width="4.85546875" style="20" bestFit="1" customWidth="1"/>
    <col min="4" max="4" width="7.85546875" style="20" bestFit="1" customWidth="1"/>
    <col min="5" max="5" width="8.7109375" style="20" bestFit="1" customWidth="1"/>
    <col min="6" max="6" width="7.5703125" style="20" bestFit="1" customWidth="1"/>
    <col min="7" max="7" width="9.42578125" style="32" bestFit="1" customWidth="1"/>
    <col min="8" max="8" width="5" style="20" bestFit="1" customWidth="1"/>
    <col min="9" max="9" width="10.5703125" style="20" customWidth="1"/>
    <col min="10" max="10" width="12"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customFormat="1" ht="15.75" x14ac:dyDescent="0.25">
      <c r="A10" s="23"/>
      <c r="B10" s="39" t="s">
        <v>169</v>
      </c>
      <c r="C10" s="23"/>
      <c r="D10" s="23"/>
      <c r="E10" s="23"/>
      <c r="F10" s="23"/>
      <c r="G10" s="43"/>
      <c r="H10" s="23"/>
      <c r="I10" s="23"/>
      <c r="J10" s="24"/>
      <c r="K10" s="23"/>
    </row>
    <row r="11" spans="1:11" s="28" customFormat="1" x14ac:dyDescent="0.25">
      <c r="A11" s="7"/>
      <c r="B11" s="26" t="s">
        <v>158</v>
      </c>
      <c r="C11" s="2"/>
      <c r="D11" s="2"/>
      <c r="E11" s="2"/>
      <c r="F11" s="2"/>
      <c r="G11" s="56"/>
      <c r="H11" s="2"/>
      <c r="I11" s="7"/>
      <c r="J11" s="27"/>
      <c r="K11" s="26"/>
    </row>
    <row r="12" spans="1:11" s="28" customFormat="1" x14ac:dyDescent="0.25">
      <c r="A12" s="7"/>
      <c r="B12" s="26" t="s">
        <v>152</v>
      </c>
      <c r="C12" s="2"/>
      <c r="D12" s="2"/>
      <c r="E12" s="2"/>
      <c r="F12" s="2"/>
      <c r="G12" s="56"/>
      <c r="H12" s="2"/>
      <c r="I12" s="7"/>
      <c r="J12" s="27"/>
      <c r="K12" s="26"/>
    </row>
    <row r="13" spans="1:11" s="28" customFormat="1" x14ac:dyDescent="0.25">
      <c r="A13" s="7"/>
      <c r="B13" s="4" t="s">
        <v>170</v>
      </c>
      <c r="C13" s="2">
        <v>1</v>
      </c>
      <c r="D13" s="2">
        <v>22</v>
      </c>
      <c r="E13" s="2">
        <f>0.75/2</f>
        <v>0.375</v>
      </c>
      <c r="F13" s="2">
        <f>9.33-1.17</f>
        <v>8.16</v>
      </c>
      <c r="G13" s="56">
        <f t="shared" ref="G13:G22" si="0">PRODUCT(C13:F13)</f>
        <v>67.320000000000007</v>
      </c>
      <c r="H13" s="2" t="s">
        <v>48</v>
      </c>
      <c r="I13" s="7"/>
      <c r="J13" s="27"/>
      <c r="K13" s="26"/>
    </row>
    <row r="14" spans="1:11" s="28" customFormat="1" x14ac:dyDescent="0.25">
      <c r="A14" s="7"/>
      <c r="B14" s="4" t="s">
        <v>174</v>
      </c>
      <c r="C14" s="2">
        <v>-1</v>
      </c>
      <c r="D14" s="2">
        <v>2.5</v>
      </c>
      <c r="E14" s="2">
        <f t="shared" ref="E14:E31" si="1">0.75/2</f>
        <v>0.375</v>
      </c>
      <c r="F14" s="2">
        <v>7</v>
      </c>
      <c r="G14" s="56">
        <f t="shared" si="0"/>
        <v>-6.5625</v>
      </c>
      <c r="H14" s="2" t="s">
        <v>48</v>
      </c>
      <c r="I14" s="7"/>
      <c r="J14" s="27"/>
      <c r="K14" s="26"/>
    </row>
    <row r="15" spans="1:11" s="28" customFormat="1" x14ac:dyDescent="0.25">
      <c r="A15" s="7"/>
      <c r="B15" s="4" t="s">
        <v>156</v>
      </c>
      <c r="C15" s="2">
        <v>-1</v>
      </c>
      <c r="D15" s="2">
        <f>D13+C14*D14</f>
        <v>19.5</v>
      </c>
      <c r="E15" s="2">
        <f t="shared" si="1"/>
        <v>0.375</v>
      </c>
      <c r="F15" s="2">
        <v>0.33</v>
      </c>
      <c r="G15" s="56">
        <f t="shared" si="0"/>
        <v>-2.413125</v>
      </c>
      <c r="H15" s="2" t="s">
        <v>48</v>
      </c>
      <c r="I15" s="7"/>
      <c r="J15" s="27"/>
      <c r="K15" s="26"/>
    </row>
    <row r="16" spans="1:11" s="28" customFormat="1" x14ac:dyDescent="0.25">
      <c r="A16" s="7"/>
      <c r="B16" s="4" t="s">
        <v>157</v>
      </c>
      <c r="C16" s="2">
        <v>-1</v>
      </c>
      <c r="D16" s="2">
        <v>22</v>
      </c>
      <c r="E16" s="2">
        <f t="shared" si="1"/>
        <v>0.375</v>
      </c>
      <c r="F16" s="2">
        <v>0.33</v>
      </c>
      <c r="G16" s="56">
        <f t="shared" si="0"/>
        <v>-2.7225000000000001</v>
      </c>
      <c r="H16" s="2" t="s">
        <v>48</v>
      </c>
      <c r="I16" s="7"/>
      <c r="J16" s="27"/>
      <c r="K16" s="26"/>
    </row>
    <row r="17" spans="1:11" s="28" customFormat="1" x14ac:dyDescent="0.25">
      <c r="A17" s="7"/>
      <c r="B17" s="4" t="s">
        <v>171</v>
      </c>
      <c r="C17" s="2">
        <v>1</v>
      </c>
      <c r="D17" s="2">
        <v>11.83</v>
      </c>
      <c r="E17" s="2">
        <f>0.75/2</f>
        <v>0.375</v>
      </c>
      <c r="F17" s="2">
        <f>9.33-1.17</f>
        <v>8.16</v>
      </c>
      <c r="G17" s="56">
        <f t="shared" si="0"/>
        <v>36.199800000000003</v>
      </c>
      <c r="H17" s="2" t="s">
        <v>48</v>
      </c>
      <c r="I17" s="7"/>
      <c r="J17" s="27"/>
      <c r="K17" s="26"/>
    </row>
    <row r="18" spans="1:11" s="28" customFormat="1" x14ac:dyDescent="0.25">
      <c r="A18" s="7"/>
      <c r="B18" s="4" t="s">
        <v>156</v>
      </c>
      <c r="C18" s="2">
        <v>-1</v>
      </c>
      <c r="D18" s="2">
        <v>11.83</v>
      </c>
      <c r="E18" s="2">
        <f t="shared" si="1"/>
        <v>0.375</v>
      </c>
      <c r="F18" s="2">
        <v>0.33</v>
      </c>
      <c r="G18" s="56">
        <f t="shared" si="0"/>
        <v>-1.4639625000000001</v>
      </c>
      <c r="H18" s="2" t="s">
        <v>48</v>
      </c>
      <c r="I18" s="7"/>
      <c r="J18" s="27"/>
      <c r="K18" s="26"/>
    </row>
    <row r="19" spans="1:11" s="28" customFormat="1" x14ac:dyDescent="0.25">
      <c r="A19" s="7"/>
      <c r="B19" s="4" t="s">
        <v>157</v>
      </c>
      <c r="C19" s="2">
        <v>-1</v>
      </c>
      <c r="D19" s="2">
        <v>11.83</v>
      </c>
      <c r="E19" s="2">
        <f t="shared" si="1"/>
        <v>0.375</v>
      </c>
      <c r="F19" s="2">
        <v>0.33</v>
      </c>
      <c r="G19" s="56">
        <f t="shared" si="0"/>
        <v>-1.4639625000000001</v>
      </c>
      <c r="H19" s="2" t="s">
        <v>48</v>
      </c>
      <c r="I19" s="7"/>
      <c r="J19" s="27"/>
      <c r="K19" s="26"/>
    </row>
    <row r="20" spans="1:11" s="28" customFormat="1" x14ac:dyDescent="0.25">
      <c r="A20" s="7"/>
      <c r="B20" s="4" t="s">
        <v>172</v>
      </c>
      <c r="C20" s="2">
        <v>1</v>
      </c>
      <c r="D20" s="2">
        <v>9.33</v>
      </c>
      <c r="E20" s="2">
        <f>0.75/2</f>
        <v>0.375</v>
      </c>
      <c r="F20" s="2">
        <f>9.33-1.17</f>
        <v>8.16</v>
      </c>
      <c r="G20" s="56">
        <f t="shared" si="0"/>
        <v>28.549800000000001</v>
      </c>
      <c r="H20" s="2" t="s">
        <v>48</v>
      </c>
      <c r="I20" s="7"/>
      <c r="J20" s="27"/>
      <c r="K20" s="26"/>
    </row>
    <row r="21" spans="1:11" s="28" customFormat="1" x14ac:dyDescent="0.25">
      <c r="A21" s="7"/>
      <c r="B21" s="4" t="s">
        <v>156</v>
      </c>
      <c r="C21" s="2">
        <v>-1</v>
      </c>
      <c r="D21" s="2">
        <v>9.33</v>
      </c>
      <c r="E21" s="2">
        <f t="shared" si="1"/>
        <v>0.375</v>
      </c>
      <c r="F21" s="2">
        <v>0.33</v>
      </c>
      <c r="G21" s="56">
        <f t="shared" si="0"/>
        <v>-1.1545875000000001</v>
      </c>
      <c r="H21" s="2" t="s">
        <v>48</v>
      </c>
      <c r="I21" s="7"/>
      <c r="J21" s="27"/>
      <c r="K21" s="26"/>
    </row>
    <row r="22" spans="1:11" s="28" customFormat="1" x14ac:dyDescent="0.25">
      <c r="A22" s="7"/>
      <c r="B22" s="4" t="s">
        <v>157</v>
      </c>
      <c r="C22" s="2">
        <v>-1</v>
      </c>
      <c r="D22" s="2">
        <v>9.33</v>
      </c>
      <c r="E22" s="2">
        <f t="shared" si="1"/>
        <v>0.375</v>
      </c>
      <c r="F22" s="2">
        <v>0.33</v>
      </c>
      <c r="G22" s="56">
        <f t="shared" si="0"/>
        <v>-1.1545875000000001</v>
      </c>
      <c r="H22" s="2" t="s">
        <v>48</v>
      </c>
      <c r="I22" s="7"/>
      <c r="J22" s="27"/>
      <c r="K22" s="26"/>
    </row>
    <row r="23" spans="1:11" s="28" customFormat="1" x14ac:dyDescent="0.25">
      <c r="A23" s="7"/>
      <c r="B23" s="26" t="s">
        <v>160</v>
      </c>
      <c r="C23" s="2"/>
      <c r="D23" s="2"/>
      <c r="E23" s="2"/>
      <c r="F23" s="2"/>
      <c r="G23" s="56"/>
      <c r="H23" s="2"/>
      <c r="I23" s="7"/>
      <c r="J23" s="27"/>
      <c r="K23" s="26"/>
    </row>
    <row r="24" spans="1:11" s="28" customFormat="1" x14ac:dyDescent="0.25">
      <c r="A24" s="7"/>
      <c r="B24" s="4" t="s">
        <v>173</v>
      </c>
      <c r="C24" s="2">
        <v>1</v>
      </c>
      <c r="D24" s="2">
        <f>11+11+4.25</f>
        <v>26.25</v>
      </c>
      <c r="E24" s="2">
        <f t="shared" si="1"/>
        <v>0.375</v>
      </c>
      <c r="F24" s="2">
        <f>9.33-1.17</f>
        <v>8.16</v>
      </c>
      <c r="G24" s="56">
        <f t="shared" ref="G24:G31" si="2">PRODUCT(C24:F24)</f>
        <v>80.325000000000003</v>
      </c>
      <c r="H24" s="2" t="s">
        <v>48</v>
      </c>
      <c r="I24" s="7"/>
      <c r="J24" s="27"/>
      <c r="K24" s="26"/>
    </row>
    <row r="25" spans="1:11" s="28" customFormat="1" x14ac:dyDescent="0.25">
      <c r="A25" s="7"/>
      <c r="B25" s="4" t="s">
        <v>156</v>
      </c>
      <c r="C25" s="2">
        <v>-1</v>
      </c>
      <c r="D25" s="2">
        <f>D24-6</f>
        <v>20.25</v>
      </c>
      <c r="E25" s="2">
        <f t="shared" si="1"/>
        <v>0.375</v>
      </c>
      <c r="F25" s="2">
        <v>0.33</v>
      </c>
      <c r="G25" s="56">
        <f t="shared" si="2"/>
        <v>-2.5059374999999999</v>
      </c>
      <c r="H25" s="2" t="s">
        <v>48</v>
      </c>
      <c r="I25" s="7"/>
      <c r="J25" s="27"/>
      <c r="K25" s="26"/>
    </row>
    <row r="26" spans="1:11" s="28" customFormat="1" x14ac:dyDescent="0.25">
      <c r="A26" s="7"/>
      <c r="B26" s="4" t="s">
        <v>157</v>
      </c>
      <c r="C26" s="2">
        <v>-1</v>
      </c>
      <c r="D26" s="2">
        <f>D24</f>
        <v>26.25</v>
      </c>
      <c r="E26" s="2">
        <f t="shared" si="1"/>
        <v>0.375</v>
      </c>
      <c r="F26" s="2">
        <v>0.33</v>
      </c>
      <c r="G26" s="56">
        <f t="shared" si="2"/>
        <v>-3.2484375000000001</v>
      </c>
      <c r="H26" s="2" t="s">
        <v>48</v>
      </c>
      <c r="I26" s="7"/>
      <c r="J26" s="27"/>
      <c r="K26" s="26"/>
    </row>
    <row r="27" spans="1:11" s="28" customFormat="1" x14ac:dyDescent="0.25">
      <c r="A27" s="7"/>
      <c r="B27" s="4" t="s">
        <v>167</v>
      </c>
      <c r="C27" s="2">
        <v>-2</v>
      </c>
      <c r="D27" s="2">
        <v>3</v>
      </c>
      <c r="E27" s="2">
        <f t="shared" si="1"/>
        <v>0.375</v>
      </c>
      <c r="F27" s="2">
        <v>7</v>
      </c>
      <c r="G27" s="56">
        <f t="shared" si="2"/>
        <v>-15.75</v>
      </c>
      <c r="H27" s="2" t="s">
        <v>48</v>
      </c>
      <c r="I27" s="7"/>
      <c r="J27" s="27"/>
      <c r="K27" s="26"/>
    </row>
    <row r="28" spans="1:11" s="28" customFormat="1" x14ac:dyDescent="0.25">
      <c r="A28" s="7"/>
      <c r="B28" s="4" t="s">
        <v>175</v>
      </c>
      <c r="C28" s="2">
        <v>1</v>
      </c>
      <c r="D28" s="2">
        <f>3.92+3.83</f>
        <v>7.75</v>
      </c>
      <c r="E28" s="2">
        <f t="shared" si="1"/>
        <v>0.375</v>
      </c>
      <c r="F28" s="2">
        <f>9.33-1.17</f>
        <v>8.16</v>
      </c>
      <c r="G28" s="56">
        <f t="shared" si="2"/>
        <v>23.715</v>
      </c>
      <c r="H28" s="2" t="s">
        <v>48</v>
      </c>
      <c r="I28" s="7"/>
      <c r="J28" s="27"/>
      <c r="K28" s="26"/>
    </row>
    <row r="29" spans="1:11" s="28" customFormat="1" x14ac:dyDescent="0.25">
      <c r="A29" s="7"/>
      <c r="B29" s="4" t="s">
        <v>156</v>
      </c>
      <c r="C29" s="2">
        <v>-1</v>
      </c>
      <c r="D29" s="2">
        <f>D28-2.5*2</f>
        <v>2.75</v>
      </c>
      <c r="E29" s="2">
        <f t="shared" si="1"/>
        <v>0.375</v>
      </c>
      <c r="F29" s="2">
        <v>0.33</v>
      </c>
      <c r="G29" s="56">
        <f t="shared" si="2"/>
        <v>-0.34031250000000002</v>
      </c>
      <c r="H29" s="2" t="s">
        <v>48</v>
      </c>
      <c r="I29" s="7"/>
      <c r="J29" s="27"/>
      <c r="K29" s="26"/>
    </row>
    <row r="30" spans="1:11" s="28" customFormat="1" x14ac:dyDescent="0.25">
      <c r="A30" s="7"/>
      <c r="B30" s="4" t="s">
        <v>157</v>
      </c>
      <c r="C30" s="2">
        <v>-1</v>
      </c>
      <c r="D30" s="2">
        <f>D28</f>
        <v>7.75</v>
      </c>
      <c r="E30" s="2">
        <f t="shared" si="1"/>
        <v>0.375</v>
      </c>
      <c r="F30" s="2">
        <v>0.33</v>
      </c>
      <c r="G30" s="56">
        <f t="shared" si="2"/>
        <v>-0.95906250000000004</v>
      </c>
      <c r="H30" s="2" t="s">
        <v>48</v>
      </c>
      <c r="I30" s="7"/>
      <c r="J30" s="27"/>
      <c r="K30" s="26"/>
    </row>
    <row r="31" spans="1:11" s="28" customFormat="1" x14ac:dyDescent="0.25">
      <c r="A31" s="7"/>
      <c r="B31" s="4" t="s">
        <v>174</v>
      </c>
      <c r="C31" s="2">
        <v>-2</v>
      </c>
      <c r="D31" s="2">
        <v>2.5</v>
      </c>
      <c r="E31" s="2">
        <f t="shared" si="1"/>
        <v>0.375</v>
      </c>
      <c r="F31" s="2">
        <v>7</v>
      </c>
      <c r="G31" s="56">
        <f t="shared" si="2"/>
        <v>-13.125</v>
      </c>
      <c r="H31" s="2" t="s">
        <v>48</v>
      </c>
      <c r="I31" s="7"/>
      <c r="J31" s="27"/>
      <c r="K31" s="26"/>
    </row>
    <row r="32" spans="1:11" s="28" customFormat="1" x14ac:dyDescent="0.25">
      <c r="A32" s="7"/>
      <c r="B32" s="4"/>
      <c r="C32" s="2"/>
      <c r="D32" s="2"/>
      <c r="E32" s="2"/>
      <c r="F32" s="2"/>
      <c r="G32" s="56"/>
      <c r="H32" s="2"/>
      <c r="I32" s="7"/>
      <c r="J32" s="27"/>
      <c r="K32" s="26"/>
    </row>
    <row r="33" spans="1:11" s="28" customFormat="1" x14ac:dyDescent="0.25">
      <c r="A33" s="7"/>
      <c r="B33" s="4"/>
      <c r="C33" s="2"/>
      <c r="D33" s="2"/>
      <c r="E33" s="2"/>
      <c r="F33" s="2"/>
      <c r="G33" s="56"/>
      <c r="H33" s="2"/>
      <c r="I33" s="7"/>
      <c r="J33" s="27"/>
      <c r="K33" s="26"/>
    </row>
    <row r="34" spans="1:11" s="28" customFormat="1" x14ac:dyDescent="0.25">
      <c r="A34" s="7"/>
      <c r="B34" s="26" t="s">
        <v>159</v>
      </c>
      <c r="C34" s="2"/>
      <c r="D34" s="2"/>
      <c r="E34" s="2"/>
      <c r="F34" s="2"/>
      <c r="G34" s="56"/>
      <c r="H34" s="2"/>
      <c r="I34" s="7"/>
      <c r="J34" s="27"/>
      <c r="K34" s="26"/>
    </row>
    <row r="35" spans="1:11" s="28" customFormat="1" x14ac:dyDescent="0.25">
      <c r="A35" s="7"/>
      <c r="B35" s="26" t="s">
        <v>152</v>
      </c>
      <c r="C35" s="2"/>
      <c r="D35" s="2"/>
      <c r="E35" s="2"/>
      <c r="F35" s="2"/>
      <c r="G35" s="56"/>
      <c r="H35" s="2"/>
      <c r="I35" s="7"/>
      <c r="J35" s="27"/>
      <c r="K35" s="26"/>
    </row>
    <row r="36" spans="1:11" s="28" customFormat="1" x14ac:dyDescent="0.25">
      <c r="A36" s="7"/>
      <c r="B36" s="4" t="s">
        <v>170</v>
      </c>
      <c r="C36" s="2">
        <v>1</v>
      </c>
      <c r="D36" s="2">
        <v>26</v>
      </c>
      <c r="E36" s="2">
        <f t="shared" ref="E36:E42" si="3">0.75/2</f>
        <v>0.375</v>
      </c>
      <c r="F36" s="2">
        <f>9.33-1.17</f>
        <v>8.16</v>
      </c>
      <c r="G36" s="56">
        <f t="shared" ref="G36:G42" si="4">PRODUCT(C36:F36)</f>
        <v>79.56</v>
      </c>
      <c r="H36" s="2" t="s">
        <v>48</v>
      </c>
      <c r="I36" s="7"/>
      <c r="J36" s="27"/>
      <c r="K36" s="26"/>
    </row>
    <row r="37" spans="1:11" s="28" customFormat="1" x14ac:dyDescent="0.25">
      <c r="A37" s="7"/>
      <c r="B37" s="4" t="s">
        <v>167</v>
      </c>
      <c r="C37" s="2">
        <v>-2</v>
      </c>
      <c r="D37" s="2">
        <v>3</v>
      </c>
      <c r="E37" s="2">
        <f t="shared" si="3"/>
        <v>0.375</v>
      </c>
      <c r="F37" s="2">
        <v>7</v>
      </c>
      <c r="G37" s="56">
        <f t="shared" si="4"/>
        <v>-15.75</v>
      </c>
      <c r="H37" s="2" t="s">
        <v>48</v>
      </c>
      <c r="I37" s="7"/>
      <c r="J37" s="27"/>
      <c r="K37" s="26"/>
    </row>
    <row r="38" spans="1:11" s="28" customFormat="1" x14ac:dyDescent="0.25">
      <c r="A38" s="7"/>
      <c r="B38" s="4" t="s">
        <v>156</v>
      </c>
      <c r="C38" s="2">
        <v>-1</v>
      </c>
      <c r="D38" s="2">
        <f>D36+C37*D37</f>
        <v>20</v>
      </c>
      <c r="E38" s="2">
        <f t="shared" si="3"/>
        <v>0.375</v>
      </c>
      <c r="F38" s="2">
        <v>0.33</v>
      </c>
      <c r="G38" s="56">
        <f t="shared" si="4"/>
        <v>-2.4750000000000001</v>
      </c>
      <c r="H38" s="2" t="s">
        <v>48</v>
      </c>
      <c r="I38" s="7"/>
      <c r="J38" s="27"/>
      <c r="K38" s="26"/>
    </row>
    <row r="39" spans="1:11" s="28" customFormat="1" x14ac:dyDescent="0.25">
      <c r="A39" s="7"/>
      <c r="B39" s="4" t="s">
        <v>157</v>
      </c>
      <c r="C39" s="2">
        <v>-1</v>
      </c>
      <c r="D39" s="2">
        <v>26</v>
      </c>
      <c r="E39" s="2">
        <f t="shared" si="3"/>
        <v>0.375</v>
      </c>
      <c r="F39" s="2">
        <v>0.33</v>
      </c>
      <c r="G39" s="56">
        <f t="shared" si="4"/>
        <v>-3.2175000000000002</v>
      </c>
      <c r="H39" s="2" t="s">
        <v>48</v>
      </c>
      <c r="I39" s="7"/>
      <c r="J39" s="27"/>
      <c r="K39" s="26"/>
    </row>
    <row r="40" spans="1:11" s="28" customFormat="1" x14ac:dyDescent="0.25">
      <c r="A40" s="7"/>
      <c r="B40" s="4" t="s">
        <v>172</v>
      </c>
      <c r="C40" s="2">
        <v>1</v>
      </c>
      <c r="D40" s="2">
        <v>9.33</v>
      </c>
      <c r="E40" s="2">
        <f t="shared" si="3"/>
        <v>0.375</v>
      </c>
      <c r="F40" s="2">
        <f>9.33-1.17</f>
        <v>8.16</v>
      </c>
      <c r="G40" s="56">
        <f t="shared" si="4"/>
        <v>28.549800000000001</v>
      </c>
      <c r="H40" s="2" t="s">
        <v>48</v>
      </c>
      <c r="I40" s="7"/>
      <c r="J40" s="27"/>
      <c r="K40" s="26"/>
    </row>
    <row r="41" spans="1:11" s="28" customFormat="1" x14ac:dyDescent="0.25">
      <c r="A41" s="7"/>
      <c r="B41" s="4" t="s">
        <v>156</v>
      </c>
      <c r="C41" s="2">
        <v>-1</v>
      </c>
      <c r="D41" s="2">
        <v>9.33</v>
      </c>
      <c r="E41" s="2">
        <f t="shared" si="3"/>
        <v>0.375</v>
      </c>
      <c r="F41" s="2">
        <v>0.33</v>
      </c>
      <c r="G41" s="56">
        <f t="shared" si="4"/>
        <v>-1.1545875000000001</v>
      </c>
      <c r="H41" s="2" t="s">
        <v>48</v>
      </c>
      <c r="I41" s="7"/>
      <c r="J41" s="27"/>
      <c r="K41" s="26"/>
    </row>
    <row r="42" spans="1:11" s="28" customFormat="1" x14ac:dyDescent="0.25">
      <c r="A42" s="7"/>
      <c r="B42" s="4" t="s">
        <v>157</v>
      </c>
      <c r="C42" s="2">
        <v>-1</v>
      </c>
      <c r="D42" s="2">
        <v>9.33</v>
      </c>
      <c r="E42" s="2">
        <f t="shared" si="3"/>
        <v>0.375</v>
      </c>
      <c r="F42" s="2">
        <v>0.33</v>
      </c>
      <c r="G42" s="56">
        <f t="shared" si="4"/>
        <v>-1.1545875000000001</v>
      </c>
      <c r="H42" s="2" t="s">
        <v>48</v>
      </c>
      <c r="I42" s="7"/>
      <c r="J42" s="27"/>
      <c r="K42" s="26"/>
    </row>
    <row r="43" spans="1:11" s="28" customFormat="1" x14ac:dyDescent="0.25">
      <c r="A43" s="7"/>
      <c r="B43" s="26" t="s">
        <v>160</v>
      </c>
      <c r="C43" s="2"/>
      <c r="D43" s="2"/>
      <c r="E43" s="2"/>
      <c r="F43" s="2"/>
      <c r="G43" s="56"/>
      <c r="H43" s="2"/>
      <c r="I43" s="7"/>
      <c r="J43" s="27"/>
      <c r="K43" s="26"/>
    </row>
    <row r="44" spans="1:11" s="28" customFormat="1" x14ac:dyDescent="0.25">
      <c r="A44" s="7"/>
      <c r="B44" s="4" t="s">
        <v>176</v>
      </c>
      <c r="C44" s="2">
        <v>1</v>
      </c>
      <c r="D44" s="2">
        <v>22</v>
      </c>
      <c r="E44" s="2">
        <f t="shared" ref="E44:E49" si="5">0.75/2</f>
        <v>0.375</v>
      </c>
      <c r="F44" s="2">
        <f>9.33-1.17</f>
        <v>8.16</v>
      </c>
      <c r="G44" s="56">
        <f t="shared" ref="G44:G51" si="6">PRODUCT(C44:F44)</f>
        <v>67.320000000000007</v>
      </c>
      <c r="H44" s="2" t="s">
        <v>48</v>
      </c>
      <c r="I44" s="7"/>
      <c r="J44" s="27"/>
      <c r="K44" s="26"/>
    </row>
    <row r="45" spans="1:11" s="28" customFormat="1" x14ac:dyDescent="0.25">
      <c r="A45" s="7"/>
      <c r="B45" s="4" t="s">
        <v>167</v>
      </c>
      <c r="C45" s="2">
        <v>-1</v>
      </c>
      <c r="D45" s="2">
        <v>3</v>
      </c>
      <c r="E45" s="2">
        <f t="shared" si="5"/>
        <v>0.375</v>
      </c>
      <c r="F45" s="2">
        <v>7</v>
      </c>
      <c r="G45" s="56">
        <f t="shared" si="6"/>
        <v>-7.875</v>
      </c>
      <c r="H45" s="2" t="s">
        <v>48</v>
      </c>
      <c r="I45" s="7"/>
      <c r="J45" s="27"/>
      <c r="K45" s="26"/>
    </row>
    <row r="46" spans="1:11" s="28" customFormat="1" x14ac:dyDescent="0.25">
      <c r="A46" s="7"/>
      <c r="B46" s="4" t="s">
        <v>156</v>
      </c>
      <c r="C46" s="2">
        <v>-1</v>
      </c>
      <c r="D46" s="2">
        <f>D44+C45*D45</f>
        <v>19</v>
      </c>
      <c r="E46" s="2">
        <f t="shared" si="5"/>
        <v>0.375</v>
      </c>
      <c r="F46" s="2">
        <v>0.33</v>
      </c>
      <c r="G46" s="56">
        <f t="shared" si="6"/>
        <v>-2.3512500000000003</v>
      </c>
      <c r="H46" s="2" t="s">
        <v>48</v>
      </c>
      <c r="I46" s="7"/>
      <c r="J46" s="27"/>
      <c r="K46" s="26"/>
    </row>
    <row r="47" spans="1:11" s="28" customFormat="1" x14ac:dyDescent="0.25">
      <c r="A47" s="7"/>
      <c r="B47" s="4" t="s">
        <v>157</v>
      </c>
      <c r="C47" s="2">
        <v>-1</v>
      </c>
      <c r="D47" s="2">
        <f>D44</f>
        <v>22</v>
      </c>
      <c r="E47" s="2">
        <f t="shared" si="5"/>
        <v>0.375</v>
      </c>
      <c r="F47" s="2">
        <v>0.33</v>
      </c>
      <c r="G47" s="56">
        <f t="shared" si="6"/>
        <v>-2.7225000000000001</v>
      </c>
      <c r="H47" s="2" t="s">
        <v>48</v>
      </c>
      <c r="I47" s="7"/>
      <c r="J47" s="27"/>
      <c r="K47" s="26"/>
    </row>
    <row r="48" spans="1:11" s="28" customFormat="1" x14ac:dyDescent="0.25">
      <c r="A48" s="7"/>
      <c r="B48" s="4" t="s">
        <v>172</v>
      </c>
      <c r="C48" s="2">
        <v>1</v>
      </c>
      <c r="D48" s="2">
        <f>3.92</f>
        <v>3.92</v>
      </c>
      <c r="E48" s="2">
        <f>0.75/2</f>
        <v>0.375</v>
      </c>
      <c r="F48" s="2">
        <f>9.33-1.17</f>
        <v>8.16</v>
      </c>
      <c r="G48" s="56">
        <f t="shared" si="6"/>
        <v>11.995200000000001</v>
      </c>
      <c r="H48" s="2" t="s">
        <v>48</v>
      </c>
      <c r="I48" s="7"/>
      <c r="J48" s="27"/>
      <c r="K48" s="26"/>
    </row>
    <row r="49" spans="1:11" s="28" customFormat="1" x14ac:dyDescent="0.25">
      <c r="A49" s="7"/>
      <c r="B49" s="4" t="s">
        <v>174</v>
      </c>
      <c r="C49" s="2">
        <v>-1</v>
      </c>
      <c r="D49" s="2">
        <v>2.5</v>
      </c>
      <c r="E49" s="2">
        <f t="shared" si="5"/>
        <v>0.375</v>
      </c>
      <c r="F49" s="2">
        <v>7</v>
      </c>
      <c r="G49" s="56">
        <f t="shared" si="6"/>
        <v>-6.5625</v>
      </c>
      <c r="H49" s="2" t="s">
        <v>48</v>
      </c>
      <c r="I49" s="7"/>
      <c r="J49" s="27"/>
      <c r="K49" s="26"/>
    </row>
    <row r="50" spans="1:11" s="28" customFormat="1" x14ac:dyDescent="0.25">
      <c r="A50" s="7"/>
      <c r="B50" s="4" t="s">
        <v>156</v>
      </c>
      <c r="C50" s="2">
        <v>-1</v>
      </c>
      <c r="D50" s="2">
        <f>D48+C49*D49</f>
        <v>1.42</v>
      </c>
      <c r="E50" s="2">
        <f>0.75/2</f>
        <v>0.375</v>
      </c>
      <c r="F50" s="2">
        <v>0.33</v>
      </c>
      <c r="G50" s="56">
        <f t="shared" si="6"/>
        <v>-0.17572499999999999</v>
      </c>
      <c r="H50" s="2" t="s">
        <v>48</v>
      </c>
      <c r="I50" s="7"/>
      <c r="J50" s="27"/>
      <c r="K50" s="26"/>
    </row>
    <row r="51" spans="1:11" s="28" customFormat="1" x14ac:dyDescent="0.25">
      <c r="A51" s="7"/>
      <c r="B51" s="4" t="s">
        <v>157</v>
      </c>
      <c r="C51" s="2">
        <v>-1</v>
      </c>
      <c r="D51" s="2">
        <f>D48</f>
        <v>3.92</v>
      </c>
      <c r="E51" s="2">
        <f>0.75/2</f>
        <v>0.375</v>
      </c>
      <c r="F51" s="2">
        <v>0.33</v>
      </c>
      <c r="G51" s="56">
        <f t="shared" si="6"/>
        <v>-0.48510000000000003</v>
      </c>
      <c r="H51" s="2" t="s">
        <v>48</v>
      </c>
      <c r="I51" s="7"/>
      <c r="J51" s="27"/>
      <c r="K51" s="26"/>
    </row>
    <row r="52" spans="1:11" s="28" customFormat="1" x14ac:dyDescent="0.25">
      <c r="A52" s="7"/>
      <c r="B52" s="4"/>
      <c r="C52" s="2"/>
      <c r="D52" s="2"/>
      <c r="E52" s="2"/>
      <c r="F52" s="2"/>
      <c r="G52" s="56"/>
      <c r="H52" s="2"/>
      <c r="I52" s="7"/>
      <c r="J52" s="27"/>
      <c r="K52" s="26"/>
    </row>
    <row r="53" spans="1:11" s="28" customFormat="1" x14ac:dyDescent="0.25">
      <c r="A53" s="7"/>
      <c r="B53" s="26" t="s">
        <v>164</v>
      </c>
      <c r="C53" s="2"/>
      <c r="D53" s="2"/>
      <c r="E53" s="2"/>
      <c r="F53" s="2"/>
      <c r="G53" s="56"/>
      <c r="H53" s="2"/>
      <c r="I53" s="7"/>
      <c r="J53" s="27"/>
      <c r="K53" s="26"/>
    </row>
    <row r="54" spans="1:11" s="28" customFormat="1" x14ac:dyDescent="0.25">
      <c r="A54" s="7"/>
      <c r="B54" s="26" t="s">
        <v>152</v>
      </c>
      <c r="C54" s="2"/>
      <c r="D54" s="2"/>
      <c r="E54" s="2"/>
      <c r="F54" s="2"/>
      <c r="G54" s="56"/>
      <c r="H54" s="2"/>
      <c r="I54" s="7"/>
      <c r="J54" s="27"/>
      <c r="K54" s="26"/>
    </row>
    <row r="55" spans="1:11" s="28" customFormat="1" x14ac:dyDescent="0.25">
      <c r="A55" s="7"/>
      <c r="B55" s="4" t="s">
        <v>177</v>
      </c>
      <c r="C55" s="2">
        <v>1</v>
      </c>
      <c r="D55" s="2">
        <v>15</v>
      </c>
      <c r="E55" s="2">
        <f t="shared" ref="E55:E61" si="7">0.75/2</f>
        <v>0.375</v>
      </c>
      <c r="F55" s="2">
        <f>9.33-1.17</f>
        <v>8.16</v>
      </c>
      <c r="G55" s="56">
        <f t="shared" ref="G55:G61" si="8">PRODUCT(C55:F55)</f>
        <v>45.9</v>
      </c>
      <c r="H55" s="2" t="s">
        <v>48</v>
      </c>
      <c r="I55" s="7"/>
      <c r="J55" s="27"/>
      <c r="K55" s="26"/>
    </row>
    <row r="56" spans="1:11" s="28" customFormat="1" x14ac:dyDescent="0.25">
      <c r="A56" s="7"/>
      <c r="B56" s="4" t="s">
        <v>167</v>
      </c>
      <c r="C56" s="2">
        <v>-1</v>
      </c>
      <c r="D56" s="2">
        <v>3</v>
      </c>
      <c r="E56" s="2">
        <f t="shared" si="7"/>
        <v>0.375</v>
      </c>
      <c r="F56" s="2">
        <v>7</v>
      </c>
      <c r="G56" s="56">
        <f t="shared" si="8"/>
        <v>-7.875</v>
      </c>
      <c r="H56" s="2" t="s">
        <v>48</v>
      </c>
      <c r="I56" s="7"/>
      <c r="J56" s="27"/>
      <c r="K56" s="26"/>
    </row>
    <row r="57" spans="1:11" s="28" customFormat="1" x14ac:dyDescent="0.25">
      <c r="A57" s="7"/>
      <c r="B57" s="4" t="s">
        <v>156</v>
      </c>
      <c r="C57" s="2">
        <v>-1</v>
      </c>
      <c r="D57" s="2">
        <f>D55+C56*D56</f>
        <v>12</v>
      </c>
      <c r="E57" s="2">
        <f t="shared" si="7"/>
        <v>0.375</v>
      </c>
      <c r="F57" s="2">
        <v>0.33</v>
      </c>
      <c r="G57" s="56">
        <f t="shared" si="8"/>
        <v>-1.4850000000000001</v>
      </c>
      <c r="H57" s="2" t="s">
        <v>48</v>
      </c>
      <c r="I57" s="7"/>
      <c r="J57" s="27"/>
      <c r="K57" s="26"/>
    </row>
    <row r="58" spans="1:11" s="28" customFormat="1" x14ac:dyDescent="0.25">
      <c r="A58" s="7"/>
      <c r="B58" s="4" t="s">
        <v>157</v>
      </c>
      <c r="C58" s="2">
        <v>-1</v>
      </c>
      <c r="D58" s="2">
        <f>D55</f>
        <v>15</v>
      </c>
      <c r="E58" s="2">
        <f t="shared" si="7"/>
        <v>0.375</v>
      </c>
      <c r="F58" s="2">
        <v>0.33</v>
      </c>
      <c r="G58" s="56">
        <f t="shared" si="8"/>
        <v>-1.8562500000000002</v>
      </c>
      <c r="H58" s="2" t="s">
        <v>48</v>
      </c>
      <c r="I58" s="7"/>
      <c r="J58" s="27"/>
      <c r="K58" s="26"/>
    </row>
    <row r="59" spans="1:11" s="28" customFormat="1" x14ac:dyDescent="0.25">
      <c r="A59" s="7"/>
      <c r="B59" s="4" t="s">
        <v>172</v>
      </c>
      <c r="C59" s="2">
        <v>1</v>
      </c>
      <c r="D59" s="2">
        <v>9.33</v>
      </c>
      <c r="E59" s="2">
        <f t="shared" si="7"/>
        <v>0.375</v>
      </c>
      <c r="F59" s="2">
        <f>9.33-1.17</f>
        <v>8.16</v>
      </c>
      <c r="G59" s="56">
        <f t="shared" si="8"/>
        <v>28.549800000000001</v>
      </c>
      <c r="H59" s="2" t="s">
        <v>48</v>
      </c>
      <c r="I59" s="7"/>
      <c r="J59" s="27"/>
      <c r="K59" s="26"/>
    </row>
    <row r="60" spans="1:11" s="28" customFormat="1" x14ac:dyDescent="0.25">
      <c r="A60" s="7"/>
      <c r="B60" s="4" t="s">
        <v>156</v>
      </c>
      <c r="C60" s="2">
        <v>-1</v>
      </c>
      <c r="D60" s="2">
        <v>9.33</v>
      </c>
      <c r="E60" s="2">
        <f t="shared" si="7"/>
        <v>0.375</v>
      </c>
      <c r="F60" s="2">
        <v>0.33</v>
      </c>
      <c r="G60" s="56">
        <f t="shared" si="8"/>
        <v>-1.1545875000000001</v>
      </c>
      <c r="H60" s="2" t="s">
        <v>48</v>
      </c>
      <c r="I60" s="7"/>
      <c r="J60" s="27"/>
      <c r="K60" s="26"/>
    </row>
    <row r="61" spans="1:11" s="28" customFormat="1" x14ac:dyDescent="0.25">
      <c r="A61" s="7"/>
      <c r="B61" s="4" t="s">
        <v>157</v>
      </c>
      <c r="C61" s="2">
        <v>-1</v>
      </c>
      <c r="D61" s="2">
        <v>9.33</v>
      </c>
      <c r="E61" s="2">
        <f t="shared" si="7"/>
        <v>0.375</v>
      </c>
      <c r="F61" s="2">
        <v>0.33</v>
      </c>
      <c r="G61" s="56">
        <f t="shared" si="8"/>
        <v>-1.1545875000000001</v>
      </c>
      <c r="H61" s="2" t="s">
        <v>48</v>
      </c>
      <c r="I61" s="7"/>
      <c r="J61" s="27"/>
      <c r="K61" s="26"/>
    </row>
    <row r="62" spans="1:11" s="28" customFormat="1" x14ac:dyDescent="0.25">
      <c r="A62" s="7"/>
      <c r="B62" s="26" t="s">
        <v>160</v>
      </c>
      <c r="C62" s="2"/>
      <c r="D62" s="2"/>
      <c r="E62" s="2"/>
      <c r="F62" s="2"/>
      <c r="G62" s="56"/>
      <c r="H62" s="2"/>
      <c r="I62" s="7"/>
      <c r="J62" s="27"/>
      <c r="K62" s="26"/>
    </row>
    <row r="63" spans="1:11" s="28" customFormat="1" x14ac:dyDescent="0.25">
      <c r="A63" s="7"/>
      <c r="B63" s="4" t="s">
        <v>172</v>
      </c>
      <c r="C63" s="2">
        <v>1</v>
      </c>
      <c r="D63" s="2">
        <f>3.92</f>
        <v>3.92</v>
      </c>
      <c r="E63" s="2">
        <f>0.75/2</f>
        <v>0.375</v>
      </c>
      <c r="F63" s="2">
        <f>9.33-1.17</f>
        <v>8.16</v>
      </c>
      <c r="G63" s="56">
        <f>PRODUCT(C63:F63)</f>
        <v>11.995200000000001</v>
      </c>
      <c r="H63" s="2" t="s">
        <v>48</v>
      </c>
      <c r="I63" s="7"/>
      <c r="J63" s="27"/>
      <c r="K63" s="26"/>
    </row>
    <row r="64" spans="1:11" s="28" customFormat="1" x14ac:dyDescent="0.25">
      <c r="A64" s="7"/>
      <c r="B64" s="4" t="s">
        <v>174</v>
      </c>
      <c r="C64" s="2">
        <v>-1</v>
      </c>
      <c r="D64" s="2">
        <v>2.5</v>
      </c>
      <c r="E64" s="2">
        <f>0.75/2</f>
        <v>0.375</v>
      </c>
      <c r="F64" s="2">
        <v>7</v>
      </c>
      <c r="G64" s="56">
        <f>PRODUCT(C64:F64)</f>
        <v>-6.5625</v>
      </c>
      <c r="H64" s="2" t="s">
        <v>48</v>
      </c>
      <c r="I64" s="7"/>
      <c r="J64" s="27"/>
      <c r="K64" s="26"/>
    </row>
    <row r="65" spans="1:11" s="28" customFormat="1" x14ac:dyDescent="0.25">
      <c r="A65" s="7"/>
      <c r="B65" s="4" t="s">
        <v>156</v>
      </c>
      <c r="C65" s="2">
        <v>-1</v>
      </c>
      <c r="D65" s="2">
        <f>D63+C64*D64</f>
        <v>1.42</v>
      </c>
      <c r="E65" s="2">
        <f>0.75/2</f>
        <v>0.375</v>
      </c>
      <c r="F65" s="2">
        <v>0.33</v>
      </c>
      <c r="G65" s="56">
        <f>PRODUCT(C65:F65)</f>
        <v>-0.17572499999999999</v>
      </c>
      <c r="H65" s="2" t="s">
        <v>48</v>
      </c>
      <c r="I65" s="7"/>
      <c r="J65" s="27"/>
      <c r="K65" s="26"/>
    </row>
    <row r="66" spans="1:11" s="28" customFormat="1" x14ac:dyDescent="0.25">
      <c r="A66" s="7"/>
      <c r="B66" s="4" t="s">
        <v>157</v>
      </c>
      <c r="C66" s="2">
        <v>-1</v>
      </c>
      <c r="D66" s="2">
        <f>D63</f>
        <v>3.92</v>
      </c>
      <c r="E66" s="2">
        <f>0.75/2</f>
        <v>0.375</v>
      </c>
      <c r="F66" s="2">
        <v>0.33</v>
      </c>
      <c r="G66" s="56">
        <f>PRODUCT(C66:F66)</f>
        <v>-0.48510000000000003</v>
      </c>
      <c r="H66" s="2" t="s">
        <v>48</v>
      </c>
      <c r="I66" s="7"/>
      <c r="J66" s="27"/>
      <c r="K66" s="26"/>
    </row>
    <row r="67" spans="1:11" s="28" customFormat="1" x14ac:dyDescent="0.25">
      <c r="A67" s="7"/>
      <c r="B67" s="4"/>
      <c r="C67" s="2"/>
      <c r="D67" s="2"/>
      <c r="E67" s="2"/>
      <c r="F67" s="2"/>
      <c r="G67" s="56"/>
      <c r="H67" s="2"/>
      <c r="I67" s="7"/>
      <c r="J67" s="27"/>
      <c r="K67" s="26"/>
    </row>
    <row r="68" spans="1:11" s="28" customFormat="1" x14ac:dyDescent="0.25">
      <c r="A68" s="7"/>
      <c r="B68" s="4"/>
      <c r="C68" s="7"/>
      <c r="D68" s="7"/>
      <c r="E68" s="7"/>
      <c r="F68" s="7"/>
      <c r="G68" s="44">
        <f>SUM(G13:G67)</f>
        <v>392.44312500000012</v>
      </c>
      <c r="H68" s="7" t="s">
        <v>48</v>
      </c>
      <c r="I68" s="7"/>
      <c r="J68" s="27"/>
      <c r="K68" s="26"/>
    </row>
    <row r="69" spans="1:11" s="28" customFormat="1" x14ac:dyDescent="0.25">
      <c r="A69" s="7"/>
      <c r="B69" s="26"/>
      <c r="C69" s="7"/>
      <c r="D69" s="7"/>
      <c r="E69" s="7"/>
      <c r="F69" s="7"/>
      <c r="G69" s="44">
        <f>CONVERT(CONVERT(CONVERT(G68,"ft","m"),"ft","m"),"ft","m")</f>
        <v>11.112751766710087</v>
      </c>
      <c r="H69" s="7" t="s">
        <v>56</v>
      </c>
      <c r="I69" s="7"/>
      <c r="J69" s="27">
        <f>G69*I69</f>
        <v>0</v>
      </c>
      <c r="K69" s="26"/>
    </row>
    <row r="70" spans="1:11" x14ac:dyDescent="0.25">
      <c r="A70" s="7"/>
      <c r="B70" s="7"/>
      <c r="C70" s="2"/>
      <c r="D70" s="2"/>
      <c r="E70" s="2"/>
      <c r="F70" s="2"/>
      <c r="G70" s="45"/>
      <c r="H70" s="7"/>
      <c r="I70" s="37" t="s">
        <v>10</v>
      </c>
      <c r="J70" s="40">
        <f>SUM(J11:J69)</f>
        <v>0</v>
      </c>
      <c r="K70" s="2" t="s">
        <v>24</v>
      </c>
    </row>
    <row r="71" spans="1:11" x14ac:dyDescent="0.25">
      <c r="A71" s="28"/>
      <c r="B71" s="28"/>
      <c r="G71" s="46"/>
      <c r="H71" s="28"/>
      <c r="J71"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BreakPreview" topLeftCell="A5" zoomScaleSheetLayoutView="100" workbookViewId="0">
      <pane ySplit="5" topLeftCell="A10" activePane="bottomLeft" state="frozen"/>
      <selection activeCell="A5" sqref="A5"/>
      <selection pane="bottomLeft" activeCell="D17" sqref="D17"/>
    </sheetView>
  </sheetViews>
  <sheetFormatPr defaultColWidth="9.140625" defaultRowHeight="15" x14ac:dyDescent="0.25"/>
  <cols>
    <col min="1" max="1" width="6.140625" style="20" customWidth="1"/>
    <col min="2" max="2" width="44.85546875" style="20" customWidth="1"/>
    <col min="3" max="3" width="4.85546875" style="20" bestFit="1" customWidth="1"/>
    <col min="4" max="4" width="7.85546875" style="20" bestFit="1" customWidth="1"/>
    <col min="5" max="5" width="8.7109375" style="20" bestFit="1" customWidth="1"/>
    <col min="6" max="6" width="7.5703125" style="20" bestFit="1" customWidth="1"/>
    <col min="7" max="7" width="9.42578125" style="32" bestFit="1" customWidth="1"/>
    <col min="8" max="8" width="5" style="20" bestFit="1" customWidth="1"/>
    <col min="9" max="9" width="10.5703125" style="20" customWidth="1"/>
    <col min="10" max="10" width="12"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c r="B10" s="26" t="s">
        <v>143</v>
      </c>
      <c r="C10" s="2"/>
      <c r="D10" s="2"/>
      <c r="E10" s="2"/>
      <c r="F10" s="2"/>
      <c r="G10" s="56"/>
      <c r="H10" s="2"/>
      <c r="I10" s="7"/>
      <c r="J10" s="27"/>
      <c r="K10" s="26"/>
    </row>
    <row r="11" spans="1:11" s="28" customFormat="1" x14ac:dyDescent="0.25">
      <c r="A11" s="7"/>
      <c r="B11" s="4" t="s">
        <v>145</v>
      </c>
      <c r="C11" s="2">
        <v>14</v>
      </c>
      <c r="D11" s="2">
        <f>6*2+((4.5-0.25-0.25)*4)</f>
        <v>28</v>
      </c>
      <c r="E11" s="2">
        <v>0.25</v>
      </c>
      <c r="F11" s="2">
        <v>0.33</v>
      </c>
      <c r="G11" s="56">
        <f>PRODUCT(C11:F11)</f>
        <v>32.340000000000003</v>
      </c>
      <c r="H11" s="2" t="s">
        <v>48</v>
      </c>
      <c r="I11" s="7"/>
      <c r="J11" s="27"/>
      <c r="K11" s="26"/>
    </row>
    <row r="12" spans="1:11" s="28" customFormat="1" x14ac:dyDescent="0.25">
      <c r="A12" s="7"/>
      <c r="B12" s="4" t="s">
        <v>147</v>
      </c>
      <c r="C12" s="2">
        <v>4</v>
      </c>
      <c r="D12" s="2">
        <f>3*2+((4.5-0.25-0.25)*3)</f>
        <v>18</v>
      </c>
      <c r="E12" s="2">
        <v>0.25</v>
      </c>
      <c r="F12" s="2">
        <v>0.33</v>
      </c>
      <c r="G12" s="56">
        <f>PRODUCT(C12:F12)</f>
        <v>5.94</v>
      </c>
      <c r="H12" s="2" t="s">
        <v>48</v>
      </c>
      <c r="I12" s="7"/>
      <c r="J12" s="27"/>
      <c r="K12" s="26"/>
    </row>
    <row r="13" spans="1:11" s="28" customFormat="1" x14ac:dyDescent="0.25">
      <c r="A13" s="7"/>
      <c r="B13" s="4" t="s">
        <v>146</v>
      </c>
      <c r="C13" s="2">
        <v>7</v>
      </c>
      <c r="D13" s="2">
        <f>3*2+((2-0.25-0.25)*2)</f>
        <v>9</v>
      </c>
      <c r="E13" s="2">
        <v>0.25</v>
      </c>
      <c r="F13" s="2">
        <v>0.33</v>
      </c>
      <c r="G13" s="56">
        <f>PRODUCT(C13:F13)</f>
        <v>5.1975000000000007</v>
      </c>
      <c r="H13" s="2" t="s">
        <v>48</v>
      </c>
      <c r="I13" s="7"/>
      <c r="J13" s="27"/>
      <c r="K13" s="26"/>
    </row>
    <row r="14" spans="1:11" s="28" customFormat="1" x14ac:dyDescent="0.25">
      <c r="A14" s="7"/>
      <c r="B14" s="4"/>
      <c r="C14" s="2"/>
      <c r="D14" s="2"/>
      <c r="E14" s="2"/>
      <c r="F14" s="2"/>
      <c r="G14" s="56"/>
      <c r="H14" s="2"/>
      <c r="I14" s="7"/>
      <c r="J14" s="27"/>
      <c r="K14" s="26"/>
    </row>
    <row r="15" spans="1:11" s="28" customFormat="1" x14ac:dyDescent="0.25">
      <c r="A15" s="7"/>
      <c r="B15" s="26" t="s">
        <v>144</v>
      </c>
      <c r="C15" s="2"/>
      <c r="D15" s="2"/>
      <c r="E15" s="2"/>
      <c r="F15" s="2"/>
      <c r="G15" s="56"/>
      <c r="H15" s="2"/>
      <c r="I15" s="7"/>
      <c r="J15" s="27"/>
      <c r="K15" s="26"/>
    </row>
    <row r="16" spans="1:11" s="28" customFormat="1" x14ac:dyDescent="0.25">
      <c r="A16" s="7"/>
      <c r="B16" s="4" t="s">
        <v>148</v>
      </c>
      <c r="C16" s="2">
        <v>2</v>
      </c>
      <c r="D16" s="2">
        <f>7*2+((4-0.25-0.25)*2)</f>
        <v>21</v>
      </c>
      <c r="E16" s="2">
        <v>0.25</v>
      </c>
      <c r="F16" s="2">
        <v>0.42</v>
      </c>
      <c r="G16" s="56">
        <f>PRODUCT(C16:F16)</f>
        <v>4.41</v>
      </c>
      <c r="H16" s="2" t="s">
        <v>48</v>
      </c>
      <c r="I16" s="7"/>
      <c r="J16" s="27"/>
      <c r="K16" s="26"/>
    </row>
    <row r="17" spans="1:11" s="28" customFormat="1" x14ac:dyDescent="0.25">
      <c r="A17" s="7"/>
      <c r="B17" s="4" t="s">
        <v>149</v>
      </c>
      <c r="C17" s="2">
        <v>7</v>
      </c>
      <c r="D17" s="2">
        <f>7*2+(3-0.25-0.25)</f>
        <v>16.5</v>
      </c>
      <c r="E17" s="2">
        <v>0.25</v>
      </c>
      <c r="F17" s="2">
        <v>0.33</v>
      </c>
      <c r="G17" s="56">
        <f>PRODUCT(C17:F17)</f>
        <v>9.5287500000000005</v>
      </c>
      <c r="H17" s="2" t="s">
        <v>48</v>
      </c>
      <c r="I17" s="7"/>
      <c r="J17" s="27"/>
      <c r="K17" s="26"/>
    </row>
    <row r="18" spans="1:11" s="28" customFormat="1" x14ac:dyDescent="0.25">
      <c r="A18" s="7"/>
      <c r="B18" s="4" t="s">
        <v>150</v>
      </c>
      <c r="C18" s="2">
        <v>5</v>
      </c>
      <c r="D18" s="2">
        <f>7*2+(2.5-0.25-0.25)</f>
        <v>16</v>
      </c>
      <c r="E18" s="2">
        <v>0.25</v>
      </c>
      <c r="F18" s="2">
        <v>0.33</v>
      </c>
      <c r="G18" s="56">
        <f>PRODUCT(C18:F18)</f>
        <v>6.6000000000000005</v>
      </c>
      <c r="H18" s="2" t="s">
        <v>48</v>
      </c>
      <c r="I18" s="7"/>
      <c r="J18" s="27"/>
      <c r="K18" s="26"/>
    </row>
    <row r="19" spans="1:11" s="28" customFormat="1" x14ac:dyDescent="0.25">
      <c r="A19" s="7"/>
      <c r="B19" s="4"/>
      <c r="C19" s="2"/>
      <c r="D19" s="2"/>
      <c r="E19" s="2"/>
      <c r="F19" s="2"/>
      <c r="G19" s="56"/>
      <c r="H19" s="2"/>
      <c r="I19" s="7"/>
      <c r="J19" s="27"/>
      <c r="K19" s="26"/>
    </row>
    <row r="20" spans="1:11" s="28" customFormat="1" x14ac:dyDescent="0.25">
      <c r="A20" s="7"/>
      <c r="B20" s="4"/>
      <c r="C20" s="7"/>
      <c r="D20" s="7"/>
      <c r="E20" s="7"/>
      <c r="F20" s="7"/>
      <c r="G20" s="44">
        <f>SUM(G10:G19)</f>
        <v>64.016249999999999</v>
      </c>
      <c r="H20" s="7" t="s">
        <v>48</v>
      </c>
      <c r="I20" s="7"/>
      <c r="J20" s="27"/>
      <c r="K20" s="26"/>
    </row>
    <row r="21" spans="1:11" s="28" customFormat="1" x14ac:dyDescent="0.25">
      <c r="A21" s="7"/>
      <c r="B21" s="26"/>
      <c r="C21" s="7"/>
      <c r="D21" s="7"/>
      <c r="E21" s="7"/>
      <c r="F21" s="7"/>
      <c r="G21" s="44">
        <f>CONVERT(CONVERT(CONVERT(G20,"ft","m"),"ft","m"),"ft","m")</f>
        <v>1.8127383306451201</v>
      </c>
      <c r="H21" s="7" t="s">
        <v>56</v>
      </c>
      <c r="I21" s="7"/>
      <c r="J21" s="27">
        <f>G21*I21</f>
        <v>0</v>
      </c>
      <c r="K21" s="26"/>
    </row>
    <row r="22" spans="1:11" x14ac:dyDescent="0.25">
      <c r="A22" s="7"/>
      <c r="B22" s="7"/>
      <c r="C22" s="2"/>
      <c r="D22" s="2"/>
      <c r="E22" s="2"/>
      <c r="F22" s="2"/>
      <c r="G22" s="45"/>
      <c r="H22" s="7"/>
      <c r="I22" s="37" t="s">
        <v>10</v>
      </c>
      <c r="J22" s="40">
        <f>SUM(J10:J21)</f>
        <v>0</v>
      </c>
      <c r="K22" s="2" t="s">
        <v>24</v>
      </c>
    </row>
    <row r="23" spans="1:11" x14ac:dyDescent="0.25">
      <c r="A23" s="28"/>
      <c r="B23" s="28"/>
      <c r="G23" s="46"/>
      <c r="H23" s="28"/>
      <c r="J23"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view="pageBreakPreview" zoomScaleSheetLayoutView="100" workbookViewId="0">
      <selection activeCell="E12" sqref="E12"/>
    </sheetView>
  </sheetViews>
  <sheetFormatPr defaultColWidth="9.140625" defaultRowHeight="15" x14ac:dyDescent="0.25"/>
  <cols>
    <col min="1" max="1" width="6.140625" style="20" customWidth="1"/>
    <col min="2" max="2" width="44.85546875" style="20" customWidth="1"/>
    <col min="3" max="3" width="5" style="20" bestFit="1" customWidth="1"/>
    <col min="4" max="4" width="8" style="20" bestFit="1" customWidth="1"/>
    <col min="5" max="5" width="8.7109375" style="20" bestFit="1" customWidth="1"/>
    <col min="6" max="6" width="7.7109375" style="20" bestFit="1" customWidth="1"/>
    <col min="7" max="7" width="9.85546875" style="32" bestFit="1" customWidth="1"/>
    <col min="8" max="8" width="5" style="20" bestFit="1" customWidth="1"/>
    <col min="9" max="9" width="10.5703125" style="20" customWidth="1"/>
    <col min="10" max="10" width="12"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c r="B10" s="26" t="s">
        <v>151</v>
      </c>
      <c r="C10" s="2"/>
      <c r="D10" s="2"/>
      <c r="E10" s="2"/>
      <c r="F10" s="2"/>
      <c r="G10" s="56"/>
      <c r="H10" s="2"/>
      <c r="I10" s="7"/>
      <c r="J10" s="27"/>
      <c r="K10" s="26"/>
    </row>
    <row r="11" spans="1:11" s="28" customFormat="1" x14ac:dyDescent="0.25">
      <c r="A11" s="7"/>
      <c r="B11" s="4" t="s">
        <v>145</v>
      </c>
      <c r="C11" s="2">
        <v>5</v>
      </c>
      <c r="D11" s="2">
        <v>6</v>
      </c>
      <c r="E11" s="2"/>
      <c r="F11" s="2">
        <v>4.5</v>
      </c>
      <c r="G11" s="56">
        <f>PRODUCT(C11:F11)</f>
        <v>135</v>
      </c>
      <c r="H11" s="2" t="s">
        <v>48</v>
      </c>
      <c r="I11" s="7"/>
      <c r="J11" s="27"/>
      <c r="K11" s="26"/>
    </row>
    <row r="12" spans="1:11" s="28" customFormat="1" x14ac:dyDescent="0.25">
      <c r="A12" s="7"/>
      <c r="B12" s="4"/>
      <c r="C12" s="2"/>
      <c r="D12" s="2"/>
      <c r="E12" s="2"/>
      <c r="F12" s="2"/>
      <c r="G12" s="56"/>
      <c r="H12" s="2"/>
      <c r="I12" s="7"/>
      <c r="J12" s="27"/>
      <c r="K12" s="26"/>
    </row>
    <row r="13" spans="1:11" s="28" customFormat="1" x14ac:dyDescent="0.25">
      <c r="A13" s="7"/>
      <c r="B13" s="4"/>
      <c r="C13" s="7"/>
      <c r="D13" s="7"/>
      <c r="E13" s="7"/>
      <c r="F13" s="7"/>
      <c r="G13" s="44">
        <f>SUM(G10:G12)</f>
        <v>135</v>
      </c>
      <c r="H13" s="7" t="s">
        <v>51</v>
      </c>
      <c r="I13" s="7"/>
      <c r="J13" s="27"/>
      <c r="K13" s="26"/>
    </row>
    <row r="14" spans="1:11" s="28" customFormat="1" x14ac:dyDescent="0.25">
      <c r="A14" s="7"/>
      <c r="B14" s="26"/>
      <c r="C14" s="7"/>
      <c r="D14" s="7"/>
      <c r="E14" s="7"/>
      <c r="F14" s="7"/>
      <c r="G14" s="44">
        <f>CONVERT(CONVERT(G13,"ft","m"),"ft","m")</f>
        <v>12.541910400000001</v>
      </c>
      <c r="H14" s="7" t="s">
        <v>58</v>
      </c>
      <c r="I14" s="7"/>
      <c r="J14" s="27">
        <f>G14*I14</f>
        <v>0</v>
      </c>
      <c r="K14" s="26"/>
    </row>
    <row r="15" spans="1:11" x14ac:dyDescent="0.25">
      <c r="A15" s="7"/>
      <c r="B15" s="7"/>
      <c r="C15" s="2"/>
      <c r="D15" s="2"/>
      <c r="E15" s="2"/>
      <c r="F15" s="2"/>
      <c r="G15" s="45"/>
      <c r="H15" s="7"/>
      <c r="I15" s="37" t="s">
        <v>10</v>
      </c>
      <c r="J15" s="40">
        <f>SUM(J10:J14)</f>
        <v>0</v>
      </c>
      <c r="K15" s="2" t="s">
        <v>24</v>
      </c>
    </row>
    <row r="16" spans="1:11" x14ac:dyDescent="0.25">
      <c r="A16" s="28"/>
      <c r="B16" s="28"/>
      <c r="G16" s="46"/>
      <c r="H16" s="28"/>
      <c r="J16"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pane ySplit="9" topLeftCell="A38" activePane="bottomLeft" state="frozen"/>
      <selection pane="bottomLeft" activeCell="H45" sqref="H45"/>
    </sheetView>
  </sheetViews>
  <sheetFormatPr defaultColWidth="9.140625" defaultRowHeight="15" x14ac:dyDescent="0.25"/>
  <cols>
    <col min="1" max="1" width="6.140625" style="28" customWidth="1"/>
    <col min="2" max="2" width="44.85546875" style="20" customWidth="1"/>
    <col min="3" max="3" width="5" style="20" bestFit="1" customWidth="1"/>
    <col min="4" max="4" width="10.5703125" style="20" customWidth="1"/>
    <col min="5" max="5" width="9.42578125" style="32" bestFit="1" customWidth="1"/>
    <col min="6" max="6" width="14.28515625" style="21" bestFit="1" customWidth="1"/>
    <col min="7" max="7" width="10.7109375" style="20" customWidth="1"/>
    <col min="8" max="13" width="9.140625" style="20"/>
    <col min="14" max="14" width="12.5703125" style="20" bestFit="1" customWidth="1"/>
    <col min="15" max="16384" width="9.140625" style="20"/>
  </cols>
  <sheetData>
    <row r="1" spans="1:7" x14ac:dyDescent="0.2">
      <c r="A1" s="206" t="s">
        <v>11</v>
      </c>
      <c r="B1" s="206"/>
      <c r="C1" s="206"/>
      <c r="D1" s="206"/>
      <c r="E1" s="206"/>
      <c r="F1" s="206"/>
      <c r="G1" s="206"/>
    </row>
    <row r="2" spans="1:7" ht="22.5" x14ac:dyDescent="0.25">
      <c r="A2" s="187" t="s">
        <v>12</v>
      </c>
      <c r="B2" s="187"/>
      <c r="C2" s="187"/>
      <c r="D2" s="187"/>
      <c r="E2" s="187"/>
      <c r="F2" s="187"/>
      <c r="G2" s="187"/>
    </row>
    <row r="3" spans="1:7" x14ac:dyDescent="0.25">
      <c r="A3" s="188" t="s">
        <v>294</v>
      </c>
      <c r="B3" s="188"/>
      <c r="C3" s="188"/>
      <c r="D3" s="188"/>
      <c r="E3" s="188"/>
      <c r="F3" s="188"/>
      <c r="G3" s="188"/>
    </row>
    <row r="4" spans="1:7" x14ac:dyDescent="0.25">
      <c r="A4" s="188" t="s">
        <v>13</v>
      </c>
      <c r="B4" s="188"/>
      <c r="C4" s="188"/>
      <c r="D4" s="188"/>
      <c r="E4" s="188"/>
      <c r="F4" s="188"/>
      <c r="G4" s="188"/>
    </row>
    <row r="5" spans="1:7" customFormat="1" ht="18.75" x14ac:dyDescent="0.3">
      <c r="A5" s="189" t="s">
        <v>43</v>
      </c>
      <c r="B5" s="189"/>
      <c r="C5" s="189"/>
      <c r="D5" s="189"/>
      <c r="E5" s="189"/>
      <c r="F5" s="189"/>
      <c r="G5" s="189"/>
    </row>
    <row r="6" spans="1:7" s="19" customFormat="1" x14ac:dyDescent="0.25">
      <c r="A6" s="65"/>
      <c r="B6"/>
      <c r="C6"/>
      <c r="D6"/>
      <c r="E6" s="42"/>
      <c r="F6" s="6"/>
      <c r="G6"/>
    </row>
    <row r="7" spans="1:7" x14ac:dyDescent="0.25">
      <c r="A7" s="65" t="s">
        <v>278</v>
      </c>
      <c r="B7"/>
      <c r="C7"/>
      <c r="D7"/>
      <c r="E7" s="42"/>
      <c r="F7" s="20"/>
      <c r="G7" s="18" t="s">
        <v>277</v>
      </c>
    </row>
    <row r="8" spans="1:7" customFormat="1" x14ac:dyDescent="0.25">
      <c r="A8" s="65" t="s">
        <v>28</v>
      </c>
      <c r="E8" s="42"/>
      <c r="F8" s="18"/>
      <c r="G8" s="22" t="s">
        <v>276</v>
      </c>
    </row>
    <row r="9" spans="1:7" customFormat="1" x14ac:dyDescent="0.25">
      <c r="A9" s="23" t="s">
        <v>0</v>
      </c>
      <c r="B9" s="23" t="s">
        <v>20</v>
      </c>
      <c r="C9" s="23" t="s">
        <v>7</v>
      </c>
      <c r="D9" s="23" t="s">
        <v>8</v>
      </c>
      <c r="E9" s="43" t="s">
        <v>6</v>
      </c>
      <c r="F9" s="24" t="s">
        <v>336</v>
      </c>
      <c r="G9" s="23" t="s">
        <v>5</v>
      </c>
    </row>
    <row r="10" spans="1:7" customFormat="1" ht="18" x14ac:dyDescent="0.25">
      <c r="A10" s="23">
        <v>1</v>
      </c>
      <c r="B10" s="87" t="s">
        <v>295</v>
      </c>
      <c r="C10" s="47"/>
      <c r="D10" s="47"/>
      <c r="E10" s="48"/>
      <c r="F10" s="49"/>
      <c r="G10" s="47"/>
    </row>
    <row r="11" spans="1:7" customFormat="1" ht="15.75" x14ac:dyDescent="0.25">
      <c r="A11" s="23">
        <v>1.1000000000000001</v>
      </c>
      <c r="B11" s="88" t="s">
        <v>296</v>
      </c>
      <c r="C11" s="47"/>
      <c r="D11" s="47"/>
      <c r="E11" s="48"/>
      <c r="F11" s="49"/>
      <c r="G11" s="47"/>
    </row>
    <row r="12" spans="1:7" ht="60" x14ac:dyDescent="0.25">
      <c r="A12" s="7"/>
      <c r="B12" s="89" t="s">
        <v>297</v>
      </c>
      <c r="C12" s="56" t="s">
        <v>58</v>
      </c>
      <c r="D12" s="56">
        <v>439.63</v>
      </c>
      <c r="E12" s="56" t="e">
        <f>#REF!</f>
        <v>#REF!</v>
      </c>
      <c r="F12" s="71" t="e">
        <f>D12*E12</f>
        <v>#REF!</v>
      </c>
      <c r="G12" s="4"/>
    </row>
    <row r="13" spans="1:7" x14ac:dyDescent="0.25">
      <c r="A13" s="7"/>
      <c r="B13" s="90"/>
      <c r="C13" s="7"/>
      <c r="D13" s="2"/>
      <c r="E13" s="71"/>
      <c r="F13" s="71"/>
      <c r="G13" s="2"/>
    </row>
    <row r="14" spans="1:7" x14ac:dyDescent="0.2">
      <c r="A14" s="7">
        <v>1.2</v>
      </c>
      <c r="B14" s="88" t="s">
        <v>308</v>
      </c>
      <c r="C14" s="2"/>
      <c r="D14" s="2"/>
      <c r="E14" s="56"/>
      <c r="F14" s="71"/>
      <c r="G14" s="2"/>
    </row>
    <row r="15" spans="1:7" ht="60" x14ac:dyDescent="0.25">
      <c r="A15" s="7"/>
      <c r="B15" s="89" t="s">
        <v>309</v>
      </c>
      <c r="C15" s="2" t="s">
        <v>58</v>
      </c>
      <c r="D15" s="2">
        <v>378.72</v>
      </c>
      <c r="E15" s="56" t="e">
        <f>#REF!</f>
        <v>#REF!</v>
      </c>
      <c r="F15" s="71" t="e">
        <f t="shared" ref="F15:F38" si="0">D15*E15</f>
        <v>#REF!</v>
      </c>
      <c r="G15" s="2"/>
    </row>
    <row r="16" spans="1:7" x14ac:dyDescent="0.2">
      <c r="A16" s="7">
        <v>1.3</v>
      </c>
      <c r="B16" s="88" t="s">
        <v>311</v>
      </c>
      <c r="C16" s="2"/>
      <c r="D16" s="2"/>
      <c r="E16" s="56"/>
      <c r="F16" s="71"/>
      <c r="G16" s="2"/>
    </row>
    <row r="17" spans="1:7" ht="60" x14ac:dyDescent="0.25">
      <c r="A17" s="7"/>
      <c r="B17" s="89" t="s">
        <v>312</v>
      </c>
      <c r="C17" s="2" t="s">
        <v>58</v>
      </c>
      <c r="D17" s="2">
        <v>490.2</v>
      </c>
      <c r="E17" s="56" t="e">
        <f>#REF!</f>
        <v>#REF!</v>
      </c>
      <c r="F17" s="71" t="e">
        <f t="shared" si="0"/>
        <v>#REF!</v>
      </c>
      <c r="G17" s="2"/>
    </row>
    <row r="18" spans="1:7" ht="34.9" customHeight="1" x14ac:dyDescent="0.2">
      <c r="A18" s="7">
        <v>1.4</v>
      </c>
      <c r="B18" s="91" t="s">
        <v>313</v>
      </c>
      <c r="C18" s="2" t="s">
        <v>258</v>
      </c>
      <c r="D18" s="2">
        <v>161.44</v>
      </c>
      <c r="E18" s="56" t="e">
        <f>#REF!</f>
        <v>#REF!</v>
      </c>
      <c r="F18" s="71" t="e">
        <f t="shared" si="0"/>
        <v>#REF!</v>
      </c>
      <c r="G18" s="2"/>
    </row>
    <row r="19" spans="1:7" x14ac:dyDescent="0.25">
      <c r="A19" s="7"/>
      <c r="B19" s="92"/>
      <c r="C19" s="2"/>
      <c r="D19" s="2"/>
      <c r="E19" s="56"/>
      <c r="F19" s="71"/>
      <c r="G19" s="2"/>
    </row>
    <row r="20" spans="1:7" x14ac:dyDescent="0.25">
      <c r="A20" s="7">
        <v>2</v>
      </c>
      <c r="B20" s="90" t="s">
        <v>321</v>
      </c>
      <c r="C20" s="2"/>
      <c r="D20" s="2"/>
      <c r="E20" s="56"/>
      <c r="F20" s="71"/>
      <c r="G20" s="2"/>
    </row>
    <row r="21" spans="1:7" ht="45" x14ac:dyDescent="0.25">
      <c r="A21" s="7">
        <v>2.1</v>
      </c>
      <c r="B21" s="89" t="s">
        <v>314</v>
      </c>
      <c r="C21" s="2" t="s">
        <v>58</v>
      </c>
      <c r="D21" s="2">
        <v>133.43</v>
      </c>
      <c r="E21" s="56" t="e">
        <f>#REF!</f>
        <v>#REF!</v>
      </c>
      <c r="F21" s="71" t="e">
        <f t="shared" si="0"/>
        <v>#REF!</v>
      </c>
      <c r="G21" s="2"/>
    </row>
    <row r="22" spans="1:7" ht="45" x14ac:dyDescent="0.25">
      <c r="A22" s="7">
        <v>2.2000000000000002</v>
      </c>
      <c r="B22" s="89" t="s">
        <v>315</v>
      </c>
      <c r="C22" s="2" t="s">
        <v>58</v>
      </c>
      <c r="D22" s="2">
        <v>97.69</v>
      </c>
      <c r="E22" s="56" t="e">
        <f>#REF!</f>
        <v>#REF!</v>
      </c>
      <c r="F22" s="71" t="e">
        <f t="shared" si="0"/>
        <v>#REF!</v>
      </c>
      <c r="G22" s="2"/>
    </row>
    <row r="23" spans="1:7" ht="38.25" x14ac:dyDescent="0.25">
      <c r="A23" s="7">
        <v>2.2999999999999998</v>
      </c>
      <c r="B23" s="93" t="s">
        <v>317</v>
      </c>
      <c r="C23" s="2" t="s">
        <v>58</v>
      </c>
      <c r="D23" s="2">
        <v>49.76</v>
      </c>
      <c r="E23" s="56" t="e">
        <f>#REF!</f>
        <v>#REF!</v>
      </c>
      <c r="F23" s="71" t="e">
        <f t="shared" si="0"/>
        <v>#REF!</v>
      </c>
      <c r="G23" s="2"/>
    </row>
    <row r="24" spans="1:7" ht="38.25" x14ac:dyDescent="0.25">
      <c r="A24" s="7">
        <v>2.4</v>
      </c>
      <c r="B24" s="93" t="s">
        <v>318</v>
      </c>
      <c r="C24" s="2" t="s">
        <v>58</v>
      </c>
      <c r="D24" s="2">
        <v>239.48</v>
      </c>
      <c r="E24" s="56" t="e">
        <f>#REF!</f>
        <v>#REF!</v>
      </c>
      <c r="F24" s="71" t="e">
        <f t="shared" si="0"/>
        <v>#REF!</v>
      </c>
      <c r="G24" s="2"/>
    </row>
    <row r="25" spans="1:7" ht="38.25" x14ac:dyDescent="0.25">
      <c r="A25" s="7">
        <v>2.5</v>
      </c>
      <c r="B25" s="93" t="s">
        <v>320</v>
      </c>
      <c r="C25" s="2" t="s">
        <v>58</v>
      </c>
      <c r="D25" s="2">
        <v>294.60000000000002</v>
      </c>
      <c r="E25" s="56" t="e">
        <f>#REF!</f>
        <v>#REF!</v>
      </c>
      <c r="F25" s="71" t="e">
        <f t="shared" si="0"/>
        <v>#REF!</v>
      </c>
      <c r="G25" s="2"/>
    </row>
    <row r="26" spans="1:7" x14ac:dyDescent="0.25">
      <c r="A26" s="7"/>
      <c r="B26" s="93"/>
      <c r="C26" s="2"/>
      <c r="D26" s="2"/>
      <c r="E26" s="56"/>
      <c r="F26" s="71"/>
      <c r="G26" s="2"/>
    </row>
    <row r="27" spans="1:7" ht="33.6" customHeight="1" x14ac:dyDescent="0.2">
      <c r="A27" s="7">
        <v>3</v>
      </c>
      <c r="B27" s="91" t="s">
        <v>328</v>
      </c>
      <c r="C27" s="44"/>
      <c r="D27" s="2"/>
      <c r="E27" s="44"/>
      <c r="F27" s="71"/>
      <c r="G27" s="2"/>
    </row>
    <row r="28" spans="1:7" ht="75" x14ac:dyDescent="0.25">
      <c r="A28" s="7">
        <v>3.1</v>
      </c>
      <c r="B28" s="89" t="s">
        <v>327</v>
      </c>
      <c r="C28" s="2" t="s">
        <v>56</v>
      </c>
      <c r="D28" s="2">
        <v>14736.6</v>
      </c>
      <c r="E28" s="56" t="e">
        <f>#REF!</f>
        <v>#REF!</v>
      </c>
      <c r="F28" s="71" t="e">
        <f t="shared" si="0"/>
        <v>#REF!</v>
      </c>
      <c r="G28" s="2"/>
    </row>
    <row r="29" spans="1:7" s="28" customFormat="1" x14ac:dyDescent="0.25">
      <c r="A29" s="7"/>
      <c r="B29" s="34"/>
      <c r="C29" s="7"/>
      <c r="D29" s="7"/>
      <c r="E29" s="44"/>
      <c r="F29" s="71"/>
      <c r="G29" s="26"/>
    </row>
    <row r="30" spans="1:7" ht="36.6" customHeight="1" x14ac:dyDescent="0.2">
      <c r="A30" s="7">
        <v>4</v>
      </c>
      <c r="B30" s="91" t="s">
        <v>329</v>
      </c>
      <c r="C30" s="2"/>
      <c r="D30" s="2"/>
      <c r="E30" s="56"/>
      <c r="F30" s="71"/>
      <c r="G30" s="2"/>
    </row>
    <row r="31" spans="1:7" ht="75" x14ac:dyDescent="0.25">
      <c r="A31" s="7"/>
      <c r="B31" s="76" t="s">
        <v>332</v>
      </c>
      <c r="C31" s="2" t="s">
        <v>56</v>
      </c>
      <c r="D31" s="2">
        <v>15081.56</v>
      </c>
      <c r="E31" s="56" t="e">
        <f>#REF!</f>
        <v>#REF!</v>
      </c>
      <c r="F31" s="71" t="e">
        <f t="shared" si="0"/>
        <v>#REF!</v>
      </c>
      <c r="G31" s="2"/>
    </row>
    <row r="32" spans="1:7" ht="18" customHeight="1" x14ac:dyDescent="0.2">
      <c r="A32" s="7">
        <v>5</v>
      </c>
      <c r="B32" s="91" t="s">
        <v>331</v>
      </c>
      <c r="C32" s="2"/>
      <c r="D32" s="2"/>
      <c r="E32" s="56"/>
      <c r="F32" s="71"/>
      <c r="G32" s="2"/>
    </row>
    <row r="33" spans="1:7" ht="63.75" x14ac:dyDescent="0.25">
      <c r="A33" s="7"/>
      <c r="B33" s="82" t="s">
        <v>333</v>
      </c>
      <c r="C33" s="2" t="s">
        <v>58</v>
      </c>
      <c r="D33" s="2">
        <v>1389.64</v>
      </c>
      <c r="E33" s="56" t="e">
        <f>#REF!</f>
        <v>#REF!</v>
      </c>
      <c r="F33" s="71" t="e">
        <f t="shared" si="0"/>
        <v>#REF!</v>
      </c>
      <c r="G33" s="2"/>
    </row>
    <row r="34" spans="1:7" x14ac:dyDescent="0.25">
      <c r="A34" s="7">
        <v>6</v>
      </c>
      <c r="B34" s="7" t="s">
        <v>337</v>
      </c>
      <c r="C34" s="2"/>
      <c r="D34" s="2"/>
      <c r="E34" s="56"/>
      <c r="F34" s="71"/>
      <c r="G34" s="2"/>
    </row>
    <row r="35" spans="1:7" ht="75" x14ac:dyDescent="0.25">
      <c r="A35" s="7">
        <v>6.1</v>
      </c>
      <c r="B35" s="76" t="s">
        <v>338</v>
      </c>
      <c r="C35" s="2" t="s">
        <v>58</v>
      </c>
      <c r="D35" s="2">
        <v>823.95</v>
      </c>
      <c r="E35" s="56" t="e">
        <f>#REF!</f>
        <v>#REF!</v>
      </c>
      <c r="F35" s="71" t="e">
        <f t="shared" si="0"/>
        <v>#REF!</v>
      </c>
      <c r="G35" s="2"/>
    </row>
    <row r="36" spans="1:7" ht="51" x14ac:dyDescent="0.25">
      <c r="A36" s="7">
        <v>6.2</v>
      </c>
      <c r="B36" s="82" t="s">
        <v>339</v>
      </c>
      <c r="C36" s="2" t="s">
        <v>58</v>
      </c>
      <c r="D36" s="2">
        <v>265.77</v>
      </c>
      <c r="E36" s="56" t="e">
        <f>#REF!</f>
        <v>#REF!</v>
      </c>
      <c r="F36" s="71" t="e">
        <f t="shared" si="0"/>
        <v>#REF!</v>
      </c>
      <c r="G36" s="2"/>
    </row>
    <row r="37" spans="1:7" ht="30.75" x14ac:dyDescent="0.25">
      <c r="A37" s="7">
        <v>6.3</v>
      </c>
      <c r="B37" s="97" t="s">
        <v>346</v>
      </c>
      <c r="C37" s="2"/>
      <c r="D37" s="2"/>
      <c r="E37" s="56"/>
      <c r="F37" s="71"/>
      <c r="G37" s="2"/>
    </row>
    <row r="38" spans="1:7" ht="45" x14ac:dyDescent="0.25">
      <c r="A38" s="7"/>
      <c r="B38" s="76" t="s">
        <v>343</v>
      </c>
      <c r="C38" s="2" t="s">
        <v>58</v>
      </c>
      <c r="D38" s="2">
        <v>2833.15</v>
      </c>
      <c r="E38" s="56" t="e">
        <f>#REF!</f>
        <v>#REF!</v>
      </c>
      <c r="F38" s="71" t="e">
        <f t="shared" si="0"/>
        <v>#REF!</v>
      </c>
      <c r="G38" s="2"/>
    </row>
    <row r="39" spans="1:7" x14ac:dyDescent="0.25">
      <c r="A39" s="7"/>
      <c r="B39" s="82"/>
      <c r="C39" s="2"/>
      <c r="D39" s="2"/>
      <c r="E39" s="56"/>
      <c r="F39" s="71"/>
      <c r="G39" s="2"/>
    </row>
    <row r="40" spans="1:7" x14ac:dyDescent="0.25">
      <c r="D40" s="211" t="s">
        <v>10</v>
      </c>
      <c r="E40" s="211"/>
      <c r="F40" s="21" t="e">
        <f>SUM(F11:F38)</f>
        <v>#REF!</v>
      </c>
    </row>
    <row r="41" spans="1:7" x14ac:dyDescent="0.25">
      <c r="D41" s="211" t="s">
        <v>335</v>
      </c>
      <c r="E41" s="211"/>
      <c r="F41" s="21" t="e">
        <f>0.13*F40</f>
        <v>#REF!</v>
      </c>
    </row>
    <row r="42" spans="1:7" x14ac:dyDescent="0.25">
      <c r="D42" s="211" t="s">
        <v>334</v>
      </c>
      <c r="E42" s="211"/>
      <c r="F42" s="21" t="e">
        <f>SUM(F40:F41)</f>
        <v>#REF!</v>
      </c>
    </row>
    <row r="44" spans="1:7" x14ac:dyDescent="0.25">
      <c r="B44" s="2" t="s">
        <v>40</v>
      </c>
      <c r="C44" s="193" t="e">
        <f>F42</f>
        <v>#REF!</v>
      </c>
      <c r="D44" s="212"/>
      <c r="E44" s="2">
        <v>100</v>
      </c>
    </row>
    <row r="45" spans="1:7" x14ac:dyDescent="0.25">
      <c r="B45" s="2" t="s">
        <v>41</v>
      </c>
      <c r="C45" s="213">
        <v>1000000</v>
      </c>
      <c r="D45" s="214"/>
      <c r="E45" s="56" t="e">
        <f>C45/C44*100</f>
        <v>#REF!</v>
      </c>
    </row>
    <row r="46" spans="1:7" x14ac:dyDescent="0.25">
      <c r="B46" s="2" t="s">
        <v>42</v>
      </c>
      <c r="C46" s="190" t="e">
        <f>C44-C45</f>
        <v>#REF!</v>
      </c>
      <c r="D46" s="191"/>
      <c r="E46" s="56" t="e">
        <f>E44-E45</f>
        <v>#REF!</v>
      </c>
    </row>
    <row r="47" spans="1:7" x14ac:dyDescent="0.25">
      <c r="B47" s="2" t="s">
        <v>341</v>
      </c>
      <c r="C47" s="193">
        <f>C45*0.03</f>
        <v>30000</v>
      </c>
      <c r="D47" s="194"/>
      <c r="E47" s="2"/>
    </row>
    <row r="49" spans="14:14" x14ac:dyDescent="0.25">
      <c r="N49" s="73"/>
    </row>
    <row r="50" spans="14:14" x14ac:dyDescent="0.25">
      <c r="N50" s="73"/>
    </row>
    <row r="51" spans="14:14" x14ac:dyDescent="0.25">
      <c r="N51" s="73"/>
    </row>
  </sheetData>
  <mergeCells count="12">
    <mergeCell ref="A1:G1"/>
    <mergeCell ref="A2:G2"/>
    <mergeCell ref="A3:G3"/>
    <mergeCell ref="A4:G4"/>
    <mergeCell ref="C46:D46"/>
    <mergeCell ref="C47:D47"/>
    <mergeCell ref="A5:G5"/>
    <mergeCell ref="D40:E40"/>
    <mergeCell ref="D41:E41"/>
    <mergeCell ref="D42:E42"/>
    <mergeCell ref="C44:D44"/>
    <mergeCell ref="C45:D45"/>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abSelected="1" view="pageBreakPreview" zoomScale="120" zoomScaleNormal="100" zoomScaleSheetLayoutView="120" workbookViewId="0">
      <selection activeCell="H85" sqref="H85"/>
    </sheetView>
  </sheetViews>
  <sheetFormatPr defaultColWidth="9.140625" defaultRowHeight="12.75" x14ac:dyDescent="0.25"/>
  <cols>
    <col min="1" max="1" width="6.140625" style="124" customWidth="1"/>
    <col min="2" max="2" width="34.140625" style="124" customWidth="1"/>
    <col min="3" max="3" width="6.7109375" style="175" customWidth="1"/>
    <col min="4" max="4" width="9.5703125" style="171" bestFit="1" customWidth="1"/>
    <col min="5" max="6" width="11.42578125" style="171" customWidth="1"/>
    <col min="7" max="7" width="9.42578125" style="171" customWidth="1"/>
    <col min="8" max="8" width="6.28515625" style="124" customWidth="1"/>
    <col min="9" max="9" width="10.42578125" style="171" customWidth="1"/>
    <col min="10" max="10" width="12" style="171" customWidth="1"/>
    <col min="11" max="11" width="9.140625" style="124"/>
    <col min="12" max="12" width="14.7109375" style="124" customWidth="1"/>
    <col min="13" max="13" width="10" style="124" bestFit="1" customWidth="1"/>
    <col min="14" max="16384" width="9.140625" style="124"/>
  </cols>
  <sheetData>
    <row r="1" spans="1:12" s="182" customFormat="1" ht="15.75" x14ac:dyDescent="0.25">
      <c r="A1" s="217" t="s">
        <v>355</v>
      </c>
      <c r="B1" s="217"/>
      <c r="C1" s="217"/>
      <c r="D1" s="217"/>
      <c r="E1" s="217"/>
      <c r="F1" s="217"/>
      <c r="G1" s="217"/>
      <c r="H1" s="217"/>
      <c r="I1" s="217"/>
      <c r="J1" s="217"/>
      <c r="K1" s="217"/>
    </row>
    <row r="2" spans="1:12" s="182" customFormat="1" ht="15.75" x14ac:dyDescent="0.25">
      <c r="A2" s="217" t="s">
        <v>356</v>
      </c>
      <c r="B2" s="217"/>
      <c r="C2" s="217"/>
      <c r="D2" s="217"/>
      <c r="E2" s="217"/>
      <c r="F2" s="217"/>
      <c r="G2" s="217"/>
      <c r="H2" s="217"/>
      <c r="I2" s="217"/>
      <c r="J2" s="217"/>
      <c r="K2" s="217"/>
    </row>
    <row r="3" spans="1:12" s="182" customFormat="1" ht="15.75" x14ac:dyDescent="0.25">
      <c r="A3" s="217" t="s">
        <v>357</v>
      </c>
      <c r="B3" s="217"/>
      <c r="C3" s="217"/>
      <c r="D3" s="217"/>
      <c r="E3" s="217"/>
      <c r="F3" s="217"/>
      <c r="G3" s="217"/>
      <c r="H3" s="217"/>
      <c r="I3" s="217"/>
      <c r="J3" s="217"/>
      <c r="K3" s="217"/>
    </row>
    <row r="4" spans="1:12" s="182" customFormat="1" ht="15.75" x14ac:dyDescent="0.25">
      <c r="A4" s="217" t="s">
        <v>13</v>
      </c>
      <c r="B4" s="217"/>
      <c r="C4" s="217"/>
      <c r="D4" s="217"/>
      <c r="E4" s="217"/>
      <c r="F4" s="217"/>
      <c r="G4" s="217"/>
      <c r="H4" s="217"/>
      <c r="I4" s="217"/>
      <c r="J4" s="217"/>
      <c r="K4" s="217"/>
    </row>
    <row r="5" spans="1:12" s="182" customFormat="1" ht="15.75" x14ac:dyDescent="0.25">
      <c r="A5" s="183"/>
      <c r="B5" s="183"/>
      <c r="C5" s="183"/>
      <c r="D5" s="183"/>
      <c r="E5" s="183"/>
      <c r="F5" s="183"/>
      <c r="G5" s="183"/>
      <c r="H5" s="183"/>
      <c r="I5" s="183"/>
      <c r="J5" s="183"/>
      <c r="K5" s="183"/>
    </row>
    <row r="6" spans="1:12" s="9" customFormat="1" ht="15.75" x14ac:dyDescent="0.25">
      <c r="A6" s="218" t="s">
        <v>43</v>
      </c>
      <c r="B6" s="218"/>
      <c r="C6" s="218"/>
      <c r="D6" s="218"/>
      <c r="E6" s="218"/>
      <c r="F6" s="218"/>
      <c r="G6" s="218"/>
      <c r="H6" s="218"/>
      <c r="I6" s="218"/>
      <c r="J6" s="218"/>
      <c r="K6" s="218"/>
    </row>
    <row r="7" spans="1:12" s="138" customFormat="1" x14ac:dyDescent="0.2">
      <c r="A7" s="139"/>
      <c r="B7" s="139"/>
      <c r="C7" s="140"/>
      <c r="D7" s="141"/>
      <c r="E7" s="141"/>
      <c r="F7" s="141"/>
      <c r="G7" s="141"/>
      <c r="H7" s="139"/>
      <c r="I7" s="141"/>
      <c r="J7" s="141"/>
    </row>
    <row r="8" spans="1:12" x14ac:dyDescent="0.2">
      <c r="A8" s="139" t="s">
        <v>380</v>
      </c>
      <c r="B8" s="139"/>
      <c r="C8" s="140"/>
      <c r="D8" s="141"/>
      <c r="E8" s="141"/>
      <c r="F8" s="141"/>
      <c r="G8" s="141"/>
      <c r="I8" s="142"/>
      <c r="J8" s="142"/>
      <c r="K8" s="142" t="s">
        <v>381</v>
      </c>
    </row>
    <row r="9" spans="1:12" s="139" customFormat="1" x14ac:dyDescent="0.2">
      <c r="A9" s="139" t="s">
        <v>365</v>
      </c>
      <c r="C9" s="140"/>
      <c r="D9" s="141"/>
      <c r="E9" s="141"/>
      <c r="F9" s="141"/>
      <c r="G9" s="141"/>
      <c r="H9" s="124"/>
      <c r="I9" s="143"/>
      <c r="J9" s="143"/>
      <c r="K9" s="143" t="s">
        <v>430</v>
      </c>
    </row>
    <row r="10" spans="1:12" s="139" customFormat="1" ht="22.5" customHeight="1" x14ac:dyDescent="0.2">
      <c r="A10" s="144" t="s">
        <v>0</v>
      </c>
      <c r="B10" s="144" t="s">
        <v>20</v>
      </c>
      <c r="C10" s="145" t="s">
        <v>1</v>
      </c>
      <c r="D10" s="146" t="s">
        <v>2</v>
      </c>
      <c r="E10" s="146" t="s">
        <v>3</v>
      </c>
      <c r="F10" s="146" t="s">
        <v>4</v>
      </c>
      <c r="G10" s="146" t="s">
        <v>6</v>
      </c>
      <c r="H10" s="144" t="s">
        <v>7</v>
      </c>
      <c r="I10" s="146" t="s">
        <v>8</v>
      </c>
      <c r="J10" s="146" t="s">
        <v>9</v>
      </c>
      <c r="K10" s="147" t="s">
        <v>5</v>
      </c>
    </row>
    <row r="11" spans="1:12" ht="49.5" customHeight="1" x14ac:dyDescent="0.25">
      <c r="A11" s="122">
        <v>1</v>
      </c>
      <c r="B11" s="123" t="s">
        <v>382</v>
      </c>
      <c r="C11" s="148"/>
      <c r="D11" s="148"/>
      <c r="E11" s="148"/>
      <c r="F11" s="148"/>
      <c r="G11" s="148"/>
      <c r="H11" s="148"/>
      <c r="I11" s="148"/>
      <c r="J11" s="148"/>
      <c r="K11" s="149"/>
    </row>
    <row r="12" spans="1:12" ht="15" customHeight="1" x14ac:dyDescent="0.25">
      <c r="A12" s="122"/>
      <c r="B12" s="123"/>
      <c r="C12" s="149">
        <v>2</v>
      </c>
      <c r="D12" s="150">
        <f>12/3.281</f>
        <v>3.6574215178299299</v>
      </c>
      <c r="E12" s="150">
        <v>0.23</v>
      </c>
      <c r="F12" s="150">
        <f>6.6/3.281</f>
        <v>2.0115818348064614</v>
      </c>
      <c r="G12" s="150">
        <f>PRODUCT(C12:F12)</f>
        <v>3.384313236248603</v>
      </c>
      <c r="H12" s="151"/>
      <c r="I12" s="151"/>
      <c r="J12" s="151"/>
      <c r="K12" s="149"/>
    </row>
    <row r="13" spans="1:12" ht="15" customHeight="1" x14ac:dyDescent="0.25">
      <c r="A13" s="122"/>
      <c r="B13" s="123"/>
      <c r="C13" s="149">
        <v>2</v>
      </c>
      <c r="D13" s="150">
        <f>9/3.281</f>
        <v>2.7430661383724475</v>
      </c>
      <c r="E13" s="150">
        <v>0.23</v>
      </c>
      <c r="F13" s="150">
        <f>6.6/3.281</f>
        <v>2.0115818348064614</v>
      </c>
      <c r="G13" s="150">
        <f>PRODUCT(C13:F13)</f>
        <v>2.5382349271864526</v>
      </c>
      <c r="H13" s="151"/>
      <c r="I13" s="151"/>
      <c r="J13" s="151"/>
      <c r="K13" s="149"/>
    </row>
    <row r="14" spans="1:12" ht="15.75" customHeight="1" x14ac:dyDescent="0.25">
      <c r="A14" s="122"/>
      <c r="B14" s="123"/>
      <c r="C14" s="149"/>
      <c r="D14" s="150"/>
      <c r="E14" s="150"/>
      <c r="F14" s="152" t="s">
        <v>367</v>
      </c>
      <c r="G14" s="150">
        <f>SUM(G12:G13)</f>
        <v>5.9225481634350556</v>
      </c>
      <c r="H14" s="151" t="s">
        <v>350</v>
      </c>
      <c r="I14" s="151">
        <f>'[1]Table of Content 2'!$H$311</f>
        <v>1950.4</v>
      </c>
      <c r="J14" s="151">
        <f>G14*I14</f>
        <v>11551.337937963734</v>
      </c>
      <c r="K14" s="149"/>
    </row>
    <row r="15" spans="1:12" ht="69" customHeight="1" x14ac:dyDescent="0.25">
      <c r="A15" s="122">
        <v>2</v>
      </c>
      <c r="B15" s="123" t="s">
        <v>427</v>
      </c>
      <c r="C15" s="153"/>
      <c r="D15" s="152"/>
      <c r="E15" s="152"/>
      <c r="F15" s="152"/>
      <c r="G15" s="152"/>
      <c r="H15" s="152"/>
      <c r="I15" s="152"/>
      <c r="J15" s="152"/>
      <c r="K15" s="123"/>
      <c r="L15" s="124" t="s">
        <v>371</v>
      </c>
    </row>
    <row r="16" spans="1:12" x14ac:dyDescent="0.2">
      <c r="A16" s="122"/>
      <c r="B16" s="125"/>
      <c r="C16" s="123">
        <v>1</v>
      </c>
      <c r="D16" s="171">
        <f>(8+3)/3.281</f>
        <v>3.3526363913441024</v>
      </c>
      <c r="E16" s="126">
        <f>(7+3)/3.281</f>
        <v>3.047851264858275</v>
      </c>
      <c r="F16" s="126">
        <v>0.3</v>
      </c>
      <c r="G16" s="126">
        <f t="shared" ref="G16:G17" si="0">PRODUCT(C16:F16)</f>
        <v>3.0655011197904014</v>
      </c>
      <c r="H16" s="154"/>
      <c r="I16" s="155"/>
      <c r="J16" s="137"/>
      <c r="K16" s="123"/>
    </row>
    <row r="17" spans="1:12" x14ac:dyDescent="0.2">
      <c r="A17" s="122"/>
      <c r="B17" s="125"/>
      <c r="C17" s="123">
        <v>1</v>
      </c>
      <c r="D17" s="126">
        <f>12/3.281</f>
        <v>3.6574215178299299</v>
      </c>
      <c r="E17" s="126">
        <f>9/3.281</f>
        <v>2.7430661383724475</v>
      </c>
      <c r="F17" s="126">
        <v>0.3</v>
      </c>
      <c r="G17" s="126">
        <f t="shared" si="0"/>
        <v>3.0097647357942123</v>
      </c>
      <c r="H17" s="154"/>
      <c r="I17" s="155"/>
      <c r="J17" s="137"/>
      <c r="K17" s="123"/>
    </row>
    <row r="18" spans="1:12" x14ac:dyDescent="0.25">
      <c r="A18" s="122"/>
      <c r="B18" s="127"/>
      <c r="C18" s="153"/>
      <c r="D18" s="152"/>
      <c r="E18" s="152"/>
      <c r="F18" s="152" t="s">
        <v>367</v>
      </c>
      <c r="G18" s="152">
        <f>SUM(G16:G17)</f>
        <v>6.0752658555846137</v>
      </c>
      <c r="H18" s="152" t="s">
        <v>350</v>
      </c>
      <c r="I18" s="152">
        <f>'[1]Table of Content 2'!$H$22</f>
        <v>938.4</v>
      </c>
      <c r="J18" s="152">
        <f>G18*I18</f>
        <v>5701.0294788806013</v>
      </c>
      <c r="K18" s="123"/>
    </row>
    <row r="19" spans="1:12" ht="93" customHeight="1" x14ac:dyDescent="0.25">
      <c r="A19" s="122">
        <v>3</v>
      </c>
      <c r="B19" s="123" t="s">
        <v>370</v>
      </c>
      <c r="C19" s="153"/>
      <c r="D19" s="152"/>
      <c r="E19" s="152"/>
      <c r="F19" s="152"/>
      <c r="G19" s="152"/>
      <c r="H19" s="152"/>
      <c r="I19" s="152"/>
      <c r="J19" s="152"/>
      <c r="K19" s="123"/>
      <c r="L19" s="124" t="s">
        <v>371</v>
      </c>
    </row>
    <row r="20" spans="1:12" x14ac:dyDescent="0.2">
      <c r="A20" s="122"/>
      <c r="B20" s="125" t="s">
        <v>383</v>
      </c>
      <c r="C20" s="123">
        <v>2</v>
      </c>
      <c r="D20" s="126">
        <f>D12</f>
        <v>3.6574215178299299</v>
      </c>
      <c r="E20" s="126">
        <v>0.23</v>
      </c>
      <c r="F20" s="126">
        <v>0.3</v>
      </c>
      <c r="G20" s="126">
        <f t="shared" ref="G20:G23" si="1">PRODUCT(C20:F20)</f>
        <v>0.50472416946053034</v>
      </c>
      <c r="H20" s="154"/>
      <c r="I20" s="155"/>
      <c r="J20" s="137"/>
      <c r="K20" s="123"/>
    </row>
    <row r="21" spans="1:12" x14ac:dyDescent="0.2">
      <c r="A21" s="122"/>
      <c r="B21" s="125" t="s">
        <v>384</v>
      </c>
      <c r="C21" s="123">
        <v>1</v>
      </c>
      <c r="D21" s="126">
        <f>D13</f>
        <v>2.7430661383724475</v>
      </c>
      <c r="E21" s="126">
        <v>0.23</v>
      </c>
      <c r="F21" s="126">
        <v>0.3</v>
      </c>
      <c r="G21" s="126">
        <f t="shared" ref="G21" si="2">PRODUCT(C21:F21)</f>
        <v>0.18927156354769889</v>
      </c>
      <c r="H21" s="154"/>
      <c r="I21" s="155"/>
      <c r="J21" s="137"/>
      <c r="K21" s="123"/>
    </row>
    <row r="22" spans="1:12" x14ac:dyDescent="0.2">
      <c r="A22" s="122"/>
      <c r="B22" s="125" t="s">
        <v>385</v>
      </c>
      <c r="C22" s="123">
        <v>1</v>
      </c>
      <c r="D22" s="126">
        <f>D13</f>
        <v>2.7430661383724475</v>
      </c>
      <c r="E22" s="126">
        <v>0.23</v>
      </c>
      <c r="F22" s="126">
        <v>0.3</v>
      </c>
      <c r="G22" s="126">
        <f t="shared" si="1"/>
        <v>0.18927156354769889</v>
      </c>
      <c r="H22" s="154"/>
      <c r="I22" s="155"/>
      <c r="J22" s="137"/>
      <c r="K22" s="123"/>
    </row>
    <row r="23" spans="1:12" x14ac:dyDescent="0.2">
      <c r="A23" s="122"/>
      <c r="B23" s="125"/>
      <c r="C23" s="123">
        <v>1</v>
      </c>
      <c r="D23" s="126">
        <v>15</v>
      </c>
      <c r="E23" s="126">
        <f>13/3.281</f>
        <v>3.9622066443157573</v>
      </c>
      <c r="F23" s="126">
        <v>0.2</v>
      </c>
      <c r="G23" s="126">
        <f t="shared" si="1"/>
        <v>11.886619932947273</v>
      </c>
      <c r="H23" s="154"/>
      <c r="I23" s="155"/>
      <c r="J23" s="137"/>
      <c r="K23" s="123"/>
    </row>
    <row r="24" spans="1:12" x14ac:dyDescent="0.25">
      <c r="A24" s="122"/>
      <c r="B24" s="127"/>
      <c r="C24" s="153"/>
      <c r="D24" s="152"/>
      <c r="E24" s="152"/>
      <c r="F24" s="152" t="s">
        <v>367</v>
      </c>
      <c r="G24" s="152">
        <f>SUM(G20:G23)</f>
        <v>12.769887229503201</v>
      </c>
      <c r="H24" s="152" t="s">
        <v>350</v>
      </c>
      <c r="I24" s="152">
        <f>'[1]Table of Content 2'!$H$19</f>
        <v>663.31</v>
      </c>
      <c r="J24" s="152">
        <f>G24*I24</f>
        <v>8470.393898201768</v>
      </c>
      <c r="K24" s="123"/>
    </row>
    <row r="25" spans="1:12" s="139" customFormat="1" ht="38.25" x14ac:dyDescent="0.2">
      <c r="A25" s="128">
        <v>4</v>
      </c>
      <c r="B25" s="129" t="s">
        <v>386</v>
      </c>
      <c r="C25" s="130"/>
      <c r="D25" s="131"/>
      <c r="E25" s="131"/>
      <c r="F25" s="131"/>
      <c r="G25" s="131"/>
      <c r="H25" s="131"/>
      <c r="I25" s="131"/>
      <c r="J25" s="132"/>
      <c r="K25" s="130"/>
    </row>
    <row r="26" spans="1:12" x14ac:dyDescent="0.2">
      <c r="A26" s="122"/>
      <c r="B26" s="125"/>
      <c r="C26" s="123">
        <v>1</v>
      </c>
      <c r="D26" s="126">
        <f>D20</f>
        <v>3.6574215178299299</v>
      </c>
      <c r="E26" s="126">
        <f>D21</f>
        <v>2.7430661383724475</v>
      </c>
      <c r="F26" s="126"/>
      <c r="G26" s="126">
        <f t="shared" ref="G26" si="3">PRODUCT(C26:F26)</f>
        <v>10.032549119314041</v>
      </c>
      <c r="H26" s="154"/>
      <c r="I26" s="155"/>
      <c r="J26" s="137"/>
      <c r="K26" s="123"/>
    </row>
    <row r="27" spans="1:12" s="139" customFormat="1" x14ac:dyDescent="0.2">
      <c r="A27" s="133"/>
      <c r="B27" s="129"/>
      <c r="C27" s="130"/>
      <c r="D27" s="131"/>
      <c r="E27" s="131"/>
      <c r="F27" s="152" t="s">
        <v>367</v>
      </c>
      <c r="G27" s="131">
        <f>SUM(G26:G26)</f>
        <v>10.032549119314041</v>
      </c>
      <c r="H27" s="131" t="s">
        <v>374</v>
      </c>
      <c r="I27" s="131">
        <f>'[1]Table of Content 2'!$H$180</f>
        <v>1014.97</v>
      </c>
      <c r="J27" s="132">
        <f>G27*I27</f>
        <v>10182.736379630172</v>
      </c>
      <c r="K27" s="130"/>
    </row>
    <row r="28" spans="1:12" s="139" customFormat="1" x14ac:dyDescent="0.2">
      <c r="A28" s="133"/>
      <c r="B28" s="134" t="s">
        <v>387</v>
      </c>
      <c r="C28" s="130"/>
      <c r="D28" s="131"/>
      <c r="E28" s="131"/>
      <c r="F28" s="131"/>
      <c r="G28" s="131"/>
      <c r="H28" s="131"/>
      <c r="I28" s="131"/>
      <c r="J28" s="132">
        <f>0.13*0.8*J27</f>
        <v>1059.004583481538</v>
      </c>
      <c r="K28" s="130"/>
    </row>
    <row r="29" spans="1:12" s="139" customFormat="1" ht="39.75" customHeight="1" x14ac:dyDescent="0.2">
      <c r="A29" s="133">
        <v>5</v>
      </c>
      <c r="B29" s="129" t="s">
        <v>375</v>
      </c>
      <c r="C29" s="130"/>
      <c r="D29" s="131"/>
      <c r="E29" s="131"/>
      <c r="F29" s="131"/>
      <c r="G29" s="131"/>
      <c r="H29" s="131"/>
      <c r="I29" s="131"/>
      <c r="J29" s="132"/>
      <c r="K29" s="130"/>
    </row>
    <row r="30" spans="1:12" x14ac:dyDescent="0.2">
      <c r="A30" s="122"/>
      <c r="B30" s="125"/>
      <c r="C30" s="123">
        <v>1</v>
      </c>
      <c r="D30" s="126">
        <f>D26</f>
        <v>3.6574215178299299</v>
      </c>
      <c r="E30" s="126">
        <f>E26</f>
        <v>2.7430661383724475</v>
      </c>
      <c r="F30" s="126">
        <v>0.08</v>
      </c>
      <c r="G30" s="126">
        <f t="shared" ref="G30" si="4">PRODUCT(C30:F30)</f>
        <v>0.80260392954512327</v>
      </c>
      <c r="H30" s="154"/>
      <c r="I30" s="155"/>
      <c r="J30" s="137"/>
      <c r="K30" s="123"/>
    </row>
    <row r="31" spans="1:12" x14ac:dyDescent="0.2">
      <c r="A31" s="122"/>
      <c r="B31" s="125" t="s">
        <v>423</v>
      </c>
      <c r="C31" s="123">
        <v>1</v>
      </c>
      <c r="D31" s="126">
        <f>9/3.281</f>
        <v>2.7430661383724475</v>
      </c>
      <c r="E31" s="126">
        <f>8/3.281</f>
        <v>2.4382810118866196</v>
      </c>
      <c r="F31" s="126">
        <v>0.08</v>
      </c>
      <c r="G31" s="126">
        <f t="shared" ref="G31" si="5">PRODUCT(C31:F31)</f>
        <v>0.53506928636341555</v>
      </c>
      <c r="H31" s="154"/>
      <c r="I31" s="155"/>
      <c r="J31" s="137"/>
      <c r="K31" s="123"/>
    </row>
    <row r="32" spans="1:12" s="139" customFormat="1" x14ac:dyDescent="0.2">
      <c r="A32" s="133"/>
      <c r="B32" s="129"/>
      <c r="C32" s="130"/>
      <c r="D32" s="131"/>
      <c r="E32" s="131"/>
      <c r="F32" s="152" t="s">
        <v>367</v>
      </c>
      <c r="G32" s="131">
        <f>SUM(G30:G31)</f>
        <v>1.3376732159085387</v>
      </c>
      <c r="H32" s="131" t="s">
        <v>21</v>
      </c>
      <c r="I32" s="131">
        <f>'[1]Table of Content 2'!$H$65</f>
        <v>12983.1</v>
      </c>
      <c r="J32" s="132">
        <f>G32*I32</f>
        <v>17367.145129462151</v>
      </c>
      <c r="K32" s="130"/>
    </row>
    <row r="33" spans="1:11" s="139" customFormat="1" x14ac:dyDescent="0.2">
      <c r="A33" s="133"/>
      <c r="B33" s="134" t="s">
        <v>387</v>
      </c>
      <c r="C33" s="130"/>
      <c r="D33" s="131"/>
      <c r="E33" s="131"/>
      <c r="F33" s="131"/>
      <c r="G33" s="131"/>
      <c r="H33" s="131"/>
      <c r="I33" s="131"/>
      <c r="J33" s="132">
        <f>0.13*0.8*J32</f>
        <v>1806.1830934640639</v>
      </c>
      <c r="K33" s="130"/>
    </row>
    <row r="34" spans="1:11" s="139" customFormat="1" ht="105" customHeight="1" x14ac:dyDescent="0.2">
      <c r="A34" s="122">
        <v>6</v>
      </c>
      <c r="B34" s="156" t="s">
        <v>379</v>
      </c>
      <c r="C34" s="145"/>
      <c r="D34" s="146"/>
      <c r="E34" s="146"/>
      <c r="F34" s="146"/>
      <c r="G34" s="146"/>
      <c r="H34" s="144"/>
      <c r="I34" s="144"/>
      <c r="J34" s="146"/>
      <c r="K34" s="147"/>
    </row>
    <row r="35" spans="1:11" x14ac:dyDescent="0.2">
      <c r="A35" s="122"/>
      <c r="B35" s="125" t="s">
        <v>388</v>
      </c>
      <c r="C35" s="123">
        <v>2</v>
      </c>
      <c r="D35" s="126">
        <v>3.6574215178299299</v>
      </c>
      <c r="E35" s="126">
        <v>0.23</v>
      </c>
      <c r="F35" s="126">
        <f>0.6</f>
        <v>0.6</v>
      </c>
      <c r="G35" s="126">
        <f>PRODUCT(C35:F35)</f>
        <v>1.0094483389210607</v>
      </c>
      <c r="H35" s="154"/>
      <c r="I35" s="155"/>
      <c r="J35" s="137"/>
      <c r="K35" s="123"/>
    </row>
    <row r="36" spans="1:11" x14ac:dyDescent="0.2">
      <c r="A36" s="122"/>
      <c r="B36" s="125" t="s">
        <v>389</v>
      </c>
      <c r="C36" s="123">
        <v>2</v>
      </c>
      <c r="D36" s="126">
        <v>3.6574215178299299</v>
      </c>
      <c r="E36" s="126">
        <v>0.23</v>
      </c>
      <c r="F36" s="126">
        <f>0.6</f>
        <v>0.6</v>
      </c>
      <c r="G36" s="126">
        <f>PRODUCT(C36:F36)</f>
        <v>1.0094483389210607</v>
      </c>
      <c r="H36" s="154"/>
      <c r="I36" s="155"/>
      <c r="J36" s="137"/>
      <c r="K36" s="123"/>
    </row>
    <row r="37" spans="1:11" x14ac:dyDescent="0.2">
      <c r="A37" s="122"/>
      <c r="B37" s="125" t="s">
        <v>390</v>
      </c>
      <c r="C37" s="123">
        <v>2</v>
      </c>
      <c r="D37" s="126">
        <v>3.6574215178299299</v>
      </c>
      <c r="E37" s="126">
        <v>0.1</v>
      </c>
      <c r="F37" s="126">
        <f>0.6</f>
        <v>0.6</v>
      </c>
      <c r="G37" s="126">
        <f>PRODUCT(C37:F37)</f>
        <v>0.43889058213959159</v>
      </c>
      <c r="H37" s="154"/>
      <c r="I37" s="155"/>
      <c r="J37" s="137"/>
      <c r="K37" s="123"/>
    </row>
    <row r="38" spans="1:11" x14ac:dyDescent="0.2">
      <c r="A38" s="122"/>
      <c r="B38" s="125" t="s">
        <v>384</v>
      </c>
      <c r="C38" s="123">
        <v>1</v>
      </c>
      <c r="D38" s="126">
        <v>2.7430661383724475</v>
      </c>
      <c r="E38" s="126">
        <v>0.1</v>
      </c>
      <c r="F38" s="126">
        <f>7/3.281</f>
        <v>2.1334958854007922</v>
      </c>
      <c r="G38" s="126">
        <f t="shared" ref="G38:G41" si="6">PRODUCT(C38:F38)</f>
        <v>0.58523203195998563</v>
      </c>
      <c r="H38" s="154"/>
      <c r="I38" s="155"/>
      <c r="J38" s="137"/>
      <c r="K38" s="123"/>
    </row>
    <row r="39" spans="1:11" x14ac:dyDescent="0.2">
      <c r="A39" s="122"/>
      <c r="B39" s="125" t="s">
        <v>392</v>
      </c>
      <c r="C39" s="123">
        <v>1</v>
      </c>
      <c r="D39" s="126">
        <v>2.7430661383724475</v>
      </c>
      <c r="E39" s="126">
        <v>0.1</v>
      </c>
      <c r="F39" s="126">
        <v>1.2</v>
      </c>
      <c r="G39" s="126">
        <f t="shared" si="6"/>
        <v>0.32916793660469368</v>
      </c>
      <c r="H39" s="154"/>
      <c r="I39" s="155"/>
      <c r="J39" s="137"/>
      <c r="K39" s="123"/>
    </row>
    <row r="40" spans="1:11" x14ac:dyDescent="0.2">
      <c r="A40" s="122"/>
      <c r="B40" s="125" t="s">
        <v>391</v>
      </c>
      <c r="C40" s="123">
        <v>2</v>
      </c>
      <c r="D40" s="126">
        <v>2.7430661383724475</v>
      </c>
      <c r="E40" s="126">
        <v>0.1</v>
      </c>
      <c r="F40" s="126">
        <f>F12-F39</f>
        <v>0.8115818348064614</v>
      </c>
      <c r="G40" s="126">
        <f t="shared" si="6"/>
        <v>0.44524452991515712</v>
      </c>
      <c r="H40" s="154"/>
      <c r="I40" s="155"/>
      <c r="J40" s="137"/>
      <c r="K40" s="123"/>
    </row>
    <row r="41" spans="1:11" x14ac:dyDescent="0.2">
      <c r="A41" s="122"/>
      <c r="B41" s="125" t="s">
        <v>385</v>
      </c>
      <c r="C41" s="123">
        <v>1</v>
      </c>
      <c r="D41" s="126">
        <v>2.7430661383724475</v>
      </c>
      <c r="E41" s="126">
        <v>0.1</v>
      </c>
      <c r="F41" s="126">
        <v>0.3</v>
      </c>
      <c r="G41" s="126">
        <f t="shared" si="6"/>
        <v>8.229198415117342E-2</v>
      </c>
      <c r="H41" s="154"/>
      <c r="I41" s="155"/>
      <c r="J41" s="137"/>
      <c r="K41" s="123"/>
    </row>
    <row r="42" spans="1:11" x14ac:dyDescent="0.25">
      <c r="A42" s="122"/>
      <c r="B42" s="148"/>
      <c r="C42" s="136"/>
      <c r="D42" s="137"/>
      <c r="E42" s="137"/>
      <c r="F42" s="137" t="s">
        <v>358</v>
      </c>
      <c r="G42" s="137">
        <f>SUM(G35:G41)</f>
        <v>3.8997237426127231</v>
      </c>
      <c r="H42" s="148" t="s">
        <v>366</v>
      </c>
      <c r="I42" s="157">
        <f>'[1]Table of Content 2'!$H$43</f>
        <v>14671.52</v>
      </c>
      <c r="J42" s="137">
        <f>G42*I42</f>
        <v>57214.874884217425</v>
      </c>
      <c r="K42" s="148"/>
    </row>
    <row r="43" spans="1:11" x14ac:dyDescent="0.2">
      <c r="A43" s="122"/>
      <c r="B43" s="158" t="s">
        <v>25</v>
      </c>
      <c r="C43" s="136"/>
      <c r="D43" s="137"/>
      <c r="E43" s="137"/>
      <c r="F43" s="124"/>
      <c r="G43" s="137"/>
      <c r="H43" s="148"/>
      <c r="I43" s="148"/>
      <c r="J43" s="132">
        <f>0.13*0.8*J42</f>
        <v>5950.3469879586128</v>
      </c>
      <c r="K43" s="148"/>
    </row>
    <row r="44" spans="1:11" x14ac:dyDescent="0.25">
      <c r="A44" s="122">
        <v>7</v>
      </c>
      <c r="B44" s="123" t="s">
        <v>368</v>
      </c>
      <c r="C44" s="137"/>
      <c r="D44" s="137"/>
      <c r="E44" s="137"/>
      <c r="F44" s="137"/>
      <c r="G44" s="137"/>
      <c r="H44" s="148"/>
      <c r="I44" s="137"/>
      <c r="J44" s="137"/>
      <c r="K44" s="148"/>
    </row>
    <row r="45" spans="1:11" ht="38.25" x14ac:dyDescent="0.2">
      <c r="A45" s="122"/>
      <c r="B45" s="135" t="s">
        <v>425</v>
      </c>
      <c r="C45" s="123"/>
      <c r="D45" s="126"/>
      <c r="E45" s="126"/>
      <c r="F45" s="126"/>
      <c r="G45" s="126"/>
      <c r="H45" s="154"/>
      <c r="I45" s="155"/>
      <c r="J45" s="137"/>
      <c r="K45" s="123"/>
    </row>
    <row r="46" spans="1:11" x14ac:dyDescent="0.2">
      <c r="A46" s="122"/>
      <c r="B46" s="125" t="s">
        <v>388</v>
      </c>
      <c r="C46" s="123">
        <v>1</v>
      </c>
      <c r="D46" s="126">
        <v>3.6574215178299299</v>
      </c>
      <c r="E46" s="126"/>
      <c r="F46" s="126">
        <f>0.6</f>
        <v>0.6</v>
      </c>
      <c r="G46" s="126">
        <f>PRODUCT(C46:F46)</f>
        <v>2.194452910697958</v>
      </c>
      <c r="H46" s="154"/>
      <c r="I46" s="155"/>
      <c r="J46" s="137"/>
      <c r="K46" s="123"/>
    </row>
    <row r="47" spans="1:11" x14ac:dyDescent="0.2">
      <c r="A47" s="122"/>
      <c r="B47" s="125" t="s">
        <v>389</v>
      </c>
      <c r="C47" s="123">
        <v>1</v>
      </c>
      <c r="D47" s="126">
        <v>3.6574215178299299</v>
      </c>
      <c r="E47" s="126"/>
      <c r="F47" s="126">
        <f>0.6</f>
        <v>0.6</v>
      </c>
      <c r="G47" s="126">
        <f>PRODUCT(C47:F47)</f>
        <v>2.194452910697958</v>
      </c>
      <c r="H47" s="154"/>
      <c r="I47" s="155"/>
      <c r="J47" s="137"/>
      <c r="K47" s="123"/>
    </row>
    <row r="48" spans="1:11" x14ac:dyDescent="0.2">
      <c r="A48" s="122"/>
      <c r="B48" s="125" t="s">
        <v>390</v>
      </c>
      <c r="C48" s="123">
        <v>2</v>
      </c>
      <c r="D48" s="126">
        <v>3.6574215178299299</v>
      </c>
      <c r="E48" s="126"/>
      <c r="F48" s="126">
        <f>0.6</f>
        <v>0.6</v>
      </c>
      <c r="G48" s="126">
        <f>PRODUCT(C48:F48)</f>
        <v>4.388905821395916</v>
      </c>
      <c r="H48" s="154"/>
      <c r="I48" s="155"/>
      <c r="J48" s="137"/>
      <c r="K48" s="123"/>
    </row>
    <row r="49" spans="1:12" x14ac:dyDescent="0.2">
      <c r="A49" s="122"/>
      <c r="B49" s="125" t="s">
        <v>392</v>
      </c>
      <c r="C49" s="123">
        <v>1</v>
      </c>
      <c r="D49" s="126">
        <v>2.7430661383724475</v>
      </c>
      <c r="E49" s="126"/>
      <c r="F49" s="126">
        <v>1.2</v>
      </c>
      <c r="G49" s="126">
        <f t="shared" ref="G49:G51" si="7">PRODUCT(C49:F49)</f>
        <v>3.291679366046937</v>
      </c>
      <c r="H49" s="154"/>
      <c r="I49" s="155"/>
      <c r="J49" s="137"/>
      <c r="K49" s="123"/>
    </row>
    <row r="50" spans="1:12" x14ac:dyDescent="0.2">
      <c r="A50" s="122"/>
      <c r="B50" s="125" t="s">
        <v>391</v>
      </c>
      <c r="C50" s="123">
        <v>2</v>
      </c>
      <c r="D50" s="126">
        <v>2.7430661383724475</v>
      </c>
      <c r="E50" s="126"/>
      <c r="F50" s="126">
        <f>F12-F49</f>
        <v>0.8115818348064614</v>
      </c>
      <c r="G50" s="126">
        <f t="shared" ref="G50" si="8">PRODUCT(C50:F50)</f>
        <v>4.4524452991515711</v>
      </c>
      <c r="H50" s="154"/>
      <c r="I50" s="155"/>
      <c r="J50" s="137"/>
      <c r="K50" s="123"/>
    </row>
    <row r="51" spans="1:12" x14ac:dyDescent="0.2">
      <c r="A51" s="122"/>
      <c r="B51" s="125" t="s">
        <v>385</v>
      </c>
      <c r="C51" s="123">
        <v>2</v>
      </c>
      <c r="D51" s="126">
        <v>2.7430661383724475</v>
      </c>
      <c r="E51" s="126"/>
      <c r="F51" s="126">
        <v>0.3</v>
      </c>
      <c r="G51" s="126">
        <f t="shared" si="7"/>
        <v>1.6458396830234685</v>
      </c>
      <c r="H51" s="154"/>
      <c r="I51" s="155"/>
      <c r="J51" s="137"/>
      <c r="K51" s="123"/>
    </row>
    <row r="52" spans="1:12" x14ac:dyDescent="0.25">
      <c r="A52" s="122"/>
      <c r="B52" s="148"/>
      <c r="C52" s="136"/>
      <c r="D52" s="137"/>
      <c r="E52" s="137"/>
      <c r="F52" s="137" t="s">
        <v>358</v>
      </c>
      <c r="G52" s="137">
        <f>SUM(G46:G51)</f>
        <v>18.167775991013809</v>
      </c>
      <c r="H52" s="148" t="s">
        <v>372</v>
      </c>
      <c r="I52" s="157">
        <f>5810.57/1.15</f>
        <v>5052.6695652173912</v>
      </c>
      <c r="J52" s="137">
        <f>G52*I52</f>
        <v>91795.768817482705</v>
      </c>
      <c r="K52" s="148"/>
    </row>
    <row r="53" spans="1:12" x14ac:dyDescent="0.25">
      <c r="A53" s="122"/>
      <c r="B53" s="148"/>
      <c r="C53" s="136"/>
      <c r="D53" s="137"/>
      <c r="E53" s="137"/>
      <c r="F53" s="137" t="s">
        <v>25</v>
      </c>
      <c r="G53" s="137"/>
      <c r="H53" s="148"/>
      <c r="I53" s="148"/>
      <c r="J53" s="137">
        <f>0.13*0.8*J52</f>
        <v>9546.7599570182028</v>
      </c>
      <c r="K53" s="148"/>
    </row>
    <row r="54" spans="1:12" x14ac:dyDescent="0.25">
      <c r="A54" s="122">
        <v>8</v>
      </c>
      <c r="B54" s="123" t="s">
        <v>369</v>
      </c>
      <c r="C54" s="136"/>
      <c r="D54" s="137"/>
      <c r="E54" s="137"/>
      <c r="F54" s="137"/>
      <c r="G54" s="137"/>
      <c r="H54" s="148"/>
      <c r="I54" s="137"/>
      <c r="J54" s="137"/>
      <c r="K54" s="148"/>
      <c r="L54" s="159"/>
    </row>
    <row r="55" spans="1:12" ht="99.75" customHeight="1" x14ac:dyDescent="0.2">
      <c r="A55" s="122"/>
      <c r="B55" s="135" t="s">
        <v>426</v>
      </c>
      <c r="C55" s="123"/>
      <c r="D55" s="126"/>
      <c r="E55" s="126"/>
      <c r="F55" s="126"/>
      <c r="G55" s="126"/>
      <c r="H55" s="154"/>
      <c r="I55" s="155"/>
      <c r="J55" s="137"/>
      <c r="K55" s="123"/>
    </row>
    <row r="56" spans="1:12" x14ac:dyDescent="0.2">
      <c r="A56" s="122"/>
      <c r="B56" s="123" t="s">
        <v>390</v>
      </c>
      <c r="C56" s="123">
        <v>2</v>
      </c>
      <c r="D56" s="126">
        <v>3.6574215178299299</v>
      </c>
      <c r="E56" s="126">
        <f>14/12/3.281</f>
        <v>0.35558264756679875</v>
      </c>
      <c r="F56" s="126"/>
      <c r="G56" s="126">
        <f>PRODUCT(C56:E56)</f>
        <v>2.601031253155492</v>
      </c>
      <c r="H56" s="154"/>
      <c r="I56" s="155"/>
      <c r="J56" s="137"/>
      <c r="K56" s="123"/>
    </row>
    <row r="57" spans="1:12" x14ac:dyDescent="0.2">
      <c r="A57" s="122"/>
      <c r="B57" s="123" t="s">
        <v>391</v>
      </c>
      <c r="C57" s="123">
        <v>2</v>
      </c>
      <c r="D57" s="126">
        <v>2.7430661383724475</v>
      </c>
      <c r="E57" s="126">
        <f t="shared" ref="E57:E58" si="9">14/12/3.281</f>
        <v>0.35558264756679875</v>
      </c>
      <c r="F57" s="126"/>
      <c r="G57" s="126">
        <f t="shared" ref="G57:G58" si="10">PRODUCT(C57:E57)</f>
        <v>1.9507734398666192</v>
      </c>
      <c r="H57" s="154"/>
      <c r="I57" s="155"/>
      <c r="J57" s="137"/>
      <c r="K57" s="123"/>
    </row>
    <row r="58" spans="1:12" x14ac:dyDescent="0.2">
      <c r="A58" s="122"/>
      <c r="B58" s="123" t="s">
        <v>385</v>
      </c>
      <c r="C58" s="123">
        <v>2</v>
      </c>
      <c r="D58" s="126">
        <v>2.7430661383724475</v>
      </c>
      <c r="E58" s="126">
        <f t="shared" si="9"/>
        <v>0.35558264756679875</v>
      </c>
      <c r="F58" s="126"/>
      <c r="G58" s="126">
        <f t="shared" si="10"/>
        <v>1.9507734398666192</v>
      </c>
      <c r="H58" s="154"/>
      <c r="I58" s="155"/>
      <c r="J58" s="137"/>
      <c r="K58" s="123"/>
    </row>
    <row r="59" spans="1:12" x14ac:dyDescent="0.25">
      <c r="A59" s="122"/>
      <c r="B59" s="148"/>
      <c r="C59" s="136"/>
      <c r="D59" s="137"/>
      <c r="E59" s="137"/>
      <c r="F59" s="137" t="s">
        <v>358</v>
      </c>
      <c r="G59" s="137">
        <f>SUM(G56:G58)</f>
        <v>6.5025781328887309</v>
      </c>
      <c r="H59" s="148" t="s">
        <v>372</v>
      </c>
      <c r="I59" s="157">
        <f>3626.64/1.15</f>
        <v>3153.6</v>
      </c>
      <c r="J59" s="137">
        <f>G59*I59</f>
        <v>20506.530399877902</v>
      </c>
      <c r="K59" s="148"/>
    </row>
    <row r="60" spans="1:12" x14ac:dyDescent="0.25">
      <c r="A60" s="122"/>
      <c r="B60" s="148"/>
      <c r="C60" s="136"/>
      <c r="D60" s="137"/>
      <c r="E60" s="137"/>
      <c r="F60" s="137" t="s">
        <v>25</v>
      </c>
      <c r="G60" s="137"/>
      <c r="H60" s="148"/>
      <c r="I60" s="148"/>
      <c r="J60" s="137">
        <f>0.13*0.8*J59</f>
        <v>2132.6791615873021</v>
      </c>
      <c r="K60" s="148"/>
    </row>
    <row r="61" spans="1:12" x14ac:dyDescent="0.25">
      <c r="A61" s="122">
        <v>9</v>
      </c>
      <c r="B61" s="123" t="s">
        <v>373</v>
      </c>
      <c r="C61" s="136"/>
      <c r="D61" s="137"/>
      <c r="E61" s="137"/>
      <c r="F61" s="137"/>
      <c r="G61" s="137"/>
      <c r="H61" s="148"/>
      <c r="I61" s="137"/>
      <c r="J61" s="137"/>
      <c r="K61" s="148"/>
      <c r="L61" s="159"/>
    </row>
    <row r="62" spans="1:12" ht="38.25" x14ac:dyDescent="0.2">
      <c r="A62" s="122"/>
      <c r="B62" s="160" t="s">
        <v>393</v>
      </c>
      <c r="C62" s="123">
        <v>1</v>
      </c>
      <c r="D62" s="126">
        <f>D56-0.35*2</f>
        <v>2.9574215178299301</v>
      </c>
      <c r="E62" s="126">
        <f>D57-0.35*2</f>
        <v>2.0430661383724473</v>
      </c>
      <c r="F62" s="126"/>
      <c r="G62" s="126">
        <f>PRODUCT(C62:F62)</f>
        <v>6.0422077599723769</v>
      </c>
      <c r="H62" s="154"/>
      <c r="I62" s="155"/>
      <c r="J62" s="137"/>
      <c r="K62" s="123"/>
    </row>
    <row r="63" spans="1:12" x14ac:dyDescent="0.2">
      <c r="A63" s="122"/>
      <c r="B63" s="125" t="s">
        <v>423</v>
      </c>
      <c r="C63" s="123">
        <v>1</v>
      </c>
      <c r="D63" s="126">
        <f>9/3.281</f>
        <v>2.7430661383724475</v>
      </c>
      <c r="E63" s="126">
        <f>8/3.281</f>
        <v>2.4382810118866196</v>
      </c>
      <c r="F63" s="126"/>
      <c r="G63" s="126">
        <f>PRODUCT(C63:F63)</f>
        <v>6.6883660795426936</v>
      </c>
      <c r="H63" s="154"/>
      <c r="I63" s="155"/>
      <c r="J63" s="137"/>
      <c r="K63" s="123"/>
    </row>
    <row r="64" spans="1:12" x14ac:dyDescent="0.2">
      <c r="A64" s="122"/>
      <c r="B64" s="148"/>
      <c r="C64" s="136"/>
      <c r="D64" s="137"/>
      <c r="E64" s="137"/>
      <c r="F64" s="137" t="s">
        <v>358</v>
      </c>
      <c r="G64" s="137">
        <f>SUM(G62:G63)</f>
        <v>12.73057383951507</v>
      </c>
      <c r="H64" s="148" t="s">
        <v>372</v>
      </c>
      <c r="I64" s="161">
        <v>1755.2</v>
      </c>
      <c r="J64" s="155">
        <f>G64*I64</f>
        <v>22344.703203116853</v>
      </c>
      <c r="K64" s="148"/>
    </row>
    <row r="65" spans="1:11" x14ac:dyDescent="0.2">
      <c r="A65" s="122"/>
      <c r="B65" s="148"/>
      <c r="C65" s="136"/>
      <c r="D65" s="137"/>
      <c r="E65" s="137"/>
      <c r="F65" s="137" t="s">
        <v>25</v>
      </c>
      <c r="G65" s="137"/>
      <c r="H65" s="148"/>
      <c r="I65" s="162">
        <v>1098.92</v>
      </c>
      <c r="J65" s="163">
        <f>G64*I65*0.13</f>
        <v>1818.6846864835875</v>
      </c>
      <c r="K65" s="148"/>
    </row>
    <row r="66" spans="1:11" ht="38.25" x14ac:dyDescent="0.25">
      <c r="A66" s="122">
        <v>10</v>
      </c>
      <c r="B66" s="123" t="s">
        <v>420</v>
      </c>
      <c r="C66" s="137"/>
      <c r="D66" s="137"/>
      <c r="E66" s="137"/>
      <c r="F66" s="137"/>
      <c r="G66" s="137"/>
      <c r="H66" s="148"/>
      <c r="I66" s="137"/>
      <c r="J66" s="137"/>
      <c r="K66" s="164"/>
    </row>
    <row r="67" spans="1:11" x14ac:dyDescent="0.25">
      <c r="A67" s="122"/>
      <c r="B67" s="125" t="s">
        <v>429</v>
      </c>
      <c r="C67" s="137">
        <v>2</v>
      </c>
      <c r="D67" s="137">
        <f>(8+3)/3.281</f>
        <v>3.3526363913441024</v>
      </c>
      <c r="E67" s="137">
        <f t="shared" ref="E67:E71" si="11">0.45</f>
        <v>0.45</v>
      </c>
      <c r="F67" s="137">
        <f>(3.5)/3.281</f>
        <v>1.0667479427003961</v>
      </c>
      <c r="G67" s="137">
        <f t="shared" ref="G67:G71" si="12">PRODUCT(C67:F67)</f>
        <v>3.2187761757799214</v>
      </c>
      <c r="H67" s="148"/>
      <c r="I67" s="137"/>
      <c r="J67" s="137"/>
      <c r="K67" s="164"/>
    </row>
    <row r="68" spans="1:11" x14ac:dyDescent="0.25">
      <c r="A68" s="122"/>
      <c r="B68" s="125"/>
      <c r="C68" s="137">
        <v>2</v>
      </c>
      <c r="D68" s="137">
        <f>10/3.281</f>
        <v>3.047851264858275</v>
      </c>
      <c r="E68" s="137">
        <f t="shared" si="11"/>
        <v>0.45</v>
      </c>
      <c r="F68" s="137">
        <f>(3.5)/3.281</f>
        <v>1.0667479427003961</v>
      </c>
      <c r="G68" s="137">
        <f t="shared" si="12"/>
        <v>2.9261601597999283</v>
      </c>
      <c r="H68" s="148"/>
      <c r="I68" s="137"/>
      <c r="J68" s="137"/>
      <c r="K68" s="164"/>
    </row>
    <row r="69" spans="1:11" x14ac:dyDescent="0.25">
      <c r="A69" s="122"/>
      <c r="B69" s="125" t="s">
        <v>421</v>
      </c>
      <c r="C69" s="137">
        <v>2</v>
      </c>
      <c r="D69" s="137">
        <f>(8+3+3)/3.281</f>
        <v>4.2669917708015843</v>
      </c>
      <c r="E69" s="137">
        <f t="shared" si="11"/>
        <v>0.45</v>
      </c>
      <c r="F69" s="137">
        <f>(2.8)/3.281</f>
        <v>0.85339835416031684</v>
      </c>
      <c r="G69" s="137">
        <f t="shared" si="12"/>
        <v>3.2772993789759193</v>
      </c>
      <c r="H69" s="148"/>
      <c r="I69" s="137"/>
      <c r="J69" s="137"/>
      <c r="K69" s="164"/>
    </row>
    <row r="70" spans="1:11" x14ac:dyDescent="0.25">
      <c r="A70" s="122"/>
      <c r="B70" s="125"/>
      <c r="C70" s="137">
        <v>2</v>
      </c>
      <c r="D70" s="137">
        <f>13/3.281</f>
        <v>3.9622066443157573</v>
      </c>
      <c r="E70" s="137">
        <f t="shared" si="11"/>
        <v>0.45</v>
      </c>
      <c r="F70" s="137">
        <f>(2.8)/3.281</f>
        <v>0.85339835416031684</v>
      </c>
      <c r="G70" s="137">
        <f t="shared" si="12"/>
        <v>3.0432065661919254</v>
      </c>
      <c r="H70" s="148"/>
      <c r="I70" s="137"/>
      <c r="J70" s="137"/>
      <c r="K70" s="164"/>
    </row>
    <row r="71" spans="1:11" x14ac:dyDescent="0.25">
      <c r="A71" s="122"/>
      <c r="B71" s="125" t="s">
        <v>422</v>
      </c>
      <c r="C71" s="137">
        <v>1</v>
      </c>
      <c r="D71" s="137">
        <f>(8+3+3+3)/3.281</f>
        <v>5.1813471502590671</v>
      </c>
      <c r="E71" s="137">
        <f t="shared" si="11"/>
        <v>0.45</v>
      </c>
      <c r="F71" s="137">
        <v>0.6</v>
      </c>
      <c r="G71" s="137">
        <f t="shared" si="12"/>
        <v>1.398963730569948</v>
      </c>
      <c r="H71" s="148"/>
      <c r="I71" s="137"/>
      <c r="J71" s="137"/>
      <c r="K71" s="164"/>
    </row>
    <row r="72" spans="1:11" x14ac:dyDescent="0.2">
      <c r="A72" s="122"/>
      <c r="B72" s="148"/>
      <c r="C72" s="136"/>
      <c r="D72" s="137"/>
      <c r="E72" s="137"/>
      <c r="F72" s="137" t="s">
        <v>358</v>
      </c>
      <c r="G72" s="137">
        <f>SUM(G67:G71)</f>
        <v>13.864406011317641</v>
      </c>
      <c r="H72" s="148" t="s">
        <v>350</v>
      </c>
      <c r="I72" s="161">
        <f>Sheet1!H9</f>
        <v>3065</v>
      </c>
      <c r="J72" s="155">
        <f>G72*I72</f>
        <v>42494.404424688568</v>
      </c>
      <c r="K72" s="148"/>
    </row>
    <row r="73" spans="1:11" ht="67.5" customHeight="1" x14ac:dyDescent="0.2">
      <c r="A73" s="122">
        <v>11</v>
      </c>
      <c r="B73" s="149" t="str">
        <f>[2]Summary_of_Rates!$D$99</f>
        <v>Brick work for footpath, Providing and laying  brick on edge  over  60 mm thick  sand bed in footpath including excavation sand bedding all complete as  per Drawing and Technical Specifications.</v>
      </c>
      <c r="C73" s="136"/>
      <c r="D73" s="137"/>
      <c r="E73" s="137"/>
      <c r="F73" s="137"/>
      <c r="G73" s="137"/>
      <c r="H73" s="148"/>
      <c r="I73" s="161"/>
      <c r="J73" s="155"/>
      <c r="K73" s="172"/>
    </row>
    <row r="74" spans="1:11" x14ac:dyDescent="0.2">
      <c r="A74" s="122"/>
      <c r="B74" s="148"/>
      <c r="C74" s="136">
        <v>1</v>
      </c>
      <c r="D74" s="137">
        <v>15</v>
      </c>
      <c r="E74" s="137">
        <f>13/3.281</f>
        <v>3.9622066443157573</v>
      </c>
      <c r="F74" s="137"/>
      <c r="G74" s="137">
        <f>PRODUCT(C74:F74)</f>
        <v>59.433099664736361</v>
      </c>
      <c r="H74" s="148"/>
      <c r="I74" s="161"/>
      <c r="J74" s="155"/>
      <c r="K74" s="172"/>
    </row>
    <row r="75" spans="1:11" x14ac:dyDescent="0.2">
      <c r="A75" s="122"/>
      <c r="B75" s="148"/>
      <c r="C75" s="136"/>
      <c r="D75" s="137"/>
      <c r="E75" s="137"/>
      <c r="F75" s="137" t="s">
        <v>358</v>
      </c>
      <c r="G75" s="137">
        <f>SUM(G74:G74)</f>
        <v>59.433099664736361</v>
      </c>
      <c r="H75" s="148" t="s">
        <v>428</v>
      </c>
      <c r="I75" s="161">
        <f>[2]Summary_of_Rates!$M$99</f>
        <v>1718.42</v>
      </c>
      <c r="J75" s="155">
        <f>G75*I75</f>
        <v>102131.02712587627</v>
      </c>
      <c r="K75" s="172"/>
    </row>
    <row r="76" spans="1:11" x14ac:dyDescent="0.25">
      <c r="A76" s="122"/>
      <c r="B76" s="148"/>
      <c r="C76" s="136"/>
      <c r="D76" s="137"/>
      <c r="E76" s="137"/>
      <c r="F76" s="137" t="s">
        <v>25</v>
      </c>
      <c r="G76" s="137"/>
      <c r="H76" s="148"/>
      <c r="I76" s="148"/>
      <c r="J76" s="137">
        <f>0.13*0.8*J75</f>
        <v>10621.626821091133</v>
      </c>
      <c r="K76" s="148"/>
    </row>
    <row r="77" spans="1:11" x14ac:dyDescent="0.25">
      <c r="A77" s="122">
        <v>7</v>
      </c>
      <c r="B77" s="123" t="s">
        <v>377</v>
      </c>
      <c r="C77" s="137">
        <v>1</v>
      </c>
      <c r="D77" s="137"/>
      <c r="E77" s="137"/>
      <c r="F77" s="137"/>
      <c r="G77" s="137"/>
      <c r="H77" s="148" t="s">
        <v>378</v>
      </c>
      <c r="I77" s="137"/>
      <c r="J77" s="137">
        <v>10000</v>
      </c>
      <c r="K77" s="123"/>
    </row>
    <row r="78" spans="1:11" x14ac:dyDescent="0.25">
      <c r="A78" s="122">
        <v>8</v>
      </c>
      <c r="B78" s="123" t="s">
        <v>376</v>
      </c>
      <c r="C78" s="137">
        <v>1</v>
      </c>
      <c r="D78" s="137"/>
      <c r="E78" s="137"/>
      <c r="F78" s="137"/>
      <c r="G78" s="137"/>
      <c r="H78" s="148" t="s">
        <v>378</v>
      </c>
      <c r="I78" s="137"/>
      <c r="J78" s="137">
        <v>10000</v>
      </c>
      <c r="K78" s="123"/>
    </row>
    <row r="79" spans="1:11" ht="38.25" x14ac:dyDescent="0.25">
      <c r="A79" s="122">
        <v>9</v>
      </c>
      <c r="B79" s="123" t="s">
        <v>424</v>
      </c>
      <c r="C79" s="137">
        <v>1</v>
      </c>
      <c r="D79" s="137"/>
      <c r="E79" s="137"/>
      <c r="F79" s="137"/>
      <c r="G79" s="137"/>
      <c r="H79" s="148" t="s">
        <v>378</v>
      </c>
      <c r="I79" s="137"/>
      <c r="J79" s="137">
        <v>15000</v>
      </c>
      <c r="K79" s="164"/>
    </row>
    <row r="80" spans="1:11" x14ac:dyDescent="0.2">
      <c r="A80" s="122">
        <v>10</v>
      </c>
      <c r="B80" s="123" t="s">
        <v>394</v>
      </c>
      <c r="C80" s="136"/>
      <c r="D80" s="137"/>
      <c r="E80" s="137"/>
      <c r="F80" s="137"/>
      <c r="G80" s="155"/>
      <c r="H80" s="154" t="s">
        <v>364</v>
      </c>
      <c r="I80" s="155"/>
      <c r="J80" s="137">
        <v>500</v>
      </c>
      <c r="K80" s="123"/>
    </row>
    <row r="81" spans="1:13" ht="13.5" thickBot="1" x14ac:dyDescent="0.3">
      <c r="A81" s="148"/>
      <c r="B81" s="165"/>
      <c r="C81" s="166"/>
      <c r="D81" s="167"/>
      <c r="E81" s="167"/>
      <c r="F81" s="137" t="s">
        <v>361</v>
      </c>
      <c r="G81" s="137"/>
      <c r="H81" s="148"/>
      <c r="I81" s="137"/>
      <c r="J81" s="137">
        <f>SUM(J11:J80)</f>
        <v>458195.23697048251</v>
      </c>
      <c r="K81" s="148"/>
      <c r="L81" s="159">
        <f>450000</f>
        <v>450000</v>
      </c>
    </row>
    <row r="82" spans="1:13" ht="22.5" customHeight="1" x14ac:dyDescent="0.25">
      <c r="B82" s="176" t="s">
        <v>40</v>
      </c>
      <c r="C82" s="219">
        <f>J81</f>
        <v>458195.23697048251</v>
      </c>
      <c r="D82" s="220"/>
      <c r="E82" s="177">
        <v>100</v>
      </c>
      <c r="F82" s="168"/>
      <c r="G82" s="168"/>
      <c r="H82" s="169"/>
      <c r="I82" s="168"/>
      <c r="J82" s="170"/>
      <c r="K82" s="168"/>
    </row>
    <row r="83" spans="1:13" x14ac:dyDescent="0.25">
      <c r="B83" s="178" t="s">
        <v>41</v>
      </c>
      <c r="C83" s="221">
        <v>400000</v>
      </c>
      <c r="D83" s="221"/>
      <c r="E83" s="179"/>
      <c r="F83" s="168"/>
      <c r="K83" s="171"/>
      <c r="L83" s="159">
        <v>8500</v>
      </c>
      <c r="M83" s="124" t="s">
        <v>363</v>
      </c>
    </row>
    <row r="84" spans="1:13" x14ac:dyDescent="0.25">
      <c r="B84" s="178" t="s">
        <v>359</v>
      </c>
      <c r="C84" s="222">
        <f>C83-C86-C87</f>
        <v>380000</v>
      </c>
      <c r="D84" s="223"/>
      <c r="E84" s="179">
        <f>C84/C82*100</f>
        <v>82.934079042921184</v>
      </c>
      <c r="F84" s="168"/>
      <c r="K84" s="171"/>
      <c r="L84" s="124">
        <v>27102</v>
      </c>
      <c r="M84" s="124" t="s">
        <v>362</v>
      </c>
    </row>
    <row r="85" spans="1:13" x14ac:dyDescent="0.25">
      <c r="B85" s="178" t="s">
        <v>42</v>
      </c>
      <c r="C85" s="224">
        <f>C82-C84</f>
        <v>78195.236970482511</v>
      </c>
      <c r="D85" s="225"/>
      <c r="E85" s="179">
        <f>E82-E84</f>
        <v>17.065920957078816</v>
      </c>
      <c r="F85" s="168"/>
      <c r="K85" s="171"/>
    </row>
    <row r="86" spans="1:13" x14ac:dyDescent="0.25">
      <c r="B86" s="178" t="s">
        <v>341</v>
      </c>
      <c r="C86" s="226">
        <f>C83*0.03</f>
        <v>12000</v>
      </c>
      <c r="D86" s="227"/>
      <c r="E86" s="179"/>
      <c r="F86" s="168"/>
      <c r="I86" s="159"/>
      <c r="J86" s="124"/>
    </row>
    <row r="87" spans="1:13" ht="13.5" thickBot="1" x14ac:dyDescent="0.3">
      <c r="B87" s="180" t="s">
        <v>360</v>
      </c>
      <c r="C87" s="215">
        <f>C83*0.02</f>
        <v>8000</v>
      </c>
      <c r="D87" s="216"/>
      <c r="E87" s="181"/>
      <c r="K87" s="171"/>
    </row>
    <row r="88" spans="1:13" x14ac:dyDescent="0.25">
      <c r="A88" s="148"/>
      <c r="B88" s="172"/>
      <c r="C88" s="173"/>
      <c r="D88" s="174"/>
      <c r="E88" s="174"/>
      <c r="F88" s="137"/>
      <c r="G88" s="137"/>
      <c r="H88" s="148"/>
      <c r="I88" s="137"/>
      <c r="J88" s="137"/>
      <c r="K88" s="148"/>
      <c r="M88" s="159">
        <f>L81-J81</f>
        <v>-8195.2369704825105</v>
      </c>
    </row>
    <row r="89" spans="1:13" x14ac:dyDescent="0.25">
      <c r="A89" s="148"/>
      <c r="B89" s="148"/>
      <c r="C89" s="136"/>
      <c r="D89" s="137"/>
      <c r="E89" s="137"/>
      <c r="F89" s="137"/>
      <c r="G89" s="137"/>
      <c r="H89" s="148"/>
      <c r="I89" s="137"/>
      <c r="J89" s="137"/>
      <c r="K89" s="148"/>
    </row>
    <row r="90" spans="1:13" x14ac:dyDescent="0.25">
      <c r="A90" s="148"/>
      <c r="B90" s="148"/>
      <c r="C90" s="136"/>
      <c r="D90" s="137"/>
      <c r="E90" s="137"/>
      <c r="F90" s="137"/>
      <c r="G90" s="137"/>
      <c r="H90" s="148"/>
      <c r="I90" s="137"/>
      <c r="J90" s="137"/>
      <c r="K90" s="148"/>
    </row>
    <row r="91" spans="1:13" x14ac:dyDescent="0.25">
      <c r="A91" s="148"/>
      <c r="B91" s="148"/>
      <c r="C91" s="136"/>
      <c r="D91" s="137"/>
      <c r="E91" s="137"/>
      <c r="F91" s="137"/>
      <c r="G91" s="137"/>
      <c r="H91" s="148"/>
      <c r="I91" s="137"/>
      <c r="J91" s="137"/>
      <c r="K91" s="148"/>
    </row>
    <row r="92" spans="1:13" x14ac:dyDescent="0.25">
      <c r="A92" s="148"/>
      <c r="B92" s="148"/>
      <c r="C92" s="136"/>
      <c r="D92" s="137"/>
      <c r="E92" s="137"/>
      <c r="F92" s="137"/>
      <c r="G92" s="137"/>
      <c r="H92" s="148"/>
      <c r="I92" s="137"/>
      <c r="J92" s="137"/>
      <c r="K92" s="148"/>
    </row>
    <row r="93" spans="1:13" x14ac:dyDescent="0.25">
      <c r="A93" s="148"/>
      <c r="B93" s="148"/>
      <c r="C93" s="136"/>
      <c r="D93" s="137"/>
      <c r="E93" s="137"/>
      <c r="F93" s="137"/>
      <c r="G93" s="137"/>
      <c r="H93" s="148"/>
      <c r="I93" s="137"/>
      <c r="J93" s="137"/>
      <c r="K93" s="148"/>
    </row>
    <row r="94" spans="1:13" x14ac:dyDescent="0.25">
      <c r="A94" s="148"/>
      <c r="B94" s="148"/>
      <c r="C94" s="136"/>
      <c r="D94" s="137"/>
      <c r="E94" s="137"/>
      <c r="F94" s="137"/>
      <c r="G94" s="137"/>
      <c r="H94" s="148"/>
      <c r="I94" s="137"/>
      <c r="J94" s="137"/>
      <c r="K94" s="148"/>
    </row>
    <row r="95" spans="1:13" x14ac:dyDescent="0.25">
      <c r="A95" s="148"/>
      <c r="B95" s="148"/>
      <c r="C95" s="136"/>
      <c r="D95" s="137"/>
      <c r="E95" s="137"/>
      <c r="F95" s="137"/>
      <c r="G95" s="137"/>
      <c r="H95" s="148"/>
      <c r="I95" s="137"/>
      <c r="J95" s="137"/>
      <c r="K95" s="148"/>
    </row>
    <row r="96" spans="1:13" x14ac:dyDescent="0.25">
      <c r="A96" s="148"/>
      <c r="B96" s="148"/>
      <c r="C96" s="136"/>
      <c r="D96" s="137"/>
      <c r="E96" s="137"/>
      <c r="F96" s="137"/>
      <c r="G96" s="137"/>
      <c r="H96" s="148"/>
      <c r="I96" s="137"/>
      <c r="J96" s="137"/>
      <c r="K96" s="148"/>
    </row>
    <row r="97" spans="1:11" x14ac:dyDescent="0.25">
      <c r="A97" s="148"/>
      <c r="B97" s="148"/>
      <c r="C97" s="136"/>
      <c r="D97" s="137"/>
      <c r="E97" s="137"/>
      <c r="F97" s="137"/>
      <c r="G97" s="137"/>
      <c r="H97" s="148"/>
      <c r="I97" s="137"/>
      <c r="J97" s="137"/>
      <c r="K97" s="148"/>
    </row>
    <row r="98" spans="1:11" x14ac:dyDescent="0.25">
      <c r="A98" s="148"/>
      <c r="B98" s="148"/>
      <c r="C98" s="136"/>
      <c r="D98" s="137"/>
      <c r="E98" s="137"/>
      <c r="F98" s="137"/>
      <c r="G98" s="137"/>
      <c r="H98" s="148"/>
      <c r="I98" s="137"/>
      <c r="J98" s="137"/>
      <c r="K98" s="148"/>
    </row>
  </sheetData>
  <mergeCells count="11">
    <mergeCell ref="C87:D87"/>
    <mergeCell ref="A1:K1"/>
    <mergeCell ref="A2:K2"/>
    <mergeCell ref="A3:K3"/>
    <mergeCell ref="A4:K4"/>
    <mergeCell ref="A6:K6"/>
    <mergeCell ref="C82:D82"/>
    <mergeCell ref="C83:D83"/>
    <mergeCell ref="C84:D84"/>
    <mergeCell ref="C85:D85"/>
    <mergeCell ref="C86:D86"/>
  </mergeCells>
  <pageMargins left="0.7" right="0.7" top="0.75" bottom="0.75" header="0.3" footer="0.3"/>
  <pageSetup scale="96" orientation="landscape" r:id="rId1"/>
  <headerFooter>
    <oddFooter xml:space="preserve">&amp;LPrepared By
&amp;CChecked By
&amp;RApproved By
</oddFooter>
  </headerFooter>
  <rowBreaks count="4" manualBreakCount="4">
    <brk id="21" max="10" man="1"/>
    <brk id="39" max="10" man="1"/>
    <brk id="57" max="10" man="1"/>
    <brk id="77"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H9" sqref="H9:H11"/>
    </sheetView>
  </sheetViews>
  <sheetFormatPr defaultRowHeight="15" x14ac:dyDescent="0.25"/>
  <cols>
    <col min="2" max="2" width="12.42578125" customWidth="1"/>
  </cols>
  <sheetData>
    <row r="1" spans="1:8" ht="20.25" x14ac:dyDescent="0.3">
      <c r="A1" s="100" t="e">
        <f>+#REF!+1</f>
        <v>#REF!</v>
      </c>
      <c r="B1" s="228" t="s">
        <v>395</v>
      </c>
      <c r="C1" s="228"/>
      <c r="D1" s="228"/>
      <c r="E1" s="228"/>
      <c r="F1" s="228"/>
      <c r="G1" s="228"/>
      <c r="H1" s="228"/>
    </row>
    <row r="2" spans="1:8" ht="19.5" x14ac:dyDescent="0.25">
      <c r="A2" s="101" t="s">
        <v>396</v>
      </c>
      <c r="B2" s="228" t="s">
        <v>397</v>
      </c>
      <c r="C2" s="228"/>
      <c r="D2" s="228"/>
      <c r="E2" s="228"/>
      <c r="F2" s="228"/>
      <c r="G2" s="228"/>
      <c r="H2" s="228"/>
    </row>
    <row r="3" spans="1:8" ht="15.75" x14ac:dyDescent="0.25">
      <c r="A3" s="102"/>
      <c r="B3" s="229" t="s">
        <v>398</v>
      </c>
      <c r="C3" s="229"/>
      <c r="D3" s="229"/>
      <c r="E3" s="229"/>
      <c r="F3" s="229"/>
      <c r="G3" s="229"/>
      <c r="H3" s="229"/>
    </row>
    <row r="4" spans="1:8" ht="63" x14ac:dyDescent="0.25">
      <c r="A4" s="102"/>
      <c r="B4" s="103" t="s">
        <v>399</v>
      </c>
      <c r="C4" s="103" t="s">
        <v>400</v>
      </c>
      <c r="D4" s="103" t="s">
        <v>401</v>
      </c>
      <c r="E4" s="103" t="s">
        <v>402</v>
      </c>
      <c r="F4" s="103" t="s">
        <v>403</v>
      </c>
      <c r="G4" s="103" t="s">
        <v>404</v>
      </c>
      <c r="H4" s="103" t="s">
        <v>405</v>
      </c>
    </row>
    <row r="5" spans="1:8" ht="17.25" x14ac:dyDescent="0.3">
      <c r="A5" s="102"/>
      <c r="B5" s="230" t="s">
        <v>406</v>
      </c>
      <c r="C5" s="104" t="s">
        <v>407</v>
      </c>
      <c r="D5" s="105">
        <v>1</v>
      </c>
      <c r="E5" s="106" t="s">
        <v>408</v>
      </c>
      <c r="F5" s="116">
        <f>'[1]Update Descrip'!$F$559</f>
        <v>1225</v>
      </c>
      <c r="G5" s="117">
        <f>FLOOR(D5*F5,0.01)</f>
        <v>1225</v>
      </c>
      <c r="H5" s="118"/>
    </row>
    <row r="6" spans="1:8" ht="17.25" x14ac:dyDescent="0.3">
      <c r="A6" s="102"/>
      <c r="B6" s="231"/>
      <c r="C6" s="107" t="s">
        <v>409</v>
      </c>
      <c r="D6" s="108">
        <v>2</v>
      </c>
      <c r="E6" s="107" t="s">
        <v>408</v>
      </c>
      <c r="F6" s="119">
        <f>'[1]Update Descrip'!$F$560</f>
        <v>920</v>
      </c>
      <c r="G6" s="120">
        <f>FLOOR(D6*F6,0.01)</f>
        <v>1840</v>
      </c>
      <c r="H6" s="121">
        <f>SUM(G5+G6)</f>
        <v>3065</v>
      </c>
    </row>
    <row r="7" spans="1:8" ht="17.25" x14ac:dyDescent="0.3">
      <c r="A7" s="102"/>
      <c r="B7" s="232" t="s">
        <v>410</v>
      </c>
      <c r="C7" s="110" t="s">
        <v>411</v>
      </c>
      <c r="D7" s="105">
        <v>1</v>
      </c>
      <c r="E7" s="110" t="s">
        <v>412</v>
      </c>
      <c r="F7" s="120"/>
      <c r="G7" s="116">
        <f>FLOOR(D7*F7,0.01)</f>
        <v>0</v>
      </c>
      <c r="H7" s="118"/>
    </row>
    <row r="8" spans="1:8" ht="17.25" x14ac:dyDescent="0.3">
      <c r="A8" s="102"/>
      <c r="B8" s="233"/>
      <c r="C8" s="107" t="s">
        <v>413</v>
      </c>
      <c r="D8" s="111">
        <v>0.1</v>
      </c>
      <c r="E8" s="107" t="s">
        <v>412</v>
      </c>
      <c r="F8" s="119"/>
      <c r="G8" s="119">
        <f>FLOOR(D8*F8,0.01)</f>
        <v>0</v>
      </c>
      <c r="H8" s="121">
        <f>SUM(G7+G8)</f>
        <v>0</v>
      </c>
    </row>
    <row r="9" spans="1:8" ht="17.25" x14ac:dyDescent="0.3">
      <c r="A9" s="102"/>
      <c r="B9" s="102"/>
      <c r="C9" s="102"/>
      <c r="D9" s="102"/>
      <c r="E9" s="102"/>
      <c r="F9" s="112" t="s">
        <v>414</v>
      </c>
      <c r="G9" s="112"/>
      <c r="H9" s="109">
        <f>SUM(H5:H8)</f>
        <v>3065</v>
      </c>
    </row>
    <row r="10" spans="1:8" ht="17.25" x14ac:dyDescent="0.3">
      <c r="A10" s="102"/>
      <c r="B10" s="102" t="s">
        <v>415</v>
      </c>
      <c r="C10" s="102"/>
      <c r="D10" s="102"/>
      <c r="E10" s="102"/>
      <c r="F10" s="112" t="s">
        <v>416</v>
      </c>
      <c r="G10" s="112"/>
      <c r="H10" s="113">
        <f>FLOOR(H9*0.15,0.01)</f>
        <v>459.75</v>
      </c>
    </row>
    <row r="11" spans="1:8" ht="17.25" x14ac:dyDescent="0.3">
      <c r="A11" s="114" t="s">
        <v>417</v>
      </c>
      <c r="B11" s="113">
        <f>+H11</f>
        <v>3524.75</v>
      </c>
      <c r="C11" s="102" t="s">
        <v>418</v>
      </c>
      <c r="D11" s="102"/>
      <c r="E11" s="102"/>
      <c r="F11" s="112" t="s">
        <v>419</v>
      </c>
      <c r="G11" s="112"/>
      <c r="H11" s="113">
        <f>SUM(H9:H10)</f>
        <v>3524.75</v>
      </c>
    </row>
    <row r="14" spans="1:8" x14ac:dyDescent="0.25">
      <c r="A14" s="115"/>
      <c r="B14" s="115"/>
      <c r="C14" s="115"/>
      <c r="D14" s="115"/>
      <c r="E14" s="115"/>
      <c r="F14" s="115"/>
      <c r="G14" s="115"/>
      <c r="H14" s="115"/>
    </row>
    <row r="15" spans="1:8" x14ac:dyDescent="0.25">
      <c r="A15" s="115"/>
      <c r="B15" s="115"/>
      <c r="C15" s="115"/>
      <c r="D15" s="115"/>
      <c r="E15" s="115"/>
      <c r="F15" s="115"/>
      <c r="G15" s="115"/>
      <c r="H15" s="115"/>
    </row>
    <row r="16" spans="1:8" x14ac:dyDescent="0.25">
      <c r="A16" s="115"/>
      <c r="B16" s="115"/>
      <c r="C16" s="115"/>
      <c r="D16" s="115"/>
      <c r="E16" s="115"/>
      <c r="F16" s="115"/>
      <c r="G16" s="115"/>
      <c r="H16" s="115"/>
    </row>
    <row r="17" spans="1:8" x14ac:dyDescent="0.25">
      <c r="A17" s="115"/>
      <c r="B17" s="115"/>
      <c r="C17" s="115"/>
      <c r="D17" s="115"/>
      <c r="E17" s="115"/>
      <c r="F17" s="115"/>
      <c r="G17" s="115"/>
      <c r="H17" s="115"/>
    </row>
    <row r="18" spans="1:8" x14ac:dyDescent="0.25">
      <c r="A18" s="115"/>
      <c r="B18" s="115"/>
      <c r="C18" s="115"/>
      <c r="D18" s="115"/>
      <c r="E18" s="115"/>
      <c r="F18" s="115"/>
      <c r="G18" s="115"/>
      <c r="H18" s="115"/>
    </row>
    <row r="19" spans="1:8" x14ac:dyDescent="0.25">
      <c r="A19" s="115"/>
      <c r="B19" s="115"/>
      <c r="C19" s="115"/>
      <c r="D19" s="115"/>
      <c r="E19" s="115"/>
      <c r="F19" s="115"/>
      <c r="G19" s="115"/>
      <c r="H19" s="115"/>
    </row>
    <row r="20" spans="1:8" x14ac:dyDescent="0.25">
      <c r="A20" s="115"/>
      <c r="B20" s="115"/>
      <c r="C20" s="115"/>
      <c r="D20" s="115"/>
      <c r="E20" s="115"/>
      <c r="F20" s="115"/>
      <c r="G20" s="115"/>
      <c r="H20" s="115"/>
    </row>
    <row r="21" spans="1:8" x14ac:dyDescent="0.25">
      <c r="A21" s="115"/>
      <c r="B21" s="115"/>
      <c r="C21" s="115"/>
      <c r="D21" s="115"/>
      <c r="E21" s="115"/>
      <c r="F21" s="115"/>
      <c r="G21" s="115"/>
      <c r="H21" s="115"/>
    </row>
    <row r="22" spans="1:8" x14ac:dyDescent="0.25">
      <c r="A22" s="115"/>
      <c r="B22" s="115"/>
      <c r="C22" s="115"/>
      <c r="D22" s="115"/>
      <c r="E22" s="115"/>
      <c r="F22" s="115"/>
      <c r="G22" s="115"/>
      <c r="H22" s="115"/>
    </row>
    <row r="23" spans="1:8" x14ac:dyDescent="0.25">
      <c r="A23" s="115"/>
      <c r="B23" s="115"/>
      <c r="C23" s="115"/>
      <c r="D23" s="115"/>
      <c r="E23" s="115"/>
      <c r="F23" s="115"/>
      <c r="G23" s="115"/>
      <c r="H23" s="115"/>
    </row>
    <row r="24" spans="1:8" x14ac:dyDescent="0.25">
      <c r="A24" s="115"/>
      <c r="B24" s="115"/>
      <c r="C24" s="115"/>
      <c r="D24" s="115"/>
      <c r="E24" s="115"/>
      <c r="F24" s="115"/>
      <c r="G24" s="115"/>
      <c r="H24" s="115"/>
    </row>
  </sheetData>
  <mergeCells count="5">
    <mergeCell ref="B1:H1"/>
    <mergeCell ref="B2:H2"/>
    <mergeCell ref="B3:H3"/>
    <mergeCell ref="B5:B6"/>
    <mergeCell ref="B7:B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89"/>
  <sheetViews>
    <sheetView topLeftCell="A619" workbookViewId="0">
      <selection activeCell="C703" sqref="C703"/>
    </sheetView>
  </sheetViews>
  <sheetFormatPr defaultColWidth="9.140625" defaultRowHeight="15" x14ac:dyDescent="0.25"/>
  <cols>
    <col min="1" max="1" width="6.140625" style="28" customWidth="1"/>
    <col min="2" max="2" width="44.85546875" style="20" customWidth="1"/>
    <col min="3" max="3" width="4.85546875" style="20" bestFit="1" customWidth="1"/>
    <col min="4" max="4" width="7.85546875" style="20" bestFit="1" customWidth="1"/>
    <col min="5" max="5" width="10.7109375" style="20" customWidth="1"/>
    <col min="6" max="6" width="8.7109375" style="20" bestFit="1" customWidth="1"/>
    <col min="7" max="7" width="11.42578125" style="20" hidden="1" customWidth="1"/>
    <col min="8" max="8" width="7.5703125" style="20" bestFit="1" customWidth="1"/>
    <col min="9" max="9" width="10.28515625" style="20" hidden="1" customWidth="1"/>
    <col min="10" max="10" width="9.42578125" style="32" bestFit="1" customWidth="1"/>
    <col min="11" max="11" width="5" style="20" bestFit="1" customWidth="1"/>
    <col min="12" max="12" width="10.5703125" style="20" customWidth="1"/>
    <col min="13" max="13" width="12" style="21" customWidth="1"/>
    <col min="14" max="14" width="10.7109375" style="20" customWidth="1"/>
    <col min="15" max="16384" width="9.140625" style="20"/>
  </cols>
  <sheetData>
    <row r="1" spans="1:14" x14ac:dyDescent="0.25">
      <c r="A1" s="186" t="s">
        <v>11</v>
      </c>
      <c r="B1" s="186"/>
      <c r="C1" s="186"/>
      <c r="D1" s="186"/>
      <c r="E1" s="186"/>
      <c r="F1" s="186"/>
      <c r="G1" s="186"/>
      <c r="H1" s="186"/>
      <c r="I1" s="186"/>
      <c r="J1" s="186"/>
      <c r="K1" s="186"/>
      <c r="L1" s="186"/>
      <c r="M1" s="186"/>
      <c r="N1" s="186"/>
    </row>
    <row r="2" spans="1:14" ht="22.5" x14ac:dyDescent="0.25">
      <c r="A2" s="187" t="s">
        <v>12</v>
      </c>
      <c r="B2" s="187"/>
      <c r="C2" s="187"/>
      <c r="D2" s="187"/>
      <c r="E2" s="187"/>
      <c r="F2" s="187"/>
      <c r="G2" s="187"/>
      <c r="H2" s="187"/>
      <c r="I2" s="187"/>
      <c r="J2" s="187"/>
      <c r="K2" s="187"/>
      <c r="L2" s="187"/>
      <c r="M2" s="187"/>
      <c r="N2" s="187"/>
    </row>
    <row r="3" spans="1:14" x14ac:dyDescent="0.25">
      <c r="A3" s="188" t="s">
        <v>294</v>
      </c>
      <c r="B3" s="188"/>
      <c r="C3" s="188"/>
      <c r="D3" s="188"/>
      <c r="E3" s="188"/>
      <c r="F3" s="188"/>
      <c r="G3" s="188"/>
      <c r="H3" s="188"/>
      <c r="I3" s="188"/>
      <c r="J3" s="188"/>
      <c r="K3" s="188"/>
      <c r="L3" s="188"/>
      <c r="M3" s="188"/>
      <c r="N3" s="188"/>
    </row>
    <row r="4" spans="1:14" x14ac:dyDescent="0.25">
      <c r="A4" s="188" t="s">
        <v>13</v>
      </c>
      <c r="B4" s="188"/>
      <c r="C4" s="188"/>
      <c r="D4" s="188"/>
      <c r="E4" s="188"/>
      <c r="F4" s="188"/>
      <c r="G4" s="188"/>
      <c r="H4" s="188"/>
      <c r="I4" s="188"/>
      <c r="J4" s="188"/>
      <c r="K4" s="188"/>
      <c r="L4" s="188"/>
      <c r="M4" s="188"/>
      <c r="N4" s="188"/>
    </row>
    <row r="5" spans="1:14" customFormat="1" ht="18.75" x14ac:dyDescent="0.3">
      <c r="A5" s="189" t="s">
        <v>43</v>
      </c>
      <c r="B5" s="189"/>
      <c r="C5" s="189"/>
      <c r="D5" s="189"/>
      <c r="E5" s="189"/>
      <c r="F5" s="189"/>
      <c r="G5" s="189"/>
      <c r="H5" s="189"/>
      <c r="I5" s="189"/>
      <c r="J5" s="189"/>
      <c r="K5" s="189"/>
      <c r="L5" s="189"/>
      <c r="M5" s="189"/>
      <c r="N5" s="189"/>
    </row>
    <row r="6" spans="1:14" s="19" customFormat="1" x14ac:dyDescent="0.25">
      <c r="A6" s="65"/>
      <c r="B6"/>
      <c r="C6"/>
      <c r="D6"/>
      <c r="E6"/>
      <c r="F6"/>
      <c r="G6"/>
      <c r="H6"/>
      <c r="I6"/>
      <c r="J6" s="42"/>
      <c r="K6"/>
      <c r="L6"/>
      <c r="M6" s="6"/>
      <c r="N6"/>
    </row>
    <row r="7" spans="1:14" x14ac:dyDescent="0.25">
      <c r="A7" s="65" t="s">
        <v>278</v>
      </c>
      <c r="B7"/>
      <c r="C7"/>
      <c r="D7"/>
      <c r="E7"/>
      <c r="F7"/>
      <c r="G7"/>
      <c r="H7"/>
      <c r="I7"/>
      <c r="J7" s="42"/>
      <c r="K7"/>
      <c r="L7"/>
      <c r="M7" s="20"/>
      <c r="N7" s="18" t="s">
        <v>277</v>
      </c>
    </row>
    <row r="8" spans="1:14" customFormat="1" x14ac:dyDescent="0.25">
      <c r="A8" s="65" t="s">
        <v>28</v>
      </c>
      <c r="J8" s="42"/>
      <c r="M8" s="18"/>
      <c r="N8" s="22" t="s">
        <v>276</v>
      </c>
    </row>
    <row r="9" spans="1:14" customFormat="1" x14ac:dyDescent="0.25">
      <c r="A9" s="23" t="s">
        <v>0</v>
      </c>
      <c r="B9" s="23" t="s">
        <v>20</v>
      </c>
      <c r="C9" s="23" t="s">
        <v>1</v>
      </c>
      <c r="D9" s="23" t="s">
        <v>2</v>
      </c>
      <c r="E9" s="23" t="s">
        <v>188</v>
      </c>
      <c r="F9" s="23" t="s">
        <v>3</v>
      </c>
      <c r="G9" s="23" t="s">
        <v>190</v>
      </c>
      <c r="H9" s="23" t="s">
        <v>4</v>
      </c>
      <c r="I9" s="23" t="s">
        <v>189</v>
      </c>
      <c r="J9" s="43" t="s">
        <v>6</v>
      </c>
      <c r="K9" s="23" t="s">
        <v>7</v>
      </c>
      <c r="L9" s="23" t="s">
        <v>8</v>
      </c>
      <c r="M9" s="24" t="s">
        <v>9</v>
      </c>
      <c r="N9" s="23" t="s">
        <v>5</v>
      </c>
    </row>
    <row r="10" spans="1:14" customFormat="1" ht="18" x14ac:dyDescent="0.25">
      <c r="A10" s="23">
        <v>1</v>
      </c>
      <c r="B10" s="74" t="s">
        <v>295</v>
      </c>
      <c r="C10" s="47"/>
      <c r="D10" s="47"/>
      <c r="E10" s="47"/>
      <c r="F10" s="47"/>
      <c r="G10" s="47"/>
      <c r="H10" s="47"/>
      <c r="I10" s="47"/>
      <c r="J10" s="48"/>
      <c r="K10" s="47"/>
      <c r="L10" s="47"/>
      <c r="M10" s="49"/>
      <c r="N10" s="47"/>
    </row>
    <row r="11" spans="1:14" customFormat="1" ht="18.75" x14ac:dyDescent="0.25">
      <c r="A11" s="23">
        <v>1.1000000000000001</v>
      </c>
      <c r="B11" s="86" t="s">
        <v>296</v>
      </c>
      <c r="C11" s="75"/>
      <c r="D11" s="47"/>
      <c r="E11" s="47"/>
      <c r="F11" s="47"/>
      <c r="G11" s="47"/>
      <c r="H11" s="47"/>
      <c r="I11" s="47"/>
      <c r="J11" s="48"/>
      <c r="K11" s="47"/>
      <c r="L11" s="47"/>
      <c r="M11" s="49"/>
      <c r="N11" s="47"/>
    </row>
    <row r="12" spans="1:14" ht="60" x14ac:dyDescent="0.25">
      <c r="A12" s="7"/>
      <c r="B12" s="76" t="s">
        <v>297</v>
      </c>
      <c r="C12" s="2"/>
      <c r="D12" s="56"/>
      <c r="E12" s="56"/>
      <c r="F12" s="56"/>
      <c r="G12" s="56"/>
      <c r="H12" s="56"/>
      <c r="I12" s="56"/>
      <c r="J12" s="56"/>
      <c r="K12" s="56"/>
      <c r="L12" s="56"/>
      <c r="M12" s="71"/>
      <c r="N12" s="4"/>
    </row>
    <row r="13" spans="1:14" s="28" customFormat="1" x14ac:dyDescent="0.25">
      <c r="A13" s="7"/>
      <c r="B13" s="68" t="s">
        <v>158</v>
      </c>
      <c r="C13" s="2"/>
      <c r="D13" s="56"/>
      <c r="E13" s="56"/>
      <c r="F13" s="56"/>
      <c r="G13" s="56"/>
      <c r="H13" s="56"/>
      <c r="I13" s="56"/>
      <c r="J13" s="56"/>
      <c r="K13" s="56"/>
      <c r="L13" s="44"/>
      <c r="M13" s="69"/>
      <c r="N13" s="26"/>
    </row>
    <row r="14" spans="1:14" s="28" customFormat="1" x14ac:dyDescent="0.25">
      <c r="A14" s="7"/>
      <c r="B14" s="26" t="s">
        <v>298</v>
      </c>
      <c r="C14" s="2">
        <v>1</v>
      </c>
      <c r="D14" s="56">
        <f>CONVERT(E14,"m","ft")</f>
        <v>11.34130337366366</v>
      </c>
      <c r="E14" s="56">
        <f>(3.27+3.29)/2+((0.25+0.33)/3.28)</f>
        <v>3.4568292682926831</v>
      </c>
      <c r="F14" s="56">
        <f>CONVERT(G14,"m","ft")</f>
        <v>11.589366877920746</v>
      </c>
      <c r="G14" s="56">
        <f>(3.36+3.4)/2+(0.5/3.28)</f>
        <v>3.5324390243902437</v>
      </c>
      <c r="H14" s="56"/>
      <c r="I14" s="56"/>
      <c r="J14" s="56">
        <f>C14*D14*F14</f>
        <v>131.43852567118844</v>
      </c>
      <c r="K14" s="56" t="s">
        <v>51</v>
      </c>
      <c r="L14" s="44"/>
      <c r="M14" s="69"/>
      <c r="N14" s="26"/>
    </row>
    <row r="15" spans="1:14" s="28" customFormat="1" x14ac:dyDescent="0.25">
      <c r="A15" s="7"/>
      <c r="B15" s="26" t="s">
        <v>299</v>
      </c>
      <c r="C15" s="2">
        <v>1</v>
      </c>
      <c r="D15" s="56">
        <f t="shared" ref="D15:D20" si="0">CONVERT(E15,"m","ft")</f>
        <v>11.720600473721271</v>
      </c>
      <c r="E15" s="56">
        <f>3.42+0.5/3.28</f>
        <v>3.5724390243902437</v>
      </c>
      <c r="F15" s="56">
        <f>CONVERT(G15,"m","ft")</f>
        <v>11.228474489469304</v>
      </c>
      <c r="G15" s="56">
        <f>3.27+0.5/3.28</f>
        <v>3.4224390243902438</v>
      </c>
      <c r="H15" s="56"/>
      <c r="I15" s="56"/>
      <c r="J15" s="56">
        <f>C15*D15*F15</f>
        <v>131.60446342044114</v>
      </c>
      <c r="K15" s="56" t="s">
        <v>51</v>
      </c>
      <c r="L15" s="44"/>
      <c r="M15" s="69"/>
      <c r="N15" s="26"/>
    </row>
    <row r="16" spans="1:14" s="28" customFormat="1" x14ac:dyDescent="0.25">
      <c r="A16" s="7"/>
      <c r="B16" s="41" t="s">
        <v>300</v>
      </c>
      <c r="C16" s="2">
        <v>1</v>
      </c>
      <c r="D16" s="56">
        <f t="shared" si="0"/>
        <v>13.123359580052494</v>
      </c>
      <c r="E16" s="56">
        <v>4</v>
      </c>
      <c r="F16" s="56">
        <f>26-0.75*3</f>
        <v>23.75</v>
      </c>
      <c r="G16" s="56"/>
      <c r="H16" s="56"/>
      <c r="I16" s="56"/>
      <c r="J16" s="56">
        <f>C16*D16*F16</f>
        <v>311.67979002624674</v>
      </c>
      <c r="K16" s="56" t="s">
        <v>51</v>
      </c>
      <c r="L16" s="44"/>
      <c r="M16" s="69"/>
      <c r="N16" s="26"/>
    </row>
    <row r="17" spans="1:14" s="28" customFormat="1" ht="30" x14ac:dyDescent="0.25">
      <c r="A17" s="7"/>
      <c r="B17" s="26" t="s">
        <v>301</v>
      </c>
      <c r="C17" s="2">
        <v>1</v>
      </c>
      <c r="D17" s="56">
        <f t="shared" si="0"/>
        <v>11.13004929261891</v>
      </c>
      <c r="E17" s="56">
        <f>3.24+0.5/3.28</f>
        <v>3.392439024390244</v>
      </c>
      <c r="F17" s="56">
        <f>CONVERT(G17,"m","ft")</f>
        <v>6.7133186095640491</v>
      </c>
      <c r="G17" s="56">
        <f>1.97+0.25/3.28</f>
        <v>2.0462195121951221</v>
      </c>
      <c r="H17" s="56"/>
      <c r="I17" s="56"/>
      <c r="J17" s="56">
        <f>C17*D17*F17</f>
        <v>74.719567041503709</v>
      </c>
      <c r="K17" s="56" t="s">
        <v>51</v>
      </c>
      <c r="L17" s="44"/>
      <c r="M17" s="69"/>
      <c r="N17" s="26"/>
    </row>
    <row r="18" spans="1:14" s="28" customFormat="1" x14ac:dyDescent="0.25">
      <c r="A18" s="7"/>
      <c r="B18" s="38" t="s">
        <v>196</v>
      </c>
      <c r="C18" s="2"/>
      <c r="D18" s="56"/>
      <c r="E18" s="56"/>
      <c r="F18" s="56"/>
      <c r="G18" s="56"/>
      <c r="H18" s="56"/>
      <c r="I18" s="56"/>
      <c r="J18" s="56"/>
      <c r="K18" s="56"/>
      <c r="L18" s="44"/>
      <c r="M18" s="69"/>
      <c r="N18" s="26"/>
    </row>
    <row r="19" spans="1:14" s="28" customFormat="1" x14ac:dyDescent="0.25">
      <c r="A19" s="7"/>
      <c r="B19" s="38" t="s">
        <v>198</v>
      </c>
      <c r="C19" s="2">
        <v>1</v>
      </c>
      <c r="D19" s="56">
        <f t="shared" si="0"/>
        <v>5.368174252608668</v>
      </c>
      <c r="E19" s="56">
        <f>1.56+0.25/3.28</f>
        <v>1.636219512195122</v>
      </c>
      <c r="F19" s="56">
        <f>CONVERT(G19,"m","ft")</f>
        <v>3.6089238845144358</v>
      </c>
      <c r="G19" s="56">
        <v>1.1000000000000001</v>
      </c>
      <c r="H19" s="56"/>
      <c r="I19" s="56"/>
      <c r="J19" s="56">
        <f>C19*D19*F19</f>
        <v>19.373332276474851</v>
      </c>
      <c r="K19" s="56" t="s">
        <v>51</v>
      </c>
      <c r="L19" s="44"/>
      <c r="M19" s="69"/>
      <c r="N19" s="26"/>
    </row>
    <row r="20" spans="1:14" s="28" customFormat="1" x14ac:dyDescent="0.25">
      <c r="A20" s="7"/>
      <c r="B20" s="38" t="s">
        <v>252</v>
      </c>
      <c r="C20" s="2">
        <v>1</v>
      </c>
      <c r="D20" s="56">
        <f t="shared" si="0"/>
        <v>5.2493438320209975</v>
      </c>
      <c r="E20" s="56">
        <v>1.6</v>
      </c>
      <c r="F20" s="56">
        <f>CONVERT(G20,"m","ft")</f>
        <v>3.6089238845144358</v>
      </c>
      <c r="G20" s="56">
        <v>1.1000000000000001</v>
      </c>
      <c r="H20" s="56"/>
      <c r="I20" s="56"/>
      <c r="J20" s="56">
        <f>C20*D20*F20</f>
        <v>18.944482333409113</v>
      </c>
      <c r="K20" s="56" t="s">
        <v>51</v>
      </c>
      <c r="L20" s="44"/>
      <c r="M20" s="69"/>
      <c r="N20" s="26"/>
    </row>
    <row r="21" spans="1:14" s="28" customFormat="1" x14ac:dyDescent="0.25">
      <c r="A21" s="7"/>
      <c r="B21" s="41" t="s">
        <v>302</v>
      </c>
      <c r="C21" s="2"/>
      <c r="D21" s="56"/>
      <c r="E21" s="56"/>
      <c r="F21" s="56"/>
      <c r="G21" s="56"/>
      <c r="H21" s="56"/>
      <c r="I21" s="56"/>
      <c r="J21" s="56"/>
      <c r="K21" s="56"/>
      <c r="L21" s="44"/>
      <c r="M21" s="69"/>
      <c r="N21" s="26"/>
    </row>
    <row r="22" spans="1:14" s="28" customFormat="1" x14ac:dyDescent="0.25">
      <c r="A22" s="7"/>
      <c r="B22" s="38" t="s">
        <v>253</v>
      </c>
      <c r="C22" s="2">
        <v>1</v>
      </c>
      <c r="D22" s="56">
        <f>2.25+3.5</f>
        <v>5.75</v>
      </c>
      <c r="E22" s="56"/>
      <c r="F22" s="56">
        <f>CONVERT(G22,"m","ft")</f>
        <v>6.8897637795275593</v>
      </c>
      <c r="G22" s="56">
        <v>2.1</v>
      </c>
      <c r="H22" s="56"/>
      <c r="I22" s="56"/>
      <c r="J22" s="56">
        <f>C22*D22*F22</f>
        <v>39.616141732283467</v>
      </c>
      <c r="K22" s="56" t="s">
        <v>51</v>
      </c>
      <c r="L22" s="44"/>
      <c r="M22" s="69"/>
      <c r="N22" s="26"/>
    </row>
    <row r="23" spans="1:14" s="28" customFormat="1" x14ac:dyDescent="0.25">
      <c r="A23" s="7"/>
      <c r="B23" s="38" t="s">
        <v>255</v>
      </c>
      <c r="C23" s="2">
        <v>2</v>
      </c>
      <c r="D23" s="56">
        <v>8.33</v>
      </c>
      <c r="E23" s="56"/>
      <c r="F23" s="56">
        <f>CONVERT(G23,"m","ft")</f>
        <v>11.482939632545932</v>
      </c>
      <c r="G23" s="56">
        <v>3.5</v>
      </c>
      <c r="H23" s="56"/>
      <c r="I23" s="56"/>
      <c r="J23" s="56">
        <f>C23*D23*F23</f>
        <v>191.30577427821524</v>
      </c>
      <c r="K23" s="56" t="s">
        <v>51</v>
      </c>
      <c r="L23" s="44"/>
      <c r="M23" s="69"/>
      <c r="N23" s="26"/>
    </row>
    <row r="24" spans="1:14" s="28" customFormat="1" x14ac:dyDescent="0.25">
      <c r="A24" s="7"/>
      <c r="B24" s="38" t="s">
        <v>256</v>
      </c>
      <c r="C24" s="2">
        <f>7*2*0.5</f>
        <v>7</v>
      </c>
      <c r="D24" s="56"/>
      <c r="E24" s="56"/>
      <c r="F24" s="56">
        <v>0.83</v>
      </c>
      <c r="G24" s="56"/>
      <c r="H24" s="56">
        <v>0.57999999999999996</v>
      </c>
      <c r="I24" s="56"/>
      <c r="J24" s="56">
        <f>C24*F24*H24</f>
        <v>3.3697999999999997</v>
      </c>
      <c r="K24" s="56" t="s">
        <v>51</v>
      </c>
      <c r="L24" s="44"/>
      <c r="M24" s="69"/>
      <c r="N24" s="26"/>
    </row>
    <row r="25" spans="1:14" s="28" customFormat="1" x14ac:dyDescent="0.25">
      <c r="A25" s="7"/>
      <c r="B25" s="38" t="s">
        <v>196</v>
      </c>
      <c r="C25" s="2">
        <v>1</v>
      </c>
      <c r="D25" s="56">
        <f>CONVERT(E25,"m","ft")</f>
        <v>5.4994078484091924</v>
      </c>
      <c r="E25" s="56">
        <f>1.6+0.25/3.28</f>
        <v>1.676219512195122</v>
      </c>
      <c r="F25" s="56">
        <f>CONVERT(G25,"m","ft")</f>
        <v>3.3996703156007939</v>
      </c>
      <c r="G25" s="56">
        <f>0.96+0.25/3.28</f>
        <v>1.0362195121951219</v>
      </c>
      <c r="H25" s="56"/>
      <c r="I25" s="56"/>
      <c r="J25" s="56">
        <f>C25*D25*F25</f>
        <v>18.696173615618761</v>
      </c>
      <c r="K25" s="56" t="s">
        <v>51</v>
      </c>
      <c r="L25" s="44"/>
      <c r="M25" s="69"/>
      <c r="N25" s="26"/>
    </row>
    <row r="26" spans="1:14" s="28" customFormat="1" x14ac:dyDescent="0.25">
      <c r="A26" s="7"/>
      <c r="B26" s="38" t="s">
        <v>254</v>
      </c>
      <c r="C26" s="2">
        <v>1</v>
      </c>
      <c r="D26" s="56">
        <f>CONVERT(E26,"m","ft")</f>
        <v>4.9744734652070921</v>
      </c>
      <c r="E26" s="56">
        <f>1.44+0.25/3.28</f>
        <v>1.5162195121951219</v>
      </c>
      <c r="F26" s="56">
        <f>CONVERT(G26,"m","ft")</f>
        <v>3.9370078740157481</v>
      </c>
      <c r="G26" s="56">
        <v>1.2</v>
      </c>
      <c r="H26" s="56"/>
      <c r="I26" s="56"/>
      <c r="J26" s="56">
        <f>C26*D26*F26</f>
        <v>19.584541201602725</v>
      </c>
      <c r="K26" s="56" t="s">
        <v>51</v>
      </c>
      <c r="L26" s="44"/>
      <c r="M26" s="69"/>
      <c r="N26" s="26"/>
    </row>
    <row r="27" spans="1:14" s="28" customFormat="1" x14ac:dyDescent="0.25">
      <c r="A27" s="7"/>
      <c r="B27" s="38"/>
      <c r="C27" s="2"/>
      <c r="D27" s="56"/>
      <c r="E27" s="56"/>
      <c r="F27" s="56"/>
      <c r="G27" s="56"/>
      <c r="H27" s="56"/>
      <c r="I27" s="56"/>
      <c r="J27" s="56"/>
      <c r="K27" s="56"/>
      <c r="L27" s="44"/>
      <c r="M27" s="70"/>
      <c r="N27" s="26"/>
    </row>
    <row r="28" spans="1:14" s="28" customFormat="1" x14ac:dyDescent="0.25">
      <c r="A28" s="7"/>
      <c r="B28" s="68" t="s">
        <v>159</v>
      </c>
      <c r="C28" s="2"/>
      <c r="D28" s="56"/>
      <c r="E28" s="56"/>
      <c r="F28" s="56"/>
      <c r="G28" s="56"/>
      <c r="H28" s="56"/>
      <c r="I28" s="56"/>
      <c r="J28" s="56"/>
      <c r="K28" s="56"/>
      <c r="L28" s="44"/>
      <c r="M28" s="69"/>
      <c r="N28" s="26"/>
    </row>
    <row r="29" spans="1:14" s="28" customFormat="1" x14ac:dyDescent="0.25">
      <c r="A29" s="7"/>
      <c r="B29" s="26" t="s">
        <v>303</v>
      </c>
      <c r="C29" s="2">
        <v>1</v>
      </c>
      <c r="D29" s="56">
        <f>CONVERT(E29,"m","ft")</f>
        <v>15.327923948530822</v>
      </c>
      <c r="E29" s="56">
        <f>3.3+4/3.28+(0.25+0.25)/3.28</f>
        <v>4.6719512195121951</v>
      </c>
      <c r="F29" s="56">
        <f>CONVERT(G29,"m","ft")</f>
        <v>11.076835669931501</v>
      </c>
      <c r="G29" s="56">
        <f>3.3+0.25/3.28</f>
        <v>3.3762195121951217</v>
      </c>
      <c r="H29" s="56"/>
      <c r="I29" s="56"/>
      <c r="J29" s="56">
        <f>C29*D29*F29</f>
        <v>169.78489473908351</v>
      </c>
      <c r="K29" s="56" t="s">
        <v>51</v>
      </c>
      <c r="L29" s="44"/>
      <c r="M29" s="69"/>
      <c r="N29" s="26"/>
    </row>
    <row r="30" spans="1:14" s="28" customFormat="1" x14ac:dyDescent="0.25">
      <c r="A30" s="7"/>
      <c r="B30" s="26" t="s">
        <v>304</v>
      </c>
      <c r="C30" s="2">
        <v>1</v>
      </c>
      <c r="D30" s="56">
        <f>CONVERT(E30,"m","ft")</f>
        <v>11.720600473721271</v>
      </c>
      <c r="E30" s="56">
        <f>3.42+0.5/3.28</f>
        <v>3.5724390243902437</v>
      </c>
      <c r="F30" s="56">
        <f>CONVERT(G30,"m","ft")</f>
        <v>11.326899686319697</v>
      </c>
      <c r="G30" s="56">
        <f>3.3+0.5/3.28</f>
        <v>3.4524390243902436</v>
      </c>
      <c r="H30" s="56"/>
      <c r="I30" s="56"/>
      <c r="J30" s="56">
        <f>C30*D30*F30</f>
        <v>132.75806582927197</v>
      </c>
      <c r="K30" s="56" t="s">
        <v>51</v>
      </c>
      <c r="L30" s="44"/>
      <c r="M30" s="69"/>
      <c r="N30" s="26"/>
    </row>
    <row r="31" spans="1:14" s="28" customFormat="1" x14ac:dyDescent="0.25">
      <c r="A31" s="7"/>
      <c r="B31" s="41" t="s">
        <v>305</v>
      </c>
      <c r="C31" s="2">
        <v>1</v>
      </c>
      <c r="D31" s="56">
        <v>4</v>
      </c>
      <c r="E31" s="56"/>
      <c r="F31" s="56">
        <f>CONVERT(G31,"m","ft")</f>
        <v>11.076835669931501</v>
      </c>
      <c r="G31" s="56">
        <f>3.3+0.25/3.28</f>
        <v>3.3762195121951217</v>
      </c>
      <c r="H31" s="56"/>
      <c r="I31" s="56"/>
      <c r="J31" s="56">
        <f>C31*D31*F31</f>
        <v>44.307342679726005</v>
      </c>
      <c r="K31" s="56" t="s">
        <v>51</v>
      </c>
      <c r="L31" s="44"/>
      <c r="M31" s="69"/>
      <c r="N31" s="26"/>
    </row>
    <row r="32" spans="1:14" s="28" customFormat="1" x14ac:dyDescent="0.25">
      <c r="A32" s="7"/>
      <c r="B32" s="26" t="s">
        <v>306</v>
      </c>
      <c r="C32" s="2">
        <v>1</v>
      </c>
      <c r="D32" s="56">
        <f>CONVERT(E32,"m","ft")</f>
        <v>10.945602074130976</v>
      </c>
      <c r="E32" s="56">
        <f>3.26+0.25/3.28</f>
        <v>3.3362195121951217</v>
      </c>
      <c r="F32" s="56">
        <f>CONVERT(G32,"m","ft")</f>
        <v>11.326899686319697</v>
      </c>
      <c r="G32" s="56">
        <f>3.3+0.5/3.28</f>
        <v>3.4524390243902436</v>
      </c>
      <c r="H32" s="56"/>
      <c r="I32" s="56"/>
      <c r="J32" s="56">
        <f>C32*D32*F32</f>
        <v>123.97973670005437</v>
      </c>
      <c r="K32" s="56" t="s">
        <v>51</v>
      </c>
      <c r="L32" s="44"/>
      <c r="M32" s="69"/>
      <c r="N32" s="26"/>
    </row>
    <row r="33" spans="1:14" s="28" customFormat="1" x14ac:dyDescent="0.25">
      <c r="A33" s="7"/>
      <c r="B33" s="41" t="s">
        <v>302</v>
      </c>
      <c r="C33" s="2"/>
      <c r="D33" s="56"/>
      <c r="E33" s="56"/>
      <c r="F33" s="56"/>
      <c r="G33" s="56"/>
      <c r="H33" s="56"/>
      <c r="I33" s="56"/>
      <c r="J33" s="56"/>
      <c r="K33" s="56"/>
      <c r="L33" s="44"/>
      <c r="M33" s="69"/>
      <c r="N33" s="26"/>
    </row>
    <row r="34" spans="1:14" s="28" customFormat="1" x14ac:dyDescent="0.25">
      <c r="A34" s="7"/>
      <c r="B34" s="38" t="s">
        <v>253</v>
      </c>
      <c r="C34" s="2">
        <v>1</v>
      </c>
      <c r="D34" s="56">
        <f>2.25+3.5</f>
        <v>5.75</v>
      </c>
      <c r="E34" s="56"/>
      <c r="F34" s="56">
        <f>CONVERT(G34,"m","ft")</f>
        <v>6.8897637795275593</v>
      </c>
      <c r="G34" s="56">
        <v>2.1</v>
      </c>
      <c r="H34" s="56"/>
      <c r="I34" s="56"/>
      <c r="J34" s="56">
        <f>C34*D34*F34</f>
        <v>39.616141732283467</v>
      </c>
      <c r="K34" s="56" t="s">
        <v>51</v>
      </c>
      <c r="L34" s="44"/>
      <c r="M34" s="69"/>
      <c r="N34" s="26"/>
    </row>
    <row r="35" spans="1:14" s="28" customFormat="1" x14ac:dyDescent="0.25">
      <c r="A35" s="7"/>
      <c r="B35" s="38" t="s">
        <v>255</v>
      </c>
      <c r="C35" s="2">
        <v>2</v>
      </c>
      <c r="D35" s="56">
        <v>8.33</v>
      </c>
      <c r="E35" s="56"/>
      <c r="F35" s="56">
        <f>CONVERT(G35,"m","ft")</f>
        <v>11.482939632545932</v>
      </c>
      <c r="G35" s="56">
        <v>3.5</v>
      </c>
      <c r="H35" s="56"/>
      <c r="I35" s="56"/>
      <c r="J35" s="56">
        <f>C35*D35*F35</f>
        <v>191.30577427821524</v>
      </c>
      <c r="K35" s="56" t="s">
        <v>51</v>
      </c>
      <c r="L35" s="44"/>
      <c r="M35" s="69"/>
      <c r="N35" s="26"/>
    </row>
    <row r="36" spans="1:14" s="28" customFormat="1" x14ac:dyDescent="0.25">
      <c r="A36" s="7"/>
      <c r="B36" s="38" t="s">
        <v>256</v>
      </c>
      <c r="C36" s="2">
        <f>7*2*0.5</f>
        <v>7</v>
      </c>
      <c r="D36" s="56"/>
      <c r="E36" s="56"/>
      <c r="F36" s="56">
        <v>0.83</v>
      </c>
      <c r="G36" s="56"/>
      <c r="H36" s="56">
        <v>0.57999999999999996</v>
      </c>
      <c r="I36" s="56"/>
      <c r="J36" s="56">
        <f>C36*F36*H36</f>
        <v>3.3697999999999997</v>
      </c>
      <c r="K36" s="56" t="s">
        <v>51</v>
      </c>
      <c r="L36" s="44"/>
      <c r="M36" s="69"/>
      <c r="N36" s="26"/>
    </row>
    <row r="37" spans="1:14" s="28" customFormat="1" x14ac:dyDescent="0.25">
      <c r="A37" s="7"/>
      <c r="B37" s="38" t="s">
        <v>196</v>
      </c>
      <c r="C37" s="2">
        <v>1</v>
      </c>
      <c r="D37" s="56">
        <f>CONVERT(E37,"m","ft")</f>
        <v>5.4994078484091924</v>
      </c>
      <c r="E37" s="56">
        <f>1.6+0.25/3.28</f>
        <v>1.676219512195122</v>
      </c>
      <c r="F37" s="56">
        <f>CONVERT(G37,"m","ft")</f>
        <v>3.5104986876640418</v>
      </c>
      <c r="G37" s="56">
        <v>1.07</v>
      </c>
      <c r="H37" s="56"/>
      <c r="I37" s="56"/>
      <c r="J37" s="56">
        <f>C37*D37*F37</f>
        <v>19.305664034769801</v>
      </c>
      <c r="K37" s="56" t="s">
        <v>51</v>
      </c>
      <c r="L37" s="44"/>
      <c r="M37" s="69"/>
      <c r="N37" s="26"/>
    </row>
    <row r="38" spans="1:14" s="28" customFormat="1" x14ac:dyDescent="0.25">
      <c r="A38" s="7"/>
      <c r="B38" s="38" t="s">
        <v>254</v>
      </c>
      <c r="C38" s="2">
        <v>1</v>
      </c>
      <c r="D38" s="56">
        <f>CONVERT(E38,"m","ft")</f>
        <v>4.9744734652070921</v>
      </c>
      <c r="E38" s="56">
        <f>1.44+0.25/3.28</f>
        <v>1.5162195121951219</v>
      </c>
      <c r="F38" s="56">
        <f>CONVERT(G38,"m","ft")</f>
        <v>4.2979002624671914</v>
      </c>
      <c r="G38" s="56">
        <v>1.31</v>
      </c>
      <c r="H38" s="56"/>
      <c r="I38" s="56"/>
      <c r="J38" s="56">
        <f>C38*D38*F38</f>
        <v>21.37979081174964</v>
      </c>
      <c r="K38" s="56" t="s">
        <v>51</v>
      </c>
      <c r="L38" s="44"/>
      <c r="M38" s="69"/>
      <c r="N38" s="26"/>
    </row>
    <row r="39" spans="1:14" s="28" customFormat="1" x14ac:dyDescent="0.25">
      <c r="A39" s="7"/>
      <c r="B39" s="38"/>
      <c r="C39" s="2"/>
      <c r="D39" s="56"/>
      <c r="E39" s="56"/>
      <c r="F39" s="56"/>
      <c r="G39" s="56"/>
      <c r="H39" s="77"/>
      <c r="I39" s="56"/>
      <c r="J39" s="56"/>
      <c r="K39" s="56"/>
      <c r="L39" s="44"/>
      <c r="M39" s="69"/>
      <c r="N39" s="26"/>
    </row>
    <row r="40" spans="1:14" s="28" customFormat="1" x14ac:dyDescent="0.25">
      <c r="A40" s="7"/>
      <c r="B40" s="68" t="s">
        <v>89</v>
      </c>
      <c r="C40" s="2"/>
      <c r="D40" s="56"/>
      <c r="E40" s="56"/>
      <c r="F40" s="56"/>
      <c r="G40" s="56"/>
      <c r="H40" s="56"/>
      <c r="I40" s="56"/>
      <c r="J40" s="56"/>
      <c r="K40" s="56"/>
      <c r="L40" s="44"/>
      <c r="M40" s="69"/>
      <c r="N40" s="26"/>
    </row>
    <row r="41" spans="1:14" s="28" customFormat="1" x14ac:dyDescent="0.25">
      <c r="A41" s="7"/>
      <c r="B41" s="26" t="s">
        <v>210</v>
      </c>
      <c r="C41" s="2">
        <v>1</v>
      </c>
      <c r="D41" s="56">
        <f>CONVERT(E41,"m","ft")</f>
        <v>15.446754369118493</v>
      </c>
      <c r="E41" s="56">
        <f>3.26+4/3.28+0.75/3.28</f>
        <v>4.7081707317073169</v>
      </c>
      <c r="F41" s="56">
        <f>CONVERT(G41,"m","ft")</f>
        <v>11.326899686319697</v>
      </c>
      <c r="G41" s="56">
        <f>3.3+0.5/3.28</f>
        <v>3.4524390243902436</v>
      </c>
      <c r="H41" s="56"/>
      <c r="I41" s="56"/>
      <c r="J41" s="56">
        <f>C41*D41*F41</f>
        <v>174.96383721822568</v>
      </c>
      <c r="K41" s="56" t="s">
        <v>51</v>
      </c>
      <c r="L41" s="44"/>
      <c r="M41" s="69"/>
      <c r="N41" s="26"/>
    </row>
    <row r="42" spans="1:14" s="28" customFormat="1" x14ac:dyDescent="0.25">
      <c r="A42" s="7"/>
      <c r="B42" s="41" t="s">
        <v>307</v>
      </c>
      <c r="C42" s="2"/>
      <c r="D42" s="56"/>
      <c r="E42" s="56"/>
      <c r="F42" s="56"/>
      <c r="G42" s="56"/>
      <c r="H42" s="56"/>
      <c r="I42" s="56"/>
      <c r="J42" s="56"/>
      <c r="K42" s="56"/>
      <c r="L42" s="44"/>
      <c r="M42" s="69"/>
      <c r="N42" s="26"/>
    </row>
    <row r="43" spans="1:14" s="28" customFormat="1" x14ac:dyDescent="0.25">
      <c r="A43" s="7"/>
      <c r="B43" s="38" t="s">
        <v>253</v>
      </c>
      <c r="C43" s="2">
        <v>1</v>
      </c>
      <c r="D43" s="56">
        <f>2.25+3.5</f>
        <v>5.75</v>
      </c>
      <c r="E43" s="56"/>
      <c r="F43" s="56">
        <f>CONVERT(G43,"m","ft")</f>
        <v>6.8897637795275593</v>
      </c>
      <c r="G43" s="56">
        <v>2.1</v>
      </c>
      <c r="H43" s="56"/>
      <c r="I43" s="56"/>
      <c r="J43" s="56">
        <f>C43*D43*F43</f>
        <v>39.616141732283467</v>
      </c>
      <c r="K43" s="56" t="s">
        <v>51</v>
      </c>
      <c r="L43" s="44"/>
      <c r="M43" s="69"/>
      <c r="N43" s="26"/>
    </row>
    <row r="44" spans="1:14" s="28" customFormat="1" x14ac:dyDescent="0.25">
      <c r="A44" s="7"/>
      <c r="B44" s="38" t="s">
        <v>255</v>
      </c>
      <c r="C44" s="2">
        <v>2</v>
      </c>
      <c r="D44" s="56">
        <v>8.33</v>
      </c>
      <c r="E44" s="56"/>
      <c r="F44" s="56">
        <f>CONVERT(G44,"m","ft")</f>
        <v>11.482939632545932</v>
      </c>
      <c r="G44" s="56">
        <v>3.5</v>
      </c>
      <c r="H44" s="56"/>
      <c r="I44" s="56"/>
      <c r="J44" s="56">
        <f>C44*D44*F44</f>
        <v>191.30577427821524</v>
      </c>
      <c r="K44" s="56" t="s">
        <v>51</v>
      </c>
      <c r="L44" s="44"/>
      <c r="M44" s="69"/>
      <c r="N44" s="26"/>
    </row>
    <row r="45" spans="1:14" s="28" customFormat="1" x14ac:dyDescent="0.25">
      <c r="A45" s="7"/>
      <c r="B45" s="38" t="s">
        <v>256</v>
      </c>
      <c r="C45" s="2">
        <f>7*2*0.5</f>
        <v>7</v>
      </c>
      <c r="D45" s="56"/>
      <c r="E45" s="56"/>
      <c r="F45" s="56">
        <v>0.83</v>
      </c>
      <c r="G45" s="56"/>
      <c r="H45" s="56">
        <v>0.57999999999999996</v>
      </c>
      <c r="I45" s="56"/>
      <c r="J45" s="56">
        <f>C45*F45*H45</f>
        <v>3.3697999999999997</v>
      </c>
      <c r="K45" s="56" t="s">
        <v>51</v>
      </c>
      <c r="L45" s="44"/>
      <c r="M45" s="69"/>
      <c r="N45" s="26"/>
    </row>
    <row r="46" spans="1:14" s="28" customFormat="1" x14ac:dyDescent="0.25">
      <c r="A46" s="7"/>
      <c r="B46" s="38" t="s">
        <v>196</v>
      </c>
      <c r="C46" s="2">
        <v>1</v>
      </c>
      <c r="D46" s="56">
        <f>CONVERT(E46,"m","ft")</f>
        <v>5.4994078484091924</v>
      </c>
      <c r="E46" s="56">
        <f>1.6+0.25/3.28</f>
        <v>1.676219512195122</v>
      </c>
      <c r="F46" s="56">
        <f>CONVERT(G46,"m","ft")</f>
        <v>3.5104986876640418</v>
      </c>
      <c r="G46" s="56">
        <v>1.07</v>
      </c>
      <c r="H46" s="56"/>
      <c r="I46" s="56"/>
      <c r="J46" s="56">
        <f>C46*D46*F46</f>
        <v>19.305664034769801</v>
      </c>
      <c r="K46" s="56" t="s">
        <v>51</v>
      </c>
      <c r="L46" s="44"/>
      <c r="M46" s="69"/>
      <c r="N46" s="26"/>
    </row>
    <row r="47" spans="1:14" s="28" customFormat="1" x14ac:dyDescent="0.25">
      <c r="A47" s="7"/>
      <c r="B47" s="41" t="s">
        <v>186</v>
      </c>
      <c r="C47" s="2">
        <v>1</v>
      </c>
      <c r="D47" s="56">
        <v>4.5</v>
      </c>
      <c r="E47" s="56"/>
      <c r="F47" s="56">
        <f>CONVERT(G47,"m","ft")</f>
        <v>11.076835669931501</v>
      </c>
      <c r="G47" s="56">
        <f>3.3+0.25/3.28</f>
        <v>3.3762195121951217</v>
      </c>
      <c r="H47" s="56"/>
      <c r="I47" s="56"/>
      <c r="J47" s="56">
        <f>C47*D47*F47</f>
        <v>49.845760514691754</v>
      </c>
      <c r="K47" s="56" t="s">
        <v>51</v>
      </c>
      <c r="L47" s="44"/>
      <c r="M47" s="69"/>
      <c r="N47" s="26"/>
    </row>
    <row r="48" spans="1:14" s="28" customFormat="1" x14ac:dyDescent="0.25">
      <c r="A48" s="7"/>
      <c r="B48" s="38" t="s">
        <v>254</v>
      </c>
      <c r="C48" s="2">
        <v>1</v>
      </c>
      <c r="D48" s="56">
        <f>CONVERT(E48,"m","ft")</f>
        <v>4.9744734652070921</v>
      </c>
      <c r="E48" s="56">
        <f>1.44+0.25/3.28</f>
        <v>1.5162195121951219</v>
      </c>
      <c r="F48" s="56">
        <f>CONVERT(G48,"m","ft")</f>
        <v>4.2979002624671914</v>
      </c>
      <c r="G48" s="56">
        <v>1.31</v>
      </c>
      <c r="H48" s="56"/>
      <c r="I48" s="56"/>
      <c r="J48" s="56">
        <f>C48*D48*F48</f>
        <v>21.37979081174964</v>
      </c>
      <c r="K48" s="56" t="s">
        <v>51</v>
      </c>
      <c r="L48" s="44"/>
      <c r="M48" s="69"/>
      <c r="N48" s="26"/>
    </row>
    <row r="49" spans="1:14" s="28" customFormat="1" x14ac:dyDescent="0.25">
      <c r="A49" s="7"/>
      <c r="B49" s="38"/>
      <c r="C49" s="2"/>
      <c r="D49" s="56"/>
      <c r="E49" s="56"/>
      <c r="F49" s="56"/>
      <c r="G49" s="56"/>
      <c r="H49" s="72" t="s">
        <v>310</v>
      </c>
      <c r="I49" s="44"/>
      <c r="J49" s="44">
        <f>SUM(J13:J48)</f>
        <v>2205.9265709920742</v>
      </c>
      <c r="K49" s="44" t="s">
        <v>51</v>
      </c>
      <c r="L49" s="44"/>
      <c r="M49" s="69"/>
      <c r="N49" s="26"/>
    </row>
    <row r="50" spans="1:14" s="28" customFormat="1" x14ac:dyDescent="0.25">
      <c r="A50" s="7"/>
      <c r="B50" s="38"/>
      <c r="C50" s="2"/>
      <c r="D50" s="56"/>
      <c r="E50" s="56"/>
      <c r="F50" s="56"/>
      <c r="G50" s="56"/>
      <c r="H50" s="56"/>
      <c r="I50" s="56"/>
      <c r="J50" s="44">
        <f>CONVERT(CONVERT(J49,"ft","m"),"ft","m")</f>
        <v>204.9372844619395</v>
      </c>
      <c r="K50" s="44" t="s">
        <v>220</v>
      </c>
      <c r="L50" s="44"/>
      <c r="M50" s="69"/>
      <c r="N50" s="26"/>
    </row>
    <row r="51" spans="1:14" x14ac:dyDescent="0.25">
      <c r="A51" s="7"/>
      <c r="B51" s="7"/>
      <c r="C51" s="2"/>
      <c r="D51" s="2"/>
      <c r="E51" s="2"/>
      <c r="F51" s="2"/>
      <c r="G51" s="2"/>
      <c r="H51" s="2"/>
      <c r="I51" s="2"/>
      <c r="J51" s="71"/>
      <c r="K51" s="7"/>
      <c r="L51" s="2"/>
      <c r="M51" s="40"/>
      <c r="N51" s="2"/>
    </row>
    <row r="52" spans="1:14" ht="18.75" x14ac:dyDescent="0.25">
      <c r="A52" s="7">
        <v>1.2</v>
      </c>
      <c r="B52" s="96" t="s">
        <v>308</v>
      </c>
      <c r="C52" s="75"/>
      <c r="D52" s="2"/>
      <c r="E52" s="2"/>
      <c r="F52" s="2"/>
      <c r="G52" s="2"/>
      <c r="H52" s="2"/>
      <c r="I52" s="2"/>
      <c r="J52" s="56"/>
      <c r="K52" s="2"/>
      <c r="L52" s="2"/>
      <c r="M52" s="40"/>
      <c r="N52" s="2"/>
    </row>
    <row r="53" spans="1:14" ht="60" x14ac:dyDescent="0.25">
      <c r="A53" s="7"/>
      <c r="B53" s="76" t="s">
        <v>309</v>
      </c>
      <c r="C53" s="2"/>
      <c r="D53" s="2"/>
      <c r="E53" s="2"/>
      <c r="F53" s="2"/>
      <c r="G53" s="2"/>
      <c r="H53" s="2"/>
      <c r="I53" s="2"/>
      <c r="J53" s="56"/>
      <c r="K53" s="2"/>
      <c r="L53" s="2"/>
      <c r="M53" s="40"/>
      <c r="N53" s="2"/>
    </row>
    <row r="54" spans="1:14" s="28" customFormat="1" x14ac:dyDescent="0.25">
      <c r="A54" s="7"/>
      <c r="B54" s="68" t="s">
        <v>158</v>
      </c>
      <c r="C54" s="2"/>
      <c r="D54" s="2"/>
      <c r="E54" s="2"/>
      <c r="F54" s="2"/>
      <c r="G54" s="2"/>
      <c r="H54" s="2"/>
      <c r="I54" s="2"/>
      <c r="J54" s="56"/>
      <c r="K54" s="2"/>
      <c r="L54" s="7"/>
      <c r="M54" s="27"/>
      <c r="N54" s="26"/>
    </row>
    <row r="55" spans="1:14" s="28" customFormat="1" x14ac:dyDescent="0.25">
      <c r="A55" s="7"/>
      <c r="B55" s="26" t="s">
        <v>298</v>
      </c>
      <c r="C55" s="2"/>
      <c r="D55" s="2"/>
      <c r="E55" s="2"/>
      <c r="F55" s="2"/>
      <c r="G55" s="2"/>
      <c r="H55" s="2"/>
      <c r="I55" s="2"/>
      <c r="J55" s="56"/>
      <c r="K55" s="2"/>
      <c r="L55" s="7"/>
      <c r="M55" s="27"/>
      <c r="N55" s="26"/>
    </row>
    <row r="56" spans="1:14" s="28" customFormat="1" x14ac:dyDescent="0.25">
      <c r="A56" s="7"/>
      <c r="B56" s="4" t="s">
        <v>187</v>
      </c>
      <c r="C56" s="2">
        <v>1</v>
      </c>
      <c r="D56" s="56">
        <f>CONVERT(E56,"m","ft")</f>
        <v>11.023622047244094</v>
      </c>
      <c r="E56" s="56">
        <v>3.36</v>
      </c>
      <c r="F56" s="56"/>
      <c r="G56" s="56"/>
      <c r="H56" s="56">
        <f>7+10/12</f>
        <v>7.833333333333333</v>
      </c>
      <c r="I56" s="56"/>
      <c r="J56" s="56">
        <f>C56*D56*H56</f>
        <v>86.351706036745398</v>
      </c>
      <c r="K56" s="2" t="s">
        <v>51</v>
      </c>
      <c r="L56" s="7"/>
      <c r="M56" s="27"/>
      <c r="N56" s="26"/>
    </row>
    <row r="57" spans="1:14" s="28" customFormat="1" x14ac:dyDescent="0.25">
      <c r="A57" s="7"/>
      <c r="B57" s="4" t="s">
        <v>193</v>
      </c>
      <c r="C57" s="2">
        <v>1</v>
      </c>
      <c r="D57" s="56">
        <f>CONVERT(E57,"m","ft")</f>
        <v>10.728346456692913</v>
      </c>
      <c r="E57" s="56">
        <v>3.27</v>
      </c>
      <c r="F57" s="56"/>
      <c r="G57" s="56"/>
      <c r="H57" s="56">
        <f>7+10/12</f>
        <v>7.833333333333333</v>
      </c>
      <c r="I57" s="56"/>
      <c r="J57" s="56">
        <f t="shared" ref="J57:J119" si="1">C57*D57*H57</f>
        <v>84.038713910761146</v>
      </c>
      <c r="K57" s="2" t="s">
        <v>51</v>
      </c>
      <c r="L57" s="7"/>
      <c r="M57" s="27"/>
      <c r="N57" s="26"/>
    </row>
    <row r="58" spans="1:14" s="28" customFormat="1" ht="14.25" customHeight="1" x14ac:dyDescent="0.25">
      <c r="A58" s="7"/>
      <c r="B58" s="4" t="s">
        <v>154</v>
      </c>
      <c r="C58" s="2">
        <f>-0.5*(2)</f>
        <v>-1</v>
      </c>
      <c r="D58" s="56">
        <v>6</v>
      </c>
      <c r="E58" s="56"/>
      <c r="F58" s="56"/>
      <c r="G58" s="56"/>
      <c r="H58" s="56">
        <v>4.5</v>
      </c>
      <c r="I58" s="56"/>
      <c r="J58" s="56">
        <f t="shared" si="1"/>
        <v>-27</v>
      </c>
      <c r="K58" s="2" t="s">
        <v>51</v>
      </c>
      <c r="L58" s="7"/>
      <c r="M58" s="27"/>
      <c r="N58" s="26"/>
    </row>
    <row r="59" spans="1:14" s="28" customFormat="1" x14ac:dyDescent="0.25">
      <c r="A59" s="7"/>
      <c r="B59" s="4"/>
      <c r="C59" s="2"/>
      <c r="D59" s="56"/>
      <c r="E59" s="56"/>
      <c r="F59" s="56"/>
      <c r="G59" s="56"/>
      <c r="H59" s="56"/>
      <c r="I59" s="56"/>
      <c r="J59" s="56"/>
      <c r="K59" s="2"/>
      <c r="L59" s="7"/>
      <c r="M59" s="27"/>
      <c r="N59" s="26"/>
    </row>
    <row r="60" spans="1:14" s="28" customFormat="1" x14ac:dyDescent="0.25">
      <c r="A60" s="7"/>
      <c r="B60" s="26" t="s">
        <v>299</v>
      </c>
      <c r="C60" s="2"/>
      <c r="D60" s="56"/>
      <c r="E60" s="56"/>
      <c r="F60" s="56"/>
      <c r="G60" s="56"/>
      <c r="H60" s="56"/>
      <c r="I60" s="56"/>
      <c r="J60" s="56"/>
      <c r="K60" s="2"/>
      <c r="L60" s="7"/>
      <c r="M60" s="27"/>
      <c r="N60" s="26"/>
    </row>
    <row r="61" spans="1:14" s="28" customFormat="1" x14ac:dyDescent="0.25">
      <c r="A61" s="7"/>
      <c r="B61" s="4" t="s">
        <v>187</v>
      </c>
      <c r="C61" s="2">
        <v>1</v>
      </c>
      <c r="D61" s="56">
        <f>CONVERT(E61,"m","ft")</f>
        <v>11.15485564304462</v>
      </c>
      <c r="E61" s="56">
        <v>3.4</v>
      </c>
      <c r="F61" s="56"/>
      <c r="G61" s="56"/>
      <c r="H61" s="56">
        <f>7+10/12</f>
        <v>7.833333333333333</v>
      </c>
      <c r="I61" s="56"/>
      <c r="J61" s="56">
        <f>C61*D61*H61</f>
        <v>87.379702537182851</v>
      </c>
      <c r="K61" s="2" t="s">
        <v>51</v>
      </c>
      <c r="L61" s="7"/>
      <c r="M61" s="27"/>
      <c r="N61" s="26"/>
    </row>
    <row r="62" spans="1:14" s="28" customFormat="1" x14ac:dyDescent="0.25">
      <c r="A62" s="7"/>
      <c r="B62" s="4" t="s">
        <v>191</v>
      </c>
      <c r="C62" s="2">
        <v>1</v>
      </c>
      <c r="D62" s="56">
        <f>CONVERT(E62,"m","ft")</f>
        <v>11.220472440944881</v>
      </c>
      <c r="E62" s="56">
        <v>3.42</v>
      </c>
      <c r="F62" s="56"/>
      <c r="G62" s="56"/>
      <c r="H62" s="56">
        <f>7+10/12</f>
        <v>7.833333333333333</v>
      </c>
      <c r="I62" s="56"/>
      <c r="J62" s="56">
        <f t="shared" si="1"/>
        <v>87.893700787401571</v>
      </c>
      <c r="K62" s="2" t="s">
        <v>51</v>
      </c>
      <c r="L62" s="7"/>
      <c r="M62" s="27"/>
      <c r="N62" s="26"/>
    </row>
    <row r="63" spans="1:14" s="28" customFormat="1" x14ac:dyDescent="0.25">
      <c r="A63" s="7"/>
      <c r="B63" s="4" t="s">
        <v>193</v>
      </c>
      <c r="C63" s="2">
        <v>1</v>
      </c>
      <c r="D63" s="56">
        <f>CONVERT(E63,"m","ft")</f>
        <v>10.728346456692913</v>
      </c>
      <c r="E63" s="56">
        <v>3.27</v>
      </c>
      <c r="F63" s="56"/>
      <c r="G63" s="56"/>
      <c r="H63" s="56">
        <f>7+10/12</f>
        <v>7.833333333333333</v>
      </c>
      <c r="I63" s="56"/>
      <c r="J63" s="56">
        <f t="shared" si="1"/>
        <v>84.038713910761146</v>
      </c>
      <c r="K63" s="2" t="s">
        <v>51</v>
      </c>
      <c r="L63" s="7"/>
      <c r="M63" s="27"/>
      <c r="N63" s="26"/>
    </row>
    <row r="64" spans="1:14" s="28" customFormat="1" ht="14.25" customHeight="1" x14ac:dyDescent="0.25">
      <c r="A64" s="7"/>
      <c r="B64" s="4" t="s">
        <v>154</v>
      </c>
      <c r="C64" s="2">
        <f>-0.5*(2)</f>
        <v>-1</v>
      </c>
      <c r="D64" s="56">
        <v>6</v>
      </c>
      <c r="E64" s="56"/>
      <c r="F64" s="56"/>
      <c r="G64" s="56"/>
      <c r="H64" s="56">
        <v>4.5</v>
      </c>
      <c r="I64" s="56"/>
      <c r="J64" s="56">
        <f t="shared" si="1"/>
        <v>-27</v>
      </c>
      <c r="K64" s="2" t="s">
        <v>51</v>
      </c>
      <c r="L64" s="7"/>
      <c r="M64" s="27"/>
      <c r="N64" s="26"/>
    </row>
    <row r="65" spans="1:14" s="28" customFormat="1" x14ac:dyDescent="0.25">
      <c r="A65" s="7"/>
      <c r="B65" s="4"/>
      <c r="C65" s="2"/>
      <c r="D65" s="56"/>
      <c r="E65" s="56"/>
      <c r="F65" s="56"/>
      <c r="G65" s="56"/>
      <c r="H65" s="56"/>
      <c r="I65" s="56"/>
      <c r="J65" s="56"/>
      <c r="K65" s="2"/>
      <c r="L65" s="7"/>
      <c r="M65" s="27"/>
      <c r="N65" s="26"/>
    </row>
    <row r="66" spans="1:14" s="28" customFormat="1" x14ac:dyDescent="0.25">
      <c r="A66" s="7"/>
      <c r="B66" s="41" t="s">
        <v>300</v>
      </c>
      <c r="C66" s="2"/>
      <c r="D66" s="56"/>
      <c r="E66" s="56"/>
      <c r="F66" s="56"/>
      <c r="G66" s="56"/>
      <c r="H66" s="56"/>
      <c r="I66" s="56"/>
      <c r="J66" s="56"/>
      <c r="K66" s="2"/>
      <c r="L66" s="7"/>
      <c r="M66" s="27"/>
      <c r="N66" s="26"/>
    </row>
    <row r="67" spans="1:14" s="28" customFormat="1" x14ac:dyDescent="0.25">
      <c r="A67" s="7"/>
      <c r="B67" s="4" t="s">
        <v>209</v>
      </c>
      <c r="C67" s="2">
        <v>2</v>
      </c>
      <c r="D67" s="56">
        <v>4</v>
      </c>
      <c r="E67" s="56"/>
      <c r="F67" s="56"/>
      <c r="G67" s="56"/>
      <c r="H67" s="56">
        <f>7+10/12</f>
        <v>7.833333333333333</v>
      </c>
      <c r="I67" s="56"/>
      <c r="J67" s="56">
        <f>C67*D67*H67</f>
        <v>62.666666666666664</v>
      </c>
      <c r="K67" s="2" t="s">
        <v>51</v>
      </c>
      <c r="L67" s="7"/>
      <c r="M67" s="27"/>
      <c r="N67" s="26"/>
    </row>
    <row r="68" spans="1:14" s="28" customFormat="1" x14ac:dyDescent="0.25">
      <c r="A68" s="7"/>
      <c r="B68" s="4" t="s">
        <v>193</v>
      </c>
      <c r="C68" s="2">
        <v>1</v>
      </c>
      <c r="D68" s="56">
        <f>CONVERT(E68,"m","ft")</f>
        <v>21.522309711286091</v>
      </c>
      <c r="E68" s="56">
        <f>3.29+3.27</f>
        <v>6.5600000000000005</v>
      </c>
      <c r="F68" s="56"/>
      <c r="G68" s="56"/>
      <c r="H68" s="56">
        <f>7+10/12</f>
        <v>7.833333333333333</v>
      </c>
      <c r="I68" s="56"/>
      <c r="J68" s="56">
        <f>C68*D68*H68</f>
        <v>168.59142607174104</v>
      </c>
      <c r="K68" s="2" t="s">
        <v>51</v>
      </c>
      <c r="L68" s="7"/>
      <c r="M68" s="27"/>
      <c r="N68" s="26"/>
    </row>
    <row r="69" spans="1:14" s="28" customFormat="1" x14ac:dyDescent="0.25">
      <c r="A69" s="7"/>
      <c r="B69" s="4" t="s">
        <v>192</v>
      </c>
      <c r="C69" s="2">
        <v>1</v>
      </c>
      <c r="D69" s="56">
        <f>CONVERT(E69,"m","ft")</f>
        <v>4.2650918635170605</v>
      </c>
      <c r="E69" s="56">
        <v>1.3</v>
      </c>
      <c r="F69" s="56"/>
      <c r="G69" s="56"/>
      <c r="H69" s="56">
        <f>7+10/12</f>
        <v>7.833333333333333</v>
      </c>
      <c r="I69" s="56"/>
      <c r="J69" s="56">
        <f>C69*D69*H69</f>
        <v>33.409886264216972</v>
      </c>
      <c r="K69" s="2" t="s">
        <v>51</v>
      </c>
      <c r="L69" s="7"/>
      <c r="M69" s="27"/>
      <c r="N69" s="26"/>
    </row>
    <row r="70" spans="1:14" s="28" customFormat="1" x14ac:dyDescent="0.25">
      <c r="A70" s="7"/>
      <c r="B70" s="4" t="s">
        <v>167</v>
      </c>
      <c r="C70" s="2">
        <f>0.5*(-2)</f>
        <v>-1</v>
      </c>
      <c r="D70" s="56">
        <v>3</v>
      </c>
      <c r="E70" s="56"/>
      <c r="F70" s="56"/>
      <c r="G70" s="56"/>
      <c r="H70" s="56">
        <v>7</v>
      </c>
      <c r="I70" s="56"/>
      <c r="J70" s="56">
        <f>C70*D70*H70</f>
        <v>-21</v>
      </c>
      <c r="K70" s="2" t="s">
        <v>51</v>
      </c>
      <c r="L70" s="7"/>
      <c r="M70" s="27"/>
      <c r="N70" s="26"/>
    </row>
    <row r="71" spans="1:14" s="28" customFormat="1" x14ac:dyDescent="0.25">
      <c r="A71" s="7"/>
      <c r="B71" s="4" t="s">
        <v>199</v>
      </c>
      <c r="C71" s="2">
        <f>0.5*-2</f>
        <v>-1</v>
      </c>
      <c r="D71" s="56">
        <v>4</v>
      </c>
      <c r="E71" s="56"/>
      <c r="F71" s="56"/>
      <c r="G71" s="56"/>
      <c r="H71" s="56">
        <f>7+3/12</f>
        <v>7.25</v>
      </c>
      <c r="I71" s="56"/>
      <c r="J71" s="56">
        <f t="shared" si="1"/>
        <v>-29</v>
      </c>
      <c r="K71" s="2" t="s">
        <v>51</v>
      </c>
      <c r="L71" s="7"/>
      <c r="M71" s="27"/>
      <c r="N71" s="26"/>
    </row>
    <row r="72" spans="1:14" s="28" customFormat="1" x14ac:dyDescent="0.25">
      <c r="A72" s="7"/>
      <c r="B72" s="4"/>
      <c r="C72" s="2"/>
      <c r="D72" s="56"/>
      <c r="E72" s="56"/>
      <c r="F72" s="56"/>
      <c r="G72" s="56"/>
      <c r="H72" s="56"/>
      <c r="I72" s="56"/>
      <c r="J72" s="56"/>
      <c r="K72" s="2"/>
      <c r="L72" s="7"/>
      <c r="M72" s="27"/>
      <c r="N72" s="26"/>
    </row>
    <row r="73" spans="1:14" s="28" customFormat="1" ht="30" x14ac:dyDescent="0.25">
      <c r="A73" s="7"/>
      <c r="B73" s="26" t="s">
        <v>301</v>
      </c>
      <c r="C73" s="2"/>
      <c r="D73" s="56"/>
      <c r="E73" s="56"/>
      <c r="F73" s="56"/>
      <c r="G73" s="56"/>
      <c r="H73" s="56"/>
      <c r="I73" s="56"/>
      <c r="J73" s="56"/>
      <c r="K73" s="2"/>
      <c r="L73" s="7"/>
      <c r="M73" s="27"/>
      <c r="N73" s="26"/>
    </row>
    <row r="74" spans="1:14" s="28" customFormat="1" x14ac:dyDescent="0.25">
      <c r="A74" s="7"/>
      <c r="B74" s="4" t="s">
        <v>187</v>
      </c>
      <c r="C74" s="2">
        <v>1</v>
      </c>
      <c r="D74" s="56">
        <f>CONVERT(E74,"m","ft")</f>
        <v>10.62992125984252</v>
      </c>
      <c r="E74" s="56">
        <v>3.24</v>
      </c>
      <c r="F74" s="56"/>
      <c r="G74" s="56"/>
      <c r="H74" s="56">
        <f>7+10/12</f>
        <v>7.833333333333333</v>
      </c>
      <c r="I74" s="56"/>
      <c r="J74" s="56">
        <f t="shared" si="1"/>
        <v>83.267716535433067</v>
      </c>
      <c r="K74" s="2" t="s">
        <v>51</v>
      </c>
      <c r="L74" s="7"/>
      <c r="M74" s="27"/>
      <c r="N74" s="26"/>
    </row>
    <row r="75" spans="1:14" s="28" customFormat="1" x14ac:dyDescent="0.25">
      <c r="A75" s="7"/>
      <c r="B75" s="4" t="s">
        <v>191</v>
      </c>
      <c r="C75" s="2">
        <v>1</v>
      </c>
      <c r="D75" s="56">
        <f>CONVERT(E75,"m","ft")</f>
        <v>11.909448818897637</v>
      </c>
      <c r="E75" s="56">
        <v>3.63</v>
      </c>
      <c r="F75" s="56"/>
      <c r="G75" s="56"/>
      <c r="H75" s="56">
        <f>7+10/12</f>
        <v>7.833333333333333</v>
      </c>
      <c r="I75" s="56"/>
      <c r="J75" s="56">
        <f t="shared" si="1"/>
        <v>93.290682414698153</v>
      </c>
      <c r="K75" s="2" t="s">
        <v>51</v>
      </c>
      <c r="L75" s="7"/>
      <c r="M75" s="27"/>
      <c r="N75" s="26"/>
    </row>
    <row r="76" spans="1:14" s="28" customFormat="1" x14ac:dyDescent="0.25">
      <c r="A76" s="7"/>
      <c r="B76" s="4" t="s">
        <v>192</v>
      </c>
      <c r="C76" s="2">
        <v>1</v>
      </c>
      <c r="D76" s="56">
        <f>CONVERT(E76,"m","ft")</f>
        <v>10.793963254593177</v>
      </c>
      <c r="E76" s="56">
        <v>3.29</v>
      </c>
      <c r="F76" s="56"/>
      <c r="G76" s="56"/>
      <c r="H76" s="56">
        <f>7+10/12</f>
        <v>7.833333333333333</v>
      </c>
      <c r="I76" s="56"/>
      <c r="J76" s="56">
        <f t="shared" si="1"/>
        <v>84.55271216097988</v>
      </c>
      <c r="K76" s="2" t="s">
        <v>51</v>
      </c>
      <c r="L76" s="7"/>
      <c r="M76" s="27"/>
      <c r="N76" s="26"/>
    </row>
    <row r="77" spans="1:14" s="28" customFormat="1" ht="14.25" customHeight="1" x14ac:dyDescent="0.25">
      <c r="A77" s="7"/>
      <c r="B77" s="4" t="s">
        <v>197</v>
      </c>
      <c r="C77" s="2">
        <f>-0.5*(1)</f>
        <v>-0.5</v>
      </c>
      <c r="D77" s="56">
        <v>2</v>
      </c>
      <c r="E77" s="56"/>
      <c r="F77" s="56"/>
      <c r="G77" s="56"/>
      <c r="H77" s="56">
        <v>3</v>
      </c>
      <c r="I77" s="56"/>
      <c r="J77" s="56">
        <f t="shared" si="1"/>
        <v>-3</v>
      </c>
      <c r="K77" s="2" t="s">
        <v>51</v>
      </c>
      <c r="L77" s="7"/>
      <c r="M77" s="27"/>
      <c r="N77" s="26"/>
    </row>
    <row r="78" spans="1:14" s="28" customFormat="1" ht="14.25" customHeight="1" x14ac:dyDescent="0.25">
      <c r="A78" s="7"/>
      <c r="B78" s="4" t="s">
        <v>154</v>
      </c>
      <c r="C78" s="2">
        <f>-0.5*(1)</f>
        <v>-0.5</v>
      </c>
      <c r="D78" s="56">
        <v>6</v>
      </c>
      <c r="E78" s="56"/>
      <c r="F78" s="56"/>
      <c r="G78" s="56"/>
      <c r="H78" s="56">
        <v>4.5</v>
      </c>
      <c r="I78" s="56"/>
      <c r="J78" s="56">
        <f t="shared" si="1"/>
        <v>-13.5</v>
      </c>
      <c r="K78" s="2" t="s">
        <v>51</v>
      </c>
      <c r="L78" s="7"/>
      <c r="M78" s="27"/>
      <c r="N78" s="26"/>
    </row>
    <row r="79" spans="1:14" s="28" customFormat="1" x14ac:dyDescent="0.25">
      <c r="A79" s="7"/>
      <c r="B79" s="38"/>
      <c r="C79" s="2"/>
      <c r="D79" s="56"/>
      <c r="E79" s="56"/>
      <c r="F79" s="56"/>
      <c r="G79" s="56"/>
      <c r="H79" s="56"/>
      <c r="I79" s="56"/>
      <c r="J79" s="56"/>
      <c r="K79" s="2"/>
      <c r="L79" s="7"/>
      <c r="M79" s="27"/>
      <c r="N79" s="26"/>
    </row>
    <row r="80" spans="1:14" s="28" customFormat="1" x14ac:dyDescent="0.25">
      <c r="A80" s="7"/>
      <c r="B80" s="41" t="s">
        <v>342</v>
      </c>
      <c r="C80" s="2"/>
      <c r="D80" s="56"/>
      <c r="E80" s="56"/>
      <c r="F80" s="56"/>
      <c r="G80" s="56"/>
      <c r="H80" s="56"/>
      <c r="I80" s="56"/>
      <c r="J80" s="56"/>
      <c r="K80" s="2"/>
      <c r="L80" s="7"/>
      <c r="M80" s="27"/>
      <c r="N80" s="26"/>
    </row>
    <row r="81" spans="1:14" s="28" customFormat="1" x14ac:dyDescent="0.25">
      <c r="A81" s="7"/>
      <c r="B81" s="4" t="s">
        <v>203</v>
      </c>
      <c r="C81" s="2">
        <v>1</v>
      </c>
      <c r="D81" s="56">
        <f>CONVERT(E81,"m","ft")</f>
        <v>4.2979002624671914</v>
      </c>
      <c r="E81" s="56">
        <v>1.31</v>
      </c>
      <c r="F81" s="56"/>
      <c r="G81" s="56"/>
      <c r="H81" s="56">
        <f>8+10/12</f>
        <v>8.8333333333333339</v>
      </c>
      <c r="I81" s="56"/>
      <c r="J81" s="56">
        <f t="shared" si="1"/>
        <v>37.964785651793527</v>
      </c>
      <c r="K81" s="2" t="s">
        <v>51</v>
      </c>
      <c r="L81" s="7"/>
      <c r="M81" s="27"/>
      <c r="N81" s="26"/>
    </row>
    <row r="82" spans="1:14" s="28" customFormat="1" x14ac:dyDescent="0.25">
      <c r="A82" s="7"/>
      <c r="B82" s="4" t="s">
        <v>204</v>
      </c>
      <c r="C82" s="2">
        <v>1</v>
      </c>
      <c r="D82" s="56">
        <f>CONVERT(E82,"m","ft")</f>
        <v>10.826771653543307</v>
      </c>
      <c r="E82" s="56">
        <v>3.3</v>
      </c>
      <c r="F82" s="56"/>
      <c r="G82" s="56"/>
      <c r="H82" s="56">
        <f>7+10/12</f>
        <v>7.833333333333333</v>
      </c>
      <c r="I82" s="56"/>
      <c r="J82" s="56">
        <f t="shared" si="1"/>
        <v>84.809711286089239</v>
      </c>
      <c r="K82" s="2" t="s">
        <v>51</v>
      </c>
      <c r="L82" s="7"/>
      <c r="M82" s="27"/>
      <c r="N82" s="26"/>
    </row>
    <row r="83" spans="1:14" s="28" customFormat="1" x14ac:dyDescent="0.25">
      <c r="A83" s="7"/>
      <c r="B83" s="4" t="s">
        <v>192</v>
      </c>
      <c r="C83" s="2">
        <v>1</v>
      </c>
      <c r="D83" s="56">
        <f>CONVERT(E83,"m","ft")</f>
        <v>10.728346456692913</v>
      </c>
      <c r="E83" s="56">
        <v>3.27</v>
      </c>
      <c r="F83" s="56"/>
      <c r="G83" s="56"/>
      <c r="H83" s="56">
        <f>7+10/12</f>
        <v>7.833333333333333</v>
      </c>
      <c r="I83" s="56"/>
      <c r="J83" s="56">
        <f>C83*D83*H83</f>
        <v>84.038713910761146</v>
      </c>
      <c r="K83" s="2" t="s">
        <v>51</v>
      </c>
      <c r="L83" s="7"/>
      <c r="M83" s="27"/>
      <c r="N83" s="26"/>
    </row>
    <row r="84" spans="1:14" s="28" customFormat="1" ht="14.25" customHeight="1" x14ac:dyDescent="0.25">
      <c r="A84" s="7"/>
      <c r="B84" s="4" t="s">
        <v>197</v>
      </c>
      <c r="C84" s="2">
        <f>-0.5*(2)</f>
        <v>-1</v>
      </c>
      <c r="D84" s="56">
        <v>2</v>
      </c>
      <c r="E84" s="56"/>
      <c r="F84" s="56"/>
      <c r="G84" s="56"/>
      <c r="H84" s="56">
        <v>3</v>
      </c>
      <c r="I84" s="56"/>
      <c r="J84" s="56">
        <f t="shared" si="1"/>
        <v>-6</v>
      </c>
      <c r="K84" s="2" t="s">
        <v>51</v>
      </c>
      <c r="L84" s="7"/>
      <c r="M84" s="27"/>
      <c r="N84" s="26"/>
    </row>
    <row r="85" spans="1:14" s="28" customFormat="1" x14ac:dyDescent="0.25">
      <c r="A85" s="7"/>
      <c r="B85" s="4" t="s">
        <v>174</v>
      </c>
      <c r="C85" s="2">
        <f>0.5*-2</f>
        <v>-1</v>
      </c>
      <c r="D85" s="56">
        <v>2.5</v>
      </c>
      <c r="E85" s="56"/>
      <c r="F85" s="56"/>
      <c r="G85" s="56"/>
      <c r="H85" s="56">
        <v>6.5</v>
      </c>
      <c r="I85" s="56"/>
      <c r="J85" s="56">
        <f t="shared" si="1"/>
        <v>-16.25</v>
      </c>
      <c r="K85" s="2" t="s">
        <v>51</v>
      </c>
      <c r="L85" s="7"/>
      <c r="M85" s="27"/>
      <c r="N85" s="26"/>
    </row>
    <row r="86" spans="1:14" s="28" customFormat="1" x14ac:dyDescent="0.25">
      <c r="A86" s="7"/>
      <c r="B86" s="38" t="s">
        <v>207</v>
      </c>
      <c r="C86" s="2">
        <v>-1</v>
      </c>
      <c r="D86" s="56">
        <f>2.1*3.28+3.5+3.5</f>
        <v>13.888</v>
      </c>
      <c r="E86" s="56"/>
      <c r="F86" s="56"/>
      <c r="G86" s="56"/>
      <c r="H86" s="56">
        <v>0.33</v>
      </c>
      <c r="I86" s="56"/>
      <c r="J86" s="56">
        <f t="shared" si="1"/>
        <v>-4.5830400000000004</v>
      </c>
      <c r="K86" s="2" t="s">
        <v>51</v>
      </c>
      <c r="L86" s="7"/>
      <c r="M86" s="27"/>
      <c r="N86" s="26"/>
    </row>
    <row r="87" spans="1:14" s="28" customFormat="1" x14ac:dyDescent="0.25">
      <c r="A87" s="7"/>
      <c r="B87" s="38" t="s">
        <v>205</v>
      </c>
      <c r="C87" s="2">
        <f>-7*0.5</f>
        <v>-3.5</v>
      </c>
      <c r="D87" s="56">
        <f>10/12</f>
        <v>0.83333333333333337</v>
      </c>
      <c r="E87" s="56"/>
      <c r="F87" s="56"/>
      <c r="G87" s="56"/>
      <c r="H87" s="56">
        <f>8/12</f>
        <v>0.66666666666666663</v>
      </c>
      <c r="I87" s="56"/>
      <c r="J87" s="56">
        <f t="shared" si="1"/>
        <v>-1.9444444444444446</v>
      </c>
      <c r="K87" s="2" t="s">
        <v>51</v>
      </c>
      <c r="L87" s="7"/>
      <c r="M87" s="27"/>
      <c r="N87" s="26"/>
    </row>
    <row r="88" spans="1:14" s="28" customFormat="1" x14ac:dyDescent="0.25">
      <c r="A88" s="7"/>
      <c r="B88" s="38" t="s">
        <v>206</v>
      </c>
      <c r="C88" s="2">
        <f>-2</f>
        <v>-2</v>
      </c>
      <c r="D88" s="56">
        <v>8.33</v>
      </c>
      <c r="E88" s="56"/>
      <c r="F88" s="56"/>
      <c r="G88" s="56"/>
      <c r="H88" s="56">
        <v>0.33</v>
      </c>
      <c r="I88" s="56"/>
      <c r="J88" s="56">
        <f t="shared" si="1"/>
        <v>-5.4978000000000007</v>
      </c>
      <c r="K88" s="2" t="s">
        <v>51</v>
      </c>
      <c r="L88" s="7"/>
      <c r="M88" s="27"/>
      <c r="N88" s="26"/>
    </row>
    <row r="89" spans="1:14" s="28" customFormat="1" x14ac:dyDescent="0.25">
      <c r="A89" s="7"/>
      <c r="B89" s="38"/>
      <c r="C89" s="2"/>
      <c r="D89" s="56"/>
      <c r="E89" s="56"/>
      <c r="F89" s="56"/>
      <c r="G89" s="56"/>
      <c r="H89" s="56"/>
      <c r="I89" s="56"/>
      <c r="J89" s="56"/>
      <c r="K89" s="2"/>
      <c r="L89" s="7"/>
      <c r="M89" s="27"/>
      <c r="N89" s="26"/>
    </row>
    <row r="90" spans="1:14" s="28" customFormat="1" x14ac:dyDescent="0.25">
      <c r="A90" s="7"/>
      <c r="B90" s="41" t="s">
        <v>75</v>
      </c>
      <c r="C90" s="2"/>
      <c r="D90" s="56"/>
      <c r="E90" s="56"/>
      <c r="F90" s="56"/>
      <c r="G90" s="56"/>
      <c r="H90" s="56"/>
      <c r="I90" s="56"/>
      <c r="J90" s="56"/>
      <c r="K90" s="2"/>
      <c r="L90" s="7"/>
      <c r="M90" s="27"/>
      <c r="N90" s="26"/>
    </row>
    <row r="91" spans="1:14" s="28" customFormat="1" x14ac:dyDescent="0.25">
      <c r="A91" s="7"/>
      <c r="B91" s="38" t="s">
        <v>222</v>
      </c>
      <c r="C91" s="2">
        <v>4</v>
      </c>
      <c r="D91" s="56">
        <f>1+1+0.25+0.25</f>
        <v>2.5</v>
      </c>
      <c r="E91" s="56"/>
      <c r="F91" s="56"/>
      <c r="G91" s="56"/>
      <c r="H91" s="56">
        <f t="shared" ref="H91:H97" si="2">8+11/12</f>
        <v>8.9166666666666661</v>
      </c>
      <c r="I91" s="56"/>
      <c r="J91" s="56">
        <f t="shared" si="1"/>
        <v>89.166666666666657</v>
      </c>
      <c r="K91" s="2" t="s">
        <v>51</v>
      </c>
      <c r="L91" s="7"/>
      <c r="M91" s="27"/>
      <c r="N91" s="26"/>
    </row>
    <row r="92" spans="1:14" s="28" customFormat="1" x14ac:dyDescent="0.25">
      <c r="A92" s="7"/>
      <c r="B92" s="38" t="s">
        <v>223</v>
      </c>
      <c r="C92" s="2">
        <v>1</v>
      </c>
      <c r="D92" s="56">
        <f>1+0.25+0.25+0.25+0.17</f>
        <v>1.92</v>
      </c>
      <c r="E92" s="56"/>
      <c r="F92" s="56"/>
      <c r="G92" s="56"/>
      <c r="H92" s="56">
        <f t="shared" si="2"/>
        <v>8.9166666666666661</v>
      </c>
      <c r="I92" s="56"/>
      <c r="J92" s="56">
        <f t="shared" si="1"/>
        <v>17.119999999999997</v>
      </c>
      <c r="K92" s="2" t="s">
        <v>51</v>
      </c>
      <c r="L92" s="7"/>
      <c r="M92" s="27"/>
      <c r="N92" s="26"/>
    </row>
    <row r="93" spans="1:14" s="28" customFormat="1" x14ac:dyDescent="0.25">
      <c r="A93" s="7"/>
      <c r="B93" s="38" t="s">
        <v>224</v>
      </c>
      <c r="C93" s="2">
        <v>2</v>
      </c>
      <c r="D93" s="56">
        <f>1+0.25+0.42</f>
        <v>1.67</v>
      </c>
      <c r="E93" s="56"/>
      <c r="F93" s="56"/>
      <c r="G93" s="56"/>
      <c r="H93" s="56">
        <f t="shared" si="2"/>
        <v>8.9166666666666661</v>
      </c>
      <c r="I93" s="56"/>
      <c r="J93" s="56">
        <f t="shared" si="1"/>
        <v>29.781666666666663</v>
      </c>
      <c r="K93" s="2" t="s">
        <v>51</v>
      </c>
      <c r="L93" s="7"/>
      <c r="M93" s="27"/>
      <c r="N93" s="26"/>
    </row>
    <row r="94" spans="1:14" s="28" customFormat="1" x14ac:dyDescent="0.25">
      <c r="A94" s="7"/>
      <c r="B94" s="38" t="s">
        <v>225</v>
      </c>
      <c r="C94" s="2">
        <v>1</v>
      </c>
      <c r="D94" s="56">
        <f>1+0.58</f>
        <v>1.58</v>
      </c>
      <c r="E94" s="56"/>
      <c r="F94" s="56"/>
      <c r="G94" s="56"/>
      <c r="H94" s="56">
        <f t="shared" si="2"/>
        <v>8.9166666666666661</v>
      </c>
      <c r="I94" s="56"/>
      <c r="J94" s="56">
        <f t="shared" si="1"/>
        <v>14.088333333333333</v>
      </c>
      <c r="K94" s="2" t="s">
        <v>51</v>
      </c>
      <c r="L94" s="7"/>
      <c r="M94" s="27"/>
      <c r="N94" s="26"/>
    </row>
    <row r="95" spans="1:14" s="28" customFormat="1" x14ac:dyDescent="0.25">
      <c r="A95" s="7"/>
      <c r="B95" s="38" t="s">
        <v>227</v>
      </c>
      <c r="C95" s="2">
        <v>2</v>
      </c>
      <c r="D95" s="56">
        <f>1+1+0.33</f>
        <v>2.33</v>
      </c>
      <c r="E95" s="56"/>
      <c r="F95" s="56"/>
      <c r="G95" s="56"/>
      <c r="H95" s="56">
        <f t="shared" si="2"/>
        <v>8.9166666666666661</v>
      </c>
      <c r="I95" s="56"/>
      <c r="J95" s="56">
        <f t="shared" si="1"/>
        <v>41.551666666666662</v>
      </c>
      <c r="K95" s="2" t="s">
        <v>51</v>
      </c>
      <c r="L95" s="7"/>
      <c r="M95" s="27"/>
      <c r="N95" s="26"/>
    </row>
    <row r="96" spans="1:14" s="28" customFormat="1" x14ac:dyDescent="0.25">
      <c r="A96" s="7"/>
      <c r="B96" s="38" t="s">
        <v>228</v>
      </c>
      <c r="C96" s="2">
        <v>1</v>
      </c>
      <c r="D96" s="56">
        <f>1+1+0.58+0.58</f>
        <v>3.16</v>
      </c>
      <c r="E96" s="56"/>
      <c r="F96" s="56"/>
      <c r="G96" s="56"/>
      <c r="H96" s="56">
        <f t="shared" si="2"/>
        <v>8.9166666666666661</v>
      </c>
      <c r="I96" s="56"/>
      <c r="J96" s="56">
        <f t="shared" si="1"/>
        <v>28.176666666666666</v>
      </c>
      <c r="K96" s="2" t="s">
        <v>51</v>
      </c>
      <c r="L96" s="7"/>
      <c r="M96" s="27"/>
      <c r="N96" s="26"/>
    </row>
    <row r="97" spans="1:14" s="28" customFormat="1" x14ac:dyDescent="0.25">
      <c r="A97" s="7"/>
      <c r="B97" s="38" t="s">
        <v>229</v>
      </c>
      <c r="C97" s="2">
        <v>1</v>
      </c>
      <c r="D97" s="56">
        <f>1+0.33+0.25+0.17</f>
        <v>1.75</v>
      </c>
      <c r="E97" s="56"/>
      <c r="F97" s="56"/>
      <c r="G97" s="56"/>
      <c r="H97" s="56">
        <f t="shared" si="2"/>
        <v>8.9166666666666661</v>
      </c>
      <c r="I97" s="56"/>
      <c r="J97" s="56">
        <f t="shared" si="1"/>
        <v>15.604166666666666</v>
      </c>
      <c r="K97" s="2" t="s">
        <v>51</v>
      </c>
      <c r="L97" s="7"/>
      <c r="M97" s="27"/>
      <c r="N97" s="26"/>
    </row>
    <row r="98" spans="1:14" s="28" customFormat="1" x14ac:dyDescent="0.25">
      <c r="A98" s="7"/>
      <c r="B98" s="38"/>
      <c r="C98" s="2"/>
      <c r="D98" s="56"/>
      <c r="E98" s="56"/>
      <c r="F98" s="56"/>
      <c r="G98" s="56"/>
      <c r="H98" s="56"/>
      <c r="I98" s="56"/>
      <c r="J98" s="56"/>
      <c r="K98" s="2"/>
      <c r="L98" s="7"/>
      <c r="M98" s="27"/>
      <c r="N98" s="26"/>
    </row>
    <row r="99" spans="1:14" s="28" customFormat="1" x14ac:dyDescent="0.25">
      <c r="A99" s="7"/>
      <c r="B99" s="41" t="s">
        <v>77</v>
      </c>
      <c r="C99" s="2"/>
      <c r="D99" s="56"/>
      <c r="E99" s="56"/>
      <c r="F99" s="56"/>
      <c r="G99" s="56"/>
      <c r="H99" s="56"/>
      <c r="I99" s="56"/>
      <c r="J99" s="56"/>
      <c r="K99" s="2"/>
      <c r="L99" s="7"/>
      <c r="M99" s="27"/>
      <c r="N99" s="26"/>
    </row>
    <row r="100" spans="1:14" s="28" customFormat="1" x14ac:dyDescent="0.25">
      <c r="A100" s="7"/>
      <c r="B100" s="38" t="s">
        <v>236</v>
      </c>
      <c r="C100" s="2">
        <v>1</v>
      </c>
      <c r="D100" s="56">
        <f t="shared" ref="D100:D109" si="3">CONVERT(E100,"m","ft")</f>
        <v>21.456692913385826</v>
      </c>
      <c r="E100" s="56">
        <f>3.27+3.27</f>
        <v>6.54</v>
      </c>
      <c r="F100" s="56"/>
      <c r="G100" s="56"/>
      <c r="H100" s="56">
        <f>1+1</f>
        <v>2</v>
      </c>
      <c r="I100" s="56"/>
      <c r="J100" s="56">
        <f t="shared" si="1"/>
        <v>42.913385826771652</v>
      </c>
      <c r="K100" s="2" t="s">
        <v>51</v>
      </c>
      <c r="L100" s="7"/>
      <c r="M100" s="27"/>
      <c r="N100" s="26"/>
    </row>
    <row r="101" spans="1:14" s="28" customFormat="1" x14ac:dyDescent="0.25">
      <c r="A101" s="7"/>
      <c r="B101" s="38" t="s">
        <v>234</v>
      </c>
      <c r="C101" s="2">
        <v>1</v>
      </c>
      <c r="D101" s="56">
        <f t="shared" si="3"/>
        <v>21.522309711286091</v>
      </c>
      <c r="E101" s="56">
        <f>3.29+3.27</f>
        <v>6.5600000000000005</v>
      </c>
      <c r="F101" s="56"/>
      <c r="G101" s="56"/>
      <c r="H101" s="56">
        <v>2.33</v>
      </c>
      <c r="I101" s="56"/>
      <c r="J101" s="56">
        <f t="shared" si="1"/>
        <v>50.146981627296597</v>
      </c>
      <c r="K101" s="2" t="s">
        <v>51</v>
      </c>
      <c r="L101" s="7"/>
      <c r="M101" s="27"/>
      <c r="N101" s="26"/>
    </row>
    <row r="102" spans="1:14" s="28" customFormat="1" x14ac:dyDescent="0.25">
      <c r="A102" s="7"/>
      <c r="B102" s="38" t="s">
        <v>238</v>
      </c>
      <c r="C102" s="2">
        <v>1</v>
      </c>
      <c r="D102" s="56">
        <f t="shared" si="3"/>
        <v>6.4632545931758534</v>
      </c>
      <c r="E102" s="56">
        <v>1.97</v>
      </c>
      <c r="F102" s="56"/>
      <c r="G102" s="56"/>
      <c r="H102" s="56">
        <v>2.75</v>
      </c>
      <c r="I102" s="56"/>
      <c r="J102" s="56">
        <f t="shared" si="1"/>
        <v>17.773950131233597</v>
      </c>
      <c r="K102" s="2" t="s">
        <v>51</v>
      </c>
      <c r="L102" s="7"/>
      <c r="M102" s="27"/>
      <c r="N102" s="26"/>
    </row>
    <row r="103" spans="1:14" s="28" customFormat="1" x14ac:dyDescent="0.25">
      <c r="A103" s="7"/>
      <c r="B103" s="38"/>
      <c r="C103" s="2">
        <v>1</v>
      </c>
      <c r="D103" s="56">
        <f t="shared" si="3"/>
        <v>4.2650918635170605</v>
      </c>
      <c r="E103" s="56">
        <v>1.3</v>
      </c>
      <c r="F103" s="56"/>
      <c r="G103" s="56"/>
      <c r="H103" s="56">
        <v>2.33</v>
      </c>
      <c r="I103" s="56"/>
      <c r="J103" s="56">
        <f t="shared" si="1"/>
        <v>9.9376640419947506</v>
      </c>
      <c r="K103" s="2" t="s">
        <v>51</v>
      </c>
      <c r="L103" s="7"/>
      <c r="M103" s="27"/>
      <c r="N103" s="26"/>
    </row>
    <row r="104" spans="1:14" s="28" customFormat="1" x14ac:dyDescent="0.25">
      <c r="A104" s="7"/>
      <c r="B104" s="38" t="s">
        <v>239</v>
      </c>
      <c r="C104" s="2">
        <v>1</v>
      </c>
      <c r="D104" s="56">
        <f t="shared" si="3"/>
        <v>10.826771653543307</v>
      </c>
      <c r="E104" s="56">
        <v>3.3</v>
      </c>
      <c r="F104" s="56"/>
      <c r="G104" s="56"/>
      <c r="H104" s="56">
        <v>2.75</v>
      </c>
      <c r="I104" s="56"/>
      <c r="J104" s="56">
        <f t="shared" si="1"/>
        <v>29.773622047244096</v>
      </c>
      <c r="K104" s="2" t="s">
        <v>51</v>
      </c>
      <c r="L104" s="7"/>
      <c r="M104" s="27"/>
      <c r="N104" s="26"/>
    </row>
    <row r="105" spans="1:14" s="28" customFormat="1" x14ac:dyDescent="0.25">
      <c r="A105" s="7"/>
      <c r="B105" s="38" t="s">
        <v>235</v>
      </c>
      <c r="C105" s="2">
        <v>1</v>
      </c>
      <c r="D105" s="56">
        <f t="shared" si="3"/>
        <v>21.587926509186353</v>
      </c>
      <c r="E105" s="56">
        <f>3.28+3.3</f>
        <v>6.58</v>
      </c>
      <c r="F105" s="56"/>
      <c r="G105" s="56"/>
      <c r="H105" s="56">
        <f>1+1</f>
        <v>2</v>
      </c>
      <c r="I105" s="56"/>
      <c r="J105" s="56">
        <f t="shared" si="1"/>
        <v>43.175853018372706</v>
      </c>
      <c r="K105" s="2" t="s">
        <v>51</v>
      </c>
      <c r="L105" s="7"/>
      <c r="M105" s="27"/>
      <c r="N105" s="26"/>
    </row>
    <row r="106" spans="1:14" s="28" customFormat="1" x14ac:dyDescent="0.25">
      <c r="A106" s="7"/>
      <c r="B106" s="38" t="s">
        <v>230</v>
      </c>
      <c r="C106" s="2">
        <v>1</v>
      </c>
      <c r="D106" s="56">
        <f t="shared" si="3"/>
        <v>26.048268356699314</v>
      </c>
      <c r="E106" s="56">
        <f>3.42+4/3.28+3.3</f>
        <v>7.9395121951219512</v>
      </c>
      <c r="F106" s="56"/>
      <c r="G106" s="56"/>
      <c r="H106" s="56">
        <f>1+1</f>
        <v>2</v>
      </c>
      <c r="I106" s="56"/>
      <c r="J106" s="56">
        <f t="shared" si="1"/>
        <v>52.096536713398628</v>
      </c>
      <c r="K106" s="2" t="s">
        <v>51</v>
      </c>
      <c r="L106" s="7"/>
      <c r="M106" s="27"/>
      <c r="N106" s="26"/>
    </row>
    <row r="107" spans="1:14" s="28" customFormat="1" x14ac:dyDescent="0.25">
      <c r="A107" s="7"/>
      <c r="B107" s="38" t="s">
        <v>232</v>
      </c>
      <c r="C107" s="2">
        <v>1</v>
      </c>
      <c r="D107" s="56">
        <f t="shared" si="3"/>
        <v>21.784776902887142</v>
      </c>
      <c r="E107" s="56">
        <f>3.4+3.24</f>
        <v>6.6400000000000006</v>
      </c>
      <c r="F107" s="56"/>
      <c r="G107" s="56"/>
      <c r="H107" s="56">
        <f>1+1</f>
        <v>2</v>
      </c>
      <c r="I107" s="56"/>
      <c r="J107" s="56">
        <f t="shared" si="1"/>
        <v>43.569553805774284</v>
      </c>
      <c r="K107" s="2" t="s">
        <v>51</v>
      </c>
      <c r="L107" s="7"/>
      <c r="M107" s="27"/>
      <c r="N107" s="26"/>
    </row>
    <row r="108" spans="1:14" s="28" customFormat="1" x14ac:dyDescent="0.25">
      <c r="A108" s="7"/>
      <c r="B108" s="38" t="s">
        <v>233</v>
      </c>
      <c r="C108" s="2">
        <v>1</v>
      </c>
      <c r="D108" s="56">
        <f t="shared" si="3"/>
        <v>4.0010242622111258</v>
      </c>
      <c r="E108" s="56">
        <f>4/3.28</f>
        <v>1.2195121951219512</v>
      </c>
      <c r="F108" s="56"/>
      <c r="G108" s="56"/>
      <c r="H108" s="56">
        <f>1+1+0.75</f>
        <v>2.75</v>
      </c>
      <c r="I108" s="56"/>
      <c r="J108" s="56">
        <f t="shared" si="1"/>
        <v>11.002816721080595</v>
      </c>
      <c r="K108" s="2" t="s">
        <v>51</v>
      </c>
      <c r="L108" s="7"/>
      <c r="M108" s="27"/>
      <c r="N108" s="26"/>
    </row>
    <row r="109" spans="1:14" s="28" customFormat="1" x14ac:dyDescent="0.25">
      <c r="A109" s="7"/>
      <c r="B109" s="38" t="s">
        <v>231</v>
      </c>
      <c r="C109" s="2">
        <v>1</v>
      </c>
      <c r="D109" s="56">
        <f t="shared" si="3"/>
        <v>25.65456756929774</v>
      </c>
      <c r="E109" s="56">
        <f>3.36+4/3.28+3.24</f>
        <v>7.8195121951219511</v>
      </c>
      <c r="F109" s="56"/>
      <c r="G109" s="56"/>
      <c r="H109" s="56">
        <f>1+1</f>
        <v>2</v>
      </c>
      <c r="I109" s="56"/>
      <c r="J109" s="56">
        <f t="shared" si="1"/>
        <v>51.309135138595479</v>
      </c>
      <c r="K109" s="2" t="s">
        <v>51</v>
      </c>
      <c r="L109" s="7"/>
      <c r="M109" s="27"/>
      <c r="N109" s="26"/>
    </row>
    <row r="110" spans="1:14" s="28" customFormat="1" x14ac:dyDescent="0.25">
      <c r="A110" s="7"/>
      <c r="B110" s="38"/>
      <c r="C110" s="2"/>
      <c r="D110" s="56"/>
      <c r="E110" s="56"/>
      <c r="F110" s="56"/>
      <c r="G110" s="56"/>
      <c r="H110" s="56"/>
      <c r="I110" s="56"/>
      <c r="J110" s="56"/>
      <c r="K110" s="2"/>
      <c r="L110" s="7"/>
      <c r="M110" s="27"/>
      <c r="N110" s="26"/>
    </row>
    <row r="111" spans="1:14" s="28" customFormat="1" x14ac:dyDescent="0.25">
      <c r="A111" s="7"/>
      <c r="B111" s="68" t="s">
        <v>159</v>
      </c>
      <c r="C111" s="2"/>
      <c r="D111" s="56"/>
      <c r="E111" s="56"/>
      <c r="F111" s="56"/>
      <c r="G111" s="56"/>
      <c r="H111" s="56"/>
      <c r="I111" s="56"/>
      <c r="J111" s="56"/>
      <c r="K111" s="2"/>
      <c r="L111" s="7"/>
      <c r="M111" s="27"/>
      <c r="N111" s="26"/>
    </row>
    <row r="112" spans="1:14" s="28" customFormat="1" x14ac:dyDescent="0.25">
      <c r="A112" s="7"/>
      <c r="B112" s="26" t="s">
        <v>208</v>
      </c>
      <c r="C112" s="2"/>
      <c r="D112" s="56"/>
      <c r="E112" s="56"/>
      <c r="F112" s="56"/>
      <c r="G112" s="56"/>
      <c r="H112" s="56"/>
      <c r="I112" s="56"/>
      <c r="J112" s="56"/>
      <c r="K112" s="2"/>
      <c r="L112" s="7"/>
      <c r="M112" s="27"/>
      <c r="N112" s="26"/>
    </row>
    <row r="113" spans="1:14" s="28" customFormat="1" x14ac:dyDescent="0.25">
      <c r="A113" s="7"/>
      <c r="B113" s="4" t="s">
        <v>187</v>
      </c>
      <c r="C113" s="2">
        <v>1</v>
      </c>
      <c r="D113" s="56">
        <f>CONVERT(E113,"m","ft")</f>
        <v>15.024646309455218</v>
      </c>
      <c r="E113" s="56">
        <f>3.36+4/3.28</f>
        <v>4.5795121951219508</v>
      </c>
      <c r="F113" s="56"/>
      <c r="G113" s="56"/>
      <c r="H113" s="56">
        <f>7+10/12</f>
        <v>7.833333333333333</v>
      </c>
      <c r="I113" s="56"/>
      <c r="J113" s="56">
        <f t="shared" si="1"/>
        <v>117.6930627573992</v>
      </c>
      <c r="K113" s="2" t="s">
        <v>51</v>
      </c>
      <c r="L113" s="7"/>
      <c r="M113" s="27"/>
      <c r="N113" s="26"/>
    </row>
    <row r="114" spans="1:14" s="28" customFormat="1" x14ac:dyDescent="0.25">
      <c r="A114" s="7"/>
      <c r="B114" s="4" t="s">
        <v>193</v>
      </c>
      <c r="C114" s="2">
        <v>1</v>
      </c>
      <c r="D114" s="56">
        <f>CONVERT(E114,"m","ft")</f>
        <v>10.728346456692913</v>
      </c>
      <c r="E114" s="56">
        <v>3.27</v>
      </c>
      <c r="F114" s="56"/>
      <c r="G114" s="56"/>
      <c r="H114" s="56">
        <f>7+10/12</f>
        <v>7.833333333333333</v>
      </c>
      <c r="I114" s="56"/>
      <c r="J114" s="56">
        <f>C114*D114*H114</f>
        <v>84.038713910761146</v>
      </c>
      <c r="K114" s="2" t="s">
        <v>51</v>
      </c>
      <c r="L114" s="7"/>
      <c r="M114" s="27"/>
      <c r="N114" s="26"/>
    </row>
    <row r="115" spans="1:14" s="28" customFormat="1" x14ac:dyDescent="0.25">
      <c r="A115" s="7"/>
      <c r="B115" s="4" t="s">
        <v>191</v>
      </c>
      <c r="C115" s="2">
        <v>1</v>
      </c>
      <c r="D115" s="56">
        <f>CONVERT(E115,"m","ft")</f>
        <v>15.155879905255743</v>
      </c>
      <c r="E115" s="56">
        <f>3.4+4/3.28</f>
        <v>4.6195121951219509</v>
      </c>
      <c r="F115" s="56"/>
      <c r="G115" s="56"/>
      <c r="H115" s="56">
        <f>7+10/12</f>
        <v>7.833333333333333</v>
      </c>
      <c r="I115" s="56"/>
      <c r="J115" s="56">
        <f t="shared" si="1"/>
        <v>118.72105925783664</v>
      </c>
      <c r="K115" s="2" t="s">
        <v>51</v>
      </c>
      <c r="L115" s="7"/>
      <c r="M115" s="27"/>
      <c r="N115" s="26"/>
    </row>
    <row r="116" spans="1:14" s="28" customFormat="1" x14ac:dyDescent="0.25">
      <c r="A116" s="7"/>
      <c r="B116" s="4" t="s">
        <v>192</v>
      </c>
      <c r="C116" s="2">
        <v>1</v>
      </c>
      <c r="D116" s="56">
        <f>CONVERT(E116,"m","ft")</f>
        <v>10.793963254593177</v>
      </c>
      <c r="E116" s="56">
        <v>3.29</v>
      </c>
      <c r="F116" s="56"/>
      <c r="G116" s="56"/>
      <c r="H116" s="56">
        <f>7+10/12</f>
        <v>7.833333333333333</v>
      </c>
      <c r="I116" s="56"/>
      <c r="J116" s="56">
        <f t="shared" si="1"/>
        <v>84.55271216097988</v>
      </c>
      <c r="K116" s="2" t="s">
        <v>51</v>
      </c>
      <c r="L116" s="7"/>
      <c r="M116" s="27"/>
      <c r="N116" s="26"/>
    </row>
    <row r="117" spans="1:14" s="28" customFormat="1" ht="14.25" customHeight="1" x14ac:dyDescent="0.25">
      <c r="A117" s="7"/>
      <c r="B117" s="4" t="s">
        <v>154</v>
      </c>
      <c r="C117" s="2">
        <f>-0.5*(2)</f>
        <v>-1</v>
      </c>
      <c r="D117" s="56">
        <v>6</v>
      </c>
      <c r="E117" s="56"/>
      <c r="F117" s="56"/>
      <c r="G117" s="56"/>
      <c r="H117" s="56">
        <v>4.5</v>
      </c>
      <c r="I117" s="56"/>
      <c r="J117" s="56">
        <f t="shared" si="1"/>
        <v>-27</v>
      </c>
      <c r="K117" s="2" t="s">
        <v>51</v>
      </c>
      <c r="L117" s="7"/>
      <c r="M117" s="27"/>
      <c r="N117" s="26"/>
    </row>
    <row r="118" spans="1:14" s="28" customFormat="1" ht="14.25" customHeight="1" x14ac:dyDescent="0.25">
      <c r="A118" s="7"/>
      <c r="B118" s="4" t="s">
        <v>163</v>
      </c>
      <c r="C118" s="2">
        <f>-0.5*(1)</f>
        <v>-0.5</v>
      </c>
      <c r="D118" s="56">
        <v>4</v>
      </c>
      <c r="E118" s="56"/>
      <c r="F118" s="56"/>
      <c r="G118" s="56"/>
      <c r="H118" s="56">
        <v>4.5</v>
      </c>
      <c r="I118" s="56"/>
      <c r="J118" s="56">
        <f t="shared" si="1"/>
        <v>-9</v>
      </c>
      <c r="K118" s="2" t="s">
        <v>51</v>
      </c>
      <c r="L118" s="7"/>
      <c r="M118" s="27"/>
      <c r="N118" s="26"/>
    </row>
    <row r="119" spans="1:14" s="28" customFormat="1" x14ac:dyDescent="0.25">
      <c r="A119" s="7"/>
      <c r="B119" s="4" t="s">
        <v>167</v>
      </c>
      <c r="C119" s="2">
        <f>0.5*-1</f>
        <v>-0.5</v>
      </c>
      <c r="D119" s="56">
        <v>3</v>
      </c>
      <c r="E119" s="56"/>
      <c r="F119" s="56"/>
      <c r="G119" s="56"/>
      <c r="H119" s="56">
        <v>7</v>
      </c>
      <c r="I119" s="56"/>
      <c r="J119" s="56">
        <f t="shared" si="1"/>
        <v>-10.5</v>
      </c>
      <c r="K119" s="2" t="s">
        <v>51</v>
      </c>
      <c r="L119" s="7"/>
      <c r="M119" s="27"/>
      <c r="N119" s="26"/>
    </row>
    <row r="120" spans="1:14" s="28" customFormat="1" x14ac:dyDescent="0.25">
      <c r="A120" s="7"/>
      <c r="B120" s="4"/>
      <c r="C120" s="2"/>
      <c r="D120" s="56"/>
      <c r="E120" s="56"/>
      <c r="F120" s="56"/>
      <c r="G120" s="56"/>
      <c r="H120" s="56"/>
      <c r="I120" s="56"/>
      <c r="J120" s="56"/>
      <c r="K120" s="2"/>
      <c r="L120" s="7"/>
      <c r="M120" s="27"/>
      <c r="N120" s="26"/>
    </row>
    <row r="121" spans="1:14" s="28" customFormat="1" x14ac:dyDescent="0.25">
      <c r="A121" s="7"/>
      <c r="B121" s="26" t="s">
        <v>194</v>
      </c>
      <c r="C121" s="2"/>
      <c r="D121" s="56"/>
      <c r="E121" s="56"/>
      <c r="F121" s="56"/>
      <c r="G121" s="56"/>
      <c r="H121" s="56"/>
      <c r="I121" s="56"/>
      <c r="J121" s="56"/>
      <c r="K121" s="2"/>
      <c r="L121" s="7"/>
      <c r="M121" s="27"/>
      <c r="N121" s="26"/>
    </row>
    <row r="122" spans="1:14" s="28" customFormat="1" x14ac:dyDescent="0.25">
      <c r="A122" s="7"/>
      <c r="B122" s="4" t="s">
        <v>191</v>
      </c>
      <c r="C122" s="2">
        <v>1</v>
      </c>
      <c r="D122" s="56">
        <f>CONVERT(E122,"m","ft")</f>
        <v>11.220472440944881</v>
      </c>
      <c r="E122" s="56">
        <v>3.42</v>
      </c>
      <c r="F122" s="56"/>
      <c r="G122" s="56"/>
      <c r="H122" s="56">
        <f>7+10/12</f>
        <v>7.833333333333333</v>
      </c>
      <c r="I122" s="56"/>
      <c r="J122" s="56">
        <f t="shared" ref="J122:J191" si="4">C122*D122*H122</f>
        <v>87.893700787401571</v>
      </c>
      <c r="K122" s="2" t="s">
        <v>51</v>
      </c>
      <c r="L122" s="7"/>
      <c r="M122" s="27"/>
      <c r="N122" s="26"/>
    </row>
    <row r="123" spans="1:14" s="28" customFormat="1" x14ac:dyDescent="0.25">
      <c r="A123" s="7"/>
      <c r="B123" s="4" t="s">
        <v>279</v>
      </c>
      <c r="C123" s="2">
        <v>2</v>
      </c>
      <c r="D123" s="56">
        <f>CONVERT(E123,"m","ft")</f>
        <v>10.826771653543307</v>
      </c>
      <c r="E123" s="56">
        <v>3.3</v>
      </c>
      <c r="F123" s="56"/>
      <c r="G123" s="56"/>
      <c r="H123" s="56">
        <f>7+10/12</f>
        <v>7.833333333333333</v>
      </c>
      <c r="I123" s="56"/>
      <c r="J123" s="56">
        <f t="shared" si="4"/>
        <v>169.61942257217848</v>
      </c>
      <c r="K123" s="2" t="s">
        <v>51</v>
      </c>
      <c r="L123" s="7"/>
      <c r="M123" s="27"/>
      <c r="N123" s="26"/>
    </row>
    <row r="124" spans="1:14" s="28" customFormat="1" ht="14.25" customHeight="1" x14ac:dyDescent="0.25">
      <c r="A124" s="7"/>
      <c r="B124" s="4" t="s">
        <v>154</v>
      </c>
      <c r="C124" s="2">
        <f>-0.5*(2)</f>
        <v>-1</v>
      </c>
      <c r="D124" s="56">
        <v>6</v>
      </c>
      <c r="E124" s="56"/>
      <c r="F124" s="56"/>
      <c r="G124" s="56"/>
      <c r="H124" s="56">
        <v>4.5</v>
      </c>
      <c r="I124" s="56"/>
      <c r="J124" s="56">
        <f t="shared" si="4"/>
        <v>-27</v>
      </c>
      <c r="K124" s="2" t="s">
        <v>51</v>
      </c>
      <c r="L124" s="7"/>
      <c r="M124" s="27"/>
      <c r="N124" s="26"/>
    </row>
    <row r="125" spans="1:14" s="28" customFormat="1" x14ac:dyDescent="0.25">
      <c r="A125" s="7"/>
      <c r="B125" s="4" t="s">
        <v>167</v>
      </c>
      <c r="C125" s="2">
        <f>0.5*-1</f>
        <v>-0.5</v>
      </c>
      <c r="D125" s="56">
        <v>3</v>
      </c>
      <c r="E125" s="56"/>
      <c r="F125" s="56"/>
      <c r="G125" s="56"/>
      <c r="H125" s="56">
        <v>7</v>
      </c>
      <c r="I125" s="56"/>
      <c r="J125" s="56">
        <f t="shared" si="4"/>
        <v>-10.5</v>
      </c>
      <c r="K125" s="2" t="s">
        <v>51</v>
      </c>
      <c r="L125" s="7"/>
      <c r="M125" s="27"/>
      <c r="N125" s="26"/>
    </row>
    <row r="126" spans="1:14" s="28" customFormat="1" x14ac:dyDescent="0.25">
      <c r="A126" s="7"/>
      <c r="B126" s="4"/>
      <c r="C126" s="2"/>
      <c r="D126" s="56"/>
      <c r="E126" s="56"/>
      <c r="F126" s="56"/>
      <c r="G126" s="56"/>
      <c r="H126" s="56"/>
      <c r="I126" s="56"/>
      <c r="J126" s="56"/>
      <c r="K126" s="2"/>
      <c r="L126" s="7"/>
      <c r="M126" s="27"/>
      <c r="N126" s="26"/>
    </row>
    <row r="127" spans="1:14" s="28" customFormat="1" x14ac:dyDescent="0.25">
      <c r="A127" s="7"/>
      <c r="B127" s="41" t="s">
        <v>305</v>
      </c>
      <c r="C127" s="2"/>
      <c r="D127" s="56"/>
      <c r="E127" s="56"/>
      <c r="F127" s="56"/>
      <c r="G127" s="56"/>
      <c r="H127" s="56"/>
      <c r="I127" s="56"/>
      <c r="J127" s="56"/>
      <c r="K127" s="2"/>
      <c r="L127" s="7"/>
      <c r="M127" s="27"/>
      <c r="N127" s="26"/>
    </row>
    <row r="128" spans="1:14" s="28" customFormat="1" x14ac:dyDescent="0.25">
      <c r="A128" s="7"/>
      <c r="B128" s="4" t="s">
        <v>191</v>
      </c>
      <c r="C128" s="2">
        <v>1</v>
      </c>
      <c r="D128" s="56">
        <v>4</v>
      </c>
      <c r="E128" s="56"/>
      <c r="F128" s="56"/>
      <c r="G128" s="56"/>
      <c r="H128" s="56">
        <f>7+10/12</f>
        <v>7.833333333333333</v>
      </c>
      <c r="I128" s="56"/>
      <c r="J128" s="56">
        <f t="shared" si="4"/>
        <v>31.333333333333332</v>
      </c>
      <c r="K128" s="2" t="s">
        <v>51</v>
      </c>
      <c r="L128" s="7"/>
      <c r="M128" s="27"/>
      <c r="N128" s="26"/>
    </row>
    <row r="129" spans="1:14" s="28" customFormat="1" x14ac:dyDescent="0.25">
      <c r="A129" s="7"/>
      <c r="B129" s="4" t="s">
        <v>163</v>
      </c>
      <c r="C129" s="2">
        <f>0.5*-1</f>
        <v>-0.5</v>
      </c>
      <c r="D129" s="56">
        <v>4</v>
      </c>
      <c r="E129" s="56"/>
      <c r="F129" s="56"/>
      <c r="G129" s="56"/>
      <c r="H129" s="56">
        <v>4.5</v>
      </c>
      <c r="I129" s="56"/>
      <c r="J129" s="56">
        <f t="shared" si="4"/>
        <v>-9</v>
      </c>
      <c r="K129" s="2" t="s">
        <v>51</v>
      </c>
      <c r="L129" s="7"/>
      <c r="M129" s="27"/>
      <c r="N129" s="26"/>
    </row>
    <row r="130" spans="1:14" s="28" customFormat="1" x14ac:dyDescent="0.25">
      <c r="A130" s="7"/>
      <c r="B130" s="4"/>
      <c r="C130" s="2"/>
      <c r="D130" s="56"/>
      <c r="E130" s="56"/>
      <c r="F130" s="56"/>
      <c r="G130" s="56"/>
      <c r="H130" s="56"/>
      <c r="I130" s="56"/>
      <c r="J130" s="56"/>
      <c r="K130" s="2"/>
      <c r="L130" s="7"/>
      <c r="M130" s="27"/>
      <c r="N130" s="26"/>
    </row>
    <row r="131" spans="1:14" s="28" customFormat="1" x14ac:dyDescent="0.25">
      <c r="A131" s="7"/>
      <c r="B131" s="26" t="s">
        <v>195</v>
      </c>
      <c r="C131" s="2"/>
      <c r="D131" s="56"/>
      <c r="E131" s="56"/>
      <c r="F131" s="56"/>
      <c r="G131" s="56"/>
      <c r="H131" s="56"/>
      <c r="I131" s="56"/>
      <c r="J131" s="56"/>
      <c r="K131" s="2"/>
      <c r="L131" s="7"/>
      <c r="M131" s="27"/>
      <c r="N131" s="26"/>
    </row>
    <row r="132" spans="1:14" s="28" customFormat="1" x14ac:dyDescent="0.25">
      <c r="A132" s="7"/>
      <c r="B132" s="4" t="s">
        <v>187</v>
      </c>
      <c r="C132" s="2">
        <v>1</v>
      </c>
      <c r="D132" s="56">
        <f>CONVERT(E132,"m","ft")</f>
        <v>10.69553805774278</v>
      </c>
      <c r="E132" s="56">
        <v>3.26</v>
      </c>
      <c r="F132" s="56"/>
      <c r="G132" s="56"/>
      <c r="H132" s="56">
        <f>7+10/12</f>
        <v>7.833333333333333</v>
      </c>
      <c r="I132" s="56"/>
      <c r="J132" s="56">
        <f t="shared" si="4"/>
        <v>83.781714785651772</v>
      </c>
      <c r="K132" s="2" t="s">
        <v>51</v>
      </c>
      <c r="L132" s="7"/>
      <c r="M132" s="27"/>
      <c r="N132" s="26"/>
    </row>
    <row r="133" spans="1:14" s="28" customFormat="1" x14ac:dyDescent="0.25">
      <c r="A133" s="7"/>
      <c r="B133" s="4" t="s">
        <v>192</v>
      </c>
      <c r="C133" s="2">
        <v>1</v>
      </c>
      <c r="D133" s="56">
        <f>CONVERT(E133,"m","ft")</f>
        <v>10.826771653543307</v>
      </c>
      <c r="E133" s="56">
        <v>3.3</v>
      </c>
      <c r="F133" s="56"/>
      <c r="G133" s="56"/>
      <c r="H133" s="56">
        <f>7+10/12</f>
        <v>7.833333333333333</v>
      </c>
      <c r="I133" s="56"/>
      <c r="J133" s="56">
        <f t="shared" si="4"/>
        <v>84.809711286089239</v>
      </c>
      <c r="K133" s="2" t="s">
        <v>51</v>
      </c>
      <c r="L133" s="7"/>
      <c r="M133" s="27"/>
      <c r="N133" s="26"/>
    </row>
    <row r="134" spans="1:14" s="28" customFormat="1" x14ac:dyDescent="0.25">
      <c r="A134" s="7"/>
      <c r="B134" s="4" t="s">
        <v>191</v>
      </c>
      <c r="C134" s="2">
        <v>1</v>
      </c>
      <c r="D134" s="56">
        <f>CONVERT(E134,"m","ft")</f>
        <v>9.8425196850393704</v>
      </c>
      <c r="E134" s="56">
        <f>1.5+1.5</f>
        <v>3</v>
      </c>
      <c r="F134" s="56"/>
      <c r="G134" s="56"/>
      <c r="H134" s="56">
        <f>7+10/12</f>
        <v>7.833333333333333</v>
      </c>
      <c r="I134" s="56"/>
      <c r="J134" s="56">
        <f t="shared" si="4"/>
        <v>77.099737532808405</v>
      </c>
      <c r="K134" s="2" t="s">
        <v>51</v>
      </c>
      <c r="L134" s="7"/>
      <c r="M134" s="27"/>
      <c r="N134" s="26"/>
    </row>
    <row r="135" spans="1:14" s="28" customFormat="1" ht="14.25" customHeight="1" x14ac:dyDescent="0.25">
      <c r="A135" s="7"/>
      <c r="B135" s="4" t="s">
        <v>154</v>
      </c>
      <c r="C135" s="2">
        <f>-0.5*(2)</f>
        <v>-1</v>
      </c>
      <c r="D135" s="56">
        <v>6</v>
      </c>
      <c r="E135" s="56"/>
      <c r="F135" s="56"/>
      <c r="G135" s="56"/>
      <c r="H135" s="56">
        <v>4.5</v>
      </c>
      <c r="I135" s="56"/>
      <c r="J135" s="56">
        <f t="shared" si="4"/>
        <v>-27</v>
      </c>
      <c r="K135" s="2" t="s">
        <v>51</v>
      </c>
      <c r="L135" s="7"/>
      <c r="M135" s="27"/>
      <c r="N135" s="26"/>
    </row>
    <row r="136" spans="1:14" s="28" customFormat="1" x14ac:dyDescent="0.25">
      <c r="A136" s="7"/>
      <c r="B136" s="4" t="s">
        <v>167</v>
      </c>
      <c r="C136" s="2">
        <f>0.5*-1</f>
        <v>-0.5</v>
      </c>
      <c r="D136" s="56">
        <v>3</v>
      </c>
      <c r="E136" s="56"/>
      <c r="F136" s="56"/>
      <c r="G136" s="56"/>
      <c r="H136" s="56">
        <v>7</v>
      </c>
      <c r="I136" s="56"/>
      <c r="J136" s="56">
        <f t="shared" si="4"/>
        <v>-10.5</v>
      </c>
      <c r="K136" s="2" t="s">
        <v>51</v>
      </c>
      <c r="L136" s="7"/>
      <c r="M136" s="27"/>
      <c r="N136" s="26"/>
    </row>
    <row r="137" spans="1:14" s="28" customFormat="1" x14ac:dyDescent="0.25">
      <c r="A137" s="7"/>
      <c r="B137" s="4"/>
      <c r="C137" s="2"/>
      <c r="D137" s="56"/>
      <c r="E137" s="56"/>
      <c r="F137" s="56"/>
      <c r="G137" s="56"/>
      <c r="H137" s="56"/>
      <c r="I137" s="56"/>
      <c r="J137" s="56"/>
      <c r="K137" s="2"/>
      <c r="L137" s="7"/>
      <c r="M137" s="27"/>
      <c r="N137" s="26"/>
    </row>
    <row r="138" spans="1:14" s="28" customFormat="1" x14ac:dyDescent="0.25">
      <c r="A138" s="7"/>
      <c r="B138" s="41" t="s">
        <v>302</v>
      </c>
      <c r="C138" s="2"/>
      <c r="D138" s="56"/>
      <c r="E138" s="56"/>
      <c r="F138" s="56"/>
      <c r="G138" s="56"/>
      <c r="H138" s="56"/>
      <c r="I138" s="56"/>
      <c r="J138" s="56"/>
      <c r="K138" s="2"/>
      <c r="L138" s="7"/>
      <c r="M138" s="27"/>
      <c r="N138" s="26"/>
    </row>
    <row r="139" spans="1:14" s="28" customFormat="1" x14ac:dyDescent="0.25">
      <c r="A139" s="7"/>
      <c r="B139" s="4" t="s">
        <v>202</v>
      </c>
      <c r="C139" s="2">
        <v>1</v>
      </c>
      <c r="D139" s="56">
        <f>CONVERT(E139,"m","ft")</f>
        <v>6.0367454068241466</v>
      </c>
      <c r="E139" s="56">
        <v>1.84</v>
      </c>
      <c r="F139" s="56"/>
      <c r="G139" s="56"/>
      <c r="H139" s="56">
        <f>8+10/12</f>
        <v>8.8333333333333339</v>
      </c>
      <c r="I139" s="56"/>
      <c r="J139" s="56">
        <f t="shared" si="4"/>
        <v>53.324584426946629</v>
      </c>
      <c r="K139" s="2" t="s">
        <v>51</v>
      </c>
      <c r="L139" s="7"/>
      <c r="M139" s="27"/>
      <c r="N139" s="26"/>
    </row>
    <row r="140" spans="1:14" s="28" customFormat="1" x14ac:dyDescent="0.25">
      <c r="A140" s="7"/>
      <c r="B140" s="4" t="s">
        <v>203</v>
      </c>
      <c r="C140" s="2">
        <v>1</v>
      </c>
      <c r="D140" s="56">
        <f>CONVERT(E140,"m","ft")</f>
        <v>3.9370078740157481</v>
      </c>
      <c r="E140" s="56">
        <v>1.2</v>
      </c>
      <c r="F140" s="56"/>
      <c r="G140" s="56"/>
      <c r="H140" s="56">
        <f>8+10/12</f>
        <v>8.8333333333333339</v>
      </c>
      <c r="I140" s="56"/>
      <c r="J140" s="56">
        <f t="shared" si="4"/>
        <v>34.776902887139109</v>
      </c>
      <c r="K140" s="2" t="s">
        <v>51</v>
      </c>
      <c r="L140" s="7"/>
      <c r="M140" s="27"/>
      <c r="N140" s="26"/>
    </row>
    <row r="141" spans="1:14" s="28" customFormat="1" x14ac:dyDescent="0.25">
      <c r="A141" s="7"/>
      <c r="B141" s="4" t="s">
        <v>204</v>
      </c>
      <c r="C141" s="2">
        <v>1</v>
      </c>
      <c r="D141" s="56">
        <f>CONVERT(E141,"m","ft")</f>
        <v>10.826771653543307</v>
      </c>
      <c r="E141" s="56">
        <v>3.3</v>
      </c>
      <c r="F141" s="56"/>
      <c r="G141" s="56"/>
      <c r="H141" s="56">
        <f>7+10/12</f>
        <v>7.833333333333333</v>
      </c>
      <c r="I141" s="56"/>
      <c r="J141" s="56">
        <f t="shared" si="4"/>
        <v>84.809711286089239</v>
      </c>
      <c r="K141" s="2" t="s">
        <v>51</v>
      </c>
      <c r="L141" s="7"/>
      <c r="M141" s="27"/>
      <c r="N141" s="26"/>
    </row>
    <row r="142" spans="1:14" s="28" customFormat="1" x14ac:dyDescent="0.25">
      <c r="A142" s="7"/>
      <c r="B142" s="4" t="s">
        <v>192</v>
      </c>
      <c r="C142" s="2">
        <v>1</v>
      </c>
      <c r="D142" s="56">
        <f>CONVERT(E142,"m","ft")</f>
        <v>10.826771653543307</v>
      </c>
      <c r="E142" s="56">
        <v>3.3</v>
      </c>
      <c r="F142" s="56"/>
      <c r="G142" s="56"/>
      <c r="H142" s="56">
        <f>7+10/12</f>
        <v>7.833333333333333</v>
      </c>
      <c r="I142" s="56"/>
      <c r="J142" s="56">
        <f>C142*D142*H142</f>
        <v>84.809711286089239</v>
      </c>
      <c r="K142" s="2" t="s">
        <v>51</v>
      </c>
      <c r="L142" s="7"/>
      <c r="M142" s="27"/>
      <c r="N142" s="26"/>
    </row>
    <row r="143" spans="1:14" s="28" customFormat="1" ht="14.25" customHeight="1" x14ac:dyDescent="0.25">
      <c r="A143" s="7"/>
      <c r="B143" s="4" t="s">
        <v>197</v>
      </c>
      <c r="C143" s="2">
        <f>-0.5*(2)</f>
        <v>-1</v>
      </c>
      <c r="D143" s="56">
        <v>2</v>
      </c>
      <c r="E143" s="56"/>
      <c r="F143" s="56"/>
      <c r="G143" s="56"/>
      <c r="H143" s="56">
        <v>3</v>
      </c>
      <c r="I143" s="56"/>
      <c r="J143" s="56">
        <f t="shared" si="4"/>
        <v>-6</v>
      </c>
      <c r="K143" s="2" t="s">
        <v>51</v>
      </c>
      <c r="L143" s="7"/>
      <c r="M143" s="27"/>
      <c r="N143" s="26"/>
    </row>
    <row r="144" spans="1:14" s="28" customFormat="1" x14ac:dyDescent="0.25">
      <c r="A144" s="7"/>
      <c r="B144" s="4" t="s">
        <v>174</v>
      </c>
      <c r="C144" s="2">
        <f>0.5*-1</f>
        <v>-0.5</v>
      </c>
      <c r="D144" s="56">
        <v>2.5</v>
      </c>
      <c r="E144" s="56"/>
      <c r="F144" s="56"/>
      <c r="G144" s="56"/>
      <c r="H144" s="56">
        <v>6.5</v>
      </c>
      <c r="I144" s="56"/>
      <c r="J144" s="56">
        <f t="shared" si="4"/>
        <v>-8.125</v>
      </c>
      <c r="K144" s="2" t="s">
        <v>51</v>
      </c>
      <c r="L144" s="7"/>
      <c r="M144" s="27"/>
      <c r="N144" s="26"/>
    </row>
    <row r="145" spans="1:14" s="28" customFormat="1" x14ac:dyDescent="0.25">
      <c r="A145" s="7"/>
      <c r="B145" s="38" t="s">
        <v>207</v>
      </c>
      <c r="C145" s="2">
        <v>-1</v>
      </c>
      <c r="D145" s="56">
        <f>2.1*3.28+3.5+3.5</f>
        <v>13.888</v>
      </c>
      <c r="E145" s="56"/>
      <c r="F145" s="56"/>
      <c r="G145" s="56"/>
      <c r="H145" s="56">
        <v>0.33</v>
      </c>
      <c r="I145" s="56"/>
      <c r="J145" s="56">
        <f t="shared" si="4"/>
        <v>-4.5830400000000004</v>
      </c>
      <c r="K145" s="2" t="s">
        <v>51</v>
      </c>
      <c r="L145" s="7"/>
      <c r="M145" s="27"/>
      <c r="N145" s="26"/>
    </row>
    <row r="146" spans="1:14" s="28" customFormat="1" x14ac:dyDescent="0.25">
      <c r="A146" s="7"/>
      <c r="B146" s="38" t="s">
        <v>205</v>
      </c>
      <c r="C146" s="2">
        <f>-7*0.5</f>
        <v>-3.5</v>
      </c>
      <c r="D146" s="56">
        <f>10/12</f>
        <v>0.83333333333333337</v>
      </c>
      <c r="E146" s="56"/>
      <c r="F146" s="56"/>
      <c r="G146" s="56"/>
      <c r="H146" s="56">
        <f>8/12</f>
        <v>0.66666666666666663</v>
      </c>
      <c r="I146" s="56"/>
      <c r="J146" s="56">
        <f t="shared" si="4"/>
        <v>-1.9444444444444446</v>
      </c>
      <c r="K146" s="2" t="s">
        <v>51</v>
      </c>
      <c r="L146" s="7"/>
      <c r="M146" s="27"/>
      <c r="N146" s="26"/>
    </row>
    <row r="147" spans="1:14" s="28" customFormat="1" x14ac:dyDescent="0.25">
      <c r="A147" s="7"/>
      <c r="B147" s="38" t="s">
        <v>206</v>
      </c>
      <c r="C147" s="2">
        <f>-2</f>
        <v>-2</v>
      </c>
      <c r="D147" s="56">
        <v>8.33</v>
      </c>
      <c r="E147" s="56"/>
      <c r="F147" s="56"/>
      <c r="G147" s="56"/>
      <c r="H147" s="56">
        <v>0.33</v>
      </c>
      <c r="I147" s="56"/>
      <c r="J147" s="56">
        <f t="shared" si="4"/>
        <v>-5.4978000000000007</v>
      </c>
      <c r="K147" s="2" t="s">
        <v>51</v>
      </c>
      <c r="L147" s="7"/>
      <c r="M147" s="27"/>
      <c r="N147" s="26"/>
    </row>
    <row r="148" spans="1:14" s="28" customFormat="1" x14ac:dyDescent="0.25">
      <c r="A148" s="7"/>
      <c r="B148" s="38"/>
      <c r="C148" s="2"/>
      <c r="D148" s="56"/>
      <c r="E148" s="56"/>
      <c r="F148" s="56"/>
      <c r="G148" s="56"/>
      <c r="H148" s="56"/>
      <c r="I148" s="56"/>
      <c r="J148" s="56"/>
      <c r="K148" s="2"/>
      <c r="L148" s="7"/>
      <c r="M148" s="27"/>
      <c r="N148" s="26"/>
    </row>
    <row r="149" spans="1:14" s="28" customFormat="1" x14ac:dyDescent="0.25">
      <c r="A149" s="7"/>
      <c r="B149" s="41" t="s">
        <v>75</v>
      </c>
      <c r="C149" s="2"/>
      <c r="D149" s="56"/>
      <c r="E149" s="56"/>
      <c r="F149" s="56"/>
      <c r="G149" s="56"/>
      <c r="H149" s="56"/>
      <c r="I149" s="56"/>
      <c r="J149" s="56"/>
      <c r="K149" s="2"/>
      <c r="L149" s="7"/>
      <c r="M149" s="27"/>
      <c r="N149" s="26"/>
    </row>
    <row r="150" spans="1:14" s="28" customFormat="1" x14ac:dyDescent="0.25">
      <c r="A150" s="7"/>
      <c r="B150" s="38" t="s">
        <v>222</v>
      </c>
      <c r="C150" s="2">
        <v>4</v>
      </c>
      <c r="D150" s="56">
        <f>1+1+0.25+0.25</f>
        <v>2.5</v>
      </c>
      <c r="E150" s="56"/>
      <c r="F150" s="56"/>
      <c r="G150" s="56"/>
      <c r="H150" s="56">
        <f t="shared" ref="H150:H157" si="5">8+11/12</f>
        <v>8.9166666666666661</v>
      </c>
      <c r="I150" s="56"/>
      <c r="J150" s="56">
        <f t="shared" si="4"/>
        <v>89.166666666666657</v>
      </c>
      <c r="K150" s="2" t="s">
        <v>51</v>
      </c>
      <c r="L150" s="7"/>
      <c r="M150" s="27"/>
      <c r="N150" s="26"/>
    </row>
    <row r="151" spans="1:14" s="28" customFormat="1" x14ac:dyDescent="0.25">
      <c r="A151" s="7"/>
      <c r="B151" s="38" t="s">
        <v>223</v>
      </c>
      <c r="C151" s="2">
        <v>1</v>
      </c>
      <c r="D151" s="56">
        <f>1+0.25+0.25+0.25+0.17</f>
        <v>1.92</v>
      </c>
      <c r="E151" s="56"/>
      <c r="F151" s="56"/>
      <c r="G151" s="56"/>
      <c r="H151" s="56">
        <f t="shared" si="5"/>
        <v>8.9166666666666661</v>
      </c>
      <c r="I151" s="56"/>
      <c r="J151" s="56">
        <f t="shared" si="4"/>
        <v>17.119999999999997</v>
      </c>
      <c r="K151" s="2" t="s">
        <v>51</v>
      </c>
      <c r="L151" s="7"/>
      <c r="M151" s="27"/>
      <c r="N151" s="26"/>
    </row>
    <row r="152" spans="1:14" s="28" customFormat="1" x14ac:dyDescent="0.25">
      <c r="A152" s="7"/>
      <c r="B152" s="38" t="s">
        <v>240</v>
      </c>
      <c r="C152" s="2">
        <v>1</v>
      </c>
      <c r="D152" s="56">
        <f>1+0.25+0.42</f>
        <v>1.67</v>
      </c>
      <c r="E152" s="56"/>
      <c r="F152" s="56"/>
      <c r="G152" s="56"/>
      <c r="H152" s="56">
        <f t="shared" si="5"/>
        <v>8.9166666666666661</v>
      </c>
      <c r="I152" s="56"/>
      <c r="J152" s="56">
        <f t="shared" si="4"/>
        <v>14.890833333333331</v>
      </c>
      <c r="K152" s="2" t="s">
        <v>51</v>
      </c>
      <c r="L152" s="7"/>
      <c r="M152" s="27"/>
      <c r="N152" s="26"/>
    </row>
    <row r="153" spans="1:14" s="28" customFormat="1" x14ac:dyDescent="0.25">
      <c r="A153" s="7"/>
      <c r="B153" s="38" t="s">
        <v>225</v>
      </c>
      <c r="C153" s="2">
        <v>1</v>
      </c>
      <c r="D153" s="56">
        <f>1+0.58</f>
        <v>1.58</v>
      </c>
      <c r="E153" s="56"/>
      <c r="F153" s="56"/>
      <c r="G153" s="56"/>
      <c r="H153" s="56">
        <f t="shared" si="5"/>
        <v>8.9166666666666661</v>
      </c>
      <c r="I153" s="56"/>
      <c r="J153" s="56">
        <f t="shared" si="4"/>
        <v>14.088333333333333</v>
      </c>
      <c r="K153" s="2" t="s">
        <v>51</v>
      </c>
      <c r="L153" s="7"/>
      <c r="M153" s="27"/>
      <c r="N153" s="26"/>
    </row>
    <row r="154" spans="1:14" s="28" customFormat="1" x14ac:dyDescent="0.25">
      <c r="A154" s="7"/>
      <c r="B154" s="38" t="s">
        <v>241</v>
      </c>
      <c r="C154" s="2">
        <v>1</v>
      </c>
      <c r="D154" s="56">
        <f>1+0.25+0.5+0.25</f>
        <v>2</v>
      </c>
      <c r="E154" s="56"/>
      <c r="F154" s="56"/>
      <c r="G154" s="56"/>
      <c r="H154" s="56">
        <f t="shared" si="5"/>
        <v>8.9166666666666661</v>
      </c>
      <c r="I154" s="56"/>
      <c r="J154" s="56">
        <f t="shared" si="4"/>
        <v>17.833333333333332</v>
      </c>
      <c r="K154" s="2" t="s">
        <v>51</v>
      </c>
      <c r="L154" s="7"/>
      <c r="M154" s="27"/>
      <c r="N154" s="26"/>
    </row>
    <row r="155" spans="1:14" s="28" customFormat="1" x14ac:dyDescent="0.25">
      <c r="A155" s="7"/>
      <c r="B155" s="38" t="s">
        <v>226</v>
      </c>
      <c r="C155" s="2">
        <v>1</v>
      </c>
      <c r="D155" s="56">
        <f>1+1+0.25+0.25</f>
        <v>2.5</v>
      </c>
      <c r="E155" s="56"/>
      <c r="F155" s="56"/>
      <c r="G155" s="56"/>
      <c r="H155" s="56">
        <f t="shared" si="5"/>
        <v>8.9166666666666661</v>
      </c>
      <c r="I155" s="56"/>
      <c r="J155" s="56">
        <f t="shared" si="4"/>
        <v>22.291666666666664</v>
      </c>
      <c r="K155" s="2" t="s">
        <v>51</v>
      </c>
      <c r="L155" s="7"/>
      <c r="M155" s="27"/>
      <c r="N155" s="26"/>
    </row>
    <row r="156" spans="1:14" s="28" customFormat="1" x14ac:dyDescent="0.25">
      <c r="A156" s="7"/>
      <c r="B156" s="38" t="s">
        <v>280</v>
      </c>
      <c r="C156" s="2">
        <v>2</v>
      </c>
      <c r="D156" s="56">
        <f>1+0.25+0.25+0.58</f>
        <v>2.08</v>
      </c>
      <c r="E156" s="56"/>
      <c r="F156" s="56"/>
      <c r="G156" s="56"/>
      <c r="H156" s="56">
        <f t="shared" si="5"/>
        <v>8.9166666666666661</v>
      </c>
      <c r="I156" s="56"/>
      <c r="J156" s="56">
        <f t="shared" si="4"/>
        <v>37.093333333333334</v>
      </c>
      <c r="K156" s="2" t="s">
        <v>51</v>
      </c>
      <c r="L156" s="7"/>
      <c r="M156" s="27"/>
      <c r="N156" s="26"/>
    </row>
    <row r="157" spans="1:14" s="28" customFormat="1" x14ac:dyDescent="0.25">
      <c r="A157" s="7"/>
      <c r="B157" s="38" t="s">
        <v>229</v>
      </c>
      <c r="C157" s="2">
        <v>1</v>
      </c>
      <c r="D157" s="56">
        <f>1+0.33+0.25+0.17</f>
        <v>1.75</v>
      </c>
      <c r="E157" s="56"/>
      <c r="F157" s="56"/>
      <c r="G157" s="56"/>
      <c r="H157" s="56">
        <f t="shared" si="5"/>
        <v>8.9166666666666661</v>
      </c>
      <c r="I157" s="56"/>
      <c r="J157" s="56">
        <f t="shared" si="4"/>
        <v>15.604166666666666</v>
      </c>
      <c r="K157" s="2" t="s">
        <v>51</v>
      </c>
      <c r="L157" s="7"/>
      <c r="M157" s="27"/>
      <c r="N157" s="26"/>
    </row>
    <row r="158" spans="1:14" s="28" customFormat="1" x14ac:dyDescent="0.25">
      <c r="A158" s="7"/>
      <c r="B158" s="38"/>
      <c r="C158" s="2"/>
      <c r="D158" s="56"/>
      <c r="E158" s="56"/>
      <c r="F158" s="56"/>
      <c r="G158" s="56"/>
      <c r="H158" s="56"/>
      <c r="I158" s="56"/>
      <c r="J158" s="56"/>
      <c r="K158" s="2"/>
      <c r="L158" s="7"/>
      <c r="M158" s="27"/>
      <c r="N158" s="26"/>
    </row>
    <row r="159" spans="1:14" s="28" customFormat="1" x14ac:dyDescent="0.25">
      <c r="A159" s="7"/>
      <c r="B159" s="41" t="s">
        <v>77</v>
      </c>
      <c r="C159" s="2"/>
      <c r="D159" s="56"/>
      <c r="E159" s="56"/>
      <c r="F159" s="56"/>
      <c r="G159" s="56"/>
      <c r="H159" s="56"/>
      <c r="I159" s="56"/>
      <c r="J159" s="56"/>
      <c r="K159" s="2"/>
      <c r="L159" s="7"/>
      <c r="M159" s="27"/>
      <c r="N159" s="26"/>
    </row>
    <row r="160" spans="1:14" s="28" customFormat="1" x14ac:dyDescent="0.25">
      <c r="A160" s="7"/>
      <c r="B160" s="38" t="s">
        <v>236</v>
      </c>
      <c r="C160" s="2">
        <v>1</v>
      </c>
      <c r="D160" s="56">
        <f t="shared" ref="D160:D168" si="6">CONVERT(E160,"m","ft")</f>
        <v>21.456692913385826</v>
      </c>
      <c r="E160" s="56">
        <f>3.27+3.27</f>
        <v>6.54</v>
      </c>
      <c r="F160" s="56"/>
      <c r="G160" s="56"/>
      <c r="H160" s="56">
        <f>1+1</f>
        <v>2</v>
      </c>
      <c r="I160" s="56"/>
      <c r="J160" s="56">
        <f t="shared" si="4"/>
        <v>42.913385826771652</v>
      </c>
      <c r="K160" s="2" t="s">
        <v>51</v>
      </c>
      <c r="L160" s="7"/>
      <c r="M160" s="27"/>
      <c r="N160" s="26"/>
    </row>
    <row r="161" spans="1:14" s="28" customFormat="1" x14ac:dyDescent="0.25">
      <c r="A161" s="7"/>
      <c r="B161" s="38" t="s">
        <v>243</v>
      </c>
      <c r="C161" s="2">
        <v>1</v>
      </c>
      <c r="D161" s="56">
        <f t="shared" si="6"/>
        <v>10.793963254593177</v>
      </c>
      <c r="E161" s="56">
        <f>3.29</f>
        <v>3.29</v>
      </c>
      <c r="F161" s="56"/>
      <c r="G161" s="56"/>
      <c r="H161" s="56">
        <f>1+1+0.75</f>
        <v>2.75</v>
      </c>
      <c r="I161" s="56"/>
      <c r="J161" s="56">
        <f t="shared" si="4"/>
        <v>29.683398950131235</v>
      </c>
      <c r="K161" s="2" t="s">
        <v>51</v>
      </c>
      <c r="L161" s="7"/>
      <c r="M161" s="27"/>
      <c r="N161" s="26"/>
    </row>
    <row r="162" spans="1:14" s="28" customFormat="1" x14ac:dyDescent="0.25">
      <c r="A162" s="7"/>
      <c r="B162" s="38" t="s">
        <v>244</v>
      </c>
      <c r="C162" s="2">
        <v>1</v>
      </c>
      <c r="D162" s="56">
        <f t="shared" si="6"/>
        <v>10.728346456692913</v>
      </c>
      <c r="E162" s="56">
        <f>3.27</f>
        <v>3.27</v>
      </c>
      <c r="F162" s="56"/>
      <c r="G162" s="56"/>
      <c r="H162" s="56">
        <v>2.33</v>
      </c>
      <c r="I162" s="56"/>
      <c r="J162" s="56">
        <f t="shared" si="4"/>
        <v>24.997047244094489</v>
      </c>
      <c r="K162" s="2" t="s">
        <v>51</v>
      </c>
      <c r="L162" s="7"/>
      <c r="M162" s="27"/>
      <c r="N162" s="26"/>
    </row>
    <row r="163" spans="1:14" s="28" customFormat="1" x14ac:dyDescent="0.25">
      <c r="A163" s="7"/>
      <c r="B163" s="38" t="s">
        <v>245</v>
      </c>
      <c r="C163" s="2">
        <v>1</v>
      </c>
      <c r="D163" s="56">
        <f t="shared" si="6"/>
        <v>10.826771653543307</v>
      </c>
      <c r="E163" s="56">
        <v>3.3</v>
      </c>
      <c r="F163" s="56"/>
      <c r="G163" s="56"/>
      <c r="H163" s="56">
        <f>1+1+0.33</f>
        <v>2.33</v>
      </c>
      <c r="I163" s="56"/>
      <c r="J163" s="56">
        <f t="shared" si="4"/>
        <v>25.226377952755907</v>
      </c>
      <c r="K163" s="2" t="s">
        <v>51</v>
      </c>
      <c r="L163" s="7"/>
      <c r="M163" s="27"/>
      <c r="N163" s="26"/>
    </row>
    <row r="164" spans="1:14" s="28" customFormat="1" x14ac:dyDescent="0.25">
      <c r="A164" s="7"/>
      <c r="B164" s="38" t="s">
        <v>246</v>
      </c>
      <c r="C164" s="2">
        <v>1</v>
      </c>
      <c r="D164" s="56">
        <f t="shared" si="6"/>
        <v>10.826771653543307</v>
      </c>
      <c r="E164" s="56">
        <v>3.3</v>
      </c>
      <c r="F164" s="56"/>
      <c r="G164" s="56"/>
      <c r="H164" s="56">
        <v>2.75</v>
      </c>
      <c r="I164" s="56"/>
      <c r="J164" s="56">
        <f t="shared" si="4"/>
        <v>29.773622047244096</v>
      </c>
      <c r="K164" s="2" t="s">
        <v>51</v>
      </c>
      <c r="L164" s="7"/>
      <c r="M164" s="27"/>
      <c r="N164" s="26"/>
    </row>
    <row r="165" spans="1:14" s="28" customFormat="1" x14ac:dyDescent="0.25">
      <c r="A165" s="7"/>
      <c r="B165" s="38" t="s">
        <v>235</v>
      </c>
      <c r="C165" s="2">
        <v>1</v>
      </c>
      <c r="D165" s="56">
        <f t="shared" si="6"/>
        <v>21.587926509186353</v>
      </c>
      <c r="E165" s="56">
        <f>3.28+3.3</f>
        <v>6.58</v>
      </c>
      <c r="F165" s="56"/>
      <c r="G165" s="56"/>
      <c r="H165" s="56">
        <f>1+1</f>
        <v>2</v>
      </c>
      <c r="I165" s="56"/>
      <c r="J165" s="56">
        <f t="shared" si="4"/>
        <v>43.175853018372706</v>
      </c>
      <c r="K165" s="2" t="s">
        <v>51</v>
      </c>
      <c r="L165" s="7"/>
      <c r="M165" s="27"/>
      <c r="N165" s="26"/>
    </row>
    <row r="166" spans="1:14" s="28" customFormat="1" x14ac:dyDescent="0.25">
      <c r="A166" s="7"/>
      <c r="B166" s="38" t="s">
        <v>230</v>
      </c>
      <c r="C166" s="2">
        <v>1</v>
      </c>
      <c r="D166" s="56">
        <f t="shared" si="6"/>
        <v>26.048268356699314</v>
      </c>
      <c r="E166" s="56">
        <f>3.42+4/3.28+3.3</f>
        <v>7.9395121951219512</v>
      </c>
      <c r="F166" s="56"/>
      <c r="G166" s="56"/>
      <c r="H166" s="56">
        <f>1+1</f>
        <v>2</v>
      </c>
      <c r="I166" s="56"/>
      <c r="J166" s="56">
        <f t="shared" si="4"/>
        <v>52.096536713398628</v>
      </c>
      <c r="K166" s="2" t="s">
        <v>51</v>
      </c>
      <c r="L166" s="7"/>
      <c r="M166" s="27"/>
      <c r="N166" s="26"/>
    </row>
    <row r="167" spans="1:14" s="28" customFormat="1" x14ac:dyDescent="0.25">
      <c r="A167" s="7"/>
      <c r="B167" s="38" t="s">
        <v>232</v>
      </c>
      <c r="C167" s="2">
        <v>1</v>
      </c>
      <c r="D167" s="56">
        <f t="shared" si="6"/>
        <v>25.785801165098267</v>
      </c>
      <c r="E167" s="56">
        <f>3.4+3.24+4/3.28</f>
        <v>7.859512195121952</v>
      </c>
      <c r="F167" s="56"/>
      <c r="G167" s="56"/>
      <c r="H167" s="56">
        <f>1+1+0.33</f>
        <v>2.33</v>
      </c>
      <c r="I167" s="56"/>
      <c r="J167" s="56">
        <f t="shared" si="4"/>
        <v>60.080916714678963</v>
      </c>
      <c r="K167" s="2" t="s">
        <v>51</v>
      </c>
      <c r="L167" s="7"/>
      <c r="M167" s="27"/>
      <c r="N167" s="26"/>
    </row>
    <row r="168" spans="1:14" s="28" customFormat="1" x14ac:dyDescent="0.25">
      <c r="A168" s="7"/>
      <c r="B168" s="38" t="s">
        <v>231</v>
      </c>
      <c r="C168" s="2">
        <v>1</v>
      </c>
      <c r="D168" s="56">
        <f t="shared" si="6"/>
        <v>25.65456756929774</v>
      </c>
      <c r="E168" s="56">
        <f>3.36+4/3.28+3.24</f>
        <v>7.8195121951219511</v>
      </c>
      <c r="F168" s="56"/>
      <c r="G168" s="56"/>
      <c r="H168" s="56">
        <f>1+1</f>
        <v>2</v>
      </c>
      <c r="I168" s="56"/>
      <c r="J168" s="56">
        <f t="shared" si="4"/>
        <v>51.309135138595479</v>
      </c>
      <c r="K168" s="2" t="s">
        <v>51</v>
      </c>
      <c r="L168" s="7"/>
      <c r="M168" s="27"/>
      <c r="N168" s="26"/>
    </row>
    <row r="169" spans="1:14" s="28" customFormat="1" x14ac:dyDescent="0.25">
      <c r="A169" s="7"/>
      <c r="B169" s="38"/>
      <c r="C169" s="2"/>
      <c r="D169" s="56"/>
      <c r="E169" s="56"/>
      <c r="F169" s="56"/>
      <c r="G169" s="56"/>
      <c r="H169" s="56"/>
      <c r="I169" s="56"/>
      <c r="J169" s="56"/>
      <c r="K169" s="2"/>
      <c r="L169" s="7"/>
      <c r="M169" s="27"/>
      <c r="N169" s="26"/>
    </row>
    <row r="170" spans="1:14" s="28" customFormat="1" x14ac:dyDescent="0.25">
      <c r="A170" s="7"/>
      <c r="B170" s="68" t="s">
        <v>89</v>
      </c>
      <c r="C170" s="2"/>
      <c r="D170" s="56"/>
      <c r="E170" s="56"/>
      <c r="F170" s="56"/>
      <c r="G170" s="56"/>
      <c r="H170" s="56"/>
      <c r="I170" s="56"/>
      <c r="J170" s="56"/>
      <c r="K170" s="2"/>
      <c r="L170" s="7"/>
      <c r="M170" s="27"/>
      <c r="N170" s="26"/>
    </row>
    <row r="171" spans="1:14" s="28" customFormat="1" x14ac:dyDescent="0.25">
      <c r="A171" s="7"/>
      <c r="B171" s="26" t="s">
        <v>210</v>
      </c>
      <c r="C171" s="2"/>
      <c r="D171" s="56"/>
      <c r="E171" s="56"/>
      <c r="F171" s="56"/>
      <c r="G171" s="56"/>
      <c r="H171" s="56"/>
      <c r="I171" s="56"/>
      <c r="J171" s="56"/>
      <c r="K171" s="2"/>
      <c r="L171" s="7"/>
      <c r="M171" s="27"/>
      <c r="N171" s="26"/>
    </row>
    <row r="172" spans="1:14" x14ac:dyDescent="0.25">
      <c r="A172" s="7"/>
      <c r="B172" s="4" t="s">
        <v>211</v>
      </c>
      <c r="C172" s="2">
        <v>1</v>
      </c>
      <c r="D172" s="56">
        <f>CONVERT(E172,"m","ft")</f>
        <v>14.696562319953909</v>
      </c>
      <c r="E172" s="56">
        <f>3.26+4/3.28</f>
        <v>4.4795121951219512</v>
      </c>
      <c r="F172" s="56"/>
      <c r="G172" s="56"/>
      <c r="H172" s="56">
        <f>7+10/12</f>
        <v>7.833333333333333</v>
      </c>
      <c r="I172" s="56"/>
      <c r="J172" s="56">
        <f t="shared" si="4"/>
        <v>115.12307150630562</v>
      </c>
      <c r="K172" s="2" t="s">
        <v>51</v>
      </c>
      <c r="L172" s="2"/>
      <c r="M172" s="25"/>
      <c r="N172" s="4"/>
    </row>
    <row r="173" spans="1:14" x14ac:dyDescent="0.25">
      <c r="A173" s="7"/>
      <c r="B173" s="4" t="s">
        <v>212</v>
      </c>
      <c r="C173" s="2">
        <v>1</v>
      </c>
      <c r="D173" s="56">
        <f>CONVERT(E173,"m","ft")</f>
        <v>13.958373343575955</v>
      </c>
      <c r="E173" s="56">
        <f>3.26+4/3.28-0.075*3</f>
        <v>4.2545121951219516</v>
      </c>
      <c r="F173" s="56"/>
      <c r="G173" s="56"/>
      <c r="H173" s="56">
        <f>7+10/12</f>
        <v>7.833333333333333</v>
      </c>
      <c r="I173" s="56"/>
      <c r="J173" s="56">
        <f t="shared" si="4"/>
        <v>109.34059119134498</v>
      </c>
      <c r="K173" s="2" t="s">
        <v>51</v>
      </c>
      <c r="L173" s="2"/>
      <c r="M173" s="25"/>
      <c r="N173" s="4"/>
    </row>
    <row r="174" spans="1:14" x14ac:dyDescent="0.25">
      <c r="A174" s="7"/>
      <c r="B174" s="4" t="s">
        <v>281</v>
      </c>
      <c r="C174" s="2">
        <v>2</v>
      </c>
      <c r="D174" s="56">
        <f>CONVERT(E174,"m","ft")</f>
        <v>10.826771653543307</v>
      </c>
      <c r="E174" s="56">
        <v>3.3</v>
      </c>
      <c r="F174" s="56"/>
      <c r="G174" s="56"/>
      <c r="H174" s="56">
        <f>7+10/12</f>
        <v>7.833333333333333</v>
      </c>
      <c r="I174" s="56"/>
      <c r="J174" s="56">
        <f t="shared" si="4"/>
        <v>169.61942257217848</v>
      </c>
      <c r="K174" s="2" t="s">
        <v>51</v>
      </c>
      <c r="L174" s="2"/>
      <c r="M174" s="25"/>
      <c r="N174" s="4"/>
    </row>
    <row r="175" spans="1:14" s="28" customFormat="1" ht="14.25" customHeight="1" x14ac:dyDescent="0.25">
      <c r="A175" s="7"/>
      <c r="B175" s="4" t="s">
        <v>154</v>
      </c>
      <c r="C175" s="2">
        <f>-0.5*(3)</f>
        <v>-1.5</v>
      </c>
      <c r="D175" s="56">
        <v>6</v>
      </c>
      <c r="E175" s="56"/>
      <c r="F175" s="56"/>
      <c r="G175" s="56"/>
      <c r="H175" s="56">
        <v>4.5</v>
      </c>
      <c r="I175" s="56"/>
      <c r="J175" s="56">
        <f t="shared" si="4"/>
        <v>-40.5</v>
      </c>
      <c r="K175" s="2" t="s">
        <v>51</v>
      </c>
      <c r="L175" s="7"/>
      <c r="M175" s="27"/>
      <c r="N175" s="26"/>
    </row>
    <row r="176" spans="1:14" s="28" customFormat="1" ht="14.25" customHeight="1" x14ac:dyDescent="0.25">
      <c r="A176" s="7"/>
      <c r="B176" s="4" t="s">
        <v>163</v>
      </c>
      <c r="C176" s="2">
        <f>-0.5*(1)</f>
        <v>-0.5</v>
      </c>
      <c r="D176" s="56">
        <v>4</v>
      </c>
      <c r="E176" s="56"/>
      <c r="F176" s="56"/>
      <c r="G176" s="56"/>
      <c r="H176" s="56">
        <v>4.5</v>
      </c>
      <c r="I176" s="56"/>
      <c r="J176" s="56">
        <f t="shared" si="4"/>
        <v>-9</v>
      </c>
      <c r="K176" s="2" t="s">
        <v>51</v>
      </c>
      <c r="L176" s="7"/>
      <c r="M176" s="27"/>
      <c r="N176" s="26"/>
    </row>
    <row r="177" spans="1:14" s="28" customFormat="1" x14ac:dyDescent="0.25">
      <c r="A177" s="7"/>
      <c r="B177" s="4" t="s">
        <v>167</v>
      </c>
      <c r="C177" s="2">
        <f>0.5*-1</f>
        <v>-0.5</v>
      </c>
      <c r="D177" s="56">
        <v>3</v>
      </c>
      <c r="E177" s="56"/>
      <c r="F177" s="56"/>
      <c r="G177" s="56"/>
      <c r="H177" s="56">
        <v>7</v>
      </c>
      <c r="I177" s="56"/>
      <c r="J177" s="56">
        <f t="shared" si="4"/>
        <v>-10.5</v>
      </c>
      <c r="K177" s="2" t="s">
        <v>51</v>
      </c>
      <c r="L177" s="7"/>
      <c r="M177" s="27"/>
      <c r="N177" s="26"/>
    </row>
    <row r="178" spans="1:14" x14ac:dyDescent="0.25">
      <c r="A178" s="7"/>
      <c r="B178" s="4"/>
      <c r="C178" s="2"/>
      <c r="D178" s="56"/>
      <c r="E178" s="56"/>
      <c r="F178" s="56"/>
      <c r="G178" s="56"/>
      <c r="H178" s="56"/>
      <c r="I178" s="56"/>
      <c r="J178" s="56"/>
      <c r="K178" s="2"/>
      <c r="L178" s="2"/>
      <c r="M178" s="25"/>
      <c r="N178" s="4"/>
    </row>
    <row r="179" spans="1:14" s="28" customFormat="1" x14ac:dyDescent="0.25">
      <c r="A179" s="7"/>
      <c r="B179" s="41" t="s">
        <v>214</v>
      </c>
      <c r="C179" s="2"/>
      <c r="D179" s="56"/>
      <c r="E179" s="56"/>
      <c r="F179" s="56"/>
      <c r="G179" s="56"/>
      <c r="H179" s="56"/>
      <c r="I179" s="56"/>
      <c r="J179" s="56"/>
      <c r="K179" s="2"/>
      <c r="L179" s="7"/>
      <c r="M179" s="27"/>
      <c r="N179" s="26"/>
    </row>
    <row r="180" spans="1:14" s="28" customFormat="1" x14ac:dyDescent="0.25">
      <c r="A180" s="7"/>
      <c r="B180" s="41" t="s">
        <v>201</v>
      </c>
      <c r="C180" s="2"/>
      <c r="D180" s="56"/>
      <c r="E180" s="56"/>
      <c r="F180" s="56"/>
      <c r="G180" s="56"/>
      <c r="H180" s="56"/>
      <c r="I180" s="56"/>
      <c r="J180" s="56"/>
      <c r="K180" s="2"/>
      <c r="L180" s="7"/>
      <c r="M180" s="27"/>
      <c r="N180" s="26"/>
    </row>
    <row r="181" spans="1:14" s="28" customFormat="1" x14ac:dyDescent="0.25">
      <c r="A181" s="7"/>
      <c r="B181" s="4" t="s">
        <v>202</v>
      </c>
      <c r="C181" s="2">
        <v>1</v>
      </c>
      <c r="D181" s="56">
        <f>CONVERT(E181,"m","ft")</f>
        <v>5.1706036745406827</v>
      </c>
      <c r="E181" s="56">
        <v>1.5760000000000001</v>
      </c>
      <c r="F181" s="56"/>
      <c r="G181" s="56"/>
      <c r="H181" s="56">
        <f>8+10/12</f>
        <v>8.8333333333333339</v>
      </c>
      <c r="I181" s="56"/>
      <c r="J181" s="56">
        <f t="shared" si="4"/>
        <v>45.673665791776031</v>
      </c>
      <c r="K181" s="2" t="s">
        <v>51</v>
      </c>
      <c r="L181" s="7"/>
      <c r="M181" s="27"/>
      <c r="N181" s="26"/>
    </row>
    <row r="182" spans="1:14" s="28" customFormat="1" x14ac:dyDescent="0.25">
      <c r="A182" s="7"/>
      <c r="B182" s="4" t="s">
        <v>203</v>
      </c>
      <c r="C182" s="2">
        <v>1</v>
      </c>
      <c r="D182" s="56">
        <f>CONVERT(E182,"m","ft")</f>
        <v>3.9370078740157481</v>
      </c>
      <c r="E182" s="56">
        <v>1.2</v>
      </c>
      <c r="F182" s="56"/>
      <c r="G182" s="56"/>
      <c r="H182" s="56">
        <f>8+10/12</f>
        <v>8.8333333333333339</v>
      </c>
      <c r="I182" s="56"/>
      <c r="J182" s="56">
        <f t="shared" si="4"/>
        <v>34.776902887139109</v>
      </c>
      <c r="K182" s="2" t="s">
        <v>51</v>
      </c>
      <c r="L182" s="7"/>
      <c r="M182" s="27"/>
      <c r="N182" s="26"/>
    </row>
    <row r="183" spans="1:14" s="28" customFormat="1" x14ac:dyDescent="0.25">
      <c r="A183" s="7"/>
      <c r="B183" s="26" t="s">
        <v>216</v>
      </c>
      <c r="C183" s="2">
        <v>1</v>
      </c>
      <c r="D183" s="56">
        <f>CONVERT(E183,"m","ft")</f>
        <v>10.826771653543307</v>
      </c>
      <c r="E183" s="56">
        <v>3.3</v>
      </c>
      <c r="F183" s="56"/>
      <c r="G183" s="56"/>
      <c r="H183" s="56">
        <f>7+10/12</f>
        <v>7.833333333333333</v>
      </c>
      <c r="I183" s="56"/>
      <c r="J183" s="56">
        <f t="shared" si="4"/>
        <v>84.809711286089239</v>
      </c>
      <c r="K183" s="2" t="s">
        <v>51</v>
      </c>
      <c r="L183" s="7"/>
      <c r="M183" s="27"/>
      <c r="N183" s="26"/>
    </row>
    <row r="184" spans="1:14" s="28" customFormat="1" x14ac:dyDescent="0.25">
      <c r="A184" s="7"/>
      <c r="B184" s="26" t="s">
        <v>215</v>
      </c>
      <c r="C184" s="2">
        <v>1</v>
      </c>
      <c r="D184" s="56">
        <f>CONVERT(E184,"m","ft")</f>
        <v>14.827795915754434</v>
      </c>
      <c r="E184" s="56">
        <f>3.3+4/3.28</f>
        <v>4.5195121951219512</v>
      </c>
      <c r="F184" s="56"/>
      <c r="G184" s="56"/>
      <c r="H184" s="56">
        <f>7+10/12</f>
        <v>7.833333333333333</v>
      </c>
      <c r="I184" s="56"/>
      <c r="J184" s="56">
        <f t="shared" si="4"/>
        <v>116.15106800674306</v>
      </c>
      <c r="K184" s="2" t="s">
        <v>51</v>
      </c>
      <c r="L184" s="7"/>
      <c r="M184" s="27"/>
      <c r="N184" s="26"/>
    </row>
    <row r="185" spans="1:14" s="28" customFormat="1" x14ac:dyDescent="0.25">
      <c r="A185" s="7"/>
      <c r="B185" s="4" t="s">
        <v>192</v>
      </c>
      <c r="C185" s="2">
        <v>1</v>
      </c>
      <c r="D185" s="56">
        <f>CONVERT(E185,"m","ft")</f>
        <v>10.826771653543307</v>
      </c>
      <c r="E185" s="56">
        <v>3.3</v>
      </c>
      <c r="F185" s="56"/>
      <c r="G185" s="56"/>
      <c r="H185" s="56">
        <f>7+10/12</f>
        <v>7.833333333333333</v>
      </c>
      <c r="I185" s="56"/>
      <c r="J185" s="56">
        <f>C185*D185*H185</f>
        <v>84.809711286089239</v>
      </c>
      <c r="K185" s="2" t="s">
        <v>51</v>
      </c>
      <c r="L185" s="7"/>
      <c r="M185" s="27"/>
      <c r="N185" s="26"/>
    </row>
    <row r="186" spans="1:14" s="28" customFormat="1" ht="14.25" customHeight="1" x14ac:dyDescent="0.25">
      <c r="A186" s="7"/>
      <c r="B186" s="4" t="s">
        <v>197</v>
      </c>
      <c r="C186" s="2">
        <f>-0.5*(2)</f>
        <v>-1</v>
      </c>
      <c r="D186" s="56">
        <v>2</v>
      </c>
      <c r="E186" s="56"/>
      <c r="F186" s="56"/>
      <c r="G186" s="56"/>
      <c r="H186" s="56">
        <v>3</v>
      </c>
      <c r="I186" s="56"/>
      <c r="J186" s="56">
        <f t="shared" si="4"/>
        <v>-6</v>
      </c>
      <c r="K186" s="2" t="s">
        <v>51</v>
      </c>
      <c r="L186" s="7"/>
      <c r="M186" s="27"/>
      <c r="N186" s="26"/>
    </row>
    <row r="187" spans="1:14" s="28" customFormat="1" ht="14.25" customHeight="1" x14ac:dyDescent="0.25">
      <c r="A187" s="7"/>
      <c r="B187" s="4" t="s">
        <v>163</v>
      </c>
      <c r="C187" s="2">
        <f>-0.5*(1)</f>
        <v>-0.5</v>
      </c>
      <c r="D187" s="56">
        <v>4</v>
      </c>
      <c r="E187" s="56"/>
      <c r="F187" s="56"/>
      <c r="G187" s="56"/>
      <c r="H187" s="56">
        <v>4.5</v>
      </c>
      <c r="I187" s="56"/>
      <c r="J187" s="56">
        <f t="shared" si="4"/>
        <v>-9</v>
      </c>
      <c r="K187" s="2" t="s">
        <v>51</v>
      </c>
      <c r="L187" s="7"/>
      <c r="M187" s="27"/>
      <c r="N187" s="26"/>
    </row>
    <row r="188" spans="1:14" s="28" customFormat="1" x14ac:dyDescent="0.25">
      <c r="A188" s="7"/>
      <c r="B188" s="4" t="s">
        <v>167</v>
      </c>
      <c r="C188" s="2">
        <f>0.5*-1</f>
        <v>-0.5</v>
      </c>
      <c r="D188" s="56">
        <v>3</v>
      </c>
      <c r="E188" s="56"/>
      <c r="F188" s="56"/>
      <c r="G188" s="56"/>
      <c r="H188" s="56">
        <v>7</v>
      </c>
      <c r="I188" s="56"/>
      <c r="J188" s="56">
        <f t="shared" si="4"/>
        <v>-10.5</v>
      </c>
      <c r="K188" s="2" t="s">
        <v>51</v>
      </c>
      <c r="L188" s="7"/>
      <c r="M188" s="27"/>
      <c r="N188" s="26"/>
    </row>
    <row r="189" spans="1:14" s="28" customFormat="1" x14ac:dyDescent="0.25">
      <c r="A189" s="7"/>
      <c r="B189" s="4" t="s">
        <v>174</v>
      </c>
      <c r="C189" s="2">
        <f>0.5*-1</f>
        <v>-0.5</v>
      </c>
      <c r="D189" s="56">
        <v>2.5</v>
      </c>
      <c r="E189" s="56"/>
      <c r="F189" s="56"/>
      <c r="G189" s="56"/>
      <c r="H189" s="56">
        <v>6.5</v>
      </c>
      <c r="I189" s="56"/>
      <c r="J189" s="56">
        <f t="shared" si="4"/>
        <v>-8.125</v>
      </c>
      <c r="K189" s="2" t="s">
        <v>51</v>
      </c>
      <c r="L189" s="7"/>
      <c r="M189" s="27"/>
      <c r="N189" s="26"/>
    </row>
    <row r="190" spans="1:14" x14ac:dyDescent="0.25">
      <c r="A190" s="7"/>
      <c r="B190" s="4"/>
      <c r="C190" s="2"/>
      <c r="D190" s="56"/>
      <c r="E190" s="56"/>
      <c r="F190" s="56"/>
      <c r="G190" s="56"/>
      <c r="H190" s="56"/>
      <c r="I190" s="56"/>
      <c r="J190" s="56"/>
      <c r="K190" s="2"/>
      <c r="L190" s="2"/>
      <c r="M190" s="25"/>
      <c r="N190" s="4"/>
    </row>
    <row r="191" spans="1:14" x14ac:dyDescent="0.25">
      <c r="A191" s="7"/>
      <c r="B191" s="38" t="s">
        <v>218</v>
      </c>
      <c r="C191" s="2">
        <v>1</v>
      </c>
      <c r="D191" s="56">
        <f>CONVERT(E191,"m","ft")</f>
        <v>44.094488188976378</v>
      </c>
      <c r="E191" s="56">
        <f>6.6+3.42+3.42</f>
        <v>13.44</v>
      </c>
      <c r="F191" s="56"/>
      <c r="G191" s="56"/>
      <c r="H191" s="56">
        <v>2</v>
      </c>
      <c r="I191" s="56"/>
      <c r="J191" s="56">
        <f t="shared" si="4"/>
        <v>88.188976377952756</v>
      </c>
      <c r="K191" s="2" t="s">
        <v>51</v>
      </c>
      <c r="L191" s="2"/>
      <c r="M191" s="25"/>
      <c r="N191" s="4"/>
    </row>
    <row r="192" spans="1:14" x14ac:dyDescent="0.25">
      <c r="A192" s="7"/>
      <c r="B192" s="4"/>
      <c r="C192" s="2"/>
      <c r="D192" s="56"/>
      <c r="E192" s="56"/>
      <c r="F192" s="56"/>
      <c r="G192" s="56"/>
      <c r="H192" s="56"/>
      <c r="I192" s="56"/>
      <c r="J192" s="56"/>
      <c r="K192" s="2"/>
      <c r="L192" s="2"/>
      <c r="M192" s="25"/>
      <c r="N192" s="4"/>
    </row>
    <row r="193" spans="1:14" s="28" customFormat="1" x14ac:dyDescent="0.25">
      <c r="A193" s="7"/>
      <c r="B193" s="41" t="s">
        <v>75</v>
      </c>
      <c r="C193" s="2"/>
      <c r="D193" s="56"/>
      <c r="E193" s="56"/>
      <c r="F193" s="56"/>
      <c r="G193" s="56"/>
      <c r="H193" s="56"/>
      <c r="I193" s="56"/>
      <c r="J193" s="56"/>
      <c r="K193" s="2"/>
      <c r="L193" s="7"/>
      <c r="M193" s="27"/>
      <c r="N193" s="26"/>
    </row>
    <row r="194" spans="1:14" s="28" customFormat="1" x14ac:dyDescent="0.25">
      <c r="A194" s="7"/>
      <c r="B194" s="38" t="s">
        <v>247</v>
      </c>
      <c r="C194" s="2">
        <v>3</v>
      </c>
      <c r="D194" s="56">
        <f>1+1+0.33+0.33</f>
        <v>2.66</v>
      </c>
      <c r="E194" s="56"/>
      <c r="F194" s="56"/>
      <c r="G194" s="56"/>
      <c r="H194" s="56">
        <v>2</v>
      </c>
      <c r="I194" s="56"/>
      <c r="J194" s="56">
        <f>C194*D194*H194</f>
        <v>15.96</v>
      </c>
      <c r="K194" s="2" t="s">
        <v>51</v>
      </c>
      <c r="L194" s="7"/>
      <c r="M194" s="27"/>
      <c r="N194" s="26"/>
    </row>
    <row r="195" spans="1:14" s="28" customFormat="1" x14ac:dyDescent="0.25">
      <c r="A195" s="7"/>
      <c r="B195" s="38" t="s">
        <v>282</v>
      </c>
      <c r="C195" s="2">
        <v>2</v>
      </c>
      <c r="D195" s="56">
        <f>1+0.58+0.25+0.25</f>
        <v>2.08</v>
      </c>
      <c r="E195" s="56"/>
      <c r="F195" s="56"/>
      <c r="G195" s="56"/>
      <c r="H195" s="56">
        <f>8+11/12</f>
        <v>8.9166666666666661</v>
      </c>
      <c r="I195" s="56"/>
      <c r="J195" s="56">
        <f>C195*D195*H195</f>
        <v>37.093333333333334</v>
      </c>
      <c r="K195" s="2" t="s">
        <v>51</v>
      </c>
      <c r="L195" s="7"/>
      <c r="M195" s="27"/>
      <c r="N195" s="26"/>
    </row>
    <row r="196" spans="1:14" s="28" customFormat="1" x14ac:dyDescent="0.25">
      <c r="A196" s="7"/>
      <c r="B196" s="38" t="s">
        <v>228</v>
      </c>
      <c r="C196" s="2">
        <v>1</v>
      </c>
      <c r="D196" s="56">
        <f>1+1+0.58+0.58</f>
        <v>3.16</v>
      </c>
      <c r="E196" s="56"/>
      <c r="F196" s="56"/>
      <c r="G196" s="56"/>
      <c r="H196" s="56">
        <f>8+11/12</f>
        <v>8.9166666666666661</v>
      </c>
      <c r="I196" s="56"/>
      <c r="J196" s="56">
        <f>C196*D196*H196</f>
        <v>28.176666666666666</v>
      </c>
      <c r="K196" s="2" t="s">
        <v>51</v>
      </c>
      <c r="L196" s="7"/>
      <c r="M196" s="27"/>
      <c r="N196" s="26"/>
    </row>
    <row r="197" spans="1:14" s="28" customFormat="1" x14ac:dyDescent="0.25">
      <c r="A197" s="7"/>
      <c r="B197" s="38" t="s">
        <v>283</v>
      </c>
      <c r="C197" s="2">
        <v>6</v>
      </c>
      <c r="D197" s="56">
        <f>1+1+0.25+0.25</f>
        <v>2.5</v>
      </c>
      <c r="E197" s="56"/>
      <c r="F197" s="56"/>
      <c r="G197" s="56"/>
      <c r="H197" s="56">
        <f>8+11/12</f>
        <v>8.9166666666666661</v>
      </c>
      <c r="I197" s="56"/>
      <c r="J197" s="56">
        <f>C197*D197*H197</f>
        <v>133.75</v>
      </c>
      <c r="K197" s="2" t="s">
        <v>51</v>
      </c>
      <c r="L197" s="7"/>
      <c r="M197" s="27"/>
      <c r="N197" s="26"/>
    </row>
    <row r="198" spans="1:14" s="28" customFormat="1" x14ac:dyDescent="0.25">
      <c r="A198" s="7"/>
      <c r="B198" s="38"/>
      <c r="C198" s="2"/>
      <c r="D198" s="56"/>
      <c r="E198" s="56"/>
      <c r="F198" s="56"/>
      <c r="G198" s="56"/>
      <c r="H198" s="56"/>
      <c r="I198" s="56"/>
      <c r="J198" s="56"/>
      <c r="K198" s="2"/>
      <c r="L198" s="7"/>
      <c r="M198" s="27"/>
      <c r="N198" s="26"/>
    </row>
    <row r="199" spans="1:14" s="28" customFormat="1" x14ac:dyDescent="0.25">
      <c r="A199" s="7"/>
      <c r="B199" s="41" t="s">
        <v>77</v>
      </c>
      <c r="C199" s="2"/>
      <c r="D199" s="56"/>
      <c r="E199" s="56"/>
      <c r="F199" s="56"/>
      <c r="G199" s="56"/>
      <c r="H199" s="56"/>
      <c r="I199" s="56"/>
      <c r="J199" s="56"/>
      <c r="K199" s="2"/>
      <c r="L199" s="7"/>
      <c r="M199" s="27"/>
      <c r="N199" s="26"/>
    </row>
    <row r="200" spans="1:14" s="28" customFormat="1" x14ac:dyDescent="0.25">
      <c r="A200" s="7"/>
      <c r="B200" s="38" t="s">
        <v>284</v>
      </c>
      <c r="C200" s="2">
        <v>2</v>
      </c>
      <c r="D200" s="56">
        <f>CONVERT(E200,"m","ft")</f>
        <v>21.653543307086615</v>
      </c>
      <c r="E200" s="56">
        <f>3.3+3.3</f>
        <v>6.6</v>
      </c>
      <c r="F200" s="56"/>
      <c r="G200" s="56"/>
      <c r="H200" s="56">
        <f>1+1</f>
        <v>2</v>
      </c>
      <c r="I200" s="56"/>
      <c r="J200" s="56">
        <f>C200*D200*H200</f>
        <v>86.614173228346459</v>
      </c>
      <c r="K200" s="2" t="s">
        <v>51</v>
      </c>
      <c r="L200" s="7"/>
      <c r="M200" s="27"/>
      <c r="N200" s="26"/>
    </row>
    <row r="201" spans="1:14" s="28" customFormat="1" x14ac:dyDescent="0.25">
      <c r="A201" s="7"/>
      <c r="B201" s="38" t="s">
        <v>237</v>
      </c>
      <c r="C201" s="2">
        <v>1</v>
      </c>
      <c r="D201" s="56">
        <f>CONVERT(E201,"m","ft")</f>
        <v>21.653543307086615</v>
      </c>
      <c r="E201" s="56">
        <f>3.3+3.3</f>
        <v>6.6</v>
      </c>
      <c r="F201" s="56"/>
      <c r="G201" s="56"/>
      <c r="H201" s="56">
        <f>1+1+0.75</f>
        <v>2.75</v>
      </c>
      <c r="I201" s="56"/>
      <c r="J201" s="56">
        <f>C201*D201*H201</f>
        <v>59.547244094488192</v>
      </c>
      <c r="K201" s="2" t="s">
        <v>51</v>
      </c>
      <c r="L201" s="7"/>
      <c r="M201" s="27"/>
      <c r="N201" s="26"/>
    </row>
    <row r="202" spans="1:14" s="28" customFormat="1" x14ac:dyDescent="0.25">
      <c r="A202" s="7"/>
      <c r="B202" s="38" t="s">
        <v>249</v>
      </c>
      <c r="C202" s="2">
        <v>1</v>
      </c>
      <c r="D202" s="56">
        <f>CONVERT(E202,"m","ft")</f>
        <v>14.827795915754434</v>
      </c>
      <c r="E202" s="56">
        <f>4/3.28+3.3</f>
        <v>4.5195121951219512</v>
      </c>
      <c r="F202" s="56"/>
      <c r="G202" s="56"/>
      <c r="H202" s="56">
        <f>1+1</f>
        <v>2</v>
      </c>
      <c r="I202" s="56"/>
      <c r="J202" s="56">
        <f>C202*D202*H202</f>
        <v>29.655591831508868</v>
      </c>
      <c r="K202" s="2" t="s">
        <v>51</v>
      </c>
      <c r="L202" s="7"/>
      <c r="M202" s="27"/>
      <c r="N202" s="26"/>
    </row>
    <row r="203" spans="1:14" s="28" customFormat="1" x14ac:dyDescent="0.25">
      <c r="A203" s="7"/>
      <c r="B203" s="38" t="s">
        <v>250</v>
      </c>
      <c r="C203" s="2">
        <v>1</v>
      </c>
      <c r="D203" s="56">
        <f>CONVERT(E203,"m","ft")</f>
        <v>14.630945522053645</v>
      </c>
      <c r="E203" s="56">
        <f>3.24+4/3.28</f>
        <v>4.4595121951219516</v>
      </c>
      <c r="F203" s="56"/>
      <c r="G203" s="56"/>
      <c r="H203" s="56">
        <f>1+1+0.33</f>
        <v>2.33</v>
      </c>
      <c r="I203" s="56"/>
      <c r="J203" s="56">
        <f>C203*D203*H203</f>
        <v>34.090103066384998</v>
      </c>
      <c r="K203" s="2" t="s">
        <v>51</v>
      </c>
      <c r="L203" s="7"/>
      <c r="M203" s="27"/>
      <c r="N203" s="26"/>
    </row>
    <row r="204" spans="1:14" s="28" customFormat="1" x14ac:dyDescent="0.25">
      <c r="A204" s="7"/>
      <c r="B204" s="38" t="s">
        <v>231</v>
      </c>
      <c r="C204" s="2">
        <v>1</v>
      </c>
      <c r="D204" s="56">
        <f>CONVERT(E204,"m","ft")</f>
        <v>14.630945522053645</v>
      </c>
      <c r="E204" s="56">
        <f>4/3.28+3.24</f>
        <v>4.4595121951219516</v>
      </c>
      <c r="F204" s="56"/>
      <c r="G204" s="56"/>
      <c r="H204" s="56">
        <f>1+1</f>
        <v>2</v>
      </c>
      <c r="I204" s="56"/>
      <c r="J204" s="56">
        <f>C204*D204*H204</f>
        <v>29.261891044107291</v>
      </c>
      <c r="K204" s="2" t="s">
        <v>51</v>
      </c>
      <c r="L204" s="7"/>
      <c r="M204" s="27"/>
      <c r="N204" s="26"/>
    </row>
    <row r="205" spans="1:14" s="28" customFormat="1" x14ac:dyDescent="0.25">
      <c r="A205" s="7"/>
      <c r="B205" s="38"/>
      <c r="C205" s="2"/>
      <c r="D205" s="56"/>
      <c r="E205" s="56"/>
      <c r="F205" s="56"/>
      <c r="G205" s="56"/>
      <c r="H205" s="56"/>
      <c r="I205" s="56"/>
      <c r="J205" s="56"/>
      <c r="K205" s="2"/>
      <c r="L205" s="7"/>
      <c r="M205" s="27"/>
      <c r="N205" s="26"/>
    </row>
    <row r="206" spans="1:14" x14ac:dyDescent="0.25">
      <c r="A206" s="7"/>
      <c r="B206" s="68" t="s">
        <v>219</v>
      </c>
      <c r="C206" s="2"/>
      <c r="D206" s="56"/>
      <c r="E206" s="56"/>
      <c r="F206" s="56"/>
      <c r="G206" s="56"/>
      <c r="H206" s="56"/>
      <c r="I206" s="56"/>
      <c r="J206" s="56"/>
      <c r="K206" s="2"/>
      <c r="L206" s="2"/>
      <c r="M206" s="25"/>
      <c r="N206" s="4"/>
    </row>
    <row r="207" spans="1:14" s="28" customFormat="1" x14ac:dyDescent="0.25">
      <c r="A207" s="7"/>
      <c r="B207" s="41" t="s">
        <v>75</v>
      </c>
      <c r="C207" s="2"/>
      <c r="D207" s="56"/>
      <c r="E207" s="56"/>
      <c r="F207" s="56"/>
      <c r="G207" s="56"/>
      <c r="H207" s="56"/>
      <c r="I207" s="56"/>
      <c r="J207" s="56"/>
      <c r="K207" s="2"/>
      <c r="L207" s="7"/>
      <c r="M207" s="27"/>
      <c r="N207" s="26"/>
    </row>
    <row r="208" spans="1:14" s="28" customFormat="1" x14ac:dyDescent="0.25">
      <c r="A208" s="7"/>
      <c r="B208" s="38" t="s">
        <v>251</v>
      </c>
      <c r="C208" s="2">
        <v>3</v>
      </c>
      <c r="D208" s="56">
        <f>1+1+0.33+0.33</f>
        <v>2.66</v>
      </c>
      <c r="E208" s="56"/>
      <c r="F208" s="56"/>
      <c r="G208" s="56"/>
      <c r="H208" s="56">
        <v>2</v>
      </c>
      <c r="I208" s="56"/>
      <c r="J208" s="56">
        <f>C208*D208*H208</f>
        <v>15.96</v>
      </c>
      <c r="K208" s="2" t="s">
        <v>51</v>
      </c>
      <c r="L208" s="7"/>
      <c r="M208" s="27"/>
      <c r="N208" s="26"/>
    </row>
    <row r="209" spans="1:14" x14ac:dyDescent="0.25">
      <c r="A209" s="7"/>
      <c r="B209" s="38" t="s">
        <v>218</v>
      </c>
      <c r="C209" s="2">
        <v>1</v>
      </c>
      <c r="D209" s="56">
        <f>CONVERT(E209,"m","ft")</f>
        <v>72.831444849881564</v>
      </c>
      <c r="E209" s="56">
        <f>3.3+4/3.28+3.26+4/3.28+3.3+3.3+3.3+3.3</f>
        <v>22.199024390243903</v>
      </c>
      <c r="F209" s="56"/>
      <c r="G209" s="56"/>
      <c r="H209" s="56">
        <v>2</v>
      </c>
      <c r="I209" s="56"/>
      <c r="J209" s="56">
        <f>C209*D209*H209</f>
        <v>145.66288969976313</v>
      </c>
      <c r="K209" s="2" t="s">
        <v>51</v>
      </c>
      <c r="L209" s="2"/>
      <c r="M209" s="25"/>
      <c r="N209" s="4"/>
    </row>
    <row r="210" spans="1:14" s="28" customFormat="1" x14ac:dyDescent="0.25">
      <c r="A210" s="7"/>
      <c r="B210" s="38"/>
      <c r="C210" s="2"/>
      <c r="D210" s="56"/>
      <c r="E210" s="56"/>
      <c r="F210" s="56"/>
      <c r="G210" s="56"/>
      <c r="H210" s="72" t="s">
        <v>310</v>
      </c>
      <c r="I210" s="44"/>
      <c r="J210" s="44">
        <f>SUM(J56:J209)</f>
        <v>4593.3066340750702</v>
      </c>
      <c r="K210" s="44" t="s">
        <v>51</v>
      </c>
      <c r="L210" s="44"/>
      <c r="M210" s="69"/>
      <c r="N210" s="26"/>
    </row>
    <row r="211" spans="1:14" s="28" customFormat="1" x14ac:dyDescent="0.25">
      <c r="A211" s="7"/>
      <c r="B211" s="38"/>
      <c r="C211" s="2"/>
      <c r="D211" s="56"/>
      <c r="E211" s="56"/>
      <c r="F211" s="56"/>
      <c r="G211" s="56"/>
      <c r="H211" s="56"/>
      <c r="I211" s="56"/>
      <c r="J211" s="44">
        <f>CONVERT(CONVERT(J210,"ft","m"),"ft","m")</f>
        <v>426.73214995774163</v>
      </c>
      <c r="K211" s="44" t="s">
        <v>220</v>
      </c>
      <c r="L211" s="44"/>
      <c r="M211" s="69"/>
      <c r="N211" s="26"/>
    </row>
    <row r="212" spans="1:14" ht="18.75" x14ac:dyDescent="0.25">
      <c r="A212" s="7">
        <v>1.3</v>
      </c>
      <c r="B212" s="86" t="s">
        <v>311</v>
      </c>
      <c r="C212" s="75"/>
      <c r="D212" s="2"/>
      <c r="E212" s="2"/>
      <c r="F212" s="2"/>
      <c r="G212" s="2"/>
      <c r="H212" s="2"/>
      <c r="I212" s="2"/>
      <c r="J212" s="56"/>
      <c r="K212" s="2"/>
      <c r="L212" s="2"/>
      <c r="M212" s="40"/>
      <c r="N212" s="2"/>
    </row>
    <row r="213" spans="1:14" ht="60" x14ac:dyDescent="0.25">
      <c r="A213" s="7"/>
      <c r="B213" s="76" t="s">
        <v>312</v>
      </c>
      <c r="C213" s="2"/>
      <c r="D213" s="2"/>
      <c r="E213" s="2"/>
      <c r="F213" s="2"/>
      <c r="G213" s="2"/>
      <c r="H213" s="2"/>
      <c r="I213" s="2"/>
      <c r="J213" s="56"/>
      <c r="K213" s="2"/>
      <c r="L213" s="2"/>
      <c r="M213" s="40"/>
      <c r="N213" s="2"/>
    </row>
    <row r="214" spans="1:14" s="28" customFormat="1" x14ac:dyDescent="0.25">
      <c r="A214" s="7"/>
      <c r="B214" s="68" t="s">
        <v>158</v>
      </c>
      <c r="C214" s="2"/>
      <c r="D214" s="2"/>
      <c r="E214" s="2"/>
      <c r="F214" s="2"/>
      <c r="G214" s="2"/>
      <c r="H214" s="2"/>
      <c r="I214" s="2"/>
      <c r="J214" s="56"/>
      <c r="K214" s="2"/>
      <c r="L214" s="7"/>
      <c r="M214" s="27"/>
      <c r="N214" s="26"/>
    </row>
    <row r="215" spans="1:14" s="28" customFormat="1" x14ac:dyDescent="0.25">
      <c r="A215" s="7"/>
      <c r="B215" s="26" t="s">
        <v>298</v>
      </c>
      <c r="C215" s="2"/>
      <c r="D215" s="2"/>
      <c r="E215" s="2"/>
      <c r="F215" s="2"/>
      <c r="G215" s="2"/>
      <c r="H215" s="2"/>
      <c r="I215" s="2"/>
      <c r="J215" s="56"/>
      <c r="K215" s="2"/>
      <c r="L215" s="7"/>
      <c r="M215" s="27"/>
      <c r="N215" s="26"/>
    </row>
    <row r="216" spans="1:14" s="28" customFormat="1" x14ac:dyDescent="0.25">
      <c r="A216" s="7"/>
      <c r="B216" s="4" t="s">
        <v>187</v>
      </c>
      <c r="C216" s="2">
        <v>1</v>
      </c>
      <c r="D216" s="56">
        <f>CONVERT(E216,"m","ft")</f>
        <v>11.023622047244094</v>
      </c>
      <c r="E216" s="56">
        <v>3.36</v>
      </c>
      <c r="F216" s="56"/>
      <c r="G216" s="56"/>
      <c r="H216" s="56">
        <f>7+10/12</f>
        <v>7.833333333333333</v>
      </c>
      <c r="I216" s="56"/>
      <c r="J216" s="56">
        <f>C216*D216*H216</f>
        <v>86.351706036745398</v>
      </c>
      <c r="K216" s="2" t="s">
        <v>51</v>
      </c>
      <c r="L216" s="7"/>
      <c r="M216" s="27"/>
      <c r="N216" s="26"/>
    </row>
    <row r="217" spans="1:14" s="28" customFormat="1" x14ac:dyDescent="0.25">
      <c r="A217" s="7"/>
      <c r="B217" s="4" t="s">
        <v>191</v>
      </c>
      <c r="C217" s="2">
        <v>1</v>
      </c>
      <c r="D217" s="56">
        <f>CONVERT(E217,"m","ft")</f>
        <v>11.15485564304462</v>
      </c>
      <c r="E217" s="56">
        <v>3.4</v>
      </c>
      <c r="F217" s="56"/>
      <c r="G217" s="56"/>
      <c r="H217" s="56">
        <f>7+10/12</f>
        <v>7.833333333333333</v>
      </c>
      <c r="I217" s="56"/>
      <c r="J217" s="56">
        <f t="shared" ref="J217:J255" si="7">C217*D217*H217</f>
        <v>87.379702537182851</v>
      </c>
      <c r="K217" s="2" t="s">
        <v>51</v>
      </c>
      <c r="L217" s="7"/>
      <c r="M217" s="27"/>
      <c r="N217" s="26"/>
    </row>
    <row r="218" spans="1:14" s="28" customFormat="1" x14ac:dyDescent="0.25">
      <c r="A218" s="7"/>
      <c r="B218" s="4" t="s">
        <v>192</v>
      </c>
      <c r="C218" s="2">
        <v>1</v>
      </c>
      <c r="D218" s="56">
        <f>CONVERT(E218,"m","ft")</f>
        <v>10.793963254593177</v>
      </c>
      <c r="E218" s="56">
        <v>3.29</v>
      </c>
      <c r="F218" s="56"/>
      <c r="G218" s="56"/>
      <c r="H218" s="56">
        <f>7+10/12</f>
        <v>7.833333333333333</v>
      </c>
      <c r="I218" s="56"/>
      <c r="J218" s="56">
        <f t="shared" si="7"/>
        <v>84.55271216097988</v>
      </c>
      <c r="K218" s="2" t="s">
        <v>51</v>
      </c>
      <c r="L218" s="7"/>
      <c r="M218" s="27"/>
      <c r="N218" s="26"/>
    </row>
    <row r="219" spans="1:14" s="28" customFormat="1" x14ac:dyDescent="0.25">
      <c r="A219" s="7"/>
      <c r="B219" s="4" t="s">
        <v>193</v>
      </c>
      <c r="C219" s="2">
        <v>1</v>
      </c>
      <c r="D219" s="56">
        <f>CONVERT(E219,"m","ft")</f>
        <v>10.728346456692913</v>
      </c>
      <c r="E219" s="56">
        <v>3.27</v>
      </c>
      <c r="F219" s="56"/>
      <c r="G219" s="56"/>
      <c r="H219" s="56">
        <f>7+10/12</f>
        <v>7.833333333333333</v>
      </c>
      <c r="I219" s="56"/>
      <c r="J219" s="56">
        <f t="shared" si="7"/>
        <v>84.038713910761146</v>
      </c>
      <c r="K219" s="2" t="s">
        <v>51</v>
      </c>
      <c r="L219" s="7"/>
      <c r="M219" s="27"/>
      <c r="N219" s="26"/>
    </row>
    <row r="220" spans="1:14" s="28" customFormat="1" ht="14.25" customHeight="1" x14ac:dyDescent="0.25">
      <c r="A220" s="7"/>
      <c r="B220" s="4" t="s">
        <v>154</v>
      </c>
      <c r="C220" s="2">
        <f>-0.5*(2)</f>
        <v>-1</v>
      </c>
      <c r="D220" s="56">
        <v>6</v>
      </c>
      <c r="E220" s="56"/>
      <c r="F220" s="56"/>
      <c r="G220" s="56"/>
      <c r="H220" s="56">
        <v>4.5</v>
      </c>
      <c r="I220" s="56"/>
      <c r="J220" s="56">
        <f t="shared" si="7"/>
        <v>-27</v>
      </c>
      <c r="K220" s="2" t="s">
        <v>51</v>
      </c>
      <c r="L220" s="7"/>
      <c r="M220" s="27"/>
      <c r="N220" s="26"/>
    </row>
    <row r="221" spans="1:14" s="28" customFormat="1" x14ac:dyDescent="0.25">
      <c r="A221" s="7"/>
      <c r="B221" s="4" t="s">
        <v>167</v>
      </c>
      <c r="C221" s="2">
        <f>0.5*-1</f>
        <v>-0.5</v>
      </c>
      <c r="D221" s="56">
        <v>3</v>
      </c>
      <c r="E221" s="56"/>
      <c r="F221" s="56"/>
      <c r="G221" s="56"/>
      <c r="H221" s="56">
        <v>7</v>
      </c>
      <c r="I221" s="56"/>
      <c r="J221" s="56">
        <f t="shared" si="7"/>
        <v>-10.5</v>
      </c>
      <c r="K221" s="2" t="s">
        <v>51</v>
      </c>
      <c r="L221" s="7"/>
      <c r="M221" s="27"/>
      <c r="N221" s="26"/>
    </row>
    <row r="222" spans="1:14" s="28" customFormat="1" x14ac:dyDescent="0.25">
      <c r="A222" s="7"/>
      <c r="B222" s="4"/>
      <c r="C222" s="2"/>
      <c r="D222" s="56"/>
      <c r="E222" s="56"/>
      <c r="F222" s="56"/>
      <c r="G222" s="56"/>
      <c r="H222" s="56"/>
      <c r="I222" s="56"/>
      <c r="J222" s="56"/>
      <c r="K222" s="2"/>
      <c r="L222" s="7"/>
      <c r="M222" s="27"/>
      <c r="N222" s="26"/>
    </row>
    <row r="223" spans="1:14" s="28" customFormat="1" x14ac:dyDescent="0.25">
      <c r="A223" s="7"/>
      <c r="B223" s="26" t="s">
        <v>299</v>
      </c>
      <c r="C223" s="2"/>
      <c r="D223" s="56"/>
      <c r="E223" s="56"/>
      <c r="F223" s="56"/>
      <c r="G223" s="56"/>
      <c r="H223" s="56"/>
      <c r="I223" s="56"/>
      <c r="J223" s="56"/>
      <c r="K223" s="2"/>
      <c r="L223" s="7"/>
      <c r="M223" s="27"/>
      <c r="N223" s="26"/>
    </row>
    <row r="224" spans="1:14" s="28" customFormat="1" x14ac:dyDescent="0.25">
      <c r="A224" s="7"/>
      <c r="B224" s="4" t="s">
        <v>191</v>
      </c>
      <c r="C224" s="2">
        <v>1</v>
      </c>
      <c r="D224" s="56">
        <f>CONVERT(E224,"m","ft")</f>
        <v>11.220472440944881</v>
      </c>
      <c r="E224" s="56">
        <v>3.42</v>
      </c>
      <c r="F224" s="56"/>
      <c r="G224" s="56"/>
      <c r="H224" s="56">
        <f>7+10/12</f>
        <v>7.833333333333333</v>
      </c>
      <c r="I224" s="56"/>
      <c r="J224" s="56">
        <f t="shared" si="7"/>
        <v>87.893700787401571</v>
      </c>
      <c r="K224" s="2" t="s">
        <v>51</v>
      </c>
      <c r="L224" s="7"/>
      <c r="M224" s="27"/>
      <c r="N224" s="26"/>
    </row>
    <row r="225" spans="1:14" s="28" customFormat="1" x14ac:dyDescent="0.25">
      <c r="A225" s="7"/>
      <c r="B225" s="4" t="s">
        <v>286</v>
      </c>
      <c r="C225" s="2">
        <v>2</v>
      </c>
      <c r="D225" s="56">
        <f>CONVERT(E225,"m","ft")</f>
        <v>10.728346456692913</v>
      </c>
      <c r="E225" s="56">
        <v>3.27</v>
      </c>
      <c r="F225" s="56"/>
      <c r="G225" s="56"/>
      <c r="H225" s="56">
        <f>7+10/12</f>
        <v>7.833333333333333</v>
      </c>
      <c r="I225" s="56"/>
      <c r="J225" s="56">
        <f t="shared" si="7"/>
        <v>168.07742782152229</v>
      </c>
      <c r="K225" s="2" t="s">
        <v>51</v>
      </c>
      <c r="L225" s="7"/>
      <c r="M225" s="27"/>
      <c r="N225" s="26"/>
    </row>
    <row r="226" spans="1:14" s="28" customFormat="1" ht="14.25" customHeight="1" x14ac:dyDescent="0.25">
      <c r="A226" s="7"/>
      <c r="B226" s="4" t="s">
        <v>154</v>
      </c>
      <c r="C226" s="2">
        <f>-0.5*(2)</f>
        <v>-1</v>
      </c>
      <c r="D226" s="56">
        <v>6</v>
      </c>
      <c r="E226" s="56"/>
      <c r="F226" s="56"/>
      <c r="G226" s="56"/>
      <c r="H226" s="56">
        <v>4.5</v>
      </c>
      <c r="I226" s="56"/>
      <c r="J226" s="56">
        <f t="shared" si="7"/>
        <v>-27</v>
      </c>
      <c r="K226" s="2" t="s">
        <v>51</v>
      </c>
      <c r="L226" s="7"/>
      <c r="M226" s="27"/>
      <c r="N226" s="26"/>
    </row>
    <row r="227" spans="1:14" s="28" customFormat="1" x14ac:dyDescent="0.25">
      <c r="A227" s="7"/>
      <c r="B227" s="4" t="s">
        <v>167</v>
      </c>
      <c r="C227" s="2">
        <f>0.5*-1</f>
        <v>-0.5</v>
      </c>
      <c r="D227" s="56">
        <v>3</v>
      </c>
      <c r="E227" s="56"/>
      <c r="F227" s="56"/>
      <c r="G227" s="56"/>
      <c r="H227" s="56">
        <v>7</v>
      </c>
      <c r="I227" s="56"/>
      <c r="J227" s="56">
        <f t="shared" si="7"/>
        <v>-10.5</v>
      </c>
      <c r="K227" s="2" t="s">
        <v>51</v>
      </c>
      <c r="L227" s="7"/>
      <c r="M227" s="27"/>
      <c r="N227" s="26"/>
    </row>
    <row r="228" spans="1:14" s="28" customFormat="1" x14ac:dyDescent="0.25">
      <c r="A228" s="7"/>
      <c r="B228" s="4"/>
      <c r="C228" s="2"/>
      <c r="D228" s="56"/>
      <c r="E228" s="56"/>
      <c r="F228" s="56"/>
      <c r="G228" s="56"/>
      <c r="H228" s="56"/>
      <c r="I228" s="56"/>
      <c r="J228" s="56"/>
      <c r="K228" s="2"/>
      <c r="L228" s="7"/>
      <c r="M228" s="27"/>
      <c r="N228" s="26"/>
    </row>
    <row r="229" spans="1:14" s="28" customFormat="1" x14ac:dyDescent="0.25">
      <c r="A229" s="7"/>
      <c r="B229" s="41" t="s">
        <v>300</v>
      </c>
      <c r="C229" s="2"/>
      <c r="D229" s="56"/>
      <c r="E229" s="56"/>
      <c r="F229" s="56"/>
      <c r="G229" s="56"/>
      <c r="H229" s="56"/>
      <c r="I229" s="56"/>
      <c r="J229" s="56"/>
      <c r="K229" s="2"/>
      <c r="L229" s="7"/>
      <c r="M229" s="27"/>
      <c r="N229" s="26"/>
    </row>
    <row r="230" spans="1:14" s="28" customFormat="1" x14ac:dyDescent="0.25">
      <c r="A230" s="7"/>
      <c r="B230" s="4" t="s">
        <v>209</v>
      </c>
      <c r="C230" s="2">
        <v>2</v>
      </c>
      <c r="D230" s="56">
        <v>4</v>
      </c>
      <c r="E230" s="56"/>
      <c r="F230" s="56"/>
      <c r="G230" s="56"/>
      <c r="H230" s="56">
        <f>7+10/12</f>
        <v>7.833333333333333</v>
      </c>
      <c r="I230" s="56"/>
      <c r="J230" s="56">
        <f t="shared" si="7"/>
        <v>62.666666666666664</v>
      </c>
      <c r="K230" s="2" t="s">
        <v>51</v>
      </c>
      <c r="L230" s="7"/>
      <c r="M230" s="27"/>
      <c r="N230" s="26"/>
    </row>
    <row r="231" spans="1:14" s="28" customFormat="1" x14ac:dyDescent="0.25">
      <c r="A231" s="7"/>
      <c r="B231" s="4" t="s">
        <v>199</v>
      </c>
      <c r="C231" s="2">
        <f>0.5*-2</f>
        <v>-1</v>
      </c>
      <c r="D231" s="56">
        <v>4</v>
      </c>
      <c r="E231" s="56"/>
      <c r="F231" s="56"/>
      <c r="G231" s="56"/>
      <c r="H231" s="56">
        <f>7+3/12</f>
        <v>7.25</v>
      </c>
      <c r="I231" s="56"/>
      <c r="J231" s="56">
        <f t="shared" si="7"/>
        <v>-29</v>
      </c>
      <c r="K231" s="2" t="s">
        <v>51</v>
      </c>
      <c r="L231" s="7"/>
      <c r="M231" s="27"/>
      <c r="N231" s="26"/>
    </row>
    <row r="232" spans="1:14" s="28" customFormat="1" x14ac:dyDescent="0.25">
      <c r="A232" s="7"/>
      <c r="B232" s="4"/>
      <c r="C232" s="2"/>
      <c r="D232" s="56"/>
      <c r="E232" s="56"/>
      <c r="F232" s="56"/>
      <c r="G232" s="56"/>
      <c r="H232" s="56"/>
      <c r="I232" s="56"/>
      <c r="J232" s="56"/>
      <c r="K232" s="2"/>
      <c r="L232" s="7"/>
      <c r="M232" s="27"/>
      <c r="N232" s="26"/>
    </row>
    <row r="233" spans="1:14" s="28" customFormat="1" ht="30" x14ac:dyDescent="0.25">
      <c r="A233" s="7"/>
      <c r="B233" s="26" t="s">
        <v>301</v>
      </c>
      <c r="C233" s="2"/>
      <c r="D233" s="56"/>
      <c r="E233" s="56"/>
      <c r="F233" s="56"/>
      <c r="G233" s="56"/>
      <c r="H233" s="56"/>
      <c r="I233" s="56"/>
      <c r="J233" s="56"/>
      <c r="K233" s="2"/>
      <c r="L233" s="7"/>
      <c r="M233" s="27"/>
      <c r="N233" s="26"/>
    </row>
    <row r="234" spans="1:14" s="28" customFormat="1" x14ac:dyDescent="0.25">
      <c r="A234" s="7"/>
      <c r="B234" s="4" t="s">
        <v>187</v>
      </c>
      <c r="C234" s="2">
        <v>1</v>
      </c>
      <c r="D234" s="56">
        <f>CONVERT(E234,"m","ft")</f>
        <v>10.62992125984252</v>
      </c>
      <c r="E234" s="56">
        <v>3.24</v>
      </c>
      <c r="F234" s="56"/>
      <c r="G234" s="56"/>
      <c r="H234" s="56">
        <f>7+10/12</f>
        <v>7.833333333333333</v>
      </c>
      <c r="I234" s="56"/>
      <c r="J234" s="56">
        <f t="shared" si="7"/>
        <v>83.267716535433067</v>
      </c>
      <c r="K234" s="2" t="s">
        <v>51</v>
      </c>
      <c r="L234" s="7"/>
      <c r="M234" s="27"/>
      <c r="N234" s="26"/>
    </row>
    <row r="235" spans="1:14" s="28" customFormat="1" x14ac:dyDescent="0.25">
      <c r="A235" s="7"/>
      <c r="B235" s="4" t="s">
        <v>192</v>
      </c>
      <c r="C235" s="2">
        <v>1</v>
      </c>
      <c r="D235" s="56">
        <f>CONVERT(E235,"m","ft")</f>
        <v>6.4632545931758534</v>
      </c>
      <c r="E235" s="56">
        <v>1.97</v>
      </c>
      <c r="F235" s="56"/>
      <c r="G235" s="56"/>
      <c r="H235" s="56">
        <f>7+10/12</f>
        <v>7.833333333333333</v>
      </c>
      <c r="I235" s="56"/>
      <c r="J235" s="56">
        <f t="shared" si="7"/>
        <v>50.628827646544181</v>
      </c>
      <c r="K235" s="2" t="s">
        <v>51</v>
      </c>
      <c r="L235" s="7"/>
      <c r="M235" s="27"/>
      <c r="N235" s="26"/>
    </row>
    <row r="236" spans="1:14" s="28" customFormat="1" ht="14.25" customHeight="1" x14ac:dyDescent="0.25">
      <c r="A236" s="7"/>
      <c r="B236" s="4" t="s">
        <v>154</v>
      </c>
      <c r="C236" s="2">
        <f>-0.5*(1)</f>
        <v>-0.5</v>
      </c>
      <c r="D236" s="56">
        <v>6</v>
      </c>
      <c r="E236" s="56"/>
      <c r="F236" s="56"/>
      <c r="G236" s="56"/>
      <c r="H236" s="56">
        <v>4.5</v>
      </c>
      <c r="I236" s="56"/>
      <c r="J236" s="56">
        <f t="shared" si="7"/>
        <v>-13.5</v>
      </c>
      <c r="K236" s="2" t="s">
        <v>51</v>
      </c>
      <c r="L236" s="7"/>
      <c r="M236" s="27"/>
      <c r="N236" s="26"/>
    </row>
    <row r="237" spans="1:14" s="28" customFormat="1" x14ac:dyDescent="0.25">
      <c r="A237" s="7"/>
      <c r="B237" s="4"/>
      <c r="C237" s="2"/>
      <c r="D237" s="56"/>
      <c r="E237" s="56"/>
      <c r="F237" s="56"/>
      <c r="G237" s="56"/>
      <c r="H237" s="56"/>
      <c r="I237" s="56"/>
      <c r="J237" s="56"/>
      <c r="K237" s="2"/>
      <c r="L237" s="7"/>
      <c r="M237" s="27"/>
      <c r="N237" s="26"/>
    </row>
    <row r="238" spans="1:14" s="28" customFormat="1" x14ac:dyDescent="0.25">
      <c r="A238" s="7"/>
      <c r="B238" s="41" t="s">
        <v>302</v>
      </c>
      <c r="C238" s="2"/>
      <c r="D238" s="56"/>
      <c r="E238" s="56"/>
      <c r="F238" s="56"/>
      <c r="G238" s="56"/>
      <c r="H238" s="56"/>
      <c r="I238" s="56"/>
      <c r="J238" s="56"/>
      <c r="K238" s="2"/>
      <c r="L238" s="7"/>
      <c r="M238" s="27"/>
      <c r="N238" s="26"/>
    </row>
    <row r="239" spans="1:14" s="28" customFormat="1" x14ac:dyDescent="0.25">
      <c r="A239" s="7"/>
      <c r="B239" s="4" t="s">
        <v>192</v>
      </c>
      <c r="C239" s="2">
        <v>1</v>
      </c>
      <c r="D239" s="56">
        <f>CONVERT(E239,"m","ft")</f>
        <v>6.8897637795275593</v>
      </c>
      <c r="E239" s="56">
        <f>2.1</f>
        <v>2.1</v>
      </c>
      <c r="F239" s="56"/>
      <c r="G239" s="56"/>
      <c r="H239" s="56">
        <f>7+10/12</f>
        <v>7.833333333333333</v>
      </c>
      <c r="I239" s="56"/>
      <c r="J239" s="56">
        <f t="shared" si="7"/>
        <v>53.969816272965879</v>
      </c>
      <c r="K239" s="2" t="s">
        <v>51</v>
      </c>
      <c r="L239" s="7"/>
      <c r="M239" s="27"/>
      <c r="N239" s="26"/>
    </row>
    <row r="240" spans="1:14" s="28" customFormat="1" x14ac:dyDescent="0.25">
      <c r="A240" s="7"/>
      <c r="B240" s="4" t="s">
        <v>204</v>
      </c>
      <c r="C240" s="2">
        <v>1</v>
      </c>
      <c r="D240" s="56">
        <f>CONVERT(E240,"m","ft")</f>
        <v>10.826771653543307</v>
      </c>
      <c r="E240" s="56">
        <v>3.3</v>
      </c>
      <c r="F240" s="56"/>
      <c r="G240" s="56"/>
      <c r="H240" s="56">
        <f>7+10/12</f>
        <v>7.833333333333333</v>
      </c>
      <c r="I240" s="56"/>
      <c r="J240" s="56">
        <f t="shared" si="7"/>
        <v>84.809711286089239</v>
      </c>
      <c r="K240" s="2" t="s">
        <v>51</v>
      </c>
      <c r="L240" s="7"/>
      <c r="M240" s="27"/>
      <c r="N240" s="26"/>
    </row>
    <row r="241" spans="1:14" s="28" customFormat="1" ht="14.25" customHeight="1" x14ac:dyDescent="0.25">
      <c r="A241" s="7"/>
      <c r="B241" s="4" t="s">
        <v>197</v>
      </c>
      <c r="C241" s="2">
        <f>-0.5*(2)</f>
        <v>-1</v>
      </c>
      <c r="D241" s="56">
        <v>2</v>
      </c>
      <c r="E241" s="56"/>
      <c r="F241" s="56"/>
      <c r="G241" s="56"/>
      <c r="H241" s="56">
        <v>3</v>
      </c>
      <c r="I241" s="56"/>
      <c r="J241" s="56">
        <f t="shared" si="7"/>
        <v>-6</v>
      </c>
      <c r="K241" s="2" t="s">
        <v>51</v>
      </c>
      <c r="L241" s="7"/>
      <c r="M241" s="27"/>
      <c r="N241" s="26"/>
    </row>
    <row r="242" spans="1:14" s="28" customFormat="1" x14ac:dyDescent="0.25">
      <c r="A242" s="7"/>
      <c r="B242" s="4" t="s">
        <v>174</v>
      </c>
      <c r="C242" s="2">
        <f>0.5*-1</f>
        <v>-0.5</v>
      </c>
      <c r="D242" s="56">
        <v>2.5</v>
      </c>
      <c r="E242" s="56"/>
      <c r="F242" s="56"/>
      <c r="G242" s="56"/>
      <c r="H242" s="56">
        <v>6.5</v>
      </c>
      <c r="I242" s="56"/>
      <c r="J242" s="56">
        <f t="shared" si="7"/>
        <v>-8.125</v>
      </c>
      <c r="K242" s="2" t="s">
        <v>51</v>
      </c>
      <c r="L242" s="7"/>
      <c r="M242" s="27"/>
      <c r="N242" s="26"/>
    </row>
    <row r="243" spans="1:14" s="28" customFormat="1" x14ac:dyDescent="0.25">
      <c r="A243" s="7"/>
      <c r="B243" s="38" t="s">
        <v>207</v>
      </c>
      <c r="C243" s="2">
        <v>-1</v>
      </c>
      <c r="D243" s="56">
        <f>2.1*3.28+3.5+3.5</f>
        <v>13.888</v>
      </c>
      <c r="E243" s="56"/>
      <c r="F243" s="56"/>
      <c r="G243" s="56"/>
      <c r="H243" s="56">
        <v>0.33</v>
      </c>
      <c r="I243" s="56"/>
      <c r="J243" s="56">
        <f t="shared" si="7"/>
        <v>-4.5830400000000004</v>
      </c>
      <c r="K243" s="2" t="s">
        <v>51</v>
      </c>
      <c r="L243" s="7"/>
      <c r="M243" s="27"/>
      <c r="N243" s="26"/>
    </row>
    <row r="244" spans="1:14" s="28" customFormat="1" x14ac:dyDescent="0.25">
      <c r="A244" s="7"/>
      <c r="B244" s="38" t="s">
        <v>205</v>
      </c>
      <c r="C244" s="2">
        <f>-7*0.5</f>
        <v>-3.5</v>
      </c>
      <c r="D244" s="56">
        <f>10/12</f>
        <v>0.83333333333333337</v>
      </c>
      <c r="E244" s="56"/>
      <c r="F244" s="56"/>
      <c r="G244" s="56"/>
      <c r="H244" s="56">
        <f>8/12</f>
        <v>0.66666666666666663</v>
      </c>
      <c r="I244" s="56"/>
      <c r="J244" s="56">
        <f t="shared" si="7"/>
        <v>-1.9444444444444446</v>
      </c>
      <c r="K244" s="2" t="s">
        <v>51</v>
      </c>
      <c r="L244" s="7"/>
      <c r="M244" s="27"/>
      <c r="N244" s="26"/>
    </row>
    <row r="245" spans="1:14" s="28" customFormat="1" x14ac:dyDescent="0.25">
      <c r="A245" s="7"/>
      <c r="B245" s="38" t="s">
        <v>206</v>
      </c>
      <c r="C245" s="2">
        <f>-1</f>
        <v>-1</v>
      </c>
      <c r="D245" s="56">
        <v>8.33</v>
      </c>
      <c r="E245" s="56"/>
      <c r="F245" s="56"/>
      <c r="G245" s="56"/>
      <c r="H245" s="56">
        <v>0.33</v>
      </c>
      <c r="I245" s="56"/>
      <c r="J245" s="56">
        <f t="shared" si="7"/>
        <v>-2.7489000000000003</v>
      </c>
      <c r="K245" s="2" t="s">
        <v>51</v>
      </c>
      <c r="L245" s="7"/>
      <c r="M245" s="27"/>
      <c r="N245" s="26"/>
    </row>
    <row r="246" spans="1:14" s="28" customFormat="1" x14ac:dyDescent="0.25">
      <c r="A246" s="7"/>
      <c r="B246" s="38"/>
      <c r="C246" s="2"/>
      <c r="D246" s="56"/>
      <c r="E246" s="56"/>
      <c r="F246" s="56"/>
      <c r="G246" s="56"/>
      <c r="H246" s="56"/>
      <c r="I246" s="56"/>
      <c r="J246" s="56"/>
      <c r="K246" s="2"/>
      <c r="L246" s="7"/>
      <c r="M246" s="67"/>
      <c r="N246" s="26"/>
    </row>
    <row r="247" spans="1:14" s="28" customFormat="1" x14ac:dyDescent="0.25">
      <c r="A247" s="7"/>
      <c r="B247" s="68" t="s">
        <v>159</v>
      </c>
      <c r="C247" s="2"/>
      <c r="D247" s="56"/>
      <c r="E247" s="56"/>
      <c r="F247" s="56"/>
      <c r="G247" s="56"/>
      <c r="H247" s="56"/>
      <c r="I247" s="56"/>
      <c r="J247" s="56"/>
      <c r="K247" s="2"/>
      <c r="L247" s="7"/>
      <c r="M247" s="27"/>
      <c r="N247" s="26"/>
    </row>
    <row r="248" spans="1:14" s="28" customFormat="1" x14ac:dyDescent="0.25">
      <c r="A248" s="7"/>
      <c r="B248" s="26" t="s">
        <v>208</v>
      </c>
      <c r="C248" s="2"/>
      <c r="D248" s="56"/>
      <c r="E248" s="56"/>
      <c r="F248" s="56"/>
      <c r="G248" s="56"/>
      <c r="H248" s="56"/>
      <c r="I248" s="56"/>
      <c r="J248" s="56"/>
      <c r="K248" s="2"/>
      <c r="L248" s="7"/>
      <c r="M248" s="27"/>
      <c r="N248" s="26"/>
    </row>
    <row r="249" spans="1:14" s="28" customFormat="1" x14ac:dyDescent="0.25">
      <c r="A249" s="7"/>
      <c r="B249" s="4" t="s">
        <v>187</v>
      </c>
      <c r="C249" s="2">
        <v>1</v>
      </c>
      <c r="D249" s="56">
        <f>CONVERT(E249,"m","ft")</f>
        <v>15.024646309455218</v>
      </c>
      <c r="E249" s="56">
        <f>3.36+4/3.28</f>
        <v>4.5795121951219508</v>
      </c>
      <c r="F249" s="56"/>
      <c r="G249" s="56"/>
      <c r="H249" s="56">
        <f>7+10/12</f>
        <v>7.833333333333333</v>
      </c>
      <c r="I249" s="56"/>
      <c r="J249" s="56">
        <f t="shared" si="7"/>
        <v>117.6930627573992</v>
      </c>
      <c r="K249" s="2" t="s">
        <v>51</v>
      </c>
      <c r="L249" s="7"/>
      <c r="M249" s="27"/>
      <c r="N249" s="26"/>
    </row>
    <row r="250" spans="1:14" s="28" customFormat="1" x14ac:dyDescent="0.25">
      <c r="A250" s="7"/>
      <c r="B250" s="4" t="s">
        <v>191</v>
      </c>
      <c r="C250" s="2">
        <v>1</v>
      </c>
      <c r="D250" s="56">
        <f>CONVERT(E250,"m","ft")</f>
        <v>15.155879905255743</v>
      </c>
      <c r="E250" s="56">
        <f>3.4+4/3.28</f>
        <v>4.6195121951219509</v>
      </c>
      <c r="F250" s="56"/>
      <c r="G250" s="56"/>
      <c r="H250" s="56">
        <f>7+10/12</f>
        <v>7.833333333333333</v>
      </c>
      <c r="I250" s="56"/>
      <c r="J250" s="56">
        <f t="shared" si="7"/>
        <v>118.72105925783664</v>
      </c>
      <c r="K250" s="2" t="s">
        <v>51</v>
      </c>
      <c r="L250" s="7"/>
      <c r="M250" s="27"/>
      <c r="N250" s="26"/>
    </row>
    <row r="251" spans="1:14" s="28" customFormat="1" x14ac:dyDescent="0.25">
      <c r="A251" s="7"/>
      <c r="B251" s="4" t="s">
        <v>192</v>
      </c>
      <c r="C251" s="2">
        <v>1</v>
      </c>
      <c r="D251" s="56">
        <f>CONVERT(E251,"m","ft")</f>
        <v>10.793963254593177</v>
      </c>
      <c r="E251" s="56">
        <v>3.29</v>
      </c>
      <c r="F251" s="56"/>
      <c r="G251" s="56"/>
      <c r="H251" s="56">
        <f>7+10/12</f>
        <v>7.833333333333333</v>
      </c>
      <c r="I251" s="56"/>
      <c r="J251" s="56">
        <f t="shared" si="7"/>
        <v>84.55271216097988</v>
      </c>
      <c r="K251" s="2" t="s">
        <v>51</v>
      </c>
      <c r="L251" s="7"/>
      <c r="M251" s="27"/>
      <c r="N251" s="26"/>
    </row>
    <row r="252" spans="1:14" s="28" customFormat="1" x14ac:dyDescent="0.25">
      <c r="A252" s="7"/>
      <c r="B252" s="4" t="s">
        <v>193</v>
      </c>
      <c r="C252" s="2">
        <v>1</v>
      </c>
      <c r="D252" s="56">
        <f>CONVERT(E252,"m","ft")</f>
        <v>10.728346456692913</v>
      </c>
      <c r="E252" s="56">
        <v>3.27</v>
      </c>
      <c r="F252" s="56"/>
      <c r="G252" s="56"/>
      <c r="H252" s="56">
        <f>7+10/12</f>
        <v>7.833333333333333</v>
      </c>
      <c r="I252" s="56"/>
      <c r="J252" s="56">
        <f t="shared" si="7"/>
        <v>84.038713910761146</v>
      </c>
      <c r="K252" s="2" t="s">
        <v>51</v>
      </c>
      <c r="L252" s="7"/>
      <c r="M252" s="27"/>
      <c r="N252" s="26"/>
    </row>
    <row r="253" spans="1:14" s="28" customFormat="1" ht="14.25" customHeight="1" x14ac:dyDescent="0.25">
      <c r="A253" s="7"/>
      <c r="B253" s="4" t="s">
        <v>154</v>
      </c>
      <c r="C253" s="2">
        <f>-0.5*(2)</f>
        <v>-1</v>
      </c>
      <c r="D253" s="56">
        <v>6</v>
      </c>
      <c r="E253" s="56"/>
      <c r="F253" s="56"/>
      <c r="G253" s="56"/>
      <c r="H253" s="56">
        <v>4.5</v>
      </c>
      <c r="I253" s="56"/>
      <c r="J253" s="56">
        <f t="shared" si="7"/>
        <v>-27</v>
      </c>
      <c r="K253" s="2" t="s">
        <v>51</v>
      </c>
      <c r="L253" s="7"/>
      <c r="M253" s="27"/>
      <c r="N253" s="26"/>
    </row>
    <row r="254" spans="1:14" s="28" customFormat="1" ht="14.25" customHeight="1" x14ac:dyDescent="0.25">
      <c r="A254" s="7"/>
      <c r="B254" s="4" t="s">
        <v>163</v>
      </c>
      <c r="C254" s="2">
        <f>-0.5*(1)</f>
        <v>-0.5</v>
      </c>
      <c r="D254" s="56">
        <v>4</v>
      </c>
      <c r="E254" s="56"/>
      <c r="F254" s="56"/>
      <c r="G254" s="56"/>
      <c r="H254" s="56">
        <v>4.5</v>
      </c>
      <c r="I254" s="56"/>
      <c r="J254" s="56">
        <f t="shared" si="7"/>
        <v>-9</v>
      </c>
      <c r="K254" s="2" t="s">
        <v>51</v>
      </c>
      <c r="L254" s="7"/>
      <c r="M254" s="27"/>
      <c r="N254" s="26"/>
    </row>
    <row r="255" spans="1:14" s="28" customFormat="1" x14ac:dyDescent="0.25">
      <c r="A255" s="7"/>
      <c r="B255" s="4" t="s">
        <v>167</v>
      </c>
      <c r="C255" s="2">
        <f>0.5*-1</f>
        <v>-0.5</v>
      </c>
      <c r="D255" s="56">
        <v>3</v>
      </c>
      <c r="E255" s="56"/>
      <c r="F255" s="56"/>
      <c r="G255" s="56"/>
      <c r="H255" s="56">
        <v>7</v>
      </c>
      <c r="I255" s="56"/>
      <c r="J255" s="56">
        <f t="shared" si="7"/>
        <v>-10.5</v>
      </c>
      <c r="K255" s="2" t="s">
        <v>51</v>
      </c>
      <c r="L255" s="7"/>
      <c r="M255" s="27"/>
      <c r="N255" s="26"/>
    </row>
    <row r="256" spans="1:14" s="28" customFormat="1" x14ac:dyDescent="0.25">
      <c r="A256" s="7"/>
      <c r="B256" s="4"/>
      <c r="C256" s="2"/>
      <c r="D256" s="56"/>
      <c r="E256" s="56"/>
      <c r="F256" s="56"/>
      <c r="G256" s="56"/>
      <c r="H256" s="56"/>
      <c r="I256" s="56"/>
      <c r="J256" s="56"/>
      <c r="K256" s="2"/>
      <c r="L256" s="7"/>
      <c r="M256" s="27"/>
      <c r="N256" s="26"/>
    </row>
    <row r="257" spans="1:14" s="28" customFormat="1" x14ac:dyDescent="0.25">
      <c r="A257" s="7"/>
      <c r="B257" s="26" t="s">
        <v>194</v>
      </c>
      <c r="C257" s="2"/>
      <c r="D257" s="56"/>
      <c r="E257" s="56"/>
      <c r="F257" s="56"/>
      <c r="G257" s="56"/>
      <c r="H257" s="56"/>
      <c r="I257" s="56"/>
      <c r="J257" s="56"/>
      <c r="K257" s="2"/>
      <c r="L257" s="7"/>
      <c r="M257" s="27"/>
      <c r="N257" s="26"/>
    </row>
    <row r="258" spans="1:14" s="28" customFormat="1" x14ac:dyDescent="0.25">
      <c r="A258" s="7"/>
      <c r="B258" s="4" t="s">
        <v>191</v>
      </c>
      <c r="C258" s="2">
        <v>1</v>
      </c>
      <c r="D258" s="56">
        <f>CONVERT(E258,"m","ft")</f>
        <v>11.220472440944881</v>
      </c>
      <c r="E258" s="56">
        <v>3.42</v>
      </c>
      <c r="F258" s="56"/>
      <c r="G258" s="56"/>
      <c r="H258" s="56">
        <f>7+10/12</f>
        <v>7.833333333333333</v>
      </c>
      <c r="I258" s="56"/>
      <c r="J258" s="56">
        <f t="shared" ref="J258:J303" si="8">C258*D258*H258</f>
        <v>87.893700787401571</v>
      </c>
      <c r="K258" s="2" t="s">
        <v>51</v>
      </c>
      <c r="L258" s="7"/>
      <c r="M258" s="27"/>
      <c r="N258" s="26"/>
    </row>
    <row r="259" spans="1:14" s="28" customFormat="1" x14ac:dyDescent="0.25">
      <c r="A259" s="7"/>
      <c r="B259" s="4" t="s">
        <v>286</v>
      </c>
      <c r="C259" s="2">
        <v>2</v>
      </c>
      <c r="D259" s="56">
        <f>CONVERT(E259,"m","ft")</f>
        <v>10.826771653543307</v>
      </c>
      <c r="E259" s="56">
        <v>3.3</v>
      </c>
      <c r="F259" s="56"/>
      <c r="G259" s="56"/>
      <c r="H259" s="56">
        <f>7+10/12</f>
        <v>7.833333333333333</v>
      </c>
      <c r="I259" s="56"/>
      <c r="J259" s="56">
        <f t="shared" si="8"/>
        <v>169.61942257217848</v>
      </c>
      <c r="K259" s="2" t="s">
        <v>51</v>
      </c>
      <c r="L259" s="7"/>
      <c r="M259" s="27"/>
      <c r="N259" s="26"/>
    </row>
    <row r="260" spans="1:14" s="28" customFormat="1" ht="14.25" customHeight="1" x14ac:dyDescent="0.25">
      <c r="A260" s="7"/>
      <c r="B260" s="4" t="s">
        <v>154</v>
      </c>
      <c r="C260" s="2">
        <f>-0.5*(2)</f>
        <v>-1</v>
      </c>
      <c r="D260" s="56">
        <v>6</v>
      </c>
      <c r="E260" s="56"/>
      <c r="F260" s="56"/>
      <c r="G260" s="56"/>
      <c r="H260" s="56">
        <v>4.5</v>
      </c>
      <c r="I260" s="56"/>
      <c r="J260" s="56">
        <f t="shared" si="8"/>
        <v>-27</v>
      </c>
      <c r="K260" s="2" t="s">
        <v>51</v>
      </c>
      <c r="L260" s="7"/>
      <c r="M260" s="27"/>
      <c r="N260" s="26"/>
    </row>
    <row r="261" spans="1:14" s="28" customFormat="1" x14ac:dyDescent="0.25">
      <c r="A261" s="7"/>
      <c r="B261" s="4" t="s">
        <v>167</v>
      </c>
      <c r="C261" s="2">
        <f>0.5*-1</f>
        <v>-0.5</v>
      </c>
      <c r="D261" s="56">
        <v>3</v>
      </c>
      <c r="E261" s="56"/>
      <c r="F261" s="56"/>
      <c r="G261" s="56"/>
      <c r="H261" s="56">
        <v>7</v>
      </c>
      <c r="I261" s="56"/>
      <c r="J261" s="56">
        <f t="shared" si="8"/>
        <v>-10.5</v>
      </c>
      <c r="K261" s="2" t="s">
        <v>51</v>
      </c>
      <c r="L261" s="7"/>
      <c r="M261" s="27"/>
      <c r="N261" s="26"/>
    </row>
    <row r="262" spans="1:14" s="28" customFormat="1" x14ac:dyDescent="0.25">
      <c r="A262" s="7"/>
      <c r="B262" s="4"/>
      <c r="C262" s="2"/>
      <c r="D262" s="56"/>
      <c r="E262" s="56"/>
      <c r="F262" s="56"/>
      <c r="G262" s="56"/>
      <c r="H262" s="56"/>
      <c r="I262" s="56"/>
      <c r="J262" s="56"/>
      <c r="K262" s="2"/>
      <c r="L262" s="7"/>
      <c r="M262" s="27"/>
      <c r="N262" s="26"/>
    </row>
    <row r="263" spans="1:14" s="28" customFormat="1" x14ac:dyDescent="0.25">
      <c r="A263" s="7"/>
      <c r="B263" s="41" t="s">
        <v>305</v>
      </c>
      <c r="C263" s="2"/>
      <c r="D263" s="56"/>
      <c r="E263" s="56"/>
      <c r="F263" s="56"/>
      <c r="G263" s="56"/>
      <c r="H263" s="56"/>
      <c r="I263" s="56"/>
      <c r="J263" s="56"/>
      <c r="K263" s="2"/>
      <c r="L263" s="7"/>
      <c r="M263" s="27"/>
      <c r="N263" s="26"/>
    </row>
    <row r="264" spans="1:14" s="28" customFormat="1" x14ac:dyDescent="0.25">
      <c r="A264" s="7"/>
      <c r="B264" s="4" t="s">
        <v>191</v>
      </c>
      <c r="C264" s="2">
        <v>1</v>
      </c>
      <c r="D264" s="56">
        <v>4</v>
      </c>
      <c r="E264" s="56"/>
      <c r="F264" s="56"/>
      <c r="G264" s="56"/>
      <c r="H264" s="56">
        <f>7+10/12</f>
        <v>7.833333333333333</v>
      </c>
      <c r="I264" s="56"/>
      <c r="J264" s="56">
        <f t="shared" si="8"/>
        <v>31.333333333333332</v>
      </c>
      <c r="K264" s="2" t="s">
        <v>51</v>
      </c>
      <c r="L264" s="7"/>
      <c r="M264" s="27"/>
      <c r="N264" s="26"/>
    </row>
    <row r="265" spans="1:14" s="28" customFormat="1" x14ac:dyDescent="0.25">
      <c r="A265" s="7"/>
      <c r="B265" s="4" t="s">
        <v>163</v>
      </c>
      <c r="C265" s="2">
        <f>0.5*-1</f>
        <v>-0.5</v>
      </c>
      <c r="D265" s="56">
        <v>4</v>
      </c>
      <c r="E265" s="56"/>
      <c r="F265" s="56"/>
      <c r="G265" s="56"/>
      <c r="H265" s="56">
        <v>4.5</v>
      </c>
      <c r="I265" s="56"/>
      <c r="J265" s="56">
        <f t="shared" si="8"/>
        <v>-9</v>
      </c>
      <c r="K265" s="2" t="s">
        <v>51</v>
      </c>
      <c r="L265" s="7"/>
      <c r="M265" s="27"/>
      <c r="N265" s="26"/>
    </row>
    <row r="266" spans="1:14" s="28" customFormat="1" x14ac:dyDescent="0.25">
      <c r="A266" s="7"/>
      <c r="B266" s="4"/>
      <c r="C266" s="2"/>
      <c r="D266" s="56"/>
      <c r="E266" s="56"/>
      <c r="F266" s="56"/>
      <c r="G266" s="56"/>
      <c r="H266" s="56"/>
      <c r="I266" s="56"/>
      <c r="J266" s="56"/>
      <c r="K266" s="2"/>
      <c r="L266" s="7"/>
      <c r="M266" s="27"/>
      <c r="N266" s="26"/>
    </row>
    <row r="267" spans="1:14" s="28" customFormat="1" x14ac:dyDescent="0.25">
      <c r="A267" s="7"/>
      <c r="B267" s="26" t="s">
        <v>195</v>
      </c>
      <c r="C267" s="2"/>
      <c r="D267" s="56"/>
      <c r="E267" s="56"/>
      <c r="F267" s="56"/>
      <c r="G267" s="56"/>
      <c r="H267" s="56"/>
      <c r="I267" s="56"/>
      <c r="J267" s="56"/>
      <c r="K267" s="2"/>
      <c r="L267" s="7"/>
      <c r="M267" s="27"/>
      <c r="N267" s="26"/>
    </row>
    <row r="268" spans="1:14" s="28" customFormat="1" x14ac:dyDescent="0.25">
      <c r="A268" s="7"/>
      <c r="B268" s="4" t="s">
        <v>287</v>
      </c>
      <c r="C268" s="2">
        <v>2</v>
      </c>
      <c r="D268" s="56">
        <f>CONVERT(E268,"m","ft")</f>
        <v>10.69553805774278</v>
      </c>
      <c r="E268" s="56">
        <v>3.26</v>
      </c>
      <c r="F268" s="56"/>
      <c r="G268" s="56"/>
      <c r="H268" s="56">
        <f>7+10/12</f>
        <v>7.833333333333333</v>
      </c>
      <c r="I268" s="56"/>
      <c r="J268" s="56">
        <f t="shared" si="8"/>
        <v>167.56342957130354</v>
      </c>
      <c r="K268" s="2" t="s">
        <v>51</v>
      </c>
      <c r="L268" s="7"/>
      <c r="M268" s="27"/>
      <c r="N268" s="26"/>
    </row>
    <row r="269" spans="1:14" s="28" customFormat="1" x14ac:dyDescent="0.25">
      <c r="A269" s="7"/>
      <c r="B269" s="4" t="s">
        <v>192</v>
      </c>
      <c r="C269" s="2">
        <v>1</v>
      </c>
      <c r="D269" s="56">
        <f>CONVERT(E269,"m","ft")</f>
        <v>10.826771653543307</v>
      </c>
      <c r="E269" s="56">
        <v>3.3</v>
      </c>
      <c r="F269" s="56"/>
      <c r="G269" s="56"/>
      <c r="H269" s="56">
        <f>7+10/12</f>
        <v>7.833333333333333</v>
      </c>
      <c r="I269" s="56"/>
      <c r="J269" s="56">
        <f t="shared" si="8"/>
        <v>84.809711286089239</v>
      </c>
      <c r="K269" s="2" t="s">
        <v>51</v>
      </c>
      <c r="L269" s="7"/>
      <c r="M269" s="27"/>
      <c r="N269" s="26"/>
    </row>
    <row r="270" spans="1:14" s="28" customFormat="1" ht="14.25" customHeight="1" x14ac:dyDescent="0.25">
      <c r="A270" s="7"/>
      <c r="B270" s="4" t="s">
        <v>154</v>
      </c>
      <c r="C270" s="2">
        <f>-0.5*(2)</f>
        <v>-1</v>
      </c>
      <c r="D270" s="56">
        <v>6</v>
      </c>
      <c r="E270" s="56"/>
      <c r="F270" s="56"/>
      <c r="G270" s="56"/>
      <c r="H270" s="56">
        <v>4.5</v>
      </c>
      <c r="I270" s="56"/>
      <c r="J270" s="56">
        <f t="shared" si="8"/>
        <v>-27</v>
      </c>
      <c r="K270" s="2" t="s">
        <v>51</v>
      </c>
      <c r="L270" s="7"/>
      <c r="M270" s="27"/>
      <c r="N270" s="26"/>
    </row>
    <row r="271" spans="1:14" s="28" customFormat="1" x14ac:dyDescent="0.25">
      <c r="A271" s="7"/>
      <c r="B271" s="4" t="s">
        <v>167</v>
      </c>
      <c r="C271" s="2">
        <f>0.5*-1</f>
        <v>-0.5</v>
      </c>
      <c r="D271" s="56">
        <v>3</v>
      </c>
      <c r="E271" s="56"/>
      <c r="F271" s="56"/>
      <c r="G271" s="56"/>
      <c r="H271" s="56">
        <v>7</v>
      </c>
      <c r="I271" s="56"/>
      <c r="J271" s="56">
        <f t="shared" si="8"/>
        <v>-10.5</v>
      </c>
      <c r="K271" s="2" t="s">
        <v>51</v>
      </c>
      <c r="L271" s="7"/>
      <c r="M271" s="27"/>
      <c r="N271" s="26"/>
    </row>
    <row r="272" spans="1:14" s="28" customFormat="1" x14ac:dyDescent="0.25">
      <c r="A272" s="7"/>
      <c r="B272" s="4"/>
      <c r="C272" s="2"/>
      <c r="D272" s="56"/>
      <c r="E272" s="56"/>
      <c r="F272" s="56"/>
      <c r="G272" s="56"/>
      <c r="H272" s="56"/>
      <c r="I272" s="56"/>
      <c r="J272" s="56"/>
      <c r="K272" s="2"/>
      <c r="L272" s="7"/>
      <c r="M272" s="27"/>
      <c r="N272" s="26"/>
    </row>
    <row r="273" spans="1:14" s="28" customFormat="1" x14ac:dyDescent="0.25">
      <c r="A273" s="7"/>
      <c r="B273" s="41" t="s">
        <v>302</v>
      </c>
      <c r="C273" s="2"/>
      <c r="D273" s="56"/>
      <c r="E273" s="56"/>
      <c r="F273" s="56"/>
      <c r="G273" s="56"/>
      <c r="H273" s="56"/>
      <c r="I273" s="56"/>
      <c r="J273" s="56"/>
      <c r="K273" s="2"/>
      <c r="L273" s="7"/>
      <c r="M273" s="27"/>
      <c r="N273" s="26"/>
    </row>
    <row r="274" spans="1:14" s="28" customFormat="1" x14ac:dyDescent="0.25">
      <c r="A274" s="7"/>
      <c r="B274" s="4" t="s">
        <v>192</v>
      </c>
      <c r="C274" s="2">
        <v>1</v>
      </c>
      <c r="D274" s="56">
        <f>CONVERT(E274,"m","ft")</f>
        <v>6.8897637795275593</v>
      </c>
      <c r="E274" s="56">
        <f>2.1</f>
        <v>2.1</v>
      </c>
      <c r="F274" s="56"/>
      <c r="G274" s="56"/>
      <c r="H274" s="56">
        <f>7+10/12</f>
        <v>7.833333333333333</v>
      </c>
      <c r="I274" s="56"/>
      <c r="J274" s="56">
        <f t="shared" si="8"/>
        <v>53.969816272965879</v>
      </c>
      <c r="K274" s="2" t="s">
        <v>51</v>
      </c>
      <c r="L274" s="7"/>
      <c r="M274" s="27"/>
      <c r="N274" s="26"/>
    </row>
    <row r="275" spans="1:14" s="28" customFormat="1" x14ac:dyDescent="0.25">
      <c r="A275" s="7"/>
      <c r="B275" s="4" t="s">
        <v>204</v>
      </c>
      <c r="C275" s="2">
        <v>1</v>
      </c>
      <c r="D275" s="56">
        <f>CONVERT(E275,"m","ft")</f>
        <v>10.826771653543307</v>
      </c>
      <c r="E275" s="56">
        <v>3.3</v>
      </c>
      <c r="F275" s="56"/>
      <c r="G275" s="56"/>
      <c r="H275" s="56">
        <f>7+10/12</f>
        <v>7.833333333333333</v>
      </c>
      <c r="I275" s="56"/>
      <c r="J275" s="56">
        <f t="shared" si="8"/>
        <v>84.809711286089239</v>
      </c>
      <c r="K275" s="2" t="s">
        <v>51</v>
      </c>
      <c r="L275" s="7"/>
      <c r="M275" s="27"/>
      <c r="N275" s="26"/>
    </row>
    <row r="276" spans="1:14" s="28" customFormat="1" ht="14.25" customHeight="1" x14ac:dyDescent="0.25">
      <c r="A276" s="7"/>
      <c r="B276" s="4" t="s">
        <v>197</v>
      </c>
      <c r="C276" s="2">
        <f>-0.5*(2)</f>
        <v>-1</v>
      </c>
      <c r="D276" s="56">
        <v>2</v>
      </c>
      <c r="E276" s="56"/>
      <c r="F276" s="56"/>
      <c r="G276" s="56"/>
      <c r="H276" s="56">
        <v>3</v>
      </c>
      <c r="I276" s="56"/>
      <c r="J276" s="56">
        <f t="shared" si="8"/>
        <v>-6</v>
      </c>
      <c r="K276" s="2" t="s">
        <v>51</v>
      </c>
      <c r="L276" s="7"/>
      <c r="M276" s="27"/>
      <c r="N276" s="26"/>
    </row>
    <row r="277" spans="1:14" s="28" customFormat="1" x14ac:dyDescent="0.25">
      <c r="A277" s="7"/>
      <c r="B277" s="4" t="s">
        <v>174</v>
      </c>
      <c r="C277" s="2">
        <f>0.5*-1</f>
        <v>-0.5</v>
      </c>
      <c r="D277" s="56">
        <v>2.5</v>
      </c>
      <c r="E277" s="56"/>
      <c r="F277" s="56"/>
      <c r="G277" s="56"/>
      <c r="H277" s="56">
        <v>6.5</v>
      </c>
      <c r="I277" s="56"/>
      <c r="J277" s="56">
        <f t="shared" si="8"/>
        <v>-8.125</v>
      </c>
      <c r="K277" s="2" t="s">
        <v>51</v>
      </c>
      <c r="L277" s="7"/>
      <c r="M277" s="27"/>
      <c r="N277" s="26"/>
    </row>
    <row r="278" spans="1:14" s="28" customFormat="1" x14ac:dyDescent="0.25">
      <c r="A278" s="7"/>
      <c r="B278" s="38" t="s">
        <v>207</v>
      </c>
      <c r="C278" s="2">
        <v>-1</v>
      </c>
      <c r="D278" s="56">
        <f>2.1*3.28+3.5+3.5</f>
        <v>13.888</v>
      </c>
      <c r="E278" s="56"/>
      <c r="F278" s="56"/>
      <c r="G278" s="56"/>
      <c r="H278" s="56">
        <v>0.33</v>
      </c>
      <c r="I278" s="56"/>
      <c r="J278" s="56">
        <f t="shared" si="8"/>
        <v>-4.5830400000000004</v>
      </c>
      <c r="K278" s="2" t="s">
        <v>51</v>
      </c>
      <c r="L278" s="7"/>
      <c r="M278" s="27"/>
      <c r="N278" s="26"/>
    </row>
    <row r="279" spans="1:14" s="28" customFormat="1" x14ac:dyDescent="0.25">
      <c r="A279" s="7"/>
      <c r="B279" s="38" t="s">
        <v>205</v>
      </c>
      <c r="C279" s="2">
        <f>-7*0.5</f>
        <v>-3.5</v>
      </c>
      <c r="D279" s="56">
        <f>10/12</f>
        <v>0.83333333333333337</v>
      </c>
      <c r="E279" s="56"/>
      <c r="F279" s="56"/>
      <c r="G279" s="56"/>
      <c r="H279" s="56">
        <f>8/12</f>
        <v>0.66666666666666663</v>
      </c>
      <c r="I279" s="56"/>
      <c r="J279" s="56">
        <f t="shared" si="8"/>
        <v>-1.9444444444444446</v>
      </c>
      <c r="K279" s="2" t="s">
        <v>51</v>
      </c>
      <c r="L279" s="7"/>
      <c r="M279" s="27"/>
      <c r="N279" s="26"/>
    </row>
    <row r="280" spans="1:14" s="28" customFormat="1" x14ac:dyDescent="0.25">
      <c r="A280" s="7"/>
      <c r="B280" s="38" t="s">
        <v>206</v>
      </c>
      <c r="C280" s="2">
        <v>-1</v>
      </c>
      <c r="D280" s="56">
        <v>8.33</v>
      </c>
      <c r="E280" s="56"/>
      <c r="F280" s="56"/>
      <c r="G280" s="56"/>
      <c r="H280" s="56">
        <v>0.33</v>
      </c>
      <c r="I280" s="56"/>
      <c r="J280" s="56">
        <f t="shared" si="8"/>
        <v>-2.7489000000000003</v>
      </c>
      <c r="K280" s="2" t="s">
        <v>51</v>
      </c>
      <c r="L280" s="7"/>
      <c r="M280" s="27"/>
      <c r="N280" s="26"/>
    </row>
    <row r="281" spans="1:14" s="28" customFormat="1" x14ac:dyDescent="0.25">
      <c r="A281" s="7"/>
      <c r="B281" s="38"/>
      <c r="C281" s="2"/>
      <c r="D281" s="56"/>
      <c r="E281" s="56"/>
      <c r="F281" s="56"/>
      <c r="G281" s="56"/>
      <c r="H281" s="56"/>
      <c r="I281" s="56"/>
      <c r="J281" s="56"/>
      <c r="K281" s="2"/>
      <c r="L281" s="7"/>
      <c r="M281" s="27"/>
      <c r="N281" s="26"/>
    </row>
    <row r="282" spans="1:14" s="28" customFormat="1" x14ac:dyDescent="0.25">
      <c r="A282" s="7"/>
      <c r="B282" s="68" t="s">
        <v>89</v>
      </c>
      <c r="C282" s="2"/>
      <c r="D282" s="56"/>
      <c r="E282" s="56"/>
      <c r="F282" s="56"/>
      <c r="G282" s="56"/>
      <c r="H282" s="56"/>
      <c r="I282" s="56"/>
      <c r="J282" s="56"/>
      <c r="K282" s="2"/>
      <c r="L282" s="7"/>
      <c r="M282" s="27"/>
      <c r="N282" s="26"/>
    </row>
    <row r="283" spans="1:14" s="28" customFormat="1" x14ac:dyDescent="0.25">
      <c r="A283" s="7"/>
      <c r="B283" s="26" t="s">
        <v>210</v>
      </c>
      <c r="C283" s="2"/>
      <c r="D283" s="56"/>
      <c r="E283" s="56"/>
      <c r="F283" s="56"/>
      <c r="G283" s="56"/>
      <c r="H283" s="56"/>
      <c r="I283" s="56"/>
      <c r="J283" s="56"/>
      <c r="K283" s="2"/>
      <c r="L283" s="7"/>
      <c r="M283" s="27"/>
      <c r="N283" s="26"/>
    </row>
    <row r="284" spans="1:14" x14ac:dyDescent="0.25">
      <c r="A284" s="2"/>
      <c r="B284" s="4" t="s">
        <v>285</v>
      </c>
      <c r="C284" s="2">
        <v>2</v>
      </c>
      <c r="D284" s="56">
        <f>CONVERT(E284,"m","ft")</f>
        <v>14.696562319953909</v>
      </c>
      <c r="E284" s="56">
        <f>3.26+4/3.28</f>
        <v>4.4795121951219512</v>
      </c>
      <c r="F284" s="56"/>
      <c r="G284" s="56"/>
      <c r="H284" s="56">
        <f>7+10/12</f>
        <v>7.833333333333333</v>
      </c>
      <c r="I284" s="56"/>
      <c r="J284" s="56">
        <f t="shared" si="8"/>
        <v>230.24614301261124</v>
      </c>
      <c r="K284" s="2" t="s">
        <v>51</v>
      </c>
      <c r="L284" s="2"/>
      <c r="M284" s="25"/>
      <c r="N284" s="4"/>
    </row>
    <row r="285" spans="1:14" x14ac:dyDescent="0.25">
      <c r="A285" s="2"/>
      <c r="B285" s="4" t="s">
        <v>286</v>
      </c>
      <c r="C285" s="2">
        <v>2</v>
      </c>
      <c r="D285" s="56">
        <f>CONVERT(E285,"m","ft")</f>
        <v>10.826771653543307</v>
      </c>
      <c r="E285" s="56">
        <v>3.3</v>
      </c>
      <c r="F285" s="56"/>
      <c r="G285" s="56"/>
      <c r="H285" s="56">
        <f>7+10/12</f>
        <v>7.833333333333333</v>
      </c>
      <c r="I285" s="56"/>
      <c r="J285" s="56">
        <f t="shared" si="8"/>
        <v>169.61942257217848</v>
      </c>
      <c r="K285" s="2" t="s">
        <v>51</v>
      </c>
      <c r="L285" s="2"/>
      <c r="M285" s="25"/>
      <c r="N285" s="4"/>
    </row>
    <row r="286" spans="1:14" s="28" customFormat="1" ht="14.25" customHeight="1" x14ac:dyDescent="0.25">
      <c r="A286" s="7"/>
      <c r="B286" s="4" t="s">
        <v>154</v>
      </c>
      <c r="C286" s="2">
        <f>-0.5*(3)</f>
        <v>-1.5</v>
      </c>
      <c r="D286" s="56">
        <v>6</v>
      </c>
      <c r="E286" s="56"/>
      <c r="F286" s="56"/>
      <c r="G286" s="56"/>
      <c r="H286" s="56">
        <v>4.5</v>
      </c>
      <c r="I286" s="56"/>
      <c r="J286" s="56">
        <f t="shared" si="8"/>
        <v>-40.5</v>
      </c>
      <c r="K286" s="2" t="s">
        <v>51</v>
      </c>
      <c r="L286" s="7"/>
      <c r="M286" s="27"/>
      <c r="N286" s="26"/>
    </row>
    <row r="287" spans="1:14" s="28" customFormat="1" ht="14.25" customHeight="1" x14ac:dyDescent="0.25">
      <c r="A287" s="7"/>
      <c r="B287" s="4" t="s">
        <v>163</v>
      </c>
      <c r="C287" s="2">
        <f>-0.5*(1)</f>
        <v>-0.5</v>
      </c>
      <c r="D287" s="56">
        <v>4</v>
      </c>
      <c r="E287" s="56"/>
      <c r="F287" s="56"/>
      <c r="G287" s="56"/>
      <c r="H287" s="56">
        <v>4.5</v>
      </c>
      <c r="I287" s="56"/>
      <c r="J287" s="56">
        <f t="shared" si="8"/>
        <v>-9</v>
      </c>
      <c r="K287" s="2" t="s">
        <v>51</v>
      </c>
      <c r="L287" s="7"/>
      <c r="M287" s="27"/>
      <c r="N287" s="26"/>
    </row>
    <row r="288" spans="1:14" s="28" customFormat="1" x14ac:dyDescent="0.25">
      <c r="A288" s="7"/>
      <c r="B288" s="4" t="s">
        <v>167</v>
      </c>
      <c r="C288" s="2">
        <f>0.5*-1</f>
        <v>-0.5</v>
      </c>
      <c r="D288" s="56">
        <v>3</v>
      </c>
      <c r="E288" s="56"/>
      <c r="F288" s="56"/>
      <c r="G288" s="56"/>
      <c r="H288" s="56">
        <v>7</v>
      </c>
      <c r="I288" s="56"/>
      <c r="J288" s="56">
        <f t="shared" si="8"/>
        <v>-10.5</v>
      </c>
      <c r="K288" s="2" t="s">
        <v>51</v>
      </c>
      <c r="L288" s="7"/>
      <c r="M288" s="27"/>
      <c r="N288" s="26"/>
    </row>
    <row r="289" spans="1:14" x14ac:dyDescent="0.25">
      <c r="A289" s="2"/>
      <c r="B289" s="4"/>
      <c r="C289" s="2"/>
      <c r="D289" s="56"/>
      <c r="E289" s="56"/>
      <c r="F289" s="56"/>
      <c r="G289" s="56"/>
      <c r="H289" s="56"/>
      <c r="I289" s="56"/>
      <c r="J289" s="56"/>
      <c r="K289" s="2"/>
      <c r="L289" s="2"/>
      <c r="M289" s="25"/>
      <c r="N289" s="4"/>
    </row>
    <row r="290" spans="1:14" s="28" customFormat="1" x14ac:dyDescent="0.25">
      <c r="A290" s="7"/>
      <c r="B290" s="41" t="s">
        <v>214</v>
      </c>
      <c r="C290" s="2"/>
      <c r="D290" s="56"/>
      <c r="E290" s="56"/>
      <c r="F290" s="56"/>
      <c r="G290" s="56"/>
      <c r="H290" s="56"/>
      <c r="I290" s="56"/>
      <c r="J290" s="56"/>
      <c r="K290" s="2"/>
      <c r="L290" s="7"/>
      <c r="M290" s="27"/>
      <c r="N290" s="26"/>
    </row>
    <row r="291" spans="1:14" s="28" customFormat="1" x14ac:dyDescent="0.25">
      <c r="A291" s="7"/>
      <c r="B291" s="41" t="s">
        <v>201</v>
      </c>
      <c r="C291" s="2"/>
      <c r="D291" s="56"/>
      <c r="E291" s="56"/>
      <c r="F291" s="56"/>
      <c r="G291" s="56"/>
      <c r="H291" s="56"/>
      <c r="I291" s="56"/>
      <c r="J291" s="56"/>
      <c r="K291" s="2"/>
      <c r="L291" s="7"/>
      <c r="M291" s="27"/>
      <c r="N291" s="26"/>
    </row>
    <row r="292" spans="1:14" s="28" customFormat="1" x14ac:dyDescent="0.25">
      <c r="A292" s="7"/>
      <c r="B292" s="4" t="s">
        <v>192</v>
      </c>
      <c r="C292" s="2">
        <v>1</v>
      </c>
      <c r="D292" s="56">
        <f>CONVERT(E292,"m","ft")</f>
        <v>6.8897637795275593</v>
      </c>
      <c r="E292" s="56">
        <f>2.1</f>
        <v>2.1</v>
      </c>
      <c r="F292" s="56"/>
      <c r="G292" s="56"/>
      <c r="H292" s="56">
        <f>7+10/12</f>
        <v>7.833333333333333</v>
      </c>
      <c r="I292" s="56"/>
      <c r="J292" s="56">
        <f>C292*D292*H292</f>
        <v>53.969816272965879</v>
      </c>
      <c r="K292" s="2" t="s">
        <v>51</v>
      </c>
      <c r="L292" s="7"/>
      <c r="M292" s="27"/>
      <c r="N292" s="26"/>
    </row>
    <row r="293" spans="1:14" s="28" customFormat="1" x14ac:dyDescent="0.25">
      <c r="A293" s="7"/>
      <c r="B293" s="26" t="s">
        <v>216</v>
      </c>
      <c r="C293" s="2">
        <v>1</v>
      </c>
      <c r="D293" s="56">
        <f>CONVERT(E293,"m","ft")</f>
        <v>10.826771653543307</v>
      </c>
      <c r="E293" s="56">
        <v>3.3</v>
      </c>
      <c r="F293" s="56"/>
      <c r="G293" s="56"/>
      <c r="H293" s="56">
        <f>7+10/12</f>
        <v>7.833333333333333</v>
      </c>
      <c r="I293" s="56"/>
      <c r="J293" s="56">
        <f t="shared" si="8"/>
        <v>84.809711286089239</v>
      </c>
      <c r="K293" s="2" t="s">
        <v>51</v>
      </c>
      <c r="L293" s="7"/>
      <c r="M293" s="27"/>
      <c r="N293" s="26"/>
    </row>
    <row r="294" spans="1:14" s="28" customFormat="1" x14ac:dyDescent="0.25">
      <c r="A294" s="7"/>
      <c r="B294" s="26" t="s">
        <v>215</v>
      </c>
      <c r="C294" s="2">
        <v>1</v>
      </c>
      <c r="D294" s="56">
        <f>CONVERT(E294,"m","ft")</f>
        <v>14.827795915754434</v>
      </c>
      <c r="E294" s="56">
        <f>3.3+4/3.28</f>
        <v>4.5195121951219512</v>
      </c>
      <c r="F294" s="56"/>
      <c r="G294" s="56"/>
      <c r="H294" s="56">
        <f>7+10/12</f>
        <v>7.833333333333333</v>
      </c>
      <c r="I294" s="56"/>
      <c r="J294" s="56">
        <f t="shared" si="8"/>
        <v>116.15106800674306</v>
      </c>
      <c r="K294" s="2" t="s">
        <v>51</v>
      </c>
      <c r="L294" s="7"/>
      <c r="M294" s="27"/>
      <c r="N294" s="26"/>
    </row>
    <row r="295" spans="1:14" s="28" customFormat="1" ht="14.25" customHeight="1" x14ac:dyDescent="0.25">
      <c r="A295" s="7"/>
      <c r="B295" s="4" t="s">
        <v>197</v>
      </c>
      <c r="C295" s="2">
        <f>-0.5*(2)</f>
        <v>-1</v>
      </c>
      <c r="D295" s="56">
        <v>2</v>
      </c>
      <c r="E295" s="56"/>
      <c r="F295" s="56"/>
      <c r="G295" s="56"/>
      <c r="H295" s="56">
        <v>3</v>
      </c>
      <c r="I295" s="56"/>
      <c r="J295" s="56">
        <f t="shared" si="8"/>
        <v>-6</v>
      </c>
      <c r="K295" s="2" t="s">
        <v>51</v>
      </c>
      <c r="L295" s="7"/>
      <c r="M295" s="27"/>
      <c r="N295" s="26"/>
    </row>
    <row r="296" spans="1:14" s="28" customFormat="1" ht="14.25" customHeight="1" x14ac:dyDescent="0.25">
      <c r="A296" s="7"/>
      <c r="B296" s="4" t="s">
        <v>163</v>
      </c>
      <c r="C296" s="2">
        <f>-0.5*(1)</f>
        <v>-0.5</v>
      </c>
      <c r="D296" s="56">
        <v>4</v>
      </c>
      <c r="E296" s="56"/>
      <c r="F296" s="56"/>
      <c r="G296" s="56"/>
      <c r="H296" s="56">
        <v>4.5</v>
      </c>
      <c r="I296" s="56"/>
      <c r="J296" s="56">
        <f t="shared" si="8"/>
        <v>-9</v>
      </c>
      <c r="K296" s="2" t="s">
        <v>51</v>
      </c>
      <c r="L296" s="7"/>
      <c r="M296" s="27"/>
      <c r="N296" s="26"/>
    </row>
    <row r="297" spans="1:14" s="28" customFormat="1" x14ac:dyDescent="0.25">
      <c r="A297" s="7"/>
      <c r="B297" s="4" t="s">
        <v>167</v>
      </c>
      <c r="C297" s="2">
        <f>0.5*-1</f>
        <v>-0.5</v>
      </c>
      <c r="D297" s="56">
        <v>3</v>
      </c>
      <c r="E297" s="56"/>
      <c r="F297" s="56"/>
      <c r="G297" s="56"/>
      <c r="H297" s="56">
        <v>7</v>
      </c>
      <c r="I297" s="56"/>
      <c r="J297" s="56">
        <f t="shared" si="8"/>
        <v>-10.5</v>
      </c>
      <c r="K297" s="2" t="s">
        <v>51</v>
      </c>
      <c r="L297" s="7"/>
      <c r="M297" s="27"/>
      <c r="N297" s="26"/>
    </row>
    <row r="298" spans="1:14" s="28" customFormat="1" x14ac:dyDescent="0.25">
      <c r="A298" s="7"/>
      <c r="B298" s="4" t="s">
        <v>174</v>
      </c>
      <c r="C298" s="2">
        <f>0.5*-1</f>
        <v>-0.5</v>
      </c>
      <c r="D298" s="56">
        <v>2.5</v>
      </c>
      <c r="E298" s="56"/>
      <c r="F298" s="56"/>
      <c r="G298" s="56"/>
      <c r="H298" s="56">
        <v>6.5</v>
      </c>
      <c r="I298" s="56"/>
      <c r="J298" s="56">
        <f t="shared" si="8"/>
        <v>-8.125</v>
      </c>
      <c r="K298" s="2" t="s">
        <v>51</v>
      </c>
      <c r="L298" s="7"/>
      <c r="M298" s="27"/>
      <c r="N298" s="26"/>
    </row>
    <row r="299" spans="1:14" x14ac:dyDescent="0.25">
      <c r="A299" s="2"/>
      <c r="B299" s="4"/>
      <c r="C299" s="2"/>
      <c r="D299" s="56"/>
      <c r="E299" s="56"/>
      <c r="F299" s="56"/>
      <c r="G299" s="56"/>
      <c r="H299" s="56"/>
      <c r="I299" s="56"/>
      <c r="J299" s="56"/>
      <c r="K299" s="2"/>
      <c r="L299" s="2"/>
      <c r="M299" s="25"/>
      <c r="N299" s="4"/>
    </row>
    <row r="300" spans="1:14" x14ac:dyDescent="0.25">
      <c r="A300" s="2"/>
      <c r="B300" s="38" t="s">
        <v>218</v>
      </c>
      <c r="C300" s="2">
        <v>1</v>
      </c>
      <c r="D300" s="56">
        <f>CONVERT(E300,"m","ft")</f>
        <v>44.094488188976378</v>
      </c>
      <c r="E300" s="56">
        <f>6.6+3.42+3.42</f>
        <v>13.44</v>
      </c>
      <c r="F300" s="56"/>
      <c r="G300" s="56"/>
      <c r="H300" s="56">
        <v>2</v>
      </c>
      <c r="I300" s="56"/>
      <c r="J300" s="56">
        <f t="shared" si="8"/>
        <v>88.188976377952756</v>
      </c>
      <c r="K300" s="2" t="s">
        <v>51</v>
      </c>
      <c r="L300" s="2"/>
      <c r="M300" s="25"/>
      <c r="N300" s="4"/>
    </row>
    <row r="301" spans="1:14" x14ac:dyDescent="0.25">
      <c r="A301" s="2"/>
      <c r="B301" s="4"/>
      <c r="C301" s="2"/>
      <c r="D301" s="56"/>
      <c r="E301" s="56"/>
      <c r="F301" s="56"/>
      <c r="G301" s="56"/>
      <c r="H301" s="56"/>
      <c r="I301" s="56"/>
      <c r="J301" s="56"/>
      <c r="K301" s="2"/>
      <c r="L301" s="2"/>
      <c r="M301" s="25"/>
      <c r="N301" s="4"/>
    </row>
    <row r="302" spans="1:14" x14ac:dyDescent="0.25">
      <c r="A302" s="2"/>
      <c r="B302" s="68" t="s">
        <v>219</v>
      </c>
      <c r="C302" s="2"/>
      <c r="D302" s="56"/>
      <c r="E302" s="56"/>
      <c r="F302" s="56"/>
      <c r="G302" s="56"/>
      <c r="H302" s="56"/>
      <c r="I302" s="56"/>
      <c r="J302" s="56"/>
      <c r="K302" s="2"/>
      <c r="L302" s="2"/>
      <c r="M302" s="25"/>
      <c r="N302" s="4"/>
    </row>
    <row r="303" spans="1:14" x14ac:dyDescent="0.25">
      <c r="A303" s="2"/>
      <c r="B303" s="38" t="s">
        <v>218</v>
      </c>
      <c r="C303" s="2">
        <v>1</v>
      </c>
      <c r="D303" s="56">
        <f>CONVERT(E303,"m","ft")</f>
        <v>72.831444849881564</v>
      </c>
      <c r="E303" s="56">
        <f>3.3+4/3.28+3.26+4/3.28+3.3+3.3+3.3+3.3</f>
        <v>22.199024390243903</v>
      </c>
      <c r="F303" s="56"/>
      <c r="G303" s="56"/>
      <c r="H303" s="56">
        <v>2</v>
      </c>
      <c r="I303" s="56"/>
      <c r="J303" s="56">
        <f t="shared" si="8"/>
        <v>145.66288969976313</v>
      </c>
      <c r="K303" s="2" t="s">
        <v>51</v>
      </c>
      <c r="L303" s="2"/>
      <c r="M303" s="25"/>
      <c r="N303" s="4"/>
    </row>
    <row r="304" spans="1:14" s="28" customFormat="1" x14ac:dyDescent="0.25">
      <c r="A304" s="7"/>
      <c r="B304" s="4"/>
      <c r="C304" s="7"/>
      <c r="D304" s="7"/>
      <c r="E304" s="7"/>
      <c r="F304" s="7"/>
      <c r="G304" s="7"/>
      <c r="H304" s="35" t="s">
        <v>310</v>
      </c>
      <c r="I304" s="7"/>
      <c r="J304" s="44">
        <f>SUM(J215:J303)</f>
        <v>2518.8616331980447</v>
      </c>
      <c r="K304" s="7" t="s">
        <v>51</v>
      </c>
      <c r="L304" s="7"/>
      <c r="M304" s="27"/>
      <c r="N304" s="26"/>
    </row>
    <row r="305" spans="1:14" s="28" customFormat="1" x14ac:dyDescent="0.25">
      <c r="A305" s="7"/>
      <c r="B305" s="26"/>
      <c r="C305" s="7"/>
      <c r="D305" s="7"/>
      <c r="E305" s="7"/>
      <c r="F305" s="7"/>
      <c r="G305" s="7"/>
      <c r="H305" s="7"/>
      <c r="I305" s="7"/>
      <c r="J305" s="44">
        <f>CONVERT(CONVERT(J304,"ft","m"),"ft","m")</f>
        <v>234.00990306346327</v>
      </c>
      <c r="K305" s="7" t="s">
        <v>220</v>
      </c>
      <c r="L305" s="7"/>
      <c r="M305" s="27"/>
      <c r="N305" s="26"/>
    </row>
    <row r="306" spans="1:14" ht="34.9" customHeight="1" x14ac:dyDescent="0.25">
      <c r="A306" s="7">
        <v>1.4</v>
      </c>
      <c r="B306" s="39" t="s">
        <v>313</v>
      </c>
      <c r="C306" s="78"/>
      <c r="D306" s="2"/>
      <c r="E306" s="2"/>
      <c r="F306" s="2"/>
      <c r="G306" s="2"/>
      <c r="H306" s="2"/>
      <c r="I306" s="2"/>
      <c r="J306" s="56"/>
      <c r="K306" s="2"/>
      <c r="L306" s="2"/>
      <c r="M306" s="40"/>
      <c r="N306" s="2"/>
    </row>
    <row r="307" spans="1:14" s="28" customFormat="1" x14ac:dyDescent="0.25">
      <c r="A307" s="7"/>
      <c r="B307" s="80" t="s">
        <v>159</v>
      </c>
      <c r="C307" s="2">
        <v>1</v>
      </c>
      <c r="D307" s="56">
        <f>(30+1.67*2)*2+(25+1.67*2)*2</f>
        <v>123.36000000000001</v>
      </c>
      <c r="E307" s="56">
        <f>CONVERT(D307,"ft","m")</f>
        <v>37.600128000000005</v>
      </c>
      <c r="F307" s="56"/>
      <c r="G307" s="56"/>
      <c r="H307" s="56"/>
      <c r="I307" s="56"/>
      <c r="J307" s="56">
        <f>C307*D307</f>
        <v>123.36000000000001</v>
      </c>
      <c r="K307" s="56" t="s">
        <v>257</v>
      </c>
      <c r="L307" s="44"/>
      <c r="M307" s="69"/>
      <c r="N307" s="26"/>
    </row>
    <row r="308" spans="1:14" s="28" customFormat="1" x14ac:dyDescent="0.25">
      <c r="A308" s="7"/>
      <c r="B308" s="80" t="s">
        <v>89</v>
      </c>
      <c r="C308" s="2">
        <v>1</v>
      </c>
      <c r="D308" s="56">
        <f>(30+1.67*2)*2+(25+1.67*2)*2</f>
        <v>123.36000000000001</v>
      </c>
      <c r="E308" s="56">
        <f>CONVERT(D308,"ft","m")</f>
        <v>37.600128000000005</v>
      </c>
      <c r="F308" s="56"/>
      <c r="G308" s="56"/>
      <c r="H308" s="56"/>
      <c r="I308" s="56"/>
      <c r="J308" s="56">
        <f>C308*D308</f>
        <v>123.36000000000001</v>
      </c>
      <c r="K308" s="56" t="s">
        <v>257</v>
      </c>
      <c r="L308" s="44"/>
      <c r="M308" s="69"/>
      <c r="N308" s="26"/>
    </row>
    <row r="309" spans="1:14" s="28" customFormat="1" x14ac:dyDescent="0.25">
      <c r="A309" s="7"/>
      <c r="B309" s="80" t="s">
        <v>219</v>
      </c>
      <c r="C309" s="2">
        <v>1</v>
      </c>
      <c r="D309" s="56">
        <f>(2+1+4+1+11+1+1.67)*2+(1.67+1+11+1+11+1+1.67)*2</f>
        <v>100.02000000000001</v>
      </c>
      <c r="E309" s="56">
        <f>CONVERT(D309,"ft","m")</f>
        <v>30.486096000000007</v>
      </c>
      <c r="F309" s="56"/>
      <c r="G309" s="56"/>
      <c r="H309" s="56"/>
      <c r="I309" s="56"/>
      <c r="J309" s="56">
        <f>C309*D309</f>
        <v>100.02000000000001</v>
      </c>
      <c r="K309" s="56" t="s">
        <v>257</v>
      </c>
      <c r="L309" s="44"/>
      <c r="M309" s="69"/>
      <c r="N309" s="26"/>
    </row>
    <row r="310" spans="1:14" s="28" customFormat="1" x14ac:dyDescent="0.25">
      <c r="A310" s="7"/>
      <c r="B310" s="4"/>
      <c r="C310" s="7"/>
      <c r="D310" s="44"/>
      <c r="E310" s="44"/>
      <c r="F310" s="44"/>
      <c r="G310" s="44"/>
      <c r="H310" s="35" t="s">
        <v>310</v>
      </c>
      <c r="I310" s="44"/>
      <c r="J310" s="44">
        <f>SUM(J307:J309)</f>
        <v>346.74</v>
      </c>
      <c r="K310" s="44" t="s">
        <v>257</v>
      </c>
      <c r="L310" s="44"/>
      <c r="M310" s="69"/>
      <c r="N310" s="26"/>
    </row>
    <row r="311" spans="1:14" s="28" customFormat="1" x14ac:dyDescent="0.25">
      <c r="A311" s="7"/>
      <c r="B311" s="26"/>
      <c r="C311" s="7"/>
      <c r="D311" s="44"/>
      <c r="E311" s="44"/>
      <c r="F311" s="44"/>
      <c r="G311" s="44"/>
      <c r="H311" s="44"/>
      <c r="I311" s="44"/>
      <c r="J311" s="44">
        <f>CONVERT(J310,"ft","m")</f>
        <v>105.686352</v>
      </c>
      <c r="K311" s="44" t="s">
        <v>258</v>
      </c>
      <c r="L311" s="44"/>
      <c r="M311" s="69"/>
      <c r="N311" s="26"/>
    </row>
    <row r="312" spans="1:14" x14ac:dyDescent="0.25">
      <c r="A312" s="7"/>
      <c r="B312" s="2"/>
      <c r="C312" s="2"/>
      <c r="D312" s="2"/>
      <c r="E312" s="2"/>
      <c r="F312" s="2"/>
      <c r="G312" s="2"/>
      <c r="H312" s="2"/>
      <c r="I312" s="2"/>
      <c r="J312" s="56"/>
      <c r="K312" s="2"/>
      <c r="L312" s="2"/>
      <c r="M312" s="40"/>
      <c r="N312" s="2"/>
    </row>
    <row r="313" spans="1:14" x14ac:dyDescent="0.25">
      <c r="A313" s="7">
        <v>2</v>
      </c>
      <c r="B313" s="7" t="s">
        <v>321</v>
      </c>
      <c r="C313" s="2"/>
      <c r="D313" s="2"/>
      <c r="E313" s="2"/>
      <c r="F313" s="2"/>
      <c r="G313" s="2"/>
      <c r="H313" s="2"/>
      <c r="I313" s="2"/>
      <c r="J313" s="56"/>
      <c r="K313" s="2"/>
      <c r="L313" s="2"/>
      <c r="M313" s="40"/>
      <c r="N313" s="2"/>
    </row>
    <row r="314" spans="1:14" ht="45" x14ac:dyDescent="0.25">
      <c r="A314" s="7">
        <v>2.1</v>
      </c>
      <c r="B314" s="76" t="s">
        <v>314</v>
      </c>
      <c r="C314" s="2"/>
      <c r="D314" s="2"/>
      <c r="E314" s="2"/>
      <c r="F314" s="2"/>
      <c r="G314" s="2"/>
      <c r="H314" s="2"/>
      <c r="I314" s="2"/>
      <c r="J314" s="56"/>
      <c r="K314" s="2"/>
      <c r="L314" s="2"/>
      <c r="M314" s="40"/>
      <c r="N314" s="2"/>
    </row>
    <row r="315" spans="1:14" s="28" customFormat="1" x14ac:dyDescent="0.25">
      <c r="A315" s="7"/>
      <c r="B315" s="68" t="s">
        <v>158</v>
      </c>
      <c r="C315" s="2"/>
      <c r="D315" s="2"/>
      <c r="E315" s="2"/>
      <c r="F315" s="2"/>
      <c r="G315" s="2"/>
      <c r="H315" s="2"/>
      <c r="I315" s="2"/>
      <c r="J315" s="56"/>
      <c r="K315" s="2"/>
      <c r="L315" s="7"/>
      <c r="M315" s="27"/>
      <c r="N315" s="26"/>
    </row>
    <row r="316" spans="1:14" s="28" customFormat="1" x14ac:dyDescent="0.25">
      <c r="A316" s="7"/>
      <c r="B316" s="26" t="s">
        <v>298</v>
      </c>
      <c r="C316" s="2"/>
      <c r="D316" s="2"/>
      <c r="E316" s="2"/>
      <c r="F316" s="2"/>
      <c r="G316" s="2"/>
      <c r="H316" s="2"/>
      <c r="I316" s="2"/>
      <c r="J316" s="56"/>
      <c r="K316" s="2"/>
      <c r="L316" s="7"/>
      <c r="M316" s="27"/>
      <c r="N316" s="26"/>
    </row>
    <row r="317" spans="1:14" s="28" customFormat="1" x14ac:dyDescent="0.25">
      <c r="A317" s="7"/>
      <c r="B317" s="4" t="s">
        <v>187</v>
      </c>
      <c r="C317" s="2">
        <v>1</v>
      </c>
      <c r="D317" s="56">
        <f>CONVERT(E317,"m","ft")</f>
        <v>11.023622047244094</v>
      </c>
      <c r="E317" s="56">
        <v>3.36</v>
      </c>
      <c r="F317" s="56"/>
      <c r="G317" s="56"/>
      <c r="H317" s="56">
        <f>7+10/12</f>
        <v>7.833333333333333</v>
      </c>
      <c r="I317" s="56"/>
      <c r="J317" s="56">
        <f t="shared" ref="J317:J322" si="9">C317*D317*H317</f>
        <v>86.351706036745398</v>
      </c>
      <c r="K317" s="2" t="s">
        <v>51</v>
      </c>
      <c r="L317" s="7"/>
      <c r="M317" s="27"/>
      <c r="N317" s="26"/>
    </row>
    <row r="318" spans="1:14" s="28" customFormat="1" x14ac:dyDescent="0.25">
      <c r="A318" s="7"/>
      <c r="B318" s="4" t="s">
        <v>191</v>
      </c>
      <c r="C318" s="2">
        <v>1</v>
      </c>
      <c r="D318" s="56">
        <f>CONVERT(E318,"m","ft")</f>
        <v>11.15485564304462</v>
      </c>
      <c r="E318" s="56">
        <v>3.4</v>
      </c>
      <c r="F318" s="56"/>
      <c r="G318" s="56"/>
      <c r="H318" s="56">
        <f>7+10/12</f>
        <v>7.833333333333333</v>
      </c>
      <c r="I318" s="56"/>
      <c r="J318" s="56">
        <f t="shared" si="9"/>
        <v>87.379702537182851</v>
      </c>
      <c r="K318" s="2" t="s">
        <v>51</v>
      </c>
      <c r="L318" s="7"/>
      <c r="M318" s="27"/>
      <c r="N318" s="26"/>
    </row>
    <row r="319" spans="1:14" s="28" customFormat="1" x14ac:dyDescent="0.25">
      <c r="A319" s="7"/>
      <c r="B319" s="4" t="s">
        <v>192</v>
      </c>
      <c r="C319" s="2">
        <v>1</v>
      </c>
      <c r="D319" s="56">
        <f>CONVERT(E319,"m","ft")</f>
        <v>10.793963254593177</v>
      </c>
      <c r="E319" s="56">
        <v>3.29</v>
      </c>
      <c r="F319" s="56"/>
      <c r="G319" s="56"/>
      <c r="H319" s="56">
        <f>7+10/12</f>
        <v>7.833333333333333</v>
      </c>
      <c r="I319" s="56"/>
      <c r="J319" s="56">
        <f t="shared" si="9"/>
        <v>84.55271216097988</v>
      </c>
      <c r="K319" s="2" t="s">
        <v>51</v>
      </c>
      <c r="L319" s="7"/>
      <c r="M319" s="27"/>
      <c r="N319" s="26"/>
    </row>
    <row r="320" spans="1:14" s="28" customFormat="1" x14ac:dyDescent="0.25">
      <c r="A320" s="7"/>
      <c r="B320" s="4" t="s">
        <v>193</v>
      </c>
      <c r="C320" s="2">
        <v>1</v>
      </c>
      <c r="D320" s="56">
        <f>CONVERT(E320,"m","ft")</f>
        <v>10.728346456692913</v>
      </c>
      <c r="E320" s="56">
        <v>3.27</v>
      </c>
      <c r="F320" s="56"/>
      <c r="G320" s="56"/>
      <c r="H320" s="56">
        <f>7+10/12</f>
        <v>7.833333333333333</v>
      </c>
      <c r="I320" s="56"/>
      <c r="J320" s="56">
        <f t="shared" si="9"/>
        <v>84.038713910761146</v>
      </c>
      <c r="K320" s="2" t="s">
        <v>51</v>
      </c>
      <c r="L320" s="7"/>
      <c r="M320" s="27"/>
      <c r="N320" s="26"/>
    </row>
    <row r="321" spans="1:14" s="28" customFormat="1" ht="14.25" customHeight="1" x14ac:dyDescent="0.25">
      <c r="A321" s="7"/>
      <c r="B321" s="4" t="s">
        <v>154</v>
      </c>
      <c r="C321" s="2">
        <f>-0.5*(2)</f>
        <v>-1</v>
      </c>
      <c r="D321" s="56">
        <v>6</v>
      </c>
      <c r="E321" s="56"/>
      <c r="F321" s="56"/>
      <c r="G321" s="56"/>
      <c r="H321" s="56">
        <v>4.5</v>
      </c>
      <c r="I321" s="56"/>
      <c r="J321" s="56">
        <f t="shared" si="9"/>
        <v>-27</v>
      </c>
      <c r="K321" s="2" t="s">
        <v>51</v>
      </c>
      <c r="L321" s="7"/>
      <c r="M321" s="27"/>
      <c r="N321" s="26"/>
    </row>
    <row r="322" spans="1:14" s="28" customFormat="1" x14ac:dyDescent="0.25">
      <c r="A322" s="7"/>
      <c r="B322" s="4" t="s">
        <v>167</v>
      </c>
      <c r="C322" s="2">
        <f>0.5*-1</f>
        <v>-0.5</v>
      </c>
      <c r="D322" s="56">
        <v>3</v>
      </c>
      <c r="E322" s="56"/>
      <c r="F322" s="56"/>
      <c r="G322" s="56"/>
      <c r="H322" s="56">
        <v>7</v>
      </c>
      <c r="I322" s="56"/>
      <c r="J322" s="56">
        <f t="shared" si="9"/>
        <v>-10.5</v>
      </c>
      <c r="K322" s="2" t="s">
        <v>51</v>
      </c>
      <c r="L322" s="7"/>
      <c r="M322" s="27"/>
      <c r="N322" s="26"/>
    </row>
    <row r="323" spans="1:14" s="28" customFormat="1" x14ac:dyDescent="0.25">
      <c r="A323" s="7"/>
      <c r="B323" s="4"/>
      <c r="C323" s="2"/>
      <c r="D323" s="56"/>
      <c r="E323" s="56"/>
      <c r="F323" s="56"/>
      <c r="G323" s="56"/>
      <c r="H323" s="56"/>
      <c r="I323" s="56"/>
      <c r="J323" s="56"/>
      <c r="K323" s="2"/>
      <c r="L323" s="7"/>
      <c r="M323" s="27"/>
      <c r="N323" s="26"/>
    </row>
    <row r="324" spans="1:14" s="28" customFormat="1" x14ac:dyDescent="0.25">
      <c r="A324" s="7"/>
      <c r="B324" s="26" t="s">
        <v>299</v>
      </c>
      <c r="C324" s="2"/>
      <c r="D324" s="56"/>
      <c r="E324" s="56"/>
      <c r="F324" s="56"/>
      <c r="G324" s="56"/>
      <c r="H324" s="56"/>
      <c r="I324" s="56"/>
      <c r="J324" s="56"/>
      <c r="K324" s="2"/>
      <c r="L324" s="7"/>
      <c r="M324" s="27"/>
      <c r="N324" s="26"/>
    </row>
    <row r="325" spans="1:14" s="28" customFormat="1" x14ac:dyDescent="0.25">
      <c r="A325" s="7"/>
      <c r="B325" s="4" t="s">
        <v>187</v>
      </c>
      <c r="C325" s="2">
        <v>1</v>
      </c>
      <c r="D325" s="56">
        <f>CONVERT(E325,"m","ft")</f>
        <v>11.15485564304462</v>
      </c>
      <c r="E325" s="56">
        <v>3.4</v>
      </c>
      <c r="F325" s="56"/>
      <c r="G325" s="56"/>
      <c r="H325" s="56">
        <f>7+10/12</f>
        <v>7.833333333333333</v>
      </c>
      <c r="I325" s="56"/>
      <c r="J325" s="56">
        <f>C325*D325*H325</f>
        <v>87.379702537182851</v>
      </c>
      <c r="K325" s="2" t="s">
        <v>51</v>
      </c>
      <c r="L325" s="7"/>
      <c r="M325" s="27"/>
      <c r="N325" s="26"/>
    </row>
    <row r="326" spans="1:14" s="28" customFormat="1" x14ac:dyDescent="0.25">
      <c r="A326" s="7"/>
      <c r="B326" s="4" t="s">
        <v>191</v>
      </c>
      <c r="C326" s="2">
        <v>1</v>
      </c>
      <c r="D326" s="56">
        <f>CONVERT(E326,"m","ft")</f>
        <v>11.220472440944881</v>
      </c>
      <c r="E326" s="56">
        <v>3.42</v>
      </c>
      <c r="F326" s="56"/>
      <c r="G326" s="56"/>
      <c r="H326" s="56">
        <f>7+10/12</f>
        <v>7.833333333333333</v>
      </c>
      <c r="I326" s="56"/>
      <c r="J326" s="56">
        <f>C326*D326*H326</f>
        <v>87.893700787401571</v>
      </c>
      <c r="K326" s="2" t="s">
        <v>51</v>
      </c>
      <c r="L326" s="7"/>
      <c r="M326" s="27"/>
      <c r="N326" s="26"/>
    </row>
    <row r="327" spans="1:14" s="28" customFormat="1" x14ac:dyDescent="0.25">
      <c r="A327" s="7"/>
      <c r="B327" s="4" t="s">
        <v>286</v>
      </c>
      <c r="C327" s="2">
        <v>2</v>
      </c>
      <c r="D327" s="56">
        <f>CONVERT(E327,"m","ft")</f>
        <v>10.728346456692913</v>
      </c>
      <c r="E327" s="56">
        <v>3.27</v>
      </c>
      <c r="F327" s="56"/>
      <c r="G327" s="56"/>
      <c r="H327" s="56">
        <f>7+10/12</f>
        <v>7.833333333333333</v>
      </c>
      <c r="I327" s="56"/>
      <c r="J327" s="56">
        <f>C327*D327*H327</f>
        <v>168.07742782152229</v>
      </c>
      <c r="K327" s="2" t="s">
        <v>51</v>
      </c>
      <c r="L327" s="7"/>
      <c r="M327" s="27"/>
      <c r="N327" s="26"/>
    </row>
    <row r="328" spans="1:14" s="28" customFormat="1" ht="14.25" customHeight="1" x14ac:dyDescent="0.25">
      <c r="A328" s="7"/>
      <c r="B328" s="4" t="s">
        <v>154</v>
      </c>
      <c r="C328" s="2">
        <f>-0.5*(2)</f>
        <v>-1</v>
      </c>
      <c r="D328" s="56">
        <v>6</v>
      </c>
      <c r="E328" s="56"/>
      <c r="F328" s="56"/>
      <c r="G328" s="56"/>
      <c r="H328" s="56">
        <v>4.5</v>
      </c>
      <c r="I328" s="56"/>
      <c r="J328" s="56">
        <f>C328*D328*H328</f>
        <v>-27</v>
      </c>
      <c r="K328" s="2" t="s">
        <v>51</v>
      </c>
      <c r="L328" s="7"/>
      <c r="M328" s="27"/>
      <c r="N328" s="26"/>
    </row>
    <row r="329" spans="1:14" s="28" customFormat="1" x14ac:dyDescent="0.25">
      <c r="A329" s="7"/>
      <c r="B329" s="4" t="s">
        <v>167</v>
      </c>
      <c r="C329" s="2">
        <f>0.5*-1</f>
        <v>-0.5</v>
      </c>
      <c r="D329" s="56">
        <v>3</v>
      </c>
      <c r="E329" s="56"/>
      <c r="F329" s="56"/>
      <c r="G329" s="56"/>
      <c r="H329" s="56">
        <v>7</v>
      </c>
      <c r="I329" s="56"/>
      <c r="J329" s="56">
        <f>C329*D329*H329</f>
        <v>-10.5</v>
      </c>
      <c r="K329" s="2" t="s">
        <v>51</v>
      </c>
      <c r="L329" s="7"/>
      <c r="M329" s="27"/>
      <c r="N329" s="26"/>
    </row>
    <row r="330" spans="1:14" s="28" customFormat="1" x14ac:dyDescent="0.25">
      <c r="A330" s="7"/>
      <c r="B330" s="4"/>
      <c r="C330" s="2"/>
      <c r="D330" s="56"/>
      <c r="E330" s="56"/>
      <c r="F330" s="56"/>
      <c r="G330" s="56"/>
      <c r="H330" s="56"/>
      <c r="I330" s="56"/>
      <c r="J330" s="56"/>
      <c r="K330" s="2"/>
      <c r="L330" s="7"/>
      <c r="M330" s="27"/>
      <c r="N330" s="26"/>
    </row>
    <row r="331" spans="1:14" s="28" customFormat="1" x14ac:dyDescent="0.25">
      <c r="A331" s="7"/>
      <c r="B331" s="41" t="s">
        <v>300</v>
      </c>
      <c r="C331" s="2"/>
      <c r="D331" s="56"/>
      <c r="E331" s="56"/>
      <c r="F331" s="56"/>
      <c r="G331" s="56"/>
      <c r="H331" s="56"/>
      <c r="I331" s="56"/>
      <c r="J331" s="56"/>
      <c r="K331" s="2"/>
      <c r="L331" s="7"/>
      <c r="M331" s="27"/>
      <c r="N331" s="26"/>
    </row>
    <row r="332" spans="1:14" s="28" customFormat="1" x14ac:dyDescent="0.25">
      <c r="A332" s="7"/>
      <c r="B332" s="4" t="s">
        <v>209</v>
      </c>
      <c r="C332" s="2">
        <v>2</v>
      </c>
      <c r="D332" s="56">
        <v>4</v>
      </c>
      <c r="E332" s="56"/>
      <c r="F332" s="56"/>
      <c r="G332" s="56"/>
      <c r="H332" s="56">
        <f>7+10/12</f>
        <v>7.833333333333333</v>
      </c>
      <c r="I332" s="56"/>
      <c r="J332" s="56">
        <f>C332*D332*H332</f>
        <v>62.666666666666664</v>
      </c>
      <c r="K332" s="2" t="s">
        <v>51</v>
      </c>
      <c r="L332" s="7"/>
      <c r="M332" s="27"/>
      <c r="N332" s="26"/>
    </row>
    <row r="333" spans="1:14" s="28" customFormat="1" x14ac:dyDescent="0.25">
      <c r="A333" s="7"/>
      <c r="B333" s="4" t="s">
        <v>193</v>
      </c>
      <c r="C333" s="2">
        <v>1</v>
      </c>
      <c r="D333" s="56">
        <f>CONVERT(E333,"m","ft")</f>
        <v>21.522309711286091</v>
      </c>
      <c r="E333" s="56">
        <f>3.29+3.27</f>
        <v>6.5600000000000005</v>
      </c>
      <c r="F333" s="56"/>
      <c r="G333" s="56"/>
      <c r="H333" s="56">
        <f>7+10/12</f>
        <v>7.833333333333333</v>
      </c>
      <c r="I333" s="56"/>
      <c r="J333" s="56">
        <f>C333*D333*H333</f>
        <v>168.59142607174104</v>
      </c>
      <c r="K333" s="2" t="s">
        <v>51</v>
      </c>
      <c r="L333" s="7"/>
      <c r="M333" s="27"/>
      <c r="N333" s="26"/>
    </row>
    <row r="334" spans="1:14" s="28" customFormat="1" x14ac:dyDescent="0.25">
      <c r="A334" s="7"/>
      <c r="B334" s="4" t="s">
        <v>192</v>
      </c>
      <c r="C334" s="2">
        <v>1</v>
      </c>
      <c r="D334" s="56">
        <f>CONVERT(E334,"m","ft")</f>
        <v>4.2650918635170605</v>
      </c>
      <c r="E334" s="56">
        <v>1.3</v>
      </c>
      <c r="F334" s="56"/>
      <c r="G334" s="56"/>
      <c r="H334" s="56">
        <f>7+10/12</f>
        <v>7.833333333333333</v>
      </c>
      <c r="I334" s="56"/>
      <c r="J334" s="56">
        <f>C334*D334*H334</f>
        <v>33.409886264216972</v>
      </c>
      <c r="K334" s="2" t="s">
        <v>51</v>
      </c>
      <c r="L334" s="7"/>
      <c r="M334" s="27"/>
      <c r="N334" s="26"/>
    </row>
    <row r="335" spans="1:14" s="28" customFormat="1" x14ac:dyDescent="0.25">
      <c r="A335" s="7"/>
      <c r="B335" s="4" t="s">
        <v>167</v>
      </c>
      <c r="C335" s="2">
        <f>0.5*(-2)</f>
        <v>-1</v>
      </c>
      <c r="D335" s="56">
        <v>3</v>
      </c>
      <c r="E335" s="56"/>
      <c r="F335" s="56"/>
      <c r="G335" s="56"/>
      <c r="H335" s="56">
        <v>7</v>
      </c>
      <c r="I335" s="56"/>
      <c r="J335" s="56">
        <f>C335*D335*H335</f>
        <v>-21</v>
      </c>
      <c r="K335" s="2" t="s">
        <v>51</v>
      </c>
      <c r="L335" s="7"/>
      <c r="M335" s="27"/>
      <c r="N335" s="26"/>
    </row>
    <row r="336" spans="1:14" s="28" customFormat="1" x14ac:dyDescent="0.25">
      <c r="A336" s="7"/>
      <c r="B336" s="4" t="s">
        <v>199</v>
      </c>
      <c r="C336" s="2">
        <f>0.5*-2</f>
        <v>-1</v>
      </c>
      <c r="D336" s="56">
        <v>4</v>
      </c>
      <c r="E336" s="56"/>
      <c r="F336" s="56"/>
      <c r="G336" s="56"/>
      <c r="H336" s="56">
        <f>7+3/12</f>
        <v>7.25</v>
      </c>
      <c r="I336" s="56"/>
      <c r="J336" s="56">
        <f>C336*D336*H336</f>
        <v>-29</v>
      </c>
      <c r="K336" s="2" t="s">
        <v>51</v>
      </c>
      <c r="L336" s="7"/>
      <c r="M336" s="27"/>
      <c r="N336" s="26"/>
    </row>
    <row r="337" spans="1:14" s="28" customFormat="1" x14ac:dyDescent="0.25">
      <c r="A337" s="7"/>
      <c r="B337" s="4"/>
      <c r="C337" s="2"/>
      <c r="D337" s="56"/>
      <c r="E337" s="56"/>
      <c r="F337" s="56"/>
      <c r="G337" s="56"/>
      <c r="H337" s="56"/>
      <c r="I337" s="56"/>
      <c r="J337" s="56"/>
      <c r="K337" s="2"/>
      <c r="L337" s="7"/>
      <c r="M337" s="27"/>
      <c r="N337" s="26"/>
    </row>
    <row r="338" spans="1:14" s="28" customFormat="1" ht="30" x14ac:dyDescent="0.25">
      <c r="A338" s="7"/>
      <c r="B338" s="26" t="s">
        <v>301</v>
      </c>
      <c r="C338" s="2"/>
      <c r="D338" s="56"/>
      <c r="E338" s="56"/>
      <c r="F338" s="56"/>
      <c r="G338" s="56"/>
      <c r="H338" s="56"/>
      <c r="I338" s="56"/>
      <c r="J338" s="56"/>
      <c r="K338" s="2"/>
      <c r="L338" s="7"/>
      <c r="M338" s="27"/>
      <c r="N338" s="26"/>
    </row>
    <row r="339" spans="1:14" s="28" customFormat="1" x14ac:dyDescent="0.25">
      <c r="A339" s="7"/>
      <c r="B339" s="4" t="s">
        <v>187</v>
      </c>
      <c r="C339" s="2">
        <v>1</v>
      </c>
      <c r="D339" s="56">
        <f>CONVERT(E339,"m","ft")</f>
        <v>10.62992125984252</v>
      </c>
      <c r="E339" s="56">
        <v>3.24</v>
      </c>
      <c r="F339" s="56"/>
      <c r="G339" s="56"/>
      <c r="H339" s="56">
        <f>7+10/12</f>
        <v>7.833333333333333</v>
      </c>
      <c r="I339" s="56"/>
      <c r="J339" s="56">
        <f>C339*D339*H339</f>
        <v>83.267716535433067</v>
      </c>
      <c r="K339" s="2" t="s">
        <v>51</v>
      </c>
      <c r="L339" s="7"/>
      <c r="M339" s="27"/>
      <c r="N339" s="26"/>
    </row>
    <row r="340" spans="1:14" s="28" customFormat="1" x14ac:dyDescent="0.25">
      <c r="A340" s="7"/>
      <c r="B340" s="4" t="s">
        <v>192</v>
      </c>
      <c r="C340" s="2">
        <v>1</v>
      </c>
      <c r="D340" s="56">
        <f>CONVERT(E340,"m","ft")</f>
        <v>6.4632545931758534</v>
      </c>
      <c r="E340" s="56">
        <v>1.97</v>
      </c>
      <c r="F340" s="56"/>
      <c r="G340" s="56"/>
      <c r="H340" s="56">
        <f>7+10/12</f>
        <v>7.833333333333333</v>
      </c>
      <c r="I340" s="56"/>
      <c r="J340" s="56">
        <f>C340*D340*H340</f>
        <v>50.628827646544181</v>
      </c>
      <c r="K340" s="2" t="s">
        <v>51</v>
      </c>
      <c r="L340" s="7"/>
      <c r="M340" s="27"/>
      <c r="N340" s="26"/>
    </row>
    <row r="341" spans="1:14" s="28" customFormat="1" x14ac:dyDescent="0.25">
      <c r="A341" s="7"/>
      <c r="B341" s="4" t="s">
        <v>191</v>
      </c>
      <c r="C341" s="2">
        <v>1</v>
      </c>
      <c r="D341" s="56">
        <f>CONVERT(E341,"m","ft")</f>
        <v>11.909448818897637</v>
      </c>
      <c r="E341" s="56">
        <v>3.63</v>
      </c>
      <c r="F341" s="56"/>
      <c r="G341" s="56"/>
      <c r="H341" s="56">
        <f>7+10/12</f>
        <v>7.833333333333333</v>
      </c>
      <c r="I341" s="56"/>
      <c r="J341" s="56">
        <f>C341*D341*H341</f>
        <v>93.290682414698153</v>
      </c>
      <c r="K341" s="2" t="s">
        <v>51</v>
      </c>
      <c r="L341" s="7"/>
      <c r="M341" s="27"/>
      <c r="N341" s="26"/>
    </row>
    <row r="342" spans="1:14" s="28" customFormat="1" ht="14.25" customHeight="1" x14ac:dyDescent="0.25">
      <c r="A342" s="7"/>
      <c r="B342" s="4" t="s">
        <v>197</v>
      </c>
      <c r="C342" s="2">
        <f>-0.5*(1)</f>
        <v>-0.5</v>
      </c>
      <c r="D342" s="56">
        <v>2</v>
      </c>
      <c r="E342" s="56"/>
      <c r="F342" s="56"/>
      <c r="G342" s="56"/>
      <c r="H342" s="56">
        <v>3</v>
      </c>
      <c r="I342" s="56"/>
      <c r="J342" s="56">
        <f>C342*D342*H342</f>
        <v>-3</v>
      </c>
      <c r="K342" s="2" t="s">
        <v>51</v>
      </c>
      <c r="L342" s="7"/>
      <c r="M342" s="27"/>
      <c r="N342" s="26"/>
    </row>
    <row r="343" spans="1:14" s="28" customFormat="1" ht="14.25" customHeight="1" x14ac:dyDescent="0.25">
      <c r="A343" s="7"/>
      <c r="B343" s="4" t="s">
        <v>154</v>
      </c>
      <c r="C343" s="2">
        <f>-0.5*(1)</f>
        <v>-0.5</v>
      </c>
      <c r="D343" s="56">
        <v>6</v>
      </c>
      <c r="E343" s="56"/>
      <c r="F343" s="56"/>
      <c r="G343" s="56"/>
      <c r="H343" s="56">
        <v>4.5</v>
      </c>
      <c r="I343" s="56"/>
      <c r="J343" s="56">
        <f>C343*D343*H343</f>
        <v>-13.5</v>
      </c>
      <c r="K343" s="2" t="s">
        <v>51</v>
      </c>
      <c r="L343" s="7"/>
      <c r="M343" s="27"/>
      <c r="N343" s="26"/>
    </row>
    <row r="344" spans="1:14" s="28" customFormat="1" x14ac:dyDescent="0.25">
      <c r="A344" s="7"/>
      <c r="B344" s="4"/>
      <c r="C344" s="2"/>
      <c r="D344" s="56"/>
      <c r="E344" s="56"/>
      <c r="F344" s="56"/>
      <c r="G344" s="56"/>
      <c r="H344" s="56"/>
      <c r="I344" s="56"/>
      <c r="J344" s="56"/>
      <c r="K344" s="2"/>
      <c r="L344" s="7"/>
      <c r="M344" s="27"/>
      <c r="N344" s="26"/>
    </row>
    <row r="345" spans="1:14" s="28" customFormat="1" x14ac:dyDescent="0.25">
      <c r="A345" s="7"/>
      <c r="B345" s="41" t="s">
        <v>302</v>
      </c>
      <c r="C345" s="2"/>
      <c r="D345" s="56"/>
      <c r="E345" s="56"/>
      <c r="F345" s="56"/>
      <c r="G345" s="56"/>
      <c r="H345" s="56"/>
      <c r="I345" s="56"/>
      <c r="J345" s="56"/>
      <c r="K345" s="2"/>
      <c r="L345" s="7"/>
      <c r="M345" s="27"/>
      <c r="N345" s="26"/>
    </row>
    <row r="346" spans="1:14" s="28" customFormat="1" x14ac:dyDescent="0.25">
      <c r="A346" s="7"/>
      <c r="B346" s="4" t="s">
        <v>221</v>
      </c>
      <c r="C346" s="2">
        <v>1</v>
      </c>
      <c r="D346" s="56">
        <f>CONVERT(E346,"m","ft")</f>
        <v>4.7244094488188972</v>
      </c>
      <c r="E346" s="56">
        <f>1.44</f>
        <v>1.44</v>
      </c>
      <c r="F346" s="56"/>
      <c r="G346" s="56"/>
      <c r="H346" s="56">
        <f>8+10/12</f>
        <v>8.8333333333333339</v>
      </c>
      <c r="I346" s="56"/>
      <c r="J346" s="56">
        <f t="shared" ref="J346:J355" si="10">C346*D346*H346</f>
        <v>41.732283464566926</v>
      </c>
      <c r="K346" s="2" t="s">
        <v>51</v>
      </c>
      <c r="L346" s="7"/>
      <c r="M346" s="27"/>
      <c r="N346" s="26"/>
    </row>
    <row r="347" spans="1:14" s="28" customFormat="1" x14ac:dyDescent="0.25">
      <c r="A347" s="7"/>
      <c r="B347" s="4" t="s">
        <v>261</v>
      </c>
      <c r="C347" s="2">
        <v>1</v>
      </c>
      <c r="D347" s="56">
        <f>CONVERT(E347,"m","ft")</f>
        <v>6.2664041994750654</v>
      </c>
      <c r="E347" s="56">
        <f>1.91</f>
        <v>1.91</v>
      </c>
      <c r="F347" s="56"/>
      <c r="G347" s="56"/>
      <c r="H347" s="56">
        <f>8+10/12</f>
        <v>8.8333333333333339</v>
      </c>
      <c r="I347" s="56"/>
      <c r="J347" s="56">
        <f t="shared" si="10"/>
        <v>55.353237095363085</v>
      </c>
      <c r="K347" s="2" t="s">
        <v>51</v>
      </c>
      <c r="L347" s="7"/>
      <c r="M347" s="27"/>
      <c r="N347" s="26"/>
    </row>
    <row r="348" spans="1:14" s="28" customFormat="1" x14ac:dyDescent="0.25">
      <c r="A348" s="7"/>
      <c r="B348" s="4" t="s">
        <v>265</v>
      </c>
      <c r="C348" s="2">
        <v>1</v>
      </c>
      <c r="D348" s="56">
        <f>CONVERT(E348,"m","ft")</f>
        <v>4.2979002624671914</v>
      </c>
      <c r="E348" s="56">
        <v>1.31</v>
      </c>
      <c r="F348" s="56"/>
      <c r="G348" s="56"/>
      <c r="H348" s="56">
        <f>8+10/12</f>
        <v>8.8333333333333339</v>
      </c>
      <c r="I348" s="56"/>
      <c r="J348" s="56">
        <f t="shared" si="10"/>
        <v>37.964785651793527</v>
      </c>
      <c r="K348" s="2" t="s">
        <v>51</v>
      </c>
      <c r="L348" s="7"/>
      <c r="M348" s="27"/>
      <c r="N348" s="26"/>
    </row>
    <row r="349" spans="1:14" s="28" customFormat="1" x14ac:dyDescent="0.25">
      <c r="A349" s="7"/>
      <c r="B349" s="4" t="s">
        <v>192</v>
      </c>
      <c r="C349" s="2">
        <v>1</v>
      </c>
      <c r="D349" s="56">
        <f>CONVERT(E349,"m","ft")</f>
        <v>6.8897637795275593</v>
      </c>
      <c r="E349" s="56">
        <f>2.1</f>
        <v>2.1</v>
      </c>
      <c r="F349" s="56"/>
      <c r="G349" s="56"/>
      <c r="H349" s="56">
        <f>7+10/12</f>
        <v>7.833333333333333</v>
      </c>
      <c r="I349" s="56"/>
      <c r="J349" s="56">
        <f t="shared" si="10"/>
        <v>53.969816272965879</v>
      </c>
      <c r="K349" s="2" t="s">
        <v>51</v>
      </c>
      <c r="L349" s="7"/>
      <c r="M349" s="27"/>
      <c r="N349" s="26"/>
    </row>
    <row r="350" spans="1:14" s="28" customFormat="1" x14ac:dyDescent="0.25">
      <c r="A350" s="7"/>
      <c r="B350" s="4" t="s">
        <v>204</v>
      </c>
      <c r="C350" s="2">
        <v>1</v>
      </c>
      <c r="D350" s="56">
        <f>CONVERT(E350,"m","ft")</f>
        <v>10.826771653543307</v>
      </c>
      <c r="E350" s="56">
        <v>3.3</v>
      </c>
      <c r="F350" s="56"/>
      <c r="G350" s="56"/>
      <c r="H350" s="56">
        <f>7+10/12</f>
        <v>7.833333333333333</v>
      </c>
      <c r="I350" s="56"/>
      <c r="J350" s="56">
        <f t="shared" si="10"/>
        <v>84.809711286089239</v>
      </c>
      <c r="K350" s="2" t="s">
        <v>51</v>
      </c>
      <c r="L350" s="7"/>
      <c r="M350" s="27"/>
      <c r="N350" s="26"/>
    </row>
    <row r="351" spans="1:14" s="28" customFormat="1" ht="14.25" customHeight="1" x14ac:dyDescent="0.25">
      <c r="A351" s="7"/>
      <c r="B351" s="4" t="s">
        <v>197</v>
      </c>
      <c r="C351" s="2">
        <f>-0.5*(1)</f>
        <v>-0.5</v>
      </c>
      <c r="D351" s="56">
        <v>2</v>
      </c>
      <c r="E351" s="56"/>
      <c r="F351" s="56"/>
      <c r="G351" s="56"/>
      <c r="H351" s="56">
        <v>3</v>
      </c>
      <c r="I351" s="56"/>
      <c r="J351" s="56">
        <f t="shared" si="10"/>
        <v>-3</v>
      </c>
      <c r="K351" s="2" t="s">
        <v>51</v>
      </c>
      <c r="L351" s="7"/>
      <c r="M351" s="27"/>
      <c r="N351" s="26"/>
    </row>
    <row r="352" spans="1:14" s="28" customFormat="1" x14ac:dyDescent="0.25">
      <c r="A352" s="7"/>
      <c r="B352" s="4" t="s">
        <v>174</v>
      </c>
      <c r="C352" s="2">
        <f>0.5*-1</f>
        <v>-0.5</v>
      </c>
      <c r="D352" s="56">
        <v>2.5</v>
      </c>
      <c r="E352" s="56"/>
      <c r="F352" s="56"/>
      <c r="G352" s="56"/>
      <c r="H352" s="56">
        <v>6.5</v>
      </c>
      <c r="I352" s="56"/>
      <c r="J352" s="56">
        <f t="shared" si="10"/>
        <v>-8.125</v>
      </c>
      <c r="K352" s="2" t="s">
        <v>51</v>
      </c>
      <c r="L352" s="7"/>
      <c r="M352" s="27"/>
      <c r="N352" s="26"/>
    </row>
    <row r="353" spans="1:14" s="28" customFormat="1" x14ac:dyDescent="0.25">
      <c r="A353" s="7"/>
      <c r="B353" s="38" t="s">
        <v>207</v>
      </c>
      <c r="C353" s="2">
        <v>-1</v>
      </c>
      <c r="D353" s="56">
        <f>2.1*3.28+3.5+3.5+3.5</f>
        <v>17.387999999999998</v>
      </c>
      <c r="E353" s="56"/>
      <c r="F353" s="56"/>
      <c r="G353" s="56"/>
      <c r="H353" s="56">
        <v>0.33</v>
      </c>
      <c r="I353" s="56"/>
      <c r="J353" s="56">
        <f t="shared" si="10"/>
        <v>-5.7380399999999998</v>
      </c>
      <c r="K353" s="2" t="s">
        <v>51</v>
      </c>
      <c r="L353" s="7"/>
      <c r="M353" s="27"/>
      <c r="N353" s="26"/>
    </row>
    <row r="354" spans="1:14" s="28" customFormat="1" x14ac:dyDescent="0.25">
      <c r="A354" s="7"/>
      <c r="B354" s="38" t="s">
        <v>205</v>
      </c>
      <c r="C354" s="2">
        <f>-7*0.5*2</f>
        <v>-7</v>
      </c>
      <c r="D354" s="56">
        <f>10/12</f>
        <v>0.83333333333333337</v>
      </c>
      <c r="E354" s="56"/>
      <c r="F354" s="56"/>
      <c r="G354" s="56"/>
      <c r="H354" s="56">
        <f>8/12</f>
        <v>0.66666666666666663</v>
      </c>
      <c r="I354" s="56"/>
      <c r="J354" s="56">
        <f t="shared" si="10"/>
        <v>-3.8888888888888893</v>
      </c>
      <c r="K354" s="2" t="s">
        <v>51</v>
      </c>
      <c r="L354" s="7"/>
      <c r="M354" s="27"/>
      <c r="N354" s="26"/>
    </row>
    <row r="355" spans="1:14" s="28" customFormat="1" x14ac:dyDescent="0.25">
      <c r="A355" s="7"/>
      <c r="B355" s="38" t="s">
        <v>206</v>
      </c>
      <c r="C355" s="2">
        <f>-2</f>
        <v>-2</v>
      </c>
      <c r="D355" s="56">
        <v>8.33</v>
      </c>
      <c r="E355" s="56"/>
      <c r="F355" s="56"/>
      <c r="G355" s="56"/>
      <c r="H355" s="56">
        <v>0.33</v>
      </c>
      <c r="I355" s="56"/>
      <c r="J355" s="56">
        <f t="shared" si="10"/>
        <v>-5.4978000000000007</v>
      </c>
      <c r="K355" s="2" t="s">
        <v>51</v>
      </c>
      <c r="L355" s="7"/>
      <c r="M355" s="27"/>
      <c r="N355" s="26"/>
    </row>
    <row r="356" spans="1:14" s="28" customFormat="1" x14ac:dyDescent="0.25">
      <c r="A356" s="7"/>
      <c r="B356" s="38"/>
      <c r="C356" s="2"/>
      <c r="D356" s="56"/>
      <c r="E356" s="56"/>
      <c r="F356" s="56"/>
      <c r="G356" s="56"/>
      <c r="H356" s="56"/>
      <c r="I356" s="56"/>
      <c r="J356" s="56"/>
      <c r="K356" s="2"/>
      <c r="L356" s="7"/>
      <c r="M356" s="67"/>
      <c r="N356" s="26"/>
    </row>
    <row r="357" spans="1:14" s="28" customFormat="1" x14ac:dyDescent="0.25">
      <c r="A357" s="7"/>
      <c r="B357" s="41" t="s">
        <v>75</v>
      </c>
      <c r="C357" s="2"/>
      <c r="D357" s="56"/>
      <c r="E357" s="56"/>
      <c r="F357" s="56"/>
      <c r="G357" s="56"/>
      <c r="H357" s="56"/>
      <c r="I357" s="56"/>
      <c r="J357" s="56"/>
      <c r="K357" s="2"/>
      <c r="L357" s="7"/>
      <c r="M357" s="27"/>
      <c r="N357" s="26"/>
    </row>
    <row r="358" spans="1:14" s="28" customFormat="1" x14ac:dyDescent="0.25">
      <c r="A358" s="7"/>
      <c r="B358" s="38" t="s">
        <v>222</v>
      </c>
      <c r="C358" s="2">
        <v>4</v>
      </c>
      <c r="D358" s="56">
        <f>0.25+0.25</f>
        <v>0.5</v>
      </c>
      <c r="E358" s="56"/>
      <c r="F358" s="56"/>
      <c r="G358" s="56"/>
      <c r="H358" s="56">
        <f t="shared" ref="H358:H364" si="11">8+11/12</f>
        <v>8.9166666666666661</v>
      </c>
      <c r="I358" s="56"/>
      <c r="J358" s="56">
        <f t="shared" ref="J358:J376" si="12">C358*D358*H358</f>
        <v>17.833333333333332</v>
      </c>
      <c r="K358" s="2" t="s">
        <v>51</v>
      </c>
      <c r="L358" s="7"/>
      <c r="M358" s="27"/>
      <c r="N358" s="26"/>
    </row>
    <row r="359" spans="1:14" s="28" customFormat="1" x14ac:dyDescent="0.25">
      <c r="A359" s="7"/>
      <c r="B359" s="38" t="s">
        <v>223</v>
      </c>
      <c r="C359" s="2">
        <v>1</v>
      </c>
      <c r="D359" s="56">
        <f>0.25+0.25+0.25+0.17</f>
        <v>0.92</v>
      </c>
      <c r="E359" s="56"/>
      <c r="F359" s="56"/>
      <c r="G359" s="56"/>
      <c r="H359" s="56">
        <f t="shared" si="11"/>
        <v>8.9166666666666661</v>
      </c>
      <c r="I359" s="56"/>
      <c r="J359" s="56">
        <f t="shared" si="12"/>
        <v>8.2033333333333331</v>
      </c>
      <c r="K359" s="2" t="s">
        <v>51</v>
      </c>
      <c r="L359" s="7"/>
      <c r="M359" s="27"/>
      <c r="N359" s="26"/>
    </row>
    <row r="360" spans="1:14" s="28" customFormat="1" x14ac:dyDescent="0.25">
      <c r="A360" s="7"/>
      <c r="B360" s="38" t="s">
        <v>224</v>
      </c>
      <c r="C360" s="2">
        <v>2</v>
      </c>
      <c r="D360" s="56">
        <f>0.25+0.42</f>
        <v>0.66999999999999993</v>
      </c>
      <c r="E360" s="56"/>
      <c r="F360" s="56"/>
      <c r="G360" s="56"/>
      <c r="H360" s="56">
        <f t="shared" si="11"/>
        <v>8.9166666666666661</v>
      </c>
      <c r="I360" s="56"/>
      <c r="J360" s="56">
        <f t="shared" si="12"/>
        <v>11.948333333333331</v>
      </c>
      <c r="K360" s="2" t="s">
        <v>51</v>
      </c>
      <c r="L360" s="7"/>
      <c r="M360" s="27"/>
      <c r="N360" s="26"/>
    </row>
    <row r="361" spans="1:14" s="28" customFormat="1" x14ac:dyDescent="0.25">
      <c r="A361" s="7"/>
      <c r="B361" s="38" t="s">
        <v>225</v>
      </c>
      <c r="C361" s="2">
        <v>1</v>
      </c>
      <c r="D361" s="56">
        <f>1+0.58</f>
        <v>1.58</v>
      </c>
      <c r="E361" s="56"/>
      <c r="F361" s="56"/>
      <c r="G361" s="56"/>
      <c r="H361" s="56">
        <f t="shared" si="11"/>
        <v>8.9166666666666661</v>
      </c>
      <c r="I361" s="56"/>
      <c r="J361" s="56">
        <f t="shared" si="12"/>
        <v>14.088333333333333</v>
      </c>
      <c r="K361" s="2" t="s">
        <v>51</v>
      </c>
      <c r="L361" s="7"/>
      <c r="M361" s="27"/>
      <c r="N361" s="26"/>
    </row>
    <row r="362" spans="1:14" s="28" customFormat="1" x14ac:dyDescent="0.25">
      <c r="A362" s="7"/>
      <c r="B362" s="38" t="s">
        <v>227</v>
      </c>
      <c r="C362" s="2">
        <v>2</v>
      </c>
      <c r="D362" s="56">
        <f>1+0.33</f>
        <v>1.33</v>
      </c>
      <c r="E362" s="56"/>
      <c r="F362" s="56"/>
      <c r="G362" s="56"/>
      <c r="H362" s="56">
        <f t="shared" si="11"/>
        <v>8.9166666666666661</v>
      </c>
      <c r="I362" s="56"/>
      <c r="J362" s="56">
        <f t="shared" si="12"/>
        <v>23.718333333333334</v>
      </c>
      <c r="K362" s="2" t="s">
        <v>51</v>
      </c>
      <c r="L362" s="7"/>
      <c r="M362" s="27"/>
      <c r="N362" s="26"/>
    </row>
    <row r="363" spans="1:14" s="28" customFormat="1" x14ac:dyDescent="0.25">
      <c r="A363" s="7"/>
      <c r="B363" s="38" t="s">
        <v>228</v>
      </c>
      <c r="C363" s="2">
        <v>1</v>
      </c>
      <c r="D363" s="56">
        <f>1+1+0.58+0.58</f>
        <v>3.16</v>
      </c>
      <c r="E363" s="56"/>
      <c r="F363" s="56"/>
      <c r="G363" s="56"/>
      <c r="H363" s="56">
        <f t="shared" si="11"/>
        <v>8.9166666666666661</v>
      </c>
      <c r="I363" s="56"/>
      <c r="J363" s="56">
        <f t="shared" si="12"/>
        <v>28.176666666666666</v>
      </c>
      <c r="K363" s="2" t="s">
        <v>51</v>
      </c>
      <c r="L363" s="7"/>
      <c r="M363" s="27"/>
      <c r="N363" s="26"/>
    </row>
    <row r="364" spans="1:14" s="28" customFormat="1" x14ac:dyDescent="0.25">
      <c r="A364" s="7"/>
      <c r="B364" s="38" t="s">
        <v>229</v>
      </c>
      <c r="C364" s="2">
        <v>1</v>
      </c>
      <c r="D364" s="56">
        <f>0.33+0.25+0.17</f>
        <v>0.75000000000000011</v>
      </c>
      <c r="E364" s="56"/>
      <c r="F364" s="56"/>
      <c r="G364" s="56"/>
      <c r="H364" s="56">
        <f t="shared" si="11"/>
        <v>8.9166666666666661</v>
      </c>
      <c r="I364" s="56"/>
      <c r="J364" s="56">
        <f t="shared" si="12"/>
        <v>6.6875000000000009</v>
      </c>
      <c r="K364" s="2" t="s">
        <v>51</v>
      </c>
      <c r="L364" s="7"/>
      <c r="M364" s="27"/>
      <c r="N364" s="26"/>
    </row>
    <row r="365" spans="1:14" s="28" customFormat="1" x14ac:dyDescent="0.25">
      <c r="A365" s="7"/>
      <c r="B365" s="38"/>
      <c r="C365" s="2"/>
      <c r="D365" s="56"/>
      <c r="E365" s="56"/>
      <c r="F365" s="56"/>
      <c r="G365" s="56"/>
      <c r="H365" s="56"/>
      <c r="I365" s="56"/>
      <c r="J365" s="56"/>
      <c r="K365" s="2"/>
      <c r="L365" s="7"/>
      <c r="M365" s="27"/>
      <c r="N365" s="26"/>
    </row>
    <row r="366" spans="1:14" s="28" customFormat="1" x14ac:dyDescent="0.25">
      <c r="A366" s="7"/>
      <c r="B366" s="41" t="s">
        <v>77</v>
      </c>
      <c r="C366" s="2"/>
      <c r="D366" s="56"/>
      <c r="E366" s="56"/>
      <c r="F366" s="56"/>
      <c r="G366" s="56"/>
      <c r="H366" s="56"/>
      <c r="I366" s="56"/>
      <c r="J366" s="56"/>
      <c r="K366" s="2"/>
      <c r="L366" s="7"/>
      <c r="M366" s="27"/>
      <c r="N366" s="26"/>
    </row>
    <row r="367" spans="1:14" s="28" customFormat="1" x14ac:dyDescent="0.25">
      <c r="A367" s="7"/>
      <c r="B367" s="38" t="s">
        <v>236</v>
      </c>
      <c r="C367" s="2">
        <v>1</v>
      </c>
      <c r="D367" s="56">
        <f t="shared" ref="D367:D376" si="13">CONVERT(E367,"m","ft")</f>
        <v>21.456692913385826</v>
      </c>
      <c r="E367" s="56">
        <f>3.27+3.27</f>
        <v>6.54</v>
      </c>
      <c r="F367" s="56"/>
      <c r="G367" s="56"/>
      <c r="H367" s="56">
        <f>1</f>
        <v>1</v>
      </c>
      <c r="I367" s="56"/>
      <c r="J367" s="56">
        <f t="shared" si="12"/>
        <v>21.456692913385826</v>
      </c>
      <c r="K367" s="2" t="s">
        <v>51</v>
      </c>
      <c r="L367" s="7"/>
      <c r="M367" s="27"/>
      <c r="N367" s="26"/>
    </row>
    <row r="368" spans="1:14" s="28" customFormat="1" x14ac:dyDescent="0.25">
      <c r="A368" s="7"/>
      <c r="B368" s="38" t="s">
        <v>234</v>
      </c>
      <c r="C368" s="2">
        <v>1</v>
      </c>
      <c r="D368" s="56">
        <f t="shared" si="13"/>
        <v>21.522309711286091</v>
      </c>
      <c r="E368" s="56">
        <f>3.29+3.27</f>
        <v>6.5600000000000005</v>
      </c>
      <c r="F368" s="56"/>
      <c r="G368" s="56"/>
      <c r="H368" s="56">
        <v>2.33</v>
      </c>
      <c r="I368" s="56"/>
      <c r="J368" s="56">
        <f t="shared" si="12"/>
        <v>50.146981627296597</v>
      </c>
      <c r="K368" s="2" t="s">
        <v>51</v>
      </c>
      <c r="L368" s="7"/>
      <c r="M368" s="27"/>
      <c r="N368" s="26"/>
    </row>
    <row r="369" spans="1:14" s="28" customFormat="1" x14ac:dyDescent="0.25">
      <c r="A369" s="7"/>
      <c r="B369" s="38" t="s">
        <v>238</v>
      </c>
      <c r="C369" s="2">
        <v>1</v>
      </c>
      <c r="D369" s="56">
        <f t="shared" si="13"/>
        <v>6.4632545931758534</v>
      </c>
      <c r="E369" s="56">
        <v>1.97</v>
      </c>
      <c r="F369" s="56"/>
      <c r="G369" s="56"/>
      <c r="H369" s="56">
        <v>2.75</v>
      </c>
      <c r="I369" s="56"/>
      <c r="J369" s="56">
        <f t="shared" si="12"/>
        <v>17.773950131233597</v>
      </c>
      <c r="K369" s="2" t="s">
        <v>51</v>
      </c>
      <c r="L369" s="7"/>
      <c r="M369" s="27"/>
      <c r="N369" s="26"/>
    </row>
    <row r="370" spans="1:14" s="28" customFormat="1" x14ac:dyDescent="0.25">
      <c r="A370" s="7"/>
      <c r="B370" s="38"/>
      <c r="C370" s="2">
        <v>1</v>
      </c>
      <c r="D370" s="56">
        <f t="shared" si="13"/>
        <v>4.2650918635170605</v>
      </c>
      <c r="E370" s="56">
        <v>1.3</v>
      </c>
      <c r="F370" s="56"/>
      <c r="G370" s="56"/>
      <c r="H370" s="56">
        <v>2.33</v>
      </c>
      <c r="I370" s="56"/>
      <c r="J370" s="56">
        <f t="shared" si="12"/>
        <v>9.9376640419947506</v>
      </c>
      <c r="K370" s="2" t="s">
        <v>51</v>
      </c>
      <c r="L370" s="7"/>
      <c r="M370" s="27"/>
      <c r="N370" s="26"/>
    </row>
    <row r="371" spans="1:14" s="28" customFormat="1" x14ac:dyDescent="0.25">
      <c r="A371" s="7"/>
      <c r="B371" s="38" t="s">
        <v>239</v>
      </c>
      <c r="C371" s="2">
        <v>1</v>
      </c>
      <c r="D371" s="56">
        <f t="shared" si="13"/>
        <v>10.826771653543307</v>
      </c>
      <c r="E371" s="56">
        <v>3.3</v>
      </c>
      <c r="F371" s="56"/>
      <c r="G371" s="56"/>
      <c r="H371" s="56">
        <v>2.75</v>
      </c>
      <c r="I371" s="56"/>
      <c r="J371" s="56">
        <f t="shared" si="12"/>
        <v>29.773622047244096</v>
      </c>
      <c r="K371" s="2" t="s">
        <v>51</v>
      </c>
      <c r="L371" s="7"/>
      <c r="M371" s="27"/>
      <c r="N371" s="26"/>
    </row>
    <row r="372" spans="1:14" s="28" customFormat="1" x14ac:dyDescent="0.25">
      <c r="A372" s="7"/>
      <c r="B372" s="38" t="s">
        <v>235</v>
      </c>
      <c r="C372" s="2">
        <v>1</v>
      </c>
      <c r="D372" s="56">
        <f t="shared" si="13"/>
        <v>21.587926509186353</v>
      </c>
      <c r="E372" s="56">
        <f>3.28+3.3</f>
        <v>6.58</v>
      </c>
      <c r="F372" s="56"/>
      <c r="G372" s="56"/>
      <c r="H372" s="56">
        <f>1</f>
        <v>1</v>
      </c>
      <c r="I372" s="56"/>
      <c r="J372" s="56">
        <f t="shared" si="12"/>
        <v>21.587926509186353</v>
      </c>
      <c r="K372" s="2" t="s">
        <v>51</v>
      </c>
      <c r="L372" s="7"/>
      <c r="M372" s="27"/>
      <c r="N372" s="26"/>
    </row>
    <row r="373" spans="1:14" s="28" customFormat="1" x14ac:dyDescent="0.25">
      <c r="A373" s="7"/>
      <c r="B373" s="38" t="s">
        <v>230</v>
      </c>
      <c r="C373" s="2">
        <v>1</v>
      </c>
      <c r="D373" s="56">
        <f t="shared" si="13"/>
        <v>26.048268356699314</v>
      </c>
      <c r="E373" s="56">
        <f>3.42+4/3.28+3.3</f>
        <v>7.9395121951219512</v>
      </c>
      <c r="F373" s="56"/>
      <c r="G373" s="56"/>
      <c r="H373" s="56">
        <f>1</f>
        <v>1</v>
      </c>
      <c r="I373" s="56"/>
      <c r="J373" s="56">
        <f t="shared" si="12"/>
        <v>26.048268356699314</v>
      </c>
      <c r="K373" s="2" t="s">
        <v>51</v>
      </c>
      <c r="L373" s="7"/>
      <c r="M373" s="27"/>
      <c r="N373" s="26"/>
    </row>
    <row r="374" spans="1:14" s="28" customFormat="1" x14ac:dyDescent="0.25">
      <c r="A374" s="7"/>
      <c r="B374" s="38" t="s">
        <v>232</v>
      </c>
      <c r="C374" s="2">
        <v>1</v>
      </c>
      <c r="D374" s="56">
        <f t="shared" si="13"/>
        <v>21.784776902887142</v>
      </c>
      <c r="E374" s="56">
        <f>3.4+3.24</f>
        <v>6.6400000000000006</v>
      </c>
      <c r="F374" s="56"/>
      <c r="G374" s="56"/>
      <c r="H374" s="56">
        <f>1+1</f>
        <v>2</v>
      </c>
      <c r="I374" s="56"/>
      <c r="J374" s="56">
        <f t="shared" si="12"/>
        <v>43.569553805774284</v>
      </c>
      <c r="K374" s="2" t="s">
        <v>51</v>
      </c>
      <c r="L374" s="7"/>
      <c r="M374" s="27"/>
      <c r="N374" s="26"/>
    </row>
    <row r="375" spans="1:14" s="28" customFormat="1" x14ac:dyDescent="0.25">
      <c r="A375" s="7"/>
      <c r="B375" s="38" t="s">
        <v>233</v>
      </c>
      <c r="C375" s="2">
        <v>1</v>
      </c>
      <c r="D375" s="56">
        <f t="shared" si="13"/>
        <v>4.0010242622111258</v>
      </c>
      <c r="E375" s="56">
        <f>4/3.28</f>
        <v>1.2195121951219512</v>
      </c>
      <c r="F375" s="56"/>
      <c r="G375" s="56"/>
      <c r="H375" s="56">
        <f>1+1+0.75</f>
        <v>2.75</v>
      </c>
      <c r="I375" s="56"/>
      <c r="J375" s="56">
        <f t="shared" si="12"/>
        <v>11.002816721080595</v>
      </c>
      <c r="K375" s="2" t="s">
        <v>51</v>
      </c>
      <c r="L375" s="7"/>
      <c r="M375" s="27"/>
      <c r="N375" s="26"/>
    </row>
    <row r="376" spans="1:14" s="28" customFormat="1" x14ac:dyDescent="0.25">
      <c r="A376" s="7"/>
      <c r="B376" s="38" t="s">
        <v>231</v>
      </c>
      <c r="C376" s="2">
        <v>1</v>
      </c>
      <c r="D376" s="56">
        <f t="shared" si="13"/>
        <v>25.65456756929774</v>
      </c>
      <c r="E376" s="56">
        <f>3.36+4/3.28+3.24</f>
        <v>7.8195121951219511</v>
      </c>
      <c r="F376" s="56"/>
      <c r="G376" s="56"/>
      <c r="H376" s="56">
        <f>1</f>
        <v>1</v>
      </c>
      <c r="I376" s="56"/>
      <c r="J376" s="56">
        <f t="shared" si="12"/>
        <v>25.65456756929774</v>
      </c>
      <c r="K376" s="2" t="s">
        <v>51</v>
      </c>
      <c r="L376" s="7"/>
      <c r="M376" s="27"/>
      <c r="N376" s="26"/>
    </row>
    <row r="377" spans="1:14" s="28" customFormat="1" x14ac:dyDescent="0.25">
      <c r="A377" s="7"/>
      <c r="B377" s="38"/>
      <c r="C377" s="2"/>
      <c r="D377" s="56"/>
      <c r="E377" s="56"/>
      <c r="F377" s="56"/>
      <c r="G377" s="56"/>
      <c r="H377" s="56"/>
      <c r="I377" s="56"/>
      <c r="J377" s="56"/>
      <c r="K377" s="2"/>
      <c r="L377" s="7"/>
      <c r="M377" s="27"/>
      <c r="N377" s="26"/>
    </row>
    <row r="378" spans="1:14" s="28" customFormat="1" x14ac:dyDescent="0.25">
      <c r="A378" s="7"/>
      <c r="B378" s="68" t="s">
        <v>159</v>
      </c>
      <c r="C378" s="2"/>
      <c r="D378" s="56"/>
      <c r="E378" s="56"/>
      <c r="F378" s="56"/>
      <c r="G378" s="56"/>
      <c r="H378" s="56"/>
      <c r="I378" s="56"/>
      <c r="J378" s="56"/>
      <c r="K378" s="2"/>
      <c r="L378" s="7"/>
      <c r="M378" s="27"/>
      <c r="N378" s="26"/>
    </row>
    <row r="379" spans="1:14" s="28" customFormat="1" x14ac:dyDescent="0.25">
      <c r="A379" s="7"/>
      <c r="B379" s="26" t="s">
        <v>208</v>
      </c>
      <c r="C379" s="2"/>
      <c r="D379" s="56"/>
      <c r="E379" s="56"/>
      <c r="F379" s="56"/>
      <c r="G379" s="56"/>
      <c r="H379" s="56"/>
      <c r="I379" s="56"/>
      <c r="J379" s="56"/>
      <c r="K379" s="2"/>
      <c r="L379" s="7"/>
      <c r="M379" s="27"/>
      <c r="N379" s="26"/>
    </row>
    <row r="380" spans="1:14" s="28" customFormat="1" x14ac:dyDescent="0.25">
      <c r="A380" s="7"/>
      <c r="B380" s="4" t="s">
        <v>187</v>
      </c>
      <c r="C380" s="2">
        <v>1</v>
      </c>
      <c r="D380" s="56">
        <f>CONVERT(E380,"m","ft")</f>
        <v>15.024646309455218</v>
      </c>
      <c r="E380" s="56">
        <f>3.36+4/3.28</f>
        <v>4.5795121951219508</v>
      </c>
      <c r="F380" s="56"/>
      <c r="G380" s="56"/>
      <c r="H380" s="56">
        <f>7+10/12</f>
        <v>7.833333333333333</v>
      </c>
      <c r="I380" s="56"/>
      <c r="J380" s="56">
        <f t="shared" ref="J380:J386" si="14">C380*D380*H380</f>
        <v>117.6930627573992</v>
      </c>
      <c r="K380" s="2" t="s">
        <v>51</v>
      </c>
      <c r="L380" s="7"/>
      <c r="M380" s="27"/>
      <c r="N380" s="26"/>
    </row>
    <row r="381" spans="1:14" s="28" customFormat="1" x14ac:dyDescent="0.25">
      <c r="A381" s="7"/>
      <c r="B381" s="4" t="s">
        <v>191</v>
      </c>
      <c r="C381" s="2">
        <v>2</v>
      </c>
      <c r="D381" s="56">
        <f>CONVERT(E381,"m","ft")</f>
        <v>15.155879905255743</v>
      </c>
      <c r="E381" s="56">
        <f>3.4+4/3.28</f>
        <v>4.6195121951219509</v>
      </c>
      <c r="F381" s="56"/>
      <c r="G381" s="56"/>
      <c r="H381" s="56">
        <f>7+10/12</f>
        <v>7.833333333333333</v>
      </c>
      <c r="I381" s="56"/>
      <c r="J381" s="56">
        <f t="shared" si="14"/>
        <v>237.44211851567329</v>
      </c>
      <c r="K381" s="2" t="s">
        <v>51</v>
      </c>
      <c r="L381" s="7"/>
      <c r="M381" s="27"/>
      <c r="N381" s="26"/>
    </row>
    <row r="382" spans="1:14" s="28" customFormat="1" x14ac:dyDescent="0.25">
      <c r="A382" s="7"/>
      <c r="B382" s="4" t="s">
        <v>192</v>
      </c>
      <c r="C382" s="2">
        <v>2</v>
      </c>
      <c r="D382" s="56">
        <f>CONVERT(E382,"m","ft")</f>
        <v>10.793963254593177</v>
      </c>
      <c r="E382" s="56">
        <v>3.29</v>
      </c>
      <c r="F382" s="56"/>
      <c r="G382" s="56"/>
      <c r="H382" s="56">
        <f>7+10/12</f>
        <v>7.833333333333333</v>
      </c>
      <c r="I382" s="56"/>
      <c r="J382" s="56">
        <f t="shared" si="14"/>
        <v>169.10542432195976</v>
      </c>
      <c r="K382" s="2" t="s">
        <v>51</v>
      </c>
      <c r="L382" s="7"/>
      <c r="M382" s="27"/>
      <c r="N382" s="26"/>
    </row>
    <row r="383" spans="1:14" s="28" customFormat="1" x14ac:dyDescent="0.25">
      <c r="A383" s="7"/>
      <c r="B383" s="4" t="s">
        <v>193</v>
      </c>
      <c r="C383" s="2">
        <v>1</v>
      </c>
      <c r="D383" s="56">
        <f>CONVERT(E383,"m","ft")</f>
        <v>10.728346456692913</v>
      </c>
      <c r="E383" s="56">
        <v>3.27</v>
      </c>
      <c r="F383" s="56"/>
      <c r="G383" s="56"/>
      <c r="H383" s="56">
        <f>7+10/12</f>
        <v>7.833333333333333</v>
      </c>
      <c r="I383" s="56"/>
      <c r="J383" s="56">
        <f t="shared" si="14"/>
        <v>84.038713910761146</v>
      </c>
      <c r="K383" s="2" t="s">
        <v>51</v>
      </c>
      <c r="L383" s="7"/>
      <c r="M383" s="27"/>
      <c r="N383" s="26"/>
    </row>
    <row r="384" spans="1:14" s="28" customFormat="1" ht="14.25" customHeight="1" x14ac:dyDescent="0.25">
      <c r="A384" s="7"/>
      <c r="B384" s="4" t="s">
        <v>154</v>
      </c>
      <c r="C384" s="2">
        <f>-0.5*(2)</f>
        <v>-1</v>
      </c>
      <c r="D384" s="56">
        <v>6</v>
      </c>
      <c r="E384" s="56"/>
      <c r="F384" s="56"/>
      <c r="G384" s="56"/>
      <c r="H384" s="56">
        <v>4.5</v>
      </c>
      <c r="I384" s="56"/>
      <c r="J384" s="56">
        <f t="shared" si="14"/>
        <v>-27</v>
      </c>
      <c r="K384" s="2" t="s">
        <v>51</v>
      </c>
      <c r="L384" s="7"/>
      <c r="M384" s="27"/>
      <c r="N384" s="26"/>
    </row>
    <row r="385" spans="1:14" s="28" customFormat="1" ht="14.25" customHeight="1" x14ac:dyDescent="0.25">
      <c r="A385" s="7"/>
      <c r="B385" s="4" t="s">
        <v>163</v>
      </c>
      <c r="C385" s="2">
        <f>-0.5*(1)</f>
        <v>-0.5</v>
      </c>
      <c r="D385" s="56">
        <v>4</v>
      </c>
      <c r="E385" s="56"/>
      <c r="F385" s="56"/>
      <c r="G385" s="56"/>
      <c r="H385" s="56">
        <v>4.5</v>
      </c>
      <c r="I385" s="56"/>
      <c r="J385" s="56">
        <f t="shared" si="14"/>
        <v>-9</v>
      </c>
      <c r="K385" s="2" t="s">
        <v>51</v>
      </c>
      <c r="L385" s="7"/>
      <c r="M385" s="27"/>
      <c r="N385" s="26"/>
    </row>
    <row r="386" spans="1:14" s="28" customFormat="1" x14ac:dyDescent="0.25">
      <c r="A386" s="7"/>
      <c r="B386" s="4" t="s">
        <v>167</v>
      </c>
      <c r="C386" s="2">
        <f>0.5*-2</f>
        <v>-1</v>
      </c>
      <c r="D386" s="56">
        <v>3</v>
      </c>
      <c r="E386" s="56"/>
      <c r="F386" s="56"/>
      <c r="G386" s="56"/>
      <c r="H386" s="56">
        <v>7</v>
      </c>
      <c r="I386" s="56"/>
      <c r="J386" s="56">
        <f t="shared" si="14"/>
        <v>-21</v>
      </c>
      <c r="K386" s="2" t="s">
        <v>51</v>
      </c>
      <c r="L386" s="7"/>
      <c r="M386" s="27"/>
      <c r="N386" s="26"/>
    </row>
    <row r="387" spans="1:14" s="28" customFormat="1" x14ac:dyDescent="0.25">
      <c r="A387" s="7"/>
      <c r="B387" s="4"/>
      <c r="C387" s="2"/>
      <c r="D387" s="56"/>
      <c r="E387" s="56"/>
      <c r="F387" s="56"/>
      <c r="G387" s="56"/>
      <c r="H387" s="56"/>
      <c r="I387" s="56"/>
      <c r="J387" s="56"/>
      <c r="K387" s="2"/>
      <c r="L387" s="7"/>
      <c r="M387" s="27"/>
      <c r="N387" s="26"/>
    </row>
    <row r="388" spans="1:14" s="28" customFormat="1" x14ac:dyDescent="0.25">
      <c r="A388" s="7"/>
      <c r="B388" s="26" t="s">
        <v>194</v>
      </c>
      <c r="C388" s="2"/>
      <c r="D388" s="56"/>
      <c r="E388" s="56"/>
      <c r="F388" s="56"/>
      <c r="G388" s="56"/>
      <c r="H388" s="56"/>
      <c r="I388" s="56"/>
      <c r="J388" s="56"/>
      <c r="K388" s="2"/>
      <c r="L388" s="7"/>
      <c r="M388" s="27"/>
      <c r="N388" s="26"/>
    </row>
    <row r="389" spans="1:14" s="28" customFormat="1" x14ac:dyDescent="0.25">
      <c r="A389" s="7"/>
      <c r="B389" s="4" t="s">
        <v>191</v>
      </c>
      <c r="C389" s="2">
        <v>1</v>
      </c>
      <c r="D389" s="56">
        <f>CONVERT(E389,"m","ft")</f>
        <v>11.220472440944881</v>
      </c>
      <c r="E389" s="56">
        <v>3.42</v>
      </c>
      <c r="F389" s="56"/>
      <c r="G389" s="56"/>
      <c r="H389" s="56">
        <f>7+10/12</f>
        <v>7.833333333333333</v>
      </c>
      <c r="I389" s="56"/>
      <c r="J389" s="56">
        <f>C389*D389*H389</f>
        <v>87.893700787401571</v>
      </c>
      <c r="K389" s="2" t="s">
        <v>51</v>
      </c>
      <c r="L389" s="7"/>
      <c r="M389" s="27"/>
      <c r="N389" s="26"/>
    </row>
    <row r="390" spans="1:14" s="28" customFormat="1" x14ac:dyDescent="0.25">
      <c r="A390" s="7"/>
      <c r="B390" s="4" t="s">
        <v>192</v>
      </c>
      <c r="C390" s="2">
        <v>2</v>
      </c>
      <c r="D390" s="56">
        <f>CONVERT(E390,"m","ft")</f>
        <v>10.826771653543307</v>
      </c>
      <c r="E390" s="56">
        <v>3.3</v>
      </c>
      <c r="F390" s="56"/>
      <c r="G390" s="56"/>
      <c r="H390" s="56">
        <f>7+10/12</f>
        <v>7.833333333333333</v>
      </c>
      <c r="I390" s="56"/>
      <c r="J390" s="56">
        <f>C390*D390*H390</f>
        <v>169.61942257217848</v>
      </c>
      <c r="K390" s="2" t="s">
        <v>51</v>
      </c>
      <c r="L390" s="7"/>
      <c r="M390" s="27"/>
      <c r="N390" s="26"/>
    </row>
    <row r="391" spans="1:14" s="28" customFormat="1" x14ac:dyDescent="0.25">
      <c r="A391" s="7"/>
      <c r="B391" s="4" t="s">
        <v>193</v>
      </c>
      <c r="C391" s="2">
        <v>1</v>
      </c>
      <c r="D391" s="56">
        <f>CONVERT(E391,"m","ft")</f>
        <v>10.826771653543307</v>
      </c>
      <c r="E391" s="56">
        <v>3.3</v>
      </c>
      <c r="F391" s="56"/>
      <c r="G391" s="56"/>
      <c r="H391" s="56">
        <f>7+10/12</f>
        <v>7.833333333333333</v>
      </c>
      <c r="I391" s="56"/>
      <c r="J391" s="56">
        <f>C391*D391*H391</f>
        <v>84.809711286089239</v>
      </c>
      <c r="K391" s="2" t="s">
        <v>51</v>
      </c>
      <c r="L391" s="7"/>
      <c r="M391" s="27"/>
      <c r="N391" s="26"/>
    </row>
    <row r="392" spans="1:14" s="28" customFormat="1" ht="14.25" customHeight="1" x14ac:dyDescent="0.25">
      <c r="A392" s="7"/>
      <c r="B392" s="4" t="s">
        <v>154</v>
      </c>
      <c r="C392" s="2">
        <f>-0.5*(2)</f>
        <v>-1</v>
      </c>
      <c r="D392" s="56">
        <v>6</v>
      </c>
      <c r="E392" s="56"/>
      <c r="F392" s="56"/>
      <c r="G392" s="56"/>
      <c r="H392" s="56">
        <v>4.5</v>
      </c>
      <c r="I392" s="56"/>
      <c r="J392" s="56">
        <f>C392*D392*H392</f>
        <v>-27</v>
      </c>
      <c r="K392" s="2" t="s">
        <v>51</v>
      </c>
      <c r="L392" s="7"/>
      <c r="M392" s="27"/>
      <c r="N392" s="26"/>
    </row>
    <row r="393" spans="1:14" s="28" customFormat="1" x14ac:dyDescent="0.25">
      <c r="A393" s="7"/>
      <c r="B393" s="4" t="s">
        <v>167</v>
      </c>
      <c r="C393" s="2">
        <f>0.5*-2</f>
        <v>-1</v>
      </c>
      <c r="D393" s="56">
        <v>3</v>
      </c>
      <c r="E393" s="56"/>
      <c r="F393" s="56"/>
      <c r="G393" s="56"/>
      <c r="H393" s="56">
        <v>7</v>
      </c>
      <c r="I393" s="56"/>
      <c r="J393" s="56">
        <f>C393*D393*H393</f>
        <v>-21</v>
      </c>
      <c r="K393" s="2" t="s">
        <v>51</v>
      </c>
      <c r="L393" s="7"/>
      <c r="M393" s="27"/>
      <c r="N393" s="26"/>
    </row>
    <row r="394" spans="1:14" s="28" customFormat="1" x14ac:dyDescent="0.25">
      <c r="A394" s="7"/>
      <c r="B394" s="4"/>
      <c r="C394" s="2"/>
      <c r="D394" s="56"/>
      <c r="E394" s="56"/>
      <c r="F394" s="56"/>
      <c r="G394" s="56"/>
      <c r="H394" s="56"/>
      <c r="I394" s="56"/>
      <c r="J394" s="56"/>
      <c r="K394" s="2"/>
      <c r="L394" s="7"/>
      <c r="M394" s="27"/>
      <c r="N394" s="26"/>
    </row>
    <row r="395" spans="1:14" s="28" customFormat="1" x14ac:dyDescent="0.25">
      <c r="A395" s="7"/>
      <c r="B395" s="41" t="s">
        <v>305</v>
      </c>
      <c r="C395" s="2"/>
      <c r="D395" s="56"/>
      <c r="E395" s="56"/>
      <c r="F395" s="56"/>
      <c r="G395" s="56"/>
      <c r="H395" s="56"/>
      <c r="I395" s="56"/>
      <c r="J395" s="56"/>
      <c r="K395" s="2"/>
      <c r="L395" s="7"/>
      <c r="M395" s="27"/>
      <c r="N395" s="26"/>
    </row>
    <row r="396" spans="1:14" s="28" customFormat="1" x14ac:dyDescent="0.25">
      <c r="A396" s="7"/>
      <c r="B396" s="4" t="s">
        <v>191</v>
      </c>
      <c r="C396" s="2">
        <v>1</v>
      </c>
      <c r="D396" s="56">
        <v>4</v>
      </c>
      <c r="E396" s="56"/>
      <c r="F396" s="56"/>
      <c r="G396" s="56"/>
      <c r="H396" s="56">
        <f>7+10/12</f>
        <v>7.833333333333333</v>
      </c>
      <c r="I396" s="56"/>
      <c r="J396" s="56">
        <f>C396*D396*H396</f>
        <v>31.333333333333332</v>
      </c>
      <c r="K396" s="2" t="s">
        <v>51</v>
      </c>
      <c r="L396" s="7"/>
      <c r="M396" s="27"/>
      <c r="N396" s="26"/>
    </row>
    <row r="397" spans="1:14" s="28" customFormat="1" x14ac:dyDescent="0.25">
      <c r="A397" s="7"/>
      <c r="B397" s="4" t="s">
        <v>163</v>
      </c>
      <c r="C397" s="2">
        <f>0.5*-1</f>
        <v>-0.5</v>
      </c>
      <c r="D397" s="56">
        <v>4</v>
      </c>
      <c r="E397" s="56"/>
      <c r="F397" s="56"/>
      <c r="G397" s="56"/>
      <c r="H397" s="56">
        <v>4.5</v>
      </c>
      <c r="I397" s="56"/>
      <c r="J397" s="56">
        <f>C397*D397*H397</f>
        <v>-9</v>
      </c>
      <c r="K397" s="2" t="s">
        <v>51</v>
      </c>
      <c r="L397" s="7"/>
      <c r="M397" s="27"/>
      <c r="N397" s="26"/>
    </row>
    <row r="398" spans="1:14" s="28" customFormat="1" x14ac:dyDescent="0.25">
      <c r="A398" s="7"/>
      <c r="B398" s="4"/>
      <c r="C398" s="2"/>
      <c r="D398" s="56"/>
      <c r="E398" s="56"/>
      <c r="F398" s="56"/>
      <c r="G398" s="56"/>
      <c r="H398" s="56"/>
      <c r="I398" s="56"/>
      <c r="J398" s="56"/>
      <c r="K398" s="2"/>
      <c r="L398" s="7"/>
      <c r="M398" s="27"/>
      <c r="N398" s="26"/>
    </row>
    <row r="399" spans="1:14" s="28" customFormat="1" x14ac:dyDescent="0.25">
      <c r="A399" s="7"/>
      <c r="B399" s="26" t="s">
        <v>195</v>
      </c>
      <c r="C399" s="2"/>
      <c r="D399" s="56"/>
      <c r="E399" s="56"/>
      <c r="F399" s="56"/>
      <c r="G399" s="56"/>
      <c r="H399" s="56"/>
      <c r="I399" s="56"/>
      <c r="J399" s="56"/>
      <c r="K399" s="2"/>
      <c r="L399" s="7"/>
      <c r="M399" s="27"/>
      <c r="N399" s="26"/>
    </row>
    <row r="400" spans="1:14" s="28" customFormat="1" x14ac:dyDescent="0.25">
      <c r="A400" s="7"/>
      <c r="B400" s="4" t="s">
        <v>187</v>
      </c>
      <c r="C400" s="2">
        <v>1</v>
      </c>
      <c r="D400" s="56">
        <f>CONVERT(E400,"m","ft")</f>
        <v>10.69553805774278</v>
      </c>
      <c r="E400" s="56">
        <v>3.26</v>
      </c>
      <c r="F400" s="56"/>
      <c r="G400" s="56"/>
      <c r="H400" s="56">
        <f>7+10/12</f>
        <v>7.833333333333333</v>
      </c>
      <c r="I400" s="56"/>
      <c r="J400" s="56">
        <f t="shared" ref="J400:J405" si="15">C400*D400*H400</f>
        <v>83.781714785651772</v>
      </c>
      <c r="K400" s="2" t="s">
        <v>51</v>
      </c>
      <c r="L400" s="7"/>
      <c r="M400" s="27"/>
      <c r="N400" s="26"/>
    </row>
    <row r="401" spans="1:14" s="28" customFormat="1" x14ac:dyDescent="0.25">
      <c r="A401" s="7"/>
      <c r="B401" s="4" t="s">
        <v>263</v>
      </c>
      <c r="C401" s="2">
        <v>1</v>
      </c>
      <c r="D401" s="56">
        <f>CONVERT(E401,"m","ft")</f>
        <v>10.69553805774278</v>
      </c>
      <c r="E401" s="56">
        <v>3.26</v>
      </c>
      <c r="F401" s="56"/>
      <c r="G401" s="56"/>
      <c r="H401" s="56">
        <f>7+10/12</f>
        <v>7.833333333333333</v>
      </c>
      <c r="I401" s="56"/>
      <c r="J401" s="56">
        <f t="shared" si="15"/>
        <v>83.781714785651772</v>
      </c>
      <c r="K401" s="2" t="s">
        <v>51</v>
      </c>
      <c r="L401" s="7"/>
      <c r="M401" s="27"/>
      <c r="N401" s="26"/>
    </row>
    <row r="402" spans="1:14" s="28" customFormat="1" x14ac:dyDescent="0.25">
      <c r="A402" s="7"/>
      <c r="B402" s="4" t="s">
        <v>192</v>
      </c>
      <c r="C402" s="2">
        <v>1</v>
      </c>
      <c r="D402" s="56">
        <f>CONVERT(E402,"m","ft")</f>
        <v>10.826771653543307</v>
      </c>
      <c r="E402" s="56">
        <v>3.3</v>
      </c>
      <c r="F402" s="56"/>
      <c r="G402" s="56"/>
      <c r="H402" s="56">
        <f>7+10/12</f>
        <v>7.833333333333333</v>
      </c>
      <c r="I402" s="56"/>
      <c r="J402" s="56">
        <f t="shared" si="15"/>
        <v>84.809711286089239</v>
      </c>
      <c r="K402" s="2" t="s">
        <v>51</v>
      </c>
      <c r="L402" s="7"/>
      <c r="M402" s="27"/>
      <c r="N402" s="26"/>
    </row>
    <row r="403" spans="1:14" s="28" customFormat="1" x14ac:dyDescent="0.25">
      <c r="A403" s="7"/>
      <c r="B403" s="4" t="s">
        <v>262</v>
      </c>
      <c r="C403" s="2">
        <v>1</v>
      </c>
      <c r="D403" s="56">
        <f>CONVERT(E403,"m","ft")</f>
        <v>9.8425196850393704</v>
      </c>
      <c r="E403" s="56">
        <f>1.5+1.5</f>
        <v>3</v>
      </c>
      <c r="F403" s="56"/>
      <c r="G403" s="56"/>
      <c r="H403" s="56">
        <f>7+10/12</f>
        <v>7.833333333333333</v>
      </c>
      <c r="I403" s="56"/>
      <c r="J403" s="56">
        <f t="shared" si="15"/>
        <v>77.099737532808405</v>
      </c>
      <c r="K403" s="2" t="s">
        <v>51</v>
      </c>
      <c r="L403" s="7"/>
      <c r="M403" s="27"/>
      <c r="N403" s="26"/>
    </row>
    <row r="404" spans="1:14" s="28" customFormat="1" ht="14.25" customHeight="1" x14ac:dyDescent="0.25">
      <c r="A404" s="7"/>
      <c r="B404" s="4" t="s">
        <v>154</v>
      </c>
      <c r="C404" s="2">
        <f>-0.5*(2)</f>
        <v>-1</v>
      </c>
      <c r="D404" s="56">
        <v>6</v>
      </c>
      <c r="E404" s="56"/>
      <c r="F404" s="56"/>
      <c r="G404" s="56"/>
      <c r="H404" s="56">
        <v>4.5</v>
      </c>
      <c r="I404" s="56"/>
      <c r="J404" s="56">
        <f t="shared" si="15"/>
        <v>-27</v>
      </c>
      <c r="K404" s="2" t="s">
        <v>51</v>
      </c>
      <c r="L404" s="7"/>
      <c r="M404" s="27"/>
      <c r="N404" s="26"/>
    </row>
    <row r="405" spans="1:14" s="28" customFormat="1" x14ac:dyDescent="0.25">
      <c r="A405" s="7"/>
      <c r="B405" s="4" t="s">
        <v>167</v>
      </c>
      <c r="C405" s="2">
        <f>0.5*-2</f>
        <v>-1</v>
      </c>
      <c r="D405" s="56">
        <v>3</v>
      </c>
      <c r="E405" s="56"/>
      <c r="F405" s="56"/>
      <c r="G405" s="56"/>
      <c r="H405" s="56">
        <v>7</v>
      </c>
      <c r="I405" s="56"/>
      <c r="J405" s="56">
        <f t="shared" si="15"/>
        <v>-21</v>
      </c>
      <c r="K405" s="2" t="s">
        <v>51</v>
      </c>
      <c r="L405" s="7"/>
      <c r="M405" s="27"/>
      <c r="N405" s="26"/>
    </row>
    <row r="406" spans="1:14" s="28" customFormat="1" x14ac:dyDescent="0.25">
      <c r="A406" s="7"/>
      <c r="B406" s="4"/>
      <c r="C406" s="2"/>
      <c r="D406" s="56"/>
      <c r="E406" s="56"/>
      <c r="F406" s="56"/>
      <c r="G406" s="56"/>
      <c r="H406" s="56"/>
      <c r="I406" s="56"/>
      <c r="J406" s="56"/>
      <c r="K406" s="2"/>
      <c r="L406" s="7"/>
      <c r="M406" s="27"/>
      <c r="N406" s="26"/>
    </row>
    <row r="407" spans="1:14" s="28" customFormat="1" x14ac:dyDescent="0.25">
      <c r="A407" s="7"/>
      <c r="B407" s="41" t="s">
        <v>302</v>
      </c>
      <c r="C407" s="2"/>
      <c r="D407" s="56"/>
      <c r="E407" s="56"/>
      <c r="F407" s="56"/>
      <c r="G407" s="56"/>
      <c r="H407" s="56"/>
      <c r="I407" s="56"/>
      <c r="J407" s="56"/>
      <c r="K407" s="2"/>
      <c r="L407" s="7"/>
      <c r="M407" s="27"/>
      <c r="N407" s="26"/>
    </row>
    <row r="408" spans="1:14" s="28" customFormat="1" x14ac:dyDescent="0.25">
      <c r="A408" s="7"/>
      <c r="B408" s="4" t="s">
        <v>264</v>
      </c>
      <c r="C408" s="2">
        <v>1</v>
      </c>
      <c r="D408" s="56">
        <f>CONVERT(E408,"m","ft")</f>
        <v>6.0367454068241466</v>
      </c>
      <c r="E408" s="56">
        <v>1.84</v>
      </c>
      <c r="F408" s="56"/>
      <c r="G408" s="56"/>
      <c r="H408" s="56">
        <f>8+10/12</f>
        <v>8.8333333333333339</v>
      </c>
      <c r="I408" s="56"/>
      <c r="J408" s="56">
        <f t="shared" ref="J408:J416" si="16">C408*D408*H408</f>
        <v>53.324584426946629</v>
      </c>
      <c r="K408" s="2" t="s">
        <v>51</v>
      </c>
      <c r="L408" s="7"/>
      <c r="M408" s="27"/>
      <c r="N408" s="26"/>
    </row>
    <row r="409" spans="1:14" s="28" customFormat="1" x14ac:dyDescent="0.25">
      <c r="A409" s="7"/>
      <c r="B409" s="4" t="s">
        <v>265</v>
      </c>
      <c r="C409" s="2">
        <v>1</v>
      </c>
      <c r="D409" s="56">
        <f>CONVERT(E409,"m","ft")</f>
        <v>3.9370078740157481</v>
      </c>
      <c r="E409" s="56">
        <v>1.2</v>
      </c>
      <c r="F409" s="56"/>
      <c r="G409" s="56"/>
      <c r="H409" s="56">
        <f>8+10/12</f>
        <v>8.8333333333333339</v>
      </c>
      <c r="I409" s="56"/>
      <c r="J409" s="56">
        <f t="shared" si="16"/>
        <v>34.776902887139109</v>
      </c>
      <c r="K409" s="2" t="s">
        <v>51</v>
      </c>
      <c r="L409" s="7"/>
      <c r="M409" s="27"/>
      <c r="N409" s="26"/>
    </row>
    <row r="410" spans="1:14" s="28" customFormat="1" x14ac:dyDescent="0.25">
      <c r="A410" s="7"/>
      <c r="B410" s="4" t="s">
        <v>192</v>
      </c>
      <c r="C410" s="2">
        <v>1</v>
      </c>
      <c r="D410" s="56">
        <f>CONVERT(E410,"m","ft")</f>
        <v>6.8897637795275593</v>
      </c>
      <c r="E410" s="56">
        <f>2.1</f>
        <v>2.1</v>
      </c>
      <c r="F410" s="56"/>
      <c r="G410" s="56"/>
      <c r="H410" s="56">
        <f>7+10/12</f>
        <v>7.833333333333333</v>
      </c>
      <c r="I410" s="56"/>
      <c r="J410" s="56">
        <f t="shared" si="16"/>
        <v>53.969816272965879</v>
      </c>
      <c r="K410" s="2" t="s">
        <v>51</v>
      </c>
      <c r="L410" s="7"/>
      <c r="M410" s="27"/>
      <c r="N410" s="26"/>
    </row>
    <row r="411" spans="1:14" s="28" customFormat="1" x14ac:dyDescent="0.25">
      <c r="A411" s="7"/>
      <c r="B411" s="4" t="s">
        <v>204</v>
      </c>
      <c r="C411" s="2">
        <v>1</v>
      </c>
      <c r="D411" s="56">
        <f>CONVERT(E411,"m","ft")</f>
        <v>10.826771653543307</v>
      </c>
      <c r="E411" s="56">
        <v>3.3</v>
      </c>
      <c r="F411" s="56"/>
      <c r="G411" s="56"/>
      <c r="H411" s="56">
        <f>7+10/12</f>
        <v>7.833333333333333</v>
      </c>
      <c r="I411" s="56"/>
      <c r="J411" s="56">
        <f t="shared" si="16"/>
        <v>84.809711286089239</v>
      </c>
      <c r="K411" s="2" t="s">
        <v>51</v>
      </c>
      <c r="L411" s="7"/>
      <c r="M411" s="27"/>
      <c r="N411" s="26"/>
    </row>
    <row r="412" spans="1:14" s="28" customFormat="1" ht="14.25" customHeight="1" x14ac:dyDescent="0.25">
      <c r="A412" s="7"/>
      <c r="B412" s="4" t="s">
        <v>197</v>
      </c>
      <c r="C412" s="2">
        <f>-0.5*(1)</f>
        <v>-0.5</v>
      </c>
      <c r="D412" s="56">
        <v>2</v>
      </c>
      <c r="E412" s="56"/>
      <c r="F412" s="56"/>
      <c r="G412" s="56"/>
      <c r="H412" s="56">
        <v>3</v>
      </c>
      <c r="I412" s="56"/>
      <c r="J412" s="56">
        <f t="shared" si="16"/>
        <v>-3</v>
      </c>
      <c r="K412" s="2" t="s">
        <v>51</v>
      </c>
      <c r="L412" s="7"/>
      <c r="M412" s="27"/>
      <c r="N412" s="26"/>
    </row>
    <row r="413" spans="1:14" s="28" customFormat="1" x14ac:dyDescent="0.25">
      <c r="A413" s="7"/>
      <c r="B413" s="4" t="s">
        <v>174</v>
      </c>
      <c r="C413" s="2">
        <f>0.5*-1</f>
        <v>-0.5</v>
      </c>
      <c r="D413" s="56">
        <v>2.5</v>
      </c>
      <c r="E413" s="56"/>
      <c r="F413" s="56"/>
      <c r="G413" s="56"/>
      <c r="H413" s="56">
        <v>6.5</v>
      </c>
      <c r="I413" s="56"/>
      <c r="J413" s="56">
        <f t="shared" si="16"/>
        <v>-8.125</v>
      </c>
      <c r="K413" s="2" t="s">
        <v>51</v>
      </c>
      <c r="L413" s="7"/>
      <c r="M413" s="27"/>
      <c r="N413" s="26"/>
    </row>
    <row r="414" spans="1:14" s="28" customFormat="1" x14ac:dyDescent="0.25">
      <c r="A414" s="7"/>
      <c r="B414" s="38" t="s">
        <v>207</v>
      </c>
      <c r="C414" s="2">
        <v>-1</v>
      </c>
      <c r="D414" s="56">
        <f>2.1*3.28+3.5+3.5+3.5</f>
        <v>17.387999999999998</v>
      </c>
      <c r="E414" s="56"/>
      <c r="F414" s="56"/>
      <c r="G414" s="56"/>
      <c r="H414" s="56">
        <v>0.33</v>
      </c>
      <c r="I414" s="56"/>
      <c r="J414" s="56">
        <f t="shared" si="16"/>
        <v>-5.7380399999999998</v>
      </c>
      <c r="K414" s="2" t="s">
        <v>51</v>
      </c>
      <c r="L414" s="7"/>
      <c r="M414" s="27"/>
      <c r="N414" s="26"/>
    </row>
    <row r="415" spans="1:14" s="28" customFormat="1" x14ac:dyDescent="0.25">
      <c r="A415" s="7"/>
      <c r="B415" s="38" t="s">
        <v>205</v>
      </c>
      <c r="C415" s="2">
        <f>-7*0.5*2</f>
        <v>-7</v>
      </c>
      <c r="D415" s="56">
        <f>10/12</f>
        <v>0.83333333333333337</v>
      </c>
      <c r="E415" s="56"/>
      <c r="F415" s="56"/>
      <c r="G415" s="56"/>
      <c r="H415" s="56">
        <f>8/12</f>
        <v>0.66666666666666663</v>
      </c>
      <c r="I415" s="56"/>
      <c r="J415" s="56">
        <f t="shared" si="16"/>
        <v>-3.8888888888888893</v>
      </c>
      <c r="K415" s="2" t="s">
        <v>51</v>
      </c>
      <c r="L415" s="7"/>
      <c r="M415" s="27"/>
      <c r="N415" s="26"/>
    </row>
    <row r="416" spans="1:14" s="28" customFormat="1" x14ac:dyDescent="0.25">
      <c r="A416" s="7"/>
      <c r="B416" s="38" t="s">
        <v>206</v>
      </c>
      <c r="C416" s="2">
        <f>-2</f>
        <v>-2</v>
      </c>
      <c r="D416" s="56">
        <v>8.33</v>
      </c>
      <c r="E416" s="56"/>
      <c r="F416" s="56"/>
      <c r="G416" s="56"/>
      <c r="H416" s="56">
        <v>0.33</v>
      </c>
      <c r="I416" s="56"/>
      <c r="J416" s="56">
        <f t="shared" si="16"/>
        <v>-5.4978000000000007</v>
      </c>
      <c r="K416" s="2" t="s">
        <v>51</v>
      </c>
      <c r="L416" s="7"/>
      <c r="M416" s="27"/>
      <c r="N416" s="26"/>
    </row>
    <row r="417" spans="1:14" s="28" customFormat="1" x14ac:dyDescent="0.25">
      <c r="A417" s="7"/>
      <c r="B417" s="38"/>
      <c r="C417" s="2"/>
      <c r="D417" s="56"/>
      <c r="E417" s="56"/>
      <c r="F417" s="56"/>
      <c r="G417" s="56"/>
      <c r="H417" s="56"/>
      <c r="I417" s="56"/>
      <c r="J417" s="56"/>
      <c r="K417" s="2"/>
      <c r="L417" s="7"/>
      <c r="M417" s="27"/>
      <c r="N417" s="26"/>
    </row>
    <row r="418" spans="1:14" s="28" customFormat="1" x14ac:dyDescent="0.25">
      <c r="A418" s="7"/>
      <c r="B418" s="41" t="s">
        <v>75</v>
      </c>
      <c r="C418" s="2"/>
      <c r="D418" s="56"/>
      <c r="E418" s="56"/>
      <c r="F418" s="56"/>
      <c r="G418" s="56"/>
      <c r="H418" s="56"/>
      <c r="I418" s="56"/>
      <c r="J418" s="56"/>
      <c r="K418" s="2"/>
      <c r="L418" s="7"/>
      <c r="M418" s="27"/>
      <c r="N418" s="26"/>
    </row>
    <row r="419" spans="1:14" s="28" customFormat="1" x14ac:dyDescent="0.25">
      <c r="A419" s="7"/>
      <c r="B419" s="38" t="s">
        <v>222</v>
      </c>
      <c r="C419" s="2">
        <v>4</v>
      </c>
      <c r="D419" s="56">
        <f>0.25+0.25</f>
        <v>0.5</v>
      </c>
      <c r="E419" s="56"/>
      <c r="F419" s="56"/>
      <c r="G419" s="56"/>
      <c r="H419" s="56">
        <f t="shared" ref="H419:H427" si="17">8+11/12</f>
        <v>8.9166666666666661</v>
      </c>
      <c r="I419" s="56"/>
      <c r="J419" s="56">
        <f t="shared" ref="J419:J438" si="18">C419*D419*H419</f>
        <v>17.833333333333332</v>
      </c>
      <c r="K419" s="2" t="s">
        <v>51</v>
      </c>
      <c r="L419" s="7"/>
      <c r="M419" s="27"/>
      <c r="N419" s="26"/>
    </row>
    <row r="420" spans="1:14" s="28" customFormat="1" x14ac:dyDescent="0.25">
      <c r="A420" s="7"/>
      <c r="B420" s="38" t="s">
        <v>223</v>
      </c>
      <c r="C420" s="2">
        <v>1</v>
      </c>
      <c r="D420" s="56">
        <f>0.25+0.25+0.25+0.17</f>
        <v>0.92</v>
      </c>
      <c r="E420" s="56"/>
      <c r="F420" s="56"/>
      <c r="G420" s="56"/>
      <c r="H420" s="56">
        <f t="shared" si="17"/>
        <v>8.9166666666666661</v>
      </c>
      <c r="I420" s="56"/>
      <c r="J420" s="56">
        <f t="shared" si="18"/>
        <v>8.2033333333333331</v>
      </c>
      <c r="K420" s="2" t="s">
        <v>51</v>
      </c>
      <c r="L420" s="7"/>
      <c r="M420" s="27"/>
      <c r="N420" s="26"/>
    </row>
    <row r="421" spans="1:14" s="28" customFormat="1" x14ac:dyDescent="0.25">
      <c r="A421" s="7"/>
      <c r="B421" s="38" t="s">
        <v>240</v>
      </c>
      <c r="C421" s="2">
        <v>1</v>
      </c>
      <c r="D421" s="56">
        <f>0.25+0.42</f>
        <v>0.66999999999999993</v>
      </c>
      <c r="E421" s="56"/>
      <c r="F421" s="56"/>
      <c r="G421" s="56"/>
      <c r="H421" s="56">
        <f t="shared" si="17"/>
        <v>8.9166666666666661</v>
      </c>
      <c r="I421" s="56"/>
      <c r="J421" s="56">
        <f t="shared" si="18"/>
        <v>5.9741666666666653</v>
      </c>
      <c r="K421" s="2" t="s">
        <v>51</v>
      </c>
      <c r="L421" s="7"/>
      <c r="M421" s="27"/>
      <c r="N421" s="26"/>
    </row>
    <row r="422" spans="1:14" s="28" customFormat="1" x14ac:dyDescent="0.25">
      <c r="A422" s="7"/>
      <c r="B422" s="38" t="s">
        <v>225</v>
      </c>
      <c r="C422" s="2">
        <v>1</v>
      </c>
      <c r="D422" s="56">
        <f>1+0.58</f>
        <v>1.58</v>
      </c>
      <c r="E422" s="56"/>
      <c r="F422" s="56"/>
      <c r="G422" s="56"/>
      <c r="H422" s="56">
        <f t="shared" si="17"/>
        <v>8.9166666666666661</v>
      </c>
      <c r="I422" s="56"/>
      <c r="J422" s="56">
        <f t="shared" si="18"/>
        <v>14.088333333333333</v>
      </c>
      <c r="K422" s="2" t="s">
        <v>51</v>
      </c>
      <c r="L422" s="7"/>
      <c r="M422" s="27"/>
      <c r="N422" s="26"/>
    </row>
    <row r="423" spans="1:14" s="28" customFormat="1" x14ac:dyDescent="0.25">
      <c r="A423" s="7"/>
      <c r="B423" s="38" t="s">
        <v>241</v>
      </c>
      <c r="C423" s="2">
        <v>1</v>
      </c>
      <c r="D423" s="56">
        <f>0.25+0.5+0.25</f>
        <v>1</v>
      </c>
      <c r="E423" s="56"/>
      <c r="F423" s="56"/>
      <c r="G423" s="56"/>
      <c r="H423" s="56">
        <f t="shared" si="17"/>
        <v>8.9166666666666661</v>
      </c>
      <c r="I423" s="56"/>
      <c r="J423" s="56">
        <f t="shared" si="18"/>
        <v>8.9166666666666661</v>
      </c>
      <c r="K423" s="2" t="s">
        <v>51</v>
      </c>
      <c r="L423" s="7"/>
      <c r="M423" s="27"/>
      <c r="N423" s="26"/>
    </row>
    <row r="424" spans="1:14" s="28" customFormat="1" x14ac:dyDescent="0.25">
      <c r="A424" s="7"/>
      <c r="B424" s="38" t="s">
        <v>226</v>
      </c>
      <c r="C424" s="2">
        <v>1</v>
      </c>
      <c r="D424" s="56">
        <f>1+0.25+0.25</f>
        <v>1.5</v>
      </c>
      <c r="E424" s="56"/>
      <c r="F424" s="56"/>
      <c r="G424" s="56"/>
      <c r="H424" s="56">
        <f t="shared" si="17"/>
        <v>8.9166666666666661</v>
      </c>
      <c r="I424" s="56"/>
      <c r="J424" s="56">
        <f t="shared" si="18"/>
        <v>13.375</v>
      </c>
      <c r="K424" s="2" t="s">
        <v>51</v>
      </c>
      <c r="L424" s="7"/>
      <c r="M424" s="27"/>
      <c r="N424" s="26"/>
    </row>
    <row r="425" spans="1:14" s="28" customFormat="1" x14ac:dyDescent="0.25">
      <c r="A425" s="7"/>
      <c r="B425" s="38" t="s">
        <v>228</v>
      </c>
      <c r="C425" s="2">
        <v>1</v>
      </c>
      <c r="D425" s="56">
        <f>1+0.25+0.25+0.58</f>
        <v>2.08</v>
      </c>
      <c r="E425" s="56"/>
      <c r="F425" s="56"/>
      <c r="G425" s="56"/>
      <c r="H425" s="56">
        <f t="shared" si="17"/>
        <v>8.9166666666666661</v>
      </c>
      <c r="I425" s="56"/>
      <c r="J425" s="56">
        <f t="shared" si="18"/>
        <v>18.546666666666667</v>
      </c>
      <c r="K425" s="2" t="s">
        <v>51</v>
      </c>
      <c r="L425" s="7"/>
      <c r="M425" s="27"/>
      <c r="N425" s="26"/>
    </row>
    <row r="426" spans="1:14" s="28" customFormat="1" x14ac:dyDescent="0.25">
      <c r="A426" s="7"/>
      <c r="B426" s="38" t="s">
        <v>242</v>
      </c>
      <c r="C426" s="2">
        <v>1</v>
      </c>
      <c r="D426" s="56">
        <f>0.25+0.25+0.58</f>
        <v>1.08</v>
      </c>
      <c r="E426" s="56"/>
      <c r="F426" s="56"/>
      <c r="G426" s="56"/>
      <c r="H426" s="56">
        <f t="shared" si="17"/>
        <v>8.9166666666666661</v>
      </c>
      <c r="I426" s="56"/>
      <c r="J426" s="56">
        <f t="shared" si="18"/>
        <v>9.6300000000000008</v>
      </c>
      <c r="K426" s="2" t="s">
        <v>51</v>
      </c>
      <c r="L426" s="7"/>
      <c r="M426" s="27"/>
      <c r="N426" s="26"/>
    </row>
    <row r="427" spans="1:14" s="28" customFormat="1" x14ac:dyDescent="0.25">
      <c r="A427" s="7"/>
      <c r="B427" s="38" t="s">
        <v>229</v>
      </c>
      <c r="C427" s="2">
        <v>1</v>
      </c>
      <c r="D427" s="56">
        <f>0.33+0.25+0.17</f>
        <v>0.75000000000000011</v>
      </c>
      <c r="E427" s="56"/>
      <c r="F427" s="56"/>
      <c r="G427" s="56"/>
      <c r="H427" s="56">
        <f t="shared" si="17"/>
        <v>8.9166666666666661</v>
      </c>
      <c r="I427" s="56"/>
      <c r="J427" s="56">
        <f t="shared" si="18"/>
        <v>6.6875000000000009</v>
      </c>
      <c r="K427" s="2" t="s">
        <v>51</v>
      </c>
      <c r="L427" s="7"/>
      <c r="M427" s="27"/>
      <c r="N427" s="26"/>
    </row>
    <row r="428" spans="1:14" s="28" customFormat="1" x14ac:dyDescent="0.25">
      <c r="A428" s="7"/>
      <c r="B428" s="38"/>
      <c r="C428" s="2"/>
      <c r="D428" s="56"/>
      <c r="E428" s="56"/>
      <c r="F428" s="56"/>
      <c r="G428" s="56"/>
      <c r="H428" s="56"/>
      <c r="I428" s="56"/>
      <c r="J428" s="56"/>
      <c r="K428" s="2"/>
      <c r="L428" s="7"/>
      <c r="M428" s="27"/>
      <c r="N428" s="26"/>
    </row>
    <row r="429" spans="1:14" s="28" customFormat="1" x14ac:dyDescent="0.25">
      <c r="A429" s="7"/>
      <c r="B429" s="41" t="s">
        <v>77</v>
      </c>
      <c r="C429" s="2"/>
      <c r="D429" s="56"/>
      <c r="E429" s="56"/>
      <c r="F429" s="56"/>
      <c r="G429" s="56"/>
      <c r="H429" s="56"/>
      <c r="I429" s="56"/>
      <c r="J429" s="56"/>
      <c r="K429" s="2"/>
      <c r="L429" s="7"/>
      <c r="M429" s="27"/>
      <c r="N429" s="26"/>
    </row>
    <row r="430" spans="1:14" s="28" customFormat="1" x14ac:dyDescent="0.25">
      <c r="A430" s="7"/>
      <c r="B430" s="38" t="s">
        <v>236</v>
      </c>
      <c r="C430" s="2">
        <v>1</v>
      </c>
      <c r="D430" s="56">
        <f t="shared" ref="D430:D438" si="19">CONVERT(E430,"m","ft")</f>
        <v>21.456692913385826</v>
      </c>
      <c r="E430" s="56">
        <f>3.27+3.27</f>
        <v>6.54</v>
      </c>
      <c r="F430" s="56"/>
      <c r="G430" s="56"/>
      <c r="H430" s="56">
        <f>1</f>
        <v>1</v>
      </c>
      <c r="I430" s="56"/>
      <c r="J430" s="56">
        <f t="shared" si="18"/>
        <v>21.456692913385826</v>
      </c>
      <c r="K430" s="2" t="s">
        <v>51</v>
      </c>
      <c r="L430" s="7"/>
      <c r="M430" s="27"/>
      <c r="N430" s="26"/>
    </row>
    <row r="431" spans="1:14" s="28" customFormat="1" x14ac:dyDescent="0.25">
      <c r="A431" s="7"/>
      <c r="B431" s="38" t="s">
        <v>243</v>
      </c>
      <c r="C431" s="2">
        <v>1</v>
      </c>
      <c r="D431" s="56">
        <f t="shared" si="19"/>
        <v>10.793963254593177</v>
      </c>
      <c r="E431" s="56">
        <f>3.29</f>
        <v>3.29</v>
      </c>
      <c r="F431" s="56"/>
      <c r="G431" s="56"/>
      <c r="H431" s="56">
        <f>1+1+0.75</f>
        <v>2.75</v>
      </c>
      <c r="I431" s="56"/>
      <c r="J431" s="56">
        <f t="shared" si="18"/>
        <v>29.683398950131235</v>
      </c>
      <c r="K431" s="2" t="s">
        <v>51</v>
      </c>
      <c r="L431" s="7"/>
      <c r="M431" s="27"/>
      <c r="N431" s="26"/>
    </row>
    <row r="432" spans="1:14" s="28" customFormat="1" x14ac:dyDescent="0.25">
      <c r="A432" s="7"/>
      <c r="B432" s="38" t="s">
        <v>244</v>
      </c>
      <c r="C432" s="2">
        <v>1</v>
      </c>
      <c r="D432" s="56">
        <f t="shared" si="19"/>
        <v>10.728346456692913</v>
      </c>
      <c r="E432" s="56">
        <f>3.27</f>
        <v>3.27</v>
      </c>
      <c r="F432" s="56"/>
      <c r="G432" s="56"/>
      <c r="H432" s="56">
        <v>2.33</v>
      </c>
      <c r="I432" s="56"/>
      <c r="J432" s="56">
        <f t="shared" si="18"/>
        <v>24.997047244094489</v>
      </c>
      <c r="K432" s="2" t="s">
        <v>51</v>
      </c>
      <c r="L432" s="7"/>
      <c r="M432" s="27"/>
      <c r="N432" s="26"/>
    </row>
    <row r="433" spans="1:14" s="28" customFormat="1" x14ac:dyDescent="0.25">
      <c r="A433" s="7"/>
      <c r="B433" s="38" t="s">
        <v>245</v>
      </c>
      <c r="C433" s="2">
        <v>1</v>
      </c>
      <c r="D433" s="56">
        <f t="shared" si="19"/>
        <v>10.826771653543307</v>
      </c>
      <c r="E433" s="56">
        <v>3.3</v>
      </c>
      <c r="F433" s="56"/>
      <c r="G433" s="56"/>
      <c r="H433" s="56">
        <f>1+1+0.33</f>
        <v>2.33</v>
      </c>
      <c r="I433" s="56"/>
      <c r="J433" s="56">
        <f t="shared" si="18"/>
        <v>25.226377952755907</v>
      </c>
      <c r="K433" s="2" t="s">
        <v>51</v>
      </c>
      <c r="L433" s="7"/>
      <c r="M433" s="27"/>
      <c r="N433" s="26"/>
    </row>
    <row r="434" spans="1:14" s="28" customFormat="1" x14ac:dyDescent="0.25">
      <c r="A434" s="7"/>
      <c r="B434" s="38" t="s">
        <v>246</v>
      </c>
      <c r="C434" s="2">
        <v>1</v>
      </c>
      <c r="D434" s="56">
        <f t="shared" si="19"/>
        <v>10.826771653543307</v>
      </c>
      <c r="E434" s="56">
        <v>3.3</v>
      </c>
      <c r="F434" s="56"/>
      <c r="G434" s="56"/>
      <c r="H434" s="56">
        <v>2.75</v>
      </c>
      <c r="I434" s="56"/>
      <c r="J434" s="56">
        <f t="shared" si="18"/>
        <v>29.773622047244096</v>
      </c>
      <c r="K434" s="2" t="s">
        <v>51</v>
      </c>
      <c r="L434" s="7"/>
      <c r="M434" s="27"/>
      <c r="N434" s="26"/>
    </row>
    <row r="435" spans="1:14" s="28" customFormat="1" x14ac:dyDescent="0.25">
      <c r="A435" s="7"/>
      <c r="B435" s="38" t="s">
        <v>235</v>
      </c>
      <c r="C435" s="2">
        <v>1</v>
      </c>
      <c r="D435" s="56">
        <f t="shared" si="19"/>
        <v>21.587926509186353</v>
      </c>
      <c r="E435" s="56">
        <f>3.28+3.3</f>
        <v>6.58</v>
      </c>
      <c r="F435" s="56"/>
      <c r="G435" s="56"/>
      <c r="H435" s="56">
        <f>1</f>
        <v>1</v>
      </c>
      <c r="I435" s="56"/>
      <c r="J435" s="56">
        <f t="shared" si="18"/>
        <v>21.587926509186353</v>
      </c>
      <c r="K435" s="2" t="s">
        <v>51</v>
      </c>
      <c r="L435" s="7"/>
      <c r="M435" s="27"/>
      <c r="N435" s="26"/>
    </row>
    <row r="436" spans="1:14" s="28" customFormat="1" x14ac:dyDescent="0.25">
      <c r="A436" s="7"/>
      <c r="B436" s="38" t="s">
        <v>230</v>
      </c>
      <c r="C436" s="2">
        <v>1</v>
      </c>
      <c r="D436" s="56">
        <f t="shared" si="19"/>
        <v>26.048268356699314</v>
      </c>
      <c r="E436" s="56">
        <f>3.42+4/3.28+3.3</f>
        <v>7.9395121951219512</v>
      </c>
      <c r="F436" s="56"/>
      <c r="G436" s="56"/>
      <c r="H436" s="56">
        <f>1</f>
        <v>1</v>
      </c>
      <c r="I436" s="56"/>
      <c r="J436" s="56">
        <f t="shared" si="18"/>
        <v>26.048268356699314</v>
      </c>
      <c r="K436" s="2" t="s">
        <v>51</v>
      </c>
      <c r="L436" s="7"/>
      <c r="M436" s="27"/>
      <c r="N436" s="26"/>
    </row>
    <row r="437" spans="1:14" s="28" customFormat="1" x14ac:dyDescent="0.25">
      <c r="A437" s="7"/>
      <c r="B437" s="38" t="s">
        <v>232</v>
      </c>
      <c r="C437" s="2">
        <v>1</v>
      </c>
      <c r="D437" s="56">
        <f t="shared" si="19"/>
        <v>25.785801165098267</v>
      </c>
      <c r="E437" s="56">
        <f>3.4+3.24+4/3.28</f>
        <v>7.859512195121952</v>
      </c>
      <c r="F437" s="56"/>
      <c r="G437" s="56"/>
      <c r="H437" s="56">
        <f>1+1+0.33</f>
        <v>2.33</v>
      </c>
      <c r="I437" s="56"/>
      <c r="J437" s="56">
        <f t="shared" si="18"/>
        <v>60.080916714678963</v>
      </c>
      <c r="K437" s="2" t="s">
        <v>51</v>
      </c>
      <c r="L437" s="7"/>
      <c r="M437" s="27"/>
      <c r="N437" s="26"/>
    </row>
    <row r="438" spans="1:14" s="28" customFormat="1" x14ac:dyDescent="0.25">
      <c r="A438" s="7"/>
      <c r="B438" s="38" t="s">
        <v>231</v>
      </c>
      <c r="C438" s="2">
        <v>1</v>
      </c>
      <c r="D438" s="56">
        <f t="shared" si="19"/>
        <v>25.65456756929774</v>
      </c>
      <c r="E438" s="56">
        <f>3.36+4/3.28+3.24</f>
        <v>7.8195121951219511</v>
      </c>
      <c r="F438" s="56"/>
      <c r="G438" s="56"/>
      <c r="H438" s="56">
        <f>1</f>
        <v>1</v>
      </c>
      <c r="I438" s="56"/>
      <c r="J438" s="56">
        <f t="shared" si="18"/>
        <v>25.65456756929774</v>
      </c>
      <c r="K438" s="2" t="s">
        <v>51</v>
      </c>
      <c r="L438" s="7"/>
      <c r="M438" s="27"/>
      <c r="N438" s="26"/>
    </row>
    <row r="439" spans="1:14" s="28" customFormat="1" x14ac:dyDescent="0.25">
      <c r="A439" s="7"/>
      <c r="B439" s="38"/>
      <c r="C439" s="2"/>
      <c r="D439" s="56"/>
      <c r="E439" s="56"/>
      <c r="F439" s="56"/>
      <c r="G439" s="56"/>
      <c r="H439" s="56"/>
      <c r="I439" s="56"/>
      <c r="J439" s="56"/>
      <c r="K439" s="2"/>
      <c r="L439" s="7"/>
      <c r="M439" s="27"/>
      <c r="N439" s="26"/>
    </row>
    <row r="440" spans="1:14" s="28" customFormat="1" x14ac:dyDescent="0.25">
      <c r="A440" s="7"/>
      <c r="B440" s="68" t="s">
        <v>89</v>
      </c>
      <c r="C440" s="2"/>
      <c r="D440" s="56"/>
      <c r="E440" s="56"/>
      <c r="F440" s="56"/>
      <c r="G440" s="56"/>
      <c r="H440" s="56"/>
      <c r="I440" s="56"/>
      <c r="J440" s="56"/>
      <c r="K440" s="2"/>
      <c r="L440" s="7"/>
      <c r="M440" s="27"/>
      <c r="N440" s="26"/>
    </row>
    <row r="441" spans="1:14" s="28" customFormat="1" x14ac:dyDescent="0.25">
      <c r="A441" s="7"/>
      <c r="B441" s="26" t="s">
        <v>210</v>
      </c>
      <c r="C441" s="2"/>
      <c r="D441" s="56"/>
      <c r="E441" s="56"/>
      <c r="F441" s="56"/>
      <c r="G441" s="56"/>
      <c r="H441" s="56"/>
      <c r="I441" s="56"/>
      <c r="J441" s="56"/>
      <c r="K441" s="2"/>
      <c r="L441" s="7"/>
      <c r="M441" s="27"/>
      <c r="N441" s="26"/>
    </row>
    <row r="442" spans="1:14" x14ac:dyDescent="0.25">
      <c r="A442" s="2"/>
      <c r="B442" s="4" t="s">
        <v>211</v>
      </c>
      <c r="C442" s="2">
        <v>1</v>
      </c>
      <c r="D442" s="56">
        <f>CONVERT(E442,"m","ft")</f>
        <v>14.696562319953909</v>
      </c>
      <c r="E442" s="56">
        <f>3.26+4/3.28</f>
        <v>4.4795121951219512</v>
      </c>
      <c r="F442" s="56"/>
      <c r="G442" s="56"/>
      <c r="H442" s="56">
        <f>7+10/12</f>
        <v>7.833333333333333</v>
      </c>
      <c r="I442" s="56"/>
      <c r="J442" s="56">
        <f t="shared" ref="J442:J449" si="20">C442*D442*H442</f>
        <v>115.12307150630562</v>
      </c>
      <c r="K442" s="2" t="s">
        <v>51</v>
      </c>
      <c r="L442" s="2"/>
      <c r="M442" s="25"/>
      <c r="N442" s="4"/>
    </row>
    <row r="443" spans="1:14" x14ac:dyDescent="0.25">
      <c r="A443" s="2"/>
      <c r="B443" s="4" t="s">
        <v>267</v>
      </c>
      <c r="C443" s="2">
        <v>1</v>
      </c>
      <c r="D443" s="56">
        <f>CONVERT(E443,"m","ft")</f>
        <v>13.958373343575955</v>
      </c>
      <c r="E443" s="56">
        <f>3.26+4/3.28-0.075*3</f>
        <v>4.2545121951219516</v>
      </c>
      <c r="F443" s="56"/>
      <c r="G443" s="56"/>
      <c r="H443" s="56">
        <f>7+10/12</f>
        <v>7.833333333333333</v>
      </c>
      <c r="I443" s="56"/>
      <c r="J443" s="56">
        <f t="shared" si="20"/>
        <v>109.34059119134498</v>
      </c>
      <c r="K443" s="2" t="s">
        <v>51</v>
      </c>
      <c r="L443" s="2"/>
      <c r="M443" s="25"/>
      <c r="N443" s="4"/>
    </row>
    <row r="444" spans="1:14" x14ac:dyDescent="0.25">
      <c r="A444" s="2"/>
      <c r="B444" s="4" t="s">
        <v>266</v>
      </c>
      <c r="C444" s="2">
        <v>1</v>
      </c>
      <c r="D444" s="56">
        <f>CONVERT(E444,"m","ft")</f>
        <v>14.696562319953909</v>
      </c>
      <c r="E444" s="56">
        <f>3.26+4/3.28</f>
        <v>4.4795121951219512</v>
      </c>
      <c r="F444" s="56"/>
      <c r="G444" s="56"/>
      <c r="H444" s="56">
        <f>7+10/12</f>
        <v>7.833333333333333</v>
      </c>
      <c r="I444" s="56"/>
      <c r="J444" s="56">
        <f t="shared" si="20"/>
        <v>115.12307150630562</v>
      </c>
      <c r="K444" s="2" t="s">
        <v>51</v>
      </c>
      <c r="L444" s="2"/>
      <c r="M444" s="25"/>
      <c r="N444" s="4"/>
    </row>
    <row r="445" spans="1:14" x14ac:dyDescent="0.25">
      <c r="A445" s="2"/>
      <c r="B445" s="4" t="s">
        <v>192</v>
      </c>
      <c r="C445" s="2">
        <v>1</v>
      </c>
      <c r="D445" s="56">
        <f>CONVERT(E445,"m","ft")</f>
        <v>10.826771653543307</v>
      </c>
      <c r="E445" s="56">
        <v>3.3</v>
      </c>
      <c r="F445" s="56"/>
      <c r="G445" s="56"/>
      <c r="H445" s="56">
        <f>7+10/12</f>
        <v>7.833333333333333</v>
      </c>
      <c r="I445" s="56"/>
      <c r="J445" s="56">
        <f t="shared" si="20"/>
        <v>84.809711286089239</v>
      </c>
      <c r="K445" s="2" t="s">
        <v>51</v>
      </c>
      <c r="L445" s="2"/>
      <c r="M445" s="25"/>
      <c r="N445" s="4"/>
    </row>
    <row r="446" spans="1:14" x14ac:dyDescent="0.25">
      <c r="A446" s="2"/>
      <c r="B446" s="4" t="s">
        <v>213</v>
      </c>
      <c r="C446" s="2">
        <v>1</v>
      </c>
      <c r="D446" s="56">
        <f>CONVERT(E446,"m","ft")</f>
        <v>10.826771653543307</v>
      </c>
      <c r="E446" s="56">
        <v>3.3</v>
      </c>
      <c r="F446" s="56"/>
      <c r="G446" s="56"/>
      <c r="H446" s="56">
        <f>7+10/12</f>
        <v>7.833333333333333</v>
      </c>
      <c r="I446" s="56"/>
      <c r="J446" s="56">
        <f t="shared" si="20"/>
        <v>84.809711286089239</v>
      </c>
      <c r="K446" s="2" t="s">
        <v>51</v>
      </c>
      <c r="L446" s="2"/>
      <c r="M446" s="25"/>
      <c r="N446" s="4"/>
    </row>
    <row r="447" spans="1:14" s="28" customFormat="1" ht="14.25" customHeight="1" x14ac:dyDescent="0.25">
      <c r="A447" s="7"/>
      <c r="B447" s="4" t="s">
        <v>154</v>
      </c>
      <c r="C447" s="2">
        <f>-0.5*(3)</f>
        <v>-1.5</v>
      </c>
      <c r="D447" s="56">
        <v>6</v>
      </c>
      <c r="E447" s="56"/>
      <c r="F447" s="56"/>
      <c r="G447" s="56"/>
      <c r="H447" s="56">
        <v>4.5</v>
      </c>
      <c r="I447" s="56"/>
      <c r="J447" s="56">
        <f t="shared" si="20"/>
        <v>-40.5</v>
      </c>
      <c r="K447" s="2" t="s">
        <v>51</v>
      </c>
      <c r="L447" s="7"/>
      <c r="M447" s="27"/>
      <c r="N447" s="26"/>
    </row>
    <row r="448" spans="1:14" s="28" customFormat="1" ht="14.25" customHeight="1" x14ac:dyDescent="0.25">
      <c r="A448" s="7"/>
      <c r="B448" s="4" t="s">
        <v>163</v>
      </c>
      <c r="C448" s="2">
        <f>-0.5*(1)</f>
        <v>-0.5</v>
      </c>
      <c r="D448" s="56">
        <v>4</v>
      </c>
      <c r="E448" s="56"/>
      <c r="F448" s="56"/>
      <c r="G448" s="56"/>
      <c r="H448" s="56">
        <v>4.5</v>
      </c>
      <c r="I448" s="56"/>
      <c r="J448" s="56">
        <f t="shared" si="20"/>
        <v>-9</v>
      </c>
      <c r="K448" s="2" t="s">
        <v>51</v>
      </c>
      <c r="L448" s="7"/>
      <c r="M448" s="27"/>
      <c r="N448" s="26"/>
    </row>
    <row r="449" spans="1:14" s="28" customFormat="1" x14ac:dyDescent="0.25">
      <c r="A449" s="7"/>
      <c r="B449" s="4" t="s">
        <v>167</v>
      </c>
      <c r="C449" s="2">
        <f>0.5*-1</f>
        <v>-0.5</v>
      </c>
      <c r="D449" s="56">
        <v>3</v>
      </c>
      <c r="E449" s="56"/>
      <c r="F449" s="56"/>
      <c r="G449" s="56"/>
      <c r="H449" s="56">
        <v>7</v>
      </c>
      <c r="I449" s="56"/>
      <c r="J449" s="56">
        <f t="shared" si="20"/>
        <v>-10.5</v>
      </c>
      <c r="K449" s="2" t="s">
        <v>51</v>
      </c>
      <c r="L449" s="7"/>
      <c r="M449" s="27"/>
      <c r="N449" s="26"/>
    </row>
    <row r="450" spans="1:14" x14ac:dyDescent="0.25">
      <c r="A450" s="2"/>
      <c r="B450" s="4"/>
      <c r="C450" s="2"/>
      <c r="D450" s="56"/>
      <c r="E450" s="56"/>
      <c r="F450" s="56"/>
      <c r="G450" s="56"/>
      <c r="H450" s="56"/>
      <c r="I450" s="56"/>
      <c r="J450" s="56"/>
      <c r="K450" s="2"/>
      <c r="L450" s="2"/>
      <c r="M450" s="25"/>
      <c r="N450" s="4"/>
    </row>
    <row r="451" spans="1:14" s="28" customFormat="1" x14ac:dyDescent="0.25">
      <c r="A451" s="7"/>
      <c r="B451" s="41" t="s">
        <v>307</v>
      </c>
      <c r="C451" s="2"/>
      <c r="D451" s="56"/>
      <c r="E451" s="56"/>
      <c r="F451" s="56"/>
      <c r="G451" s="56"/>
      <c r="H451" s="56"/>
      <c r="I451" s="56"/>
      <c r="J451" s="56"/>
      <c r="K451" s="2"/>
      <c r="L451" s="7"/>
      <c r="M451" s="27"/>
      <c r="N451" s="26"/>
    </row>
    <row r="452" spans="1:14" s="28" customFormat="1" x14ac:dyDescent="0.25">
      <c r="A452" s="7"/>
      <c r="B452" s="4" t="s">
        <v>264</v>
      </c>
      <c r="C452" s="2">
        <v>1</v>
      </c>
      <c r="D452" s="56">
        <f>CONVERT(E452,"m","ft")</f>
        <v>5.1706036745406827</v>
      </c>
      <c r="E452" s="56">
        <v>1.5760000000000001</v>
      </c>
      <c r="F452" s="56"/>
      <c r="G452" s="56"/>
      <c r="H452" s="56">
        <f>8+10/12</f>
        <v>8.8333333333333339</v>
      </c>
      <c r="I452" s="56"/>
      <c r="J452" s="56">
        <f t="shared" ref="J452:J460" si="21">C452*D452*H452</f>
        <v>45.673665791776031</v>
      </c>
      <c r="K452" s="2" t="s">
        <v>51</v>
      </c>
      <c r="L452" s="7"/>
      <c r="M452" s="27"/>
      <c r="N452" s="26"/>
    </row>
    <row r="453" spans="1:14" s="28" customFormat="1" x14ac:dyDescent="0.25">
      <c r="A453" s="7"/>
      <c r="B453" s="4" t="s">
        <v>265</v>
      </c>
      <c r="C453" s="2">
        <v>1</v>
      </c>
      <c r="D453" s="56">
        <f>CONVERT(E453,"m","ft")</f>
        <v>3.9370078740157481</v>
      </c>
      <c r="E453" s="56">
        <v>1.2</v>
      </c>
      <c r="F453" s="56"/>
      <c r="G453" s="56"/>
      <c r="H453" s="56">
        <f>8+10/12</f>
        <v>8.8333333333333339</v>
      </c>
      <c r="I453" s="56"/>
      <c r="J453" s="56">
        <f t="shared" si="21"/>
        <v>34.776902887139109</v>
      </c>
      <c r="K453" s="2" t="s">
        <v>51</v>
      </c>
      <c r="L453" s="7"/>
      <c r="M453" s="27"/>
      <c r="N453" s="26"/>
    </row>
    <row r="454" spans="1:14" s="28" customFormat="1" x14ac:dyDescent="0.25">
      <c r="A454" s="7"/>
      <c r="B454" s="4" t="s">
        <v>192</v>
      </c>
      <c r="C454" s="2">
        <v>1</v>
      </c>
      <c r="D454" s="56">
        <f>CONVERT(E454,"m","ft")</f>
        <v>6.8897637795275593</v>
      </c>
      <c r="E454" s="56">
        <f>2.1</f>
        <v>2.1</v>
      </c>
      <c r="F454" s="56"/>
      <c r="G454" s="56"/>
      <c r="H454" s="56">
        <f>7+10/12</f>
        <v>7.833333333333333</v>
      </c>
      <c r="I454" s="56"/>
      <c r="J454" s="56">
        <f t="shared" si="21"/>
        <v>53.969816272965879</v>
      </c>
      <c r="K454" s="2" t="s">
        <v>51</v>
      </c>
      <c r="L454" s="7"/>
      <c r="M454" s="27"/>
      <c r="N454" s="26"/>
    </row>
    <row r="455" spans="1:14" s="28" customFormat="1" x14ac:dyDescent="0.25">
      <c r="A455" s="7"/>
      <c r="B455" s="26" t="s">
        <v>216</v>
      </c>
      <c r="C455" s="2">
        <v>1</v>
      </c>
      <c r="D455" s="56">
        <f>CONVERT(E455,"m","ft")</f>
        <v>10.826771653543307</v>
      </c>
      <c r="E455" s="56">
        <v>3.3</v>
      </c>
      <c r="F455" s="56"/>
      <c r="G455" s="56"/>
      <c r="H455" s="56">
        <f>7+10/12</f>
        <v>7.833333333333333</v>
      </c>
      <c r="I455" s="56"/>
      <c r="J455" s="56">
        <f t="shared" si="21"/>
        <v>84.809711286089239</v>
      </c>
      <c r="K455" s="2" t="s">
        <v>51</v>
      </c>
      <c r="L455" s="7"/>
      <c r="M455" s="27"/>
      <c r="N455" s="26"/>
    </row>
    <row r="456" spans="1:14" s="28" customFormat="1" x14ac:dyDescent="0.25">
      <c r="A456" s="7"/>
      <c r="B456" s="26" t="s">
        <v>215</v>
      </c>
      <c r="C456" s="2">
        <v>1</v>
      </c>
      <c r="D456" s="56">
        <f>CONVERT(E456,"m","ft")</f>
        <v>14.827795915754434</v>
      </c>
      <c r="E456" s="56">
        <f>3.3+4/3.28</f>
        <v>4.5195121951219512</v>
      </c>
      <c r="F456" s="56"/>
      <c r="G456" s="56"/>
      <c r="H456" s="56">
        <f>7+10/12</f>
        <v>7.833333333333333</v>
      </c>
      <c r="I456" s="56"/>
      <c r="J456" s="56">
        <f t="shared" si="21"/>
        <v>116.15106800674306</v>
      </c>
      <c r="K456" s="2" t="s">
        <v>51</v>
      </c>
      <c r="L456" s="7"/>
      <c r="M456" s="27"/>
      <c r="N456" s="26"/>
    </row>
    <row r="457" spans="1:14" s="28" customFormat="1" ht="14.25" customHeight="1" x14ac:dyDescent="0.25">
      <c r="A457" s="7"/>
      <c r="B457" s="4" t="s">
        <v>197</v>
      </c>
      <c r="C457" s="2">
        <f>-0.5*(1)</f>
        <v>-0.5</v>
      </c>
      <c r="D457" s="56">
        <v>2</v>
      </c>
      <c r="E457" s="56"/>
      <c r="F457" s="56"/>
      <c r="G457" s="56"/>
      <c r="H457" s="56">
        <v>3</v>
      </c>
      <c r="I457" s="56"/>
      <c r="J457" s="56">
        <f t="shared" si="21"/>
        <v>-3</v>
      </c>
      <c r="K457" s="2" t="s">
        <v>51</v>
      </c>
      <c r="L457" s="7"/>
      <c r="M457" s="27"/>
      <c r="N457" s="26"/>
    </row>
    <row r="458" spans="1:14" s="28" customFormat="1" ht="14.25" customHeight="1" x14ac:dyDescent="0.25">
      <c r="A458" s="7"/>
      <c r="B458" s="4" t="s">
        <v>163</v>
      </c>
      <c r="C458" s="2">
        <f>-0.5*(1)</f>
        <v>-0.5</v>
      </c>
      <c r="D458" s="56">
        <v>4</v>
      </c>
      <c r="E458" s="56"/>
      <c r="F458" s="56"/>
      <c r="G458" s="56"/>
      <c r="H458" s="56">
        <v>4.5</v>
      </c>
      <c r="I458" s="56"/>
      <c r="J458" s="56">
        <f t="shared" si="21"/>
        <v>-9</v>
      </c>
      <c r="K458" s="2" t="s">
        <v>51</v>
      </c>
      <c r="L458" s="7"/>
      <c r="M458" s="27"/>
      <c r="N458" s="26"/>
    </row>
    <row r="459" spans="1:14" s="28" customFormat="1" x14ac:dyDescent="0.25">
      <c r="A459" s="7"/>
      <c r="B459" s="4" t="s">
        <v>167</v>
      </c>
      <c r="C459" s="2">
        <f>0.5*-1</f>
        <v>-0.5</v>
      </c>
      <c r="D459" s="56">
        <v>3</v>
      </c>
      <c r="E459" s="56"/>
      <c r="F459" s="56"/>
      <c r="G459" s="56"/>
      <c r="H459" s="56">
        <v>7</v>
      </c>
      <c r="I459" s="56"/>
      <c r="J459" s="56">
        <f t="shared" si="21"/>
        <v>-10.5</v>
      </c>
      <c r="K459" s="2" t="s">
        <v>51</v>
      </c>
      <c r="L459" s="7"/>
      <c r="M459" s="27"/>
      <c r="N459" s="26"/>
    </row>
    <row r="460" spans="1:14" s="28" customFormat="1" x14ac:dyDescent="0.25">
      <c r="A460" s="7"/>
      <c r="B460" s="4" t="s">
        <v>174</v>
      </c>
      <c r="C460" s="2">
        <f>0.5*-1</f>
        <v>-0.5</v>
      </c>
      <c r="D460" s="56">
        <v>2.5</v>
      </c>
      <c r="E460" s="56"/>
      <c r="F460" s="56"/>
      <c r="G460" s="56"/>
      <c r="H460" s="56">
        <v>6.5</v>
      </c>
      <c r="I460" s="56"/>
      <c r="J460" s="56">
        <f t="shared" si="21"/>
        <v>-8.125</v>
      </c>
      <c r="K460" s="2" t="s">
        <v>51</v>
      </c>
      <c r="L460" s="7"/>
      <c r="M460" s="27"/>
      <c r="N460" s="26"/>
    </row>
    <row r="461" spans="1:14" x14ac:dyDescent="0.25">
      <c r="A461" s="2"/>
      <c r="B461" s="4"/>
      <c r="C461" s="2"/>
      <c r="D461" s="56"/>
      <c r="E461" s="56"/>
      <c r="F461" s="56"/>
      <c r="G461" s="56"/>
      <c r="H461" s="56"/>
      <c r="I461" s="56"/>
      <c r="J461" s="56"/>
      <c r="K461" s="2"/>
      <c r="L461" s="2"/>
      <c r="M461" s="25"/>
      <c r="N461" s="4"/>
    </row>
    <row r="462" spans="1:14" s="28" customFormat="1" x14ac:dyDescent="0.25">
      <c r="A462" s="7"/>
      <c r="B462" s="41" t="s">
        <v>75</v>
      </c>
      <c r="C462" s="2"/>
      <c r="D462" s="56"/>
      <c r="E462" s="56"/>
      <c r="F462" s="56"/>
      <c r="G462" s="56"/>
      <c r="H462" s="56"/>
      <c r="I462" s="56"/>
      <c r="J462" s="56"/>
      <c r="K462" s="2"/>
      <c r="L462" s="7"/>
      <c r="M462" s="27"/>
      <c r="N462" s="26"/>
    </row>
    <row r="463" spans="1:14" s="28" customFormat="1" x14ac:dyDescent="0.25">
      <c r="A463" s="7"/>
      <c r="B463" s="38" t="s">
        <v>289</v>
      </c>
      <c r="C463" s="2">
        <v>4</v>
      </c>
      <c r="D463" s="56">
        <f>1+0.25+0.25</f>
        <v>1.5</v>
      </c>
      <c r="E463" s="56"/>
      <c r="F463" s="56"/>
      <c r="G463" s="56"/>
      <c r="H463" s="56">
        <f>8+11/12</f>
        <v>8.9166666666666661</v>
      </c>
      <c r="I463" s="56"/>
      <c r="J463" s="56">
        <f>C463*D463*H463</f>
        <v>53.5</v>
      </c>
      <c r="K463" s="2" t="s">
        <v>51</v>
      </c>
      <c r="L463" s="7"/>
      <c r="M463" s="27"/>
      <c r="N463" s="26"/>
    </row>
    <row r="464" spans="1:14" s="28" customFormat="1" x14ac:dyDescent="0.25">
      <c r="A464" s="7"/>
      <c r="B464" s="38" t="s">
        <v>282</v>
      </c>
      <c r="C464" s="2">
        <v>2</v>
      </c>
      <c r="D464" s="56">
        <f>0.58+0.25+0.25</f>
        <v>1.08</v>
      </c>
      <c r="E464" s="56"/>
      <c r="F464" s="56"/>
      <c r="G464" s="56"/>
      <c r="H464" s="56">
        <f>8+11/12</f>
        <v>8.9166666666666661</v>
      </c>
      <c r="I464" s="56"/>
      <c r="J464" s="56">
        <f>C464*D464*H464</f>
        <v>19.260000000000002</v>
      </c>
      <c r="K464" s="2" t="s">
        <v>51</v>
      </c>
      <c r="L464" s="7"/>
      <c r="M464" s="27"/>
      <c r="N464" s="26"/>
    </row>
    <row r="465" spans="1:14" s="28" customFormat="1" x14ac:dyDescent="0.25">
      <c r="A465" s="7"/>
      <c r="B465" s="38" t="s">
        <v>228</v>
      </c>
      <c r="C465" s="2">
        <v>1</v>
      </c>
      <c r="D465" s="56">
        <f>1+1+0.58+0.58</f>
        <v>3.16</v>
      </c>
      <c r="E465" s="56"/>
      <c r="F465" s="56"/>
      <c r="G465" s="56"/>
      <c r="H465" s="56">
        <f>8+11/12</f>
        <v>8.9166666666666661</v>
      </c>
      <c r="I465" s="56"/>
      <c r="J465" s="56">
        <f>C465*D465*H465</f>
        <v>28.176666666666666</v>
      </c>
      <c r="K465" s="2" t="s">
        <v>51</v>
      </c>
      <c r="L465" s="7"/>
      <c r="M465" s="27"/>
      <c r="N465" s="26"/>
    </row>
    <row r="466" spans="1:14" s="28" customFormat="1" x14ac:dyDescent="0.25">
      <c r="A466" s="7"/>
      <c r="B466" s="38" t="s">
        <v>248</v>
      </c>
      <c r="C466" s="2">
        <v>2</v>
      </c>
      <c r="D466" s="56">
        <f>0.25+0.25</f>
        <v>0.5</v>
      </c>
      <c r="E466" s="56"/>
      <c r="F466" s="56"/>
      <c r="G466" s="56"/>
      <c r="H466" s="56">
        <f>8+11/12</f>
        <v>8.9166666666666661</v>
      </c>
      <c r="I466" s="56"/>
      <c r="J466" s="56">
        <f>C466*D466*H466</f>
        <v>8.9166666666666661</v>
      </c>
      <c r="K466" s="2" t="s">
        <v>51</v>
      </c>
      <c r="L466" s="7"/>
      <c r="M466" s="27"/>
      <c r="N466" s="26"/>
    </row>
    <row r="467" spans="1:14" s="28" customFormat="1" x14ac:dyDescent="0.25">
      <c r="A467" s="7"/>
      <c r="B467" s="38"/>
      <c r="C467" s="2"/>
      <c r="D467" s="56"/>
      <c r="E467" s="56"/>
      <c r="F467" s="56"/>
      <c r="G467" s="56"/>
      <c r="H467" s="56"/>
      <c r="I467" s="56"/>
      <c r="J467" s="56"/>
      <c r="K467" s="2"/>
      <c r="L467" s="7"/>
      <c r="M467" s="27"/>
      <c r="N467" s="26"/>
    </row>
    <row r="468" spans="1:14" s="28" customFormat="1" x14ac:dyDescent="0.25">
      <c r="A468" s="7"/>
      <c r="B468" s="41" t="s">
        <v>77</v>
      </c>
      <c r="C468" s="2"/>
      <c r="D468" s="56"/>
      <c r="E468" s="56"/>
      <c r="F468" s="56"/>
      <c r="G468" s="56"/>
      <c r="H468" s="56"/>
      <c r="I468" s="56"/>
      <c r="J468" s="56"/>
      <c r="K468" s="2"/>
      <c r="L468" s="7"/>
      <c r="M468" s="27"/>
      <c r="N468" s="26"/>
    </row>
    <row r="469" spans="1:14" s="28" customFormat="1" x14ac:dyDescent="0.25">
      <c r="A469" s="7"/>
      <c r="B469" s="38" t="s">
        <v>293</v>
      </c>
      <c r="C469" s="2">
        <v>2</v>
      </c>
      <c r="D469" s="56">
        <f>CONVERT(E469,"m","ft")</f>
        <v>21.653543307086615</v>
      </c>
      <c r="E469" s="56">
        <f>3.3+3.3</f>
        <v>6.6</v>
      </c>
      <c r="F469" s="56"/>
      <c r="G469" s="56"/>
      <c r="H469" s="56">
        <f>1</f>
        <v>1</v>
      </c>
      <c r="I469" s="56"/>
      <c r="J469" s="56">
        <f>C469*D469*H469</f>
        <v>43.30708661417323</v>
      </c>
      <c r="K469" s="2" t="s">
        <v>51</v>
      </c>
      <c r="L469" s="7"/>
      <c r="M469" s="27"/>
      <c r="N469" s="26"/>
    </row>
    <row r="470" spans="1:14" s="28" customFormat="1" x14ac:dyDescent="0.25">
      <c r="A470" s="7"/>
      <c r="B470" s="38" t="s">
        <v>237</v>
      </c>
      <c r="C470" s="2">
        <v>1</v>
      </c>
      <c r="D470" s="56">
        <f>CONVERT(E470,"m","ft")</f>
        <v>21.653543307086615</v>
      </c>
      <c r="E470" s="56">
        <f>3.3+3.3</f>
        <v>6.6</v>
      </c>
      <c r="F470" s="56"/>
      <c r="G470" s="56"/>
      <c r="H470" s="56">
        <f>1+1+0.75</f>
        <v>2.75</v>
      </c>
      <c r="I470" s="56"/>
      <c r="J470" s="56">
        <f>C470*D470*H470</f>
        <v>59.547244094488192</v>
      </c>
      <c r="K470" s="2" t="s">
        <v>51</v>
      </c>
      <c r="L470" s="7"/>
      <c r="M470" s="27"/>
      <c r="N470" s="26"/>
    </row>
    <row r="471" spans="1:14" s="28" customFormat="1" x14ac:dyDescent="0.25">
      <c r="A471" s="7"/>
      <c r="B471" s="38" t="s">
        <v>249</v>
      </c>
      <c r="C471" s="2">
        <v>1</v>
      </c>
      <c r="D471" s="56">
        <f>CONVERT(E471,"m","ft")</f>
        <v>14.827795915754434</v>
      </c>
      <c r="E471" s="56">
        <f>4/3.28+3.3</f>
        <v>4.5195121951219512</v>
      </c>
      <c r="F471" s="56"/>
      <c r="G471" s="56"/>
      <c r="H471" s="56">
        <f>1</f>
        <v>1</v>
      </c>
      <c r="I471" s="56"/>
      <c r="J471" s="56">
        <f>C471*D471*H471</f>
        <v>14.827795915754434</v>
      </c>
      <c r="K471" s="2" t="s">
        <v>51</v>
      </c>
      <c r="L471" s="7"/>
      <c r="M471" s="27"/>
      <c r="N471" s="26"/>
    </row>
    <row r="472" spans="1:14" s="28" customFormat="1" x14ac:dyDescent="0.25">
      <c r="A472" s="7"/>
      <c r="B472" s="38" t="s">
        <v>250</v>
      </c>
      <c r="C472" s="2">
        <v>1</v>
      </c>
      <c r="D472" s="56">
        <f>CONVERT(E472,"m","ft")</f>
        <v>14.630945522053645</v>
      </c>
      <c r="E472" s="56">
        <f>3.24+4/3.28</f>
        <v>4.4595121951219516</v>
      </c>
      <c r="F472" s="56"/>
      <c r="G472" s="56"/>
      <c r="H472" s="56">
        <f>1+1+0.33</f>
        <v>2.33</v>
      </c>
      <c r="I472" s="56"/>
      <c r="J472" s="56">
        <f>C472*D472*H472</f>
        <v>34.090103066384998</v>
      </c>
      <c r="K472" s="2" t="s">
        <v>51</v>
      </c>
      <c r="L472" s="7"/>
      <c r="M472" s="27"/>
      <c r="N472" s="26"/>
    </row>
    <row r="473" spans="1:14" s="28" customFormat="1" x14ac:dyDescent="0.25">
      <c r="A473" s="7"/>
      <c r="B473" s="38" t="s">
        <v>231</v>
      </c>
      <c r="C473" s="2">
        <v>1</v>
      </c>
      <c r="D473" s="56">
        <f>CONVERT(E473,"m","ft")</f>
        <v>14.630945522053645</v>
      </c>
      <c r="E473" s="56">
        <f>4/3.28+3.24</f>
        <v>4.4595121951219516</v>
      </c>
      <c r="F473" s="56"/>
      <c r="G473" s="56"/>
      <c r="H473" s="56">
        <f>1</f>
        <v>1</v>
      </c>
      <c r="I473" s="56"/>
      <c r="J473" s="56">
        <f>C473*D473*H473</f>
        <v>14.630945522053645</v>
      </c>
      <c r="K473" s="2" t="s">
        <v>51</v>
      </c>
      <c r="L473" s="7"/>
      <c r="M473" s="27"/>
      <c r="N473" s="26"/>
    </row>
    <row r="474" spans="1:14" s="28" customFormat="1" x14ac:dyDescent="0.25">
      <c r="A474" s="7"/>
      <c r="B474" s="4"/>
      <c r="C474" s="7"/>
      <c r="D474" s="7"/>
      <c r="E474" s="7"/>
      <c r="F474" s="7"/>
      <c r="G474" s="7"/>
      <c r="H474" s="35" t="s">
        <v>310</v>
      </c>
      <c r="I474" s="7"/>
      <c r="J474" s="44">
        <f>SUM(J317:J473)</f>
        <v>4399.2391530132509</v>
      </c>
      <c r="K474" s="7" t="s">
        <v>51</v>
      </c>
      <c r="L474" s="7"/>
      <c r="M474" s="27"/>
      <c r="N474" s="26"/>
    </row>
    <row r="475" spans="1:14" s="28" customFormat="1" x14ac:dyDescent="0.25">
      <c r="A475" s="7"/>
      <c r="B475" s="26"/>
      <c r="C475" s="7"/>
      <c r="D475" s="7"/>
      <c r="E475" s="7"/>
      <c r="F475" s="7"/>
      <c r="G475" s="7"/>
      <c r="H475" s="7"/>
      <c r="I475" s="7"/>
      <c r="J475" s="44">
        <f>CONVERT(CONVERT(J474,"ft","m"),"ft","m")</f>
        <v>408.70269100195617</v>
      </c>
      <c r="K475" s="7" t="s">
        <v>220</v>
      </c>
      <c r="L475" s="7"/>
      <c r="M475" s="27"/>
      <c r="N475" s="26"/>
    </row>
    <row r="476" spans="1:14" ht="45" x14ac:dyDescent="0.25">
      <c r="A476" s="7">
        <v>2.2000000000000002</v>
      </c>
      <c r="B476" s="76" t="s">
        <v>315</v>
      </c>
      <c r="C476" s="2"/>
      <c r="D476" s="2"/>
      <c r="E476" s="2"/>
      <c r="F476" s="2"/>
      <c r="G476" s="2"/>
      <c r="H476" s="2"/>
      <c r="I476" s="2"/>
      <c r="J476" s="56"/>
      <c r="K476" s="2"/>
      <c r="L476" s="2"/>
      <c r="M476" s="40"/>
      <c r="N476" s="2"/>
    </row>
    <row r="477" spans="1:14" s="28" customFormat="1" x14ac:dyDescent="0.25">
      <c r="A477" s="7"/>
      <c r="B477" s="81" t="s">
        <v>316</v>
      </c>
      <c r="C477" s="2"/>
      <c r="D477" s="56"/>
      <c r="E477" s="56"/>
      <c r="F477" s="56"/>
      <c r="G477" s="56"/>
      <c r="H477" s="56"/>
      <c r="I477" s="56"/>
      <c r="J477" s="56"/>
      <c r="K477" s="56"/>
      <c r="L477" s="44"/>
      <c r="M477" s="69"/>
      <c r="N477" s="26"/>
    </row>
    <row r="478" spans="1:14" s="28" customFormat="1" x14ac:dyDescent="0.25">
      <c r="A478" s="7"/>
      <c r="B478" s="68" t="s">
        <v>158</v>
      </c>
      <c r="C478" s="2"/>
      <c r="D478" s="56"/>
      <c r="E478" s="56"/>
      <c r="F478" s="56"/>
      <c r="G478" s="56"/>
      <c r="H478" s="56"/>
      <c r="I478" s="56"/>
      <c r="J478" s="56"/>
      <c r="K478" s="56"/>
      <c r="L478" s="44"/>
      <c r="M478" s="69"/>
      <c r="N478" s="26"/>
    </row>
    <row r="479" spans="1:14" s="28" customFormat="1" x14ac:dyDescent="0.25">
      <c r="A479" s="7"/>
      <c r="B479" s="4" t="s">
        <v>298</v>
      </c>
      <c r="C479" s="2">
        <v>1</v>
      </c>
      <c r="D479" s="56">
        <f>CONVERT(E479,"m","ft")</f>
        <v>11.34130337366366</v>
      </c>
      <c r="E479" s="56">
        <f>(3.27+3.29)/2+((0.25+0.33)/3.28)</f>
        <v>3.4568292682926831</v>
      </c>
      <c r="F479" s="56">
        <f>CONVERT(G479,"m","ft")</f>
        <v>11.589366877920746</v>
      </c>
      <c r="G479" s="56">
        <f>(3.36+3.4)/2+(0.5/3.28)</f>
        <v>3.5324390243902437</v>
      </c>
      <c r="H479" s="56"/>
      <c r="I479" s="56"/>
      <c r="J479" s="56">
        <f>C479*D479*F479</f>
        <v>131.43852567118844</v>
      </c>
      <c r="K479" s="56" t="s">
        <v>51</v>
      </c>
      <c r="L479" s="44"/>
      <c r="M479" s="69"/>
      <c r="N479" s="26"/>
    </row>
    <row r="480" spans="1:14" s="28" customFormat="1" x14ac:dyDescent="0.25">
      <c r="A480" s="7"/>
      <c r="B480" s="4" t="s">
        <v>299</v>
      </c>
      <c r="C480" s="2">
        <v>1</v>
      </c>
      <c r="D480" s="56">
        <f t="shared" ref="D480:D486" si="22">CONVERT(E480,"m","ft")</f>
        <v>11.720600473721271</v>
      </c>
      <c r="E480" s="56">
        <f>3.42+0.5/3.28</f>
        <v>3.5724390243902437</v>
      </c>
      <c r="F480" s="56">
        <f>CONVERT(G480,"m","ft")</f>
        <v>11.228474489469304</v>
      </c>
      <c r="G480" s="56">
        <f>3.27+0.5/3.28</f>
        <v>3.4224390243902438</v>
      </c>
      <c r="H480" s="56"/>
      <c r="I480" s="56"/>
      <c r="J480" s="56">
        <f>C480*D480*F480</f>
        <v>131.60446342044114</v>
      </c>
      <c r="K480" s="56" t="s">
        <v>51</v>
      </c>
      <c r="L480" s="44"/>
      <c r="M480" s="69"/>
      <c r="N480" s="26"/>
    </row>
    <row r="481" spans="1:14" s="28" customFormat="1" x14ac:dyDescent="0.25">
      <c r="A481" s="7"/>
      <c r="B481" s="38" t="s">
        <v>300</v>
      </c>
      <c r="C481" s="2">
        <v>1</v>
      </c>
      <c r="D481" s="56">
        <f t="shared" si="22"/>
        <v>13.123359580052494</v>
      </c>
      <c r="E481" s="56">
        <v>4</v>
      </c>
      <c r="F481" s="56">
        <f>26-0.75*3</f>
        <v>23.75</v>
      </c>
      <c r="G481" s="56"/>
      <c r="H481" s="56"/>
      <c r="I481" s="56"/>
      <c r="J481" s="56">
        <f>C481*D481*F481</f>
        <v>311.67979002624674</v>
      </c>
      <c r="K481" s="56" t="s">
        <v>51</v>
      </c>
      <c r="L481" s="44"/>
      <c r="M481" s="69"/>
      <c r="N481" s="26"/>
    </row>
    <row r="482" spans="1:14" s="28" customFormat="1" x14ac:dyDescent="0.25">
      <c r="A482" s="7"/>
      <c r="B482" s="38"/>
      <c r="C482" s="2"/>
      <c r="D482" s="56"/>
      <c r="E482" s="56"/>
      <c r="F482" s="56"/>
      <c r="G482" s="56"/>
      <c r="H482" s="56"/>
      <c r="I482" s="56"/>
      <c r="J482" s="56"/>
      <c r="K482" s="56"/>
      <c r="L482" s="44"/>
      <c r="M482" s="69"/>
      <c r="N482" s="26"/>
    </row>
    <row r="483" spans="1:14" s="28" customFormat="1" ht="30" x14ac:dyDescent="0.25">
      <c r="A483" s="7"/>
      <c r="B483" s="4" t="s">
        <v>301</v>
      </c>
      <c r="C483" s="2">
        <v>1</v>
      </c>
      <c r="D483" s="56">
        <f t="shared" si="22"/>
        <v>11.13004929261891</v>
      </c>
      <c r="E483" s="56">
        <f>3.24+0.5/3.28</f>
        <v>3.392439024390244</v>
      </c>
      <c r="F483" s="56">
        <f>CONVERT(G483,"m","ft")</f>
        <v>6.7133186095640491</v>
      </c>
      <c r="G483" s="56">
        <f>1.97+0.25/3.28</f>
        <v>2.0462195121951221</v>
      </c>
      <c r="H483" s="56"/>
      <c r="I483" s="56"/>
      <c r="J483" s="56">
        <f>C483*D483*F483</f>
        <v>74.719567041503709</v>
      </c>
      <c r="K483" s="56" t="s">
        <v>51</v>
      </c>
      <c r="L483" s="44"/>
      <c r="M483" s="69"/>
      <c r="N483" s="26"/>
    </row>
    <row r="484" spans="1:14" s="28" customFormat="1" x14ac:dyDescent="0.25">
      <c r="A484" s="7"/>
      <c r="B484" s="38" t="s">
        <v>196</v>
      </c>
      <c r="C484" s="2"/>
      <c r="D484" s="56"/>
      <c r="E484" s="56"/>
      <c r="F484" s="56"/>
      <c r="G484" s="56"/>
      <c r="H484" s="56"/>
      <c r="I484" s="56"/>
      <c r="J484" s="56"/>
      <c r="K484" s="56"/>
      <c r="L484" s="44"/>
      <c r="M484" s="69"/>
      <c r="N484" s="26"/>
    </row>
    <row r="485" spans="1:14" s="28" customFormat="1" x14ac:dyDescent="0.25">
      <c r="A485" s="7"/>
      <c r="B485" s="38" t="s">
        <v>198</v>
      </c>
      <c r="C485" s="2">
        <v>1</v>
      </c>
      <c r="D485" s="56">
        <f t="shared" si="22"/>
        <v>5.368174252608668</v>
      </c>
      <c r="E485" s="56">
        <f>1.56+0.25/3.28</f>
        <v>1.636219512195122</v>
      </c>
      <c r="F485" s="56">
        <f>CONVERT(G485,"m","ft")</f>
        <v>3.6089238845144358</v>
      </c>
      <c r="G485" s="56">
        <v>1.1000000000000001</v>
      </c>
      <c r="H485" s="56"/>
      <c r="I485" s="56"/>
      <c r="J485" s="56">
        <f>C485*D485*F485</f>
        <v>19.373332276474851</v>
      </c>
      <c r="K485" s="56" t="s">
        <v>51</v>
      </c>
      <c r="L485" s="44"/>
      <c r="M485" s="69"/>
      <c r="N485" s="26"/>
    </row>
    <row r="486" spans="1:14" s="28" customFormat="1" x14ac:dyDescent="0.25">
      <c r="A486" s="7"/>
      <c r="B486" s="38" t="s">
        <v>252</v>
      </c>
      <c r="C486" s="2">
        <v>1</v>
      </c>
      <c r="D486" s="56">
        <f t="shared" si="22"/>
        <v>5.2493438320209975</v>
      </c>
      <c r="E486" s="56">
        <v>1.6</v>
      </c>
      <c r="F486" s="56">
        <f>CONVERT(G486,"m","ft")</f>
        <v>3.6089238845144358</v>
      </c>
      <c r="G486" s="56">
        <v>1.1000000000000001</v>
      </c>
      <c r="H486" s="56"/>
      <c r="I486" s="56"/>
      <c r="J486" s="56">
        <f>C486*D486*F486</f>
        <v>18.944482333409113</v>
      </c>
      <c r="K486" s="56" t="s">
        <v>51</v>
      </c>
      <c r="L486" s="44"/>
      <c r="M486" s="69"/>
      <c r="N486" s="26"/>
    </row>
    <row r="487" spans="1:14" s="28" customFormat="1" x14ac:dyDescent="0.25">
      <c r="A487" s="7"/>
      <c r="B487" s="38"/>
      <c r="C487" s="2"/>
      <c r="D487" s="56"/>
      <c r="E487" s="56"/>
      <c r="F487" s="56"/>
      <c r="G487" s="56"/>
      <c r="H487" s="56"/>
      <c r="I487" s="56"/>
      <c r="J487" s="56"/>
      <c r="K487" s="56"/>
      <c r="L487" s="44"/>
      <c r="M487" s="69"/>
      <c r="N487" s="26"/>
    </row>
    <row r="488" spans="1:14" s="28" customFormat="1" x14ac:dyDescent="0.25">
      <c r="A488" s="7"/>
      <c r="B488" s="38" t="s">
        <v>302</v>
      </c>
      <c r="C488" s="2"/>
      <c r="D488" s="56"/>
      <c r="E488" s="56"/>
      <c r="F488" s="56"/>
      <c r="G488" s="56"/>
      <c r="H488" s="56"/>
      <c r="I488" s="56"/>
      <c r="J488" s="56"/>
      <c r="K488" s="56"/>
      <c r="L488" s="44"/>
      <c r="M488" s="69"/>
      <c r="N488" s="26"/>
    </row>
    <row r="489" spans="1:14" s="28" customFormat="1" x14ac:dyDescent="0.25">
      <c r="A489" s="7"/>
      <c r="B489" s="38" t="s">
        <v>253</v>
      </c>
      <c r="C489" s="2">
        <v>1</v>
      </c>
      <c r="D489" s="56">
        <f>2.25+3.5</f>
        <v>5.75</v>
      </c>
      <c r="E489" s="56"/>
      <c r="F489" s="56">
        <f>CONVERT(G489,"m","ft")</f>
        <v>6.8897637795275593</v>
      </c>
      <c r="G489" s="56">
        <v>2.1</v>
      </c>
      <c r="H489" s="56"/>
      <c r="I489" s="56"/>
      <c r="J489" s="56">
        <f>C489*D489*F489</f>
        <v>39.616141732283467</v>
      </c>
      <c r="K489" s="56" t="s">
        <v>51</v>
      </c>
      <c r="L489" s="44"/>
      <c r="M489" s="69"/>
      <c r="N489" s="26"/>
    </row>
    <row r="490" spans="1:14" s="28" customFormat="1" x14ac:dyDescent="0.25">
      <c r="A490" s="7"/>
      <c r="B490" s="38" t="s">
        <v>255</v>
      </c>
      <c r="C490" s="2">
        <v>2</v>
      </c>
      <c r="D490" s="56">
        <v>8.33</v>
      </c>
      <c r="E490" s="56"/>
      <c r="F490" s="56">
        <f>CONVERT(G490,"m","ft")</f>
        <v>11.482939632545932</v>
      </c>
      <c r="G490" s="56">
        <v>3.5</v>
      </c>
      <c r="H490" s="56"/>
      <c r="I490" s="56"/>
      <c r="J490" s="56">
        <f>C490*D490*F490</f>
        <v>191.30577427821524</v>
      </c>
      <c r="K490" s="56" t="s">
        <v>51</v>
      </c>
      <c r="L490" s="44"/>
      <c r="M490" s="69"/>
      <c r="N490" s="26"/>
    </row>
    <row r="491" spans="1:14" s="28" customFormat="1" x14ac:dyDescent="0.25">
      <c r="A491" s="7"/>
      <c r="B491" s="38" t="s">
        <v>256</v>
      </c>
      <c r="C491" s="2">
        <f>7*2*0.5</f>
        <v>7</v>
      </c>
      <c r="D491" s="56"/>
      <c r="E491" s="56"/>
      <c r="F491" s="56">
        <v>0.83</v>
      </c>
      <c r="G491" s="56"/>
      <c r="H491" s="56">
        <v>0.57999999999999996</v>
      </c>
      <c r="I491" s="56"/>
      <c r="J491" s="56">
        <f>C491*F491*H491</f>
        <v>3.3697999999999997</v>
      </c>
      <c r="K491" s="56" t="s">
        <v>51</v>
      </c>
      <c r="L491" s="44"/>
      <c r="M491" s="69"/>
      <c r="N491" s="26"/>
    </row>
    <row r="492" spans="1:14" s="28" customFormat="1" x14ac:dyDescent="0.25">
      <c r="A492" s="7"/>
      <c r="B492" s="38" t="s">
        <v>196</v>
      </c>
      <c r="C492" s="2">
        <v>1</v>
      </c>
      <c r="D492" s="56">
        <f>CONVERT(E492,"m","ft")</f>
        <v>5.4994078484091924</v>
      </c>
      <c r="E492" s="56">
        <f>1.6+0.25/3.28</f>
        <v>1.676219512195122</v>
      </c>
      <c r="F492" s="56">
        <f>CONVERT(G492,"m","ft")</f>
        <v>3.3996703156007939</v>
      </c>
      <c r="G492" s="56">
        <f>0.96+0.25/3.28</f>
        <v>1.0362195121951219</v>
      </c>
      <c r="H492" s="56"/>
      <c r="I492" s="56"/>
      <c r="J492" s="56">
        <f>C492*D492*F492</f>
        <v>18.696173615618761</v>
      </c>
      <c r="K492" s="56" t="s">
        <v>51</v>
      </c>
      <c r="L492" s="44"/>
      <c r="M492" s="69"/>
      <c r="N492" s="26"/>
    </row>
    <row r="493" spans="1:14" s="28" customFormat="1" x14ac:dyDescent="0.25">
      <c r="A493" s="7"/>
      <c r="B493" s="38" t="s">
        <v>254</v>
      </c>
      <c r="C493" s="2">
        <v>1</v>
      </c>
      <c r="D493" s="56">
        <f>CONVERT(E493,"m","ft")</f>
        <v>4.9744734652070921</v>
      </c>
      <c r="E493" s="56">
        <f>1.44+0.25/3.28</f>
        <v>1.5162195121951219</v>
      </c>
      <c r="F493" s="56">
        <f>CONVERT(G493,"m","ft")</f>
        <v>3.9370078740157481</v>
      </c>
      <c r="G493" s="56">
        <v>1.2</v>
      </c>
      <c r="H493" s="56"/>
      <c r="I493" s="56"/>
      <c r="J493" s="56">
        <f>C493*D493*F493</f>
        <v>19.584541201602725</v>
      </c>
      <c r="K493" s="56" t="s">
        <v>51</v>
      </c>
      <c r="L493" s="44"/>
      <c r="M493" s="69"/>
      <c r="N493" s="26"/>
    </row>
    <row r="494" spans="1:14" s="28" customFormat="1" x14ac:dyDescent="0.25">
      <c r="A494" s="7"/>
      <c r="B494" s="38"/>
      <c r="C494" s="2"/>
      <c r="D494" s="56"/>
      <c r="E494" s="56"/>
      <c r="F494" s="56"/>
      <c r="G494" s="56"/>
      <c r="H494" s="56"/>
      <c r="I494" s="56"/>
      <c r="J494" s="56"/>
      <c r="K494" s="56"/>
      <c r="L494" s="44"/>
      <c r="M494" s="70"/>
      <c r="N494" s="26"/>
    </row>
    <row r="495" spans="1:14" s="28" customFormat="1" x14ac:dyDescent="0.25">
      <c r="A495" s="7"/>
      <c r="B495" s="68" t="s">
        <v>159</v>
      </c>
      <c r="C495" s="2"/>
      <c r="D495" s="56"/>
      <c r="E495" s="56"/>
      <c r="F495" s="56"/>
      <c r="G495" s="56"/>
      <c r="H495" s="56"/>
      <c r="I495" s="56"/>
      <c r="J495" s="56"/>
      <c r="K495" s="56"/>
      <c r="L495" s="44"/>
      <c r="M495" s="69"/>
      <c r="N495" s="26"/>
    </row>
    <row r="496" spans="1:14" s="28" customFormat="1" x14ac:dyDescent="0.25">
      <c r="A496" s="7"/>
      <c r="B496" s="4" t="s">
        <v>303</v>
      </c>
      <c r="C496" s="2">
        <v>1</v>
      </c>
      <c r="D496" s="56">
        <f>CONVERT(E496,"m","ft")</f>
        <v>15.327923948530822</v>
      </c>
      <c r="E496" s="56">
        <f>3.3+4/3.28+(0.25+0.25)/3.28</f>
        <v>4.6719512195121951</v>
      </c>
      <c r="F496" s="56">
        <f>CONVERT(G496,"m","ft")</f>
        <v>11.076835669931501</v>
      </c>
      <c r="G496" s="56">
        <f>3.3+0.25/3.28</f>
        <v>3.3762195121951217</v>
      </c>
      <c r="H496" s="56"/>
      <c r="I496" s="56"/>
      <c r="J496" s="56">
        <f>C496*D496*F496</f>
        <v>169.78489473908351</v>
      </c>
      <c r="K496" s="56" t="s">
        <v>51</v>
      </c>
      <c r="L496" s="44"/>
      <c r="M496" s="69"/>
      <c r="N496" s="26"/>
    </row>
    <row r="497" spans="1:14" s="28" customFormat="1" x14ac:dyDescent="0.25">
      <c r="A497" s="7"/>
      <c r="B497" s="4" t="s">
        <v>304</v>
      </c>
      <c r="C497" s="2">
        <v>1</v>
      </c>
      <c r="D497" s="56">
        <f>CONVERT(E497,"m","ft")</f>
        <v>11.720600473721271</v>
      </c>
      <c r="E497" s="56">
        <f>3.42+0.5/3.28</f>
        <v>3.5724390243902437</v>
      </c>
      <c r="F497" s="56">
        <f>CONVERT(G497,"m","ft")</f>
        <v>11.326899686319697</v>
      </c>
      <c r="G497" s="56">
        <f>3.3+0.5/3.28</f>
        <v>3.4524390243902436</v>
      </c>
      <c r="H497" s="56"/>
      <c r="I497" s="56"/>
      <c r="J497" s="56">
        <f>C497*D497*F497</f>
        <v>132.75806582927197</v>
      </c>
      <c r="K497" s="56" t="s">
        <v>51</v>
      </c>
      <c r="L497" s="44"/>
      <c r="M497" s="69"/>
      <c r="N497" s="26"/>
    </row>
    <row r="498" spans="1:14" s="28" customFormat="1" x14ac:dyDescent="0.25">
      <c r="A498" s="7"/>
      <c r="B498" s="38" t="s">
        <v>305</v>
      </c>
      <c r="C498" s="2">
        <v>1</v>
      </c>
      <c r="D498" s="56">
        <v>4</v>
      </c>
      <c r="E498" s="56"/>
      <c r="F498" s="56">
        <f>CONVERT(G498,"m","ft")</f>
        <v>11.076835669931501</v>
      </c>
      <c r="G498" s="56">
        <f>3.3+0.25/3.28</f>
        <v>3.3762195121951217</v>
      </c>
      <c r="H498" s="56"/>
      <c r="I498" s="56"/>
      <c r="J498" s="56">
        <f>C498*D498*F498</f>
        <v>44.307342679726005</v>
      </c>
      <c r="K498" s="56" t="s">
        <v>51</v>
      </c>
      <c r="L498" s="44"/>
      <c r="M498" s="69"/>
      <c r="N498" s="26"/>
    </row>
    <row r="499" spans="1:14" s="28" customFormat="1" x14ac:dyDescent="0.25">
      <c r="A499" s="7"/>
      <c r="B499" s="4" t="s">
        <v>306</v>
      </c>
      <c r="C499" s="2">
        <v>1</v>
      </c>
      <c r="D499" s="56">
        <f>CONVERT(E499,"m","ft")</f>
        <v>10.945602074130976</v>
      </c>
      <c r="E499" s="56">
        <f>3.26+0.25/3.28</f>
        <v>3.3362195121951217</v>
      </c>
      <c r="F499" s="56">
        <f>CONVERT(G499,"m","ft")</f>
        <v>11.326899686319697</v>
      </c>
      <c r="G499" s="56">
        <f>3.3+0.5/3.28</f>
        <v>3.4524390243902436</v>
      </c>
      <c r="H499" s="56"/>
      <c r="I499" s="56"/>
      <c r="J499" s="56">
        <f>C499*D499*F499</f>
        <v>123.97973670005437</v>
      </c>
      <c r="K499" s="56" t="s">
        <v>51</v>
      </c>
      <c r="L499" s="44"/>
      <c r="M499" s="69"/>
      <c r="N499" s="26"/>
    </row>
    <row r="500" spans="1:14" s="28" customFormat="1" x14ac:dyDescent="0.25">
      <c r="A500" s="7"/>
      <c r="B500" s="4"/>
      <c r="C500" s="2"/>
      <c r="D500" s="56"/>
      <c r="E500" s="56"/>
      <c r="F500" s="56"/>
      <c r="G500" s="56"/>
      <c r="H500" s="56"/>
      <c r="I500" s="56"/>
      <c r="J500" s="56"/>
      <c r="K500" s="56"/>
      <c r="L500" s="44"/>
      <c r="M500" s="69"/>
      <c r="N500" s="26"/>
    </row>
    <row r="501" spans="1:14" s="28" customFormat="1" x14ac:dyDescent="0.25">
      <c r="A501" s="7"/>
      <c r="B501" s="38" t="s">
        <v>200</v>
      </c>
      <c r="C501" s="2"/>
      <c r="D501" s="56"/>
      <c r="E501" s="56"/>
      <c r="F501" s="56"/>
      <c r="G501" s="56"/>
      <c r="H501" s="56"/>
      <c r="I501" s="56"/>
      <c r="J501" s="56"/>
      <c r="K501" s="56"/>
      <c r="L501" s="44"/>
      <c r="M501" s="69"/>
      <c r="N501" s="26"/>
    </row>
    <row r="502" spans="1:14" s="28" customFormat="1" x14ac:dyDescent="0.25">
      <c r="A502" s="7"/>
      <c r="B502" s="38" t="s">
        <v>201</v>
      </c>
      <c r="C502" s="2"/>
      <c r="D502" s="56"/>
      <c r="E502" s="56"/>
      <c r="F502" s="56"/>
      <c r="G502" s="56"/>
      <c r="H502" s="56"/>
      <c r="I502" s="56"/>
      <c r="J502" s="56"/>
      <c r="K502" s="56"/>
      <c r="L502" s="44"/>
      <c r="M502" s="69"/>
      <c r="N502" s="26"/>
    </row>
    <row r="503" spans="1:14" s="28" customFormat="1" x14ac:dyDescent="0.25">
      <c r="A503" s="7"/>
      <c r="B503" s="38" t="s">
        <v>253</v>
      </c>
      <c r="C503" s="2">
        <v>1</v>
      </c>
      <c r="D503" s="56">
        <f>2.25+3.5</f>
        <v>5.75</v>
      </c>
      <c r="E503" s="56"/>
      <c r="F503" s="56">
        <f>CONVERT(G503,"m","ft")</f>
        <v>6.8897637795275593</v>
      </c>
      <c r="G503" s="56">
        <v>2.1</v>
      </c>
      <c r="H503" s="56"/>
      <c r="I503" s="56"/>
      <c r="J503" s="56">
        <f>C503*D503*F503</f>
        <v>39.616141732283467</v>
      </c>
      <c r="K503" s="56" t="s">
        <v>51</v>
      </c>
      <c r="L503" s="44"/>
      <c r="M503" s="69"/>
      <c r="N503" s="26"/>
    </row>
    <row r="504" spans="1:14" s="28" customFormat="1" x14ac:dyDescent="0.25">
      <c r="A504" s="7"/>
      <c r="B504" s="38" t="s">
        <v>255</v>
      </c>
      <c r="C504" s="2">
        <v>2</v>
      </c>
      <c r="D504" s="56">
        <v>8.33</v>
      </c>
      <c r="E504" s="56"/>
      <c r="F504" s="56">
        <f>CONVERT(G504,"m","ft")</f>
        <v>11.482939632545932</v>
      </c>
      <c r="G504" s="56">
        <v>3.5</v>
      </c>
      <c r="H504" s="56"/>
      <c r="I504" s="56"/>
      <c r="J504" s="56">
        <f>C504*D504*F504</f>
        <v>191.30577427821524</v>
      </c>
      <c r="K504" s="56" t="s">
        <v>51</v>
      </c>
      <c r="L504" s="44"/>
      <c r="M504" s="69"/>
      <c r="N504" s="26"/>
    </row>
    <row r="505" spans="1:14" s="28" customFormat="1" x14ac:dyDescent="0.25">
      <c r="A505" s="7"/>
      <c r="B505" s="38" t="s">
        <v>256</v>
      </c>
      <c r="C505" s="2">
        <f>7*2*0.5</f>
        <v>7</v>
      </c>
      <c r="D505" s="56"/>
      <c r="E505" s="56"/>
      <c r="F505" s="56">
        <v>0.83</v>
      </c>
      <c r="G505" s="56"/>
      <c r="H505" s="56">
        <v>0.57999999999999996</v>
      </c>
      <c r="I505" s="56"/>
      <c r="J505" s="56">
        <f>C505*F505*H505</f>
        <v>3.3697999999999997</v>
      </c>
      <c r="K505" s="56" t="s">
        <v>51</v>
      </c>
      <c r="L505" s="44"/>
      <c r="M505" s="69"/>
      <c r="N505" s="26"/>
    </row>
    <row r="506" spans="1:14" s="28" customFormat="1" x14ac:dyDescent="0.25">
      <c r="A506" s="7"/>
      <c r="B506" s="38" t="s">
        <v>196</v>
      </c>
      <c r="C506" s="2">
        <v>1</v>
      </c>
      <c r="D506" s="56">
        <f>CONVERT(E506,"m","ft")</f>
        <v>5.4994078484091924</v>
      </c>
      <c r="E506" s="56">
        <f>1.6+0.25/3.28</f>
        <v>1.676219512195122</v>
      </c>
      <c r="F506" s="56">
        <f>CONVERT(G506,"m","ft")</f>
        <v>3.5104986876640418</v>
      </c>
      <c r="G506" s="56">
        <v>1.07</v>
      </c>
      <c r="H506" s="56"/>
      <c r="I506" s="56"/>
      <c r="J506" s="56">
        <f>C506*D506*F506</f>
        <v>19.305664034769801</v>
      </c>
      <c r="K506" s="56" t="s">
        <v>51</v>
      </c>
      <c r="L506" s="44"/>
      <c r="M506" s="69"/>
      <c r="N506" s="26"/>
    </row>
    <row r="507" spans="1:14" s="28" customFormat="1" x14ac:dyDescent="0.25">
      <c r="A507" s="7"/>
      <c r="B507" s="38" t="s">
        <v>254</v>
      </c>
      <c r="C507" s="2">
        <v>1</v>
      </c>
      <c r="D507" s="56">
        <f>CONVERT(E507,"m","ft")</f>
        <v>4.9744734652070921</v>
      </c>
      <c r="E507" s="56">
        <f>1.44+0.25/3.28</f>
        <v>1.5162195121951219</v>
      </c>
      <c r="F507" s="56">
        <f>CONVERT(G507,"m","ft")</f>
        <v>4.2979002624671914</v>
      </c>
      <c r="G507" s="56">
        <v>1.31</v>
      </c>
      <c r="H507" s="56"/>
      <c r="I507" s="56"/>
      <c r="J507" s="56">
        <f>C507*D507*F507</f>
        <v>21.37979081174964</v>
      </c>
      <c r="K507" s="56" t="s">
        <v>51</v>
      </c>
      <c r="L507" s="44"/>
      <c r="M507" s="69"/>
      <c r="N507" s="26"/>
    </row>
    <row r="508" spans="1:14" s="28" customFormat="1" x14ac:dyDescent="0.25">
      <c r="A508" s="7"/>
      <c r="B508" s="38"/>
      <c r="C508" s="2"/>
      <c r="D508" s="56"/>
      <c r="E508" s="56"/>
      <c r="F508" s="56"/>
      <c r="G508" s="56"/>
      <c r="H508" s="56"/>
      <c r="I508" s="56"/>
      <c r="J508" s="56"/>
      <c r="K508" s="56"/>
      <c r="L508" s="44"/>
      <c r="M508" s="69"/>
      <c r="N508" s="26"/>
    </row>
    <row r="509" spans="1:14" s="28" customFormat="1" x14ac:dyDescent="0.25">
      <c r="A509" s="7"/>
      <c r="B509" s="68" t="s">
        <v>89</v>
      </c>
      <c r="C509" s="2"/>
      <c r="D509" s="56"/>
      <c r="E509" s="56"/>
      <c r="F509" s="56"/>
      <c r="G509" s="56"/>
      <c r="H509" s="56"/>
      <c r="I509" s="56"/>
      <c r="J509" s="56"/>
      <c r="K509" s="56"/>
      <c r="L509" s="44"/>
      <c r="M509" s="69"/>
      <c r="N509" s="26"/>
    </row>
    <row r="510" spans="1:14" s="28" customFormat="1" x14ac:dyDescent="0.25">
      <c r="A510" s="7"/>
      <c r="B510" s="4" t="s">
        <v>210</v>
      </c>
      <c r="C510" s="2">
        <v>1</v>
      </c>
      <c r="D510" s="56">
        <f>CONVERT(E510,"m","ft")</f>
        <v>15.446754369118493</v>
      </c>
      <c r="E510" s="56">
        <f>3.26+4/3.28+0.75/3.28</f>
        <v>4.7081707317073169</v>
      </c>
      <c r="F510" s="56">
        <f>CONVERT(G510,"m","ft")</f>
        <v>11.326899686319697</v>
      </c>
      <c r="G510" s="56">
        <f>3.3+0.5/3.28</f>
        <v>3.4524390243902436</v>
      </c>
      <c r="H510" s="56"/>
      <c r="I510" s="56"/>
      <c r="J510" s="56">
        <f>C510*D510*F510</f>
        <v>174.96383721822568</v>
      </c>
      <c r="K510" s="56" t="s">
        <v>51</v>
      </c>
      <c r="L510" s="44"/>
      <c r="M510" s="69"/>
      <c r="N510" s="26"/>
    </row>
    <row r="511" spans="1:14" x14ac:dyDescent="0.25">
      <c r="A511" s="2"/>
      <c r="B511" s="4"/>
      <c r="C511" s="2"/>
      <c r="D511" s="56"/>
      <c r="E511" s="56"/>
      <c r="F511" s="56"/>
      <c r="G511" s="56"/>
      <c r="H511" s="56"/>
      <c r="I511" s="56"/>
      <c r="J511" s="56"/>
      <c r="K511" s="56"/>
      <c r="L511" s="56"/>
      <c r="M511" s="71"/>
      <c r="N511" s="4"/>
    </row>
    <row r="512" spans="1:14" s="28" customFormat="1" x14ac:dyDescent="0.25">
      <c r="A512" s="7"/>
      <c r="B512" s="38" t="s">
        <v>214</v>
      </c>
      <c r="C512" s="2"/>
      <c r="D512" s="56"/>
      <c r="E512" s="56"/>
      <c r="F512" s="56"/>
      <c r="G512" s="56"/>
      <c r="H512" s="56"/>
      <c r="I512" s="56"/>
      <c r="J512" s="56"/>
      <c r="K512" s="56"/>
      <c r="L512" s="44"/>
      <c r="M512" s="69"/>
      <c r="N512" s="26"/>
    </row>
    <row r="513" spans="1:14" s="28" customFormat="1" x14ac:dyDescent="0.25">
      <c r="A513" s="7"/>
      <c r="B513" s="38" t="s">
        <v>201</v>
      </c>
      <c r="C513" s="2"/>
      <c r="D513" s="56"/>
      <c r="E513" s="56"/>
      <c r="F513" s="56"/>
      <c r="G513" s="56"/>
      <c r="H513" s="56"/>
      <c r="I513" s="56"/>
      <c r="J513" s="56"/>
      <c r="K513" s="56"/>
      <c r="L513" s="44"/>
      <c r="M513" s="69"/>
      <c r="N513" s="26"/>
    </row>
    <row r="514" spans="1:14" s="28" customFormat="1" x14ac:dyDescent="0.25">
      <c r="A514" s="7"/>
      <c r="B514" s="38" t="s">
        <v>253</v>
      </c>
      <c r="C514" s="2">
        <v>1</v>
      </c>
      <c r="D514" s="56">
        <f>2.25+3.5</f>
        <v>5.75</v>
      </c>
      <c r="E514" s="56"/>
      <c r="F514" s="56">
        <f>CONVERT(G514,"m","ft")</f>
        <v>6.8897637795275593</v>
      </c>
      <c r="G514" s="56">
        <v>2.1</v>
      </c>
      <c r="H514" s="56"/>
      <c r="I514" s="56"/>
      <c r="J514" s="56">
        <f>C514*D514*F514</f>
        <v>39.616141732283467</v>
      </c>
      <c r="K514" s="56" t="s">
        <v>51</v>
      </c>
      <c r="L514" s="44"/>
      <c r="M514" s="69"/>
      <c r="N514" s="26"/>
    </row>
    <row r="515" spans="1:14" s="28" customFormat="1" x14ac:dyDescent="0.25">
      <c r="A515" s="7"/>
      <c r="B515" s="38" t="s">
        <v>255</v>
      </c>
      <c r="C515" s="2">
        <v>2</v>
      </c>
      <c r="D515" s="56">
        <v>8.33</v>
      </c>
      <c r="E515" s="56"/>
      <c r="F515" s="56">
        <f>CONVERT(G515,"m","ft")</f>
        <v>11.482939632545932</v>
      </c>
      <c r="G515" s="56">
        <v>3.5</v>
      </c>
      <c r="H515" s="56"/>
      <c r="I515" s="56"/>
      <c r="J515" s="56">
        <f>C515*D515*F515</f>
        <v>191.30577427821524</v>
      </c>
      <c r="K515" s="56" t="s">
        <v>51</v>
      </c>
      <c r="L515" s="44"/>
      <c r="M515" s="69"/>
      <c r="N515" s="26"/>
    </row>
    <row r="516" spans="1:14" s="28" customFormat="1" x14ac:dyDescent="0.25">
      <c r="A516" s="7"/>
      <c r="B516" s="38" t="s">
        <v>256</v>
      </c>
      <c r="C516" s="2">
        <f>7*2*0.5</f>
        <v>7</v>
      </c>
      <c r="D516" s="56"/>
      <c r="E516" s="56"/>
      <c r="F516" s="56">
        <v>0.83</v>
      </c>
      <c r="G516" s="56"/>
      <c r="H516" s="56">
        <v>0.57999999999999996</v>
      </c>
      <c r="I516" s="56"/>
      <c r="J516" s="56">
        <f>C516*F516*H516</f>
        <v>3.3697999999999997</v>
      </c>
      <c r="K516" s="56" t="s">
        <v>51</v>
      </c>
      <c r="L516" s="44"/>
      <c r="M516" s="69"/>
      <c r="N516" s="26"/>
    </row>
    <row r="517" spans="1:14" s="28" customFormat="1" x14ac:dyDescent="0.25">
      <c r="A517" s="7"/>
      <c r="B517" s="38" t="s">
        <v>196</v>
      </c>
      <c r="C517" s="2">
        <v>1</v>
      </c>
      <c r="D517" s="56">
        <f>CONVERT(E517,"m","ft")</f>
        <v>5.4994078484091924</v>
      </c>
      <c r="E517" s="56">
        <f>1.6+0.25/3.28</f>
        <v>1.676219512195122</v>
      </c>
      <c r="F517" s="56">
        <f>CONVERT(G517,"m","ft")</f>
        <v>3.5104986876640418</v>
      </c>
      <c r="G517" s="56">
        <v>1.07</v>
      </c>
      <c r="H517" s="56"/>
      <c r="I517" s="56"/>
      <c r="J517" s="56">
        <f>C517*D517*F517</f>
        <v>19.305664034769801</v>
      </c>
      <c r="K517" s="56" t="s">
        <v>51</v>
      </c>
      <c r="L517" s="44"/>
      <c r="M517" s="69"/>
      <c r="N517" s="26"/>
    </row>
    <row r="518" spans="1:14" s="28" customFormat="1" x14ac:dyDescent="0.25">
      <c r="A518" s="7"/>
      <c r="B518" s="38" t="s">
        <v>186</v>
      </c>
      <c r="C518" s="2">
        <v>1</v>
      </c>
      <c r="D518" s="56">
        <v>4.5</v>
      </c>
      <c r="E518" s="56"/>
      <c r="F518" s="56">
        <f>CONVERT(G518,"m","ft")</f>
        <v>11.076835669931501</v>
      </c>
      <c r="G518" s="56">
        <f>3.3+0.25/3.28</f>
        <v>3.3762195121951217</v>
      </c>
      <c r="H518" s="56"/>
      <c r="I518" s="56"/>
      <c r="J518" s="56">
        <f>C518*D518*F518</f>
        <v>49.845760514691754</v>
      </c>
      <c r="K518" s="56" t="s">
        <v>51</v>
      </c>
      <c r="L518" s="44"/>
      <c r="M518" s="69"/>
      <c r="N518" s="26"/>
    </row>
    <row r="519" spans="1:14" s="28" customFormat="1" x14ac:dyDescent="0.25">
      <c r="A519" s="7"/>
      <c r="B519" s="38" t="s">
        <v>254</v>
      </c>
      <c r="C519" s="2">
        <v>1</v>
      </c>
      <c r="D519" s="56">
        <f>CONVERT(E519,"m","ft")</f>
        <v>4.9744734652070921</v>
      </c>
      <c r="E519" s="56">
        <f>1.44+0.25/3.28</f>
        <v>1.5162195121951219</v>
      </c>
      <c r="F519" s="56">
        <f>CONVERT(G519,"m","ft")</f>
        <v>4.2979002624671914</v>
      </c>
      <c r="G519" s="56">
        <v>1.31</v>
      </c>
      <c r="H519" s="56"/>
      <c r="I519" s="56"/>
      <c r="J519" s="56">
        <f>C519*D519*F519</f>
        <v>21.37979081174964</v>
      </c>
      <c r="K519" s="56" t="s">
        <v>51</v>
      </c>
      <c r="L519" s="44"/>
      <c r="M519" s="69"/>
      <c r="N519" s="26"/>
    </row>
    <row r="520" spans="1:14" s="28" customFormat="1" x14ac:dyDescent="0.25">
      <c r="A520" s="7"/>
      <c r="B520" s="4"/>
      <c r="C520" s="7"/>
      <c r="D520" s="44"/>
      <c r="E520" s="44"/>
      <c r="F520" s="44"/>
      <c r="G520" s="44"/>
      <c r="H520" s="35" t="s">
        <v>310</v>
      </c>
      <c r="I520" s="44"/>
      <c r="J520" s="44">
        <f>SUM(J479:J519)</f>
        <v>2205.9265709920742</v>
      </c>
      <c r="K520" s="44" t="s">
        <v>51</v>
      </c>
      <c r="L520" s="44"/>
      <c r="M520" s="69"/>
      <c r="N520" s="26"/>
    </row>
    <row r="521" spans="1:14" s="28" customFormat="1" x14ac:dyDescent="0.25">
      <c r="A521" s="7"/>
      <c r="B521" s="26"/>
      <c r="C521" s="7"/>
      <c r="D521" s="44"/>
      <c r="E521" s="44"/>
      <c r="F521" s="44"/>
      <c r="G521" s="44"/>
      <c r="H521" s="44"/>
      <c r="I521" s="44"/>
      <c r="J521" s="44">
        <f>CONVERT(CONVERT(J520,"ft","m"),"ft","m")</f>
        <v>204.9372844619395</v>
      </c>
      <c r="K521" s="44" t="s">
        <v>220</v>
      </c>
      <c r="L521" s="44"/>
      <c r="M521" s="69"/>
      <c r="N521" s="26"/>
    </row>
    <row r="522" spans="1:14" ht="38.25" x14ac:dyDescent="0.25">
      <c r="A522" s="7">
        <v>2.2999999999999998</v>
      </c>
      <c r="B522" s="82" t="s">
        <v>317</v>
      </c>
      <c r="C522" s="2"/>
      <c r="D522" s="2"/>
      <c r="E522" s="2"/>
      <c r="F522" s="2"/>
      <c r="G522" s="2"/>
      <c r="H522" s="2"/>
      <c r="I522" s="2"/>
      <c r="J522" s="56"/>
      <c r="K522" s="2"/>
      <c r="L522" s="2"/>
      <c r="M522" s="40"/>
      <c r="N522" s="2"/>
    </row>
    <row r="523" spans="1:14" s="28" customFormat="1" x14ac:dyDescent="0.25">
      <c r="A523" s="7"/>
      <c r="B523" s="68" t="s">
        <v>158</v>
      </c>
      <c r="C523" s="2"/>
      <c r="D523" s="2"/>
      <c r="E523" s="2"/>
      <c r="F523" s="2"/>
      <c r="G523" s="2"/>
      <c r="H523" s="2"/>
      <c r="I523" s="2"/>
      <c r="J523" s="56"/>
      <c r="K523" s="2"/>
      <c r="L523" s="7"/>
      <c r="M523" s="27"/>
      <c r="N523" s="26"/>
    </row>
    <row r="524" spans="1:14" s="28" customFormat="1" x14ac:dyDescent="0.25">
      <c r="A524" s="7"/>
      <c r="B524" s="26" t="s">
        <v>298</v>
      </c>
      <c r="C524" s="2"/>
      <c r="D524" s="2"/>
      <c r="E524" s="2"/>
      <c r="F524" s="2"/>
      <c r="G524" s="2"/>
      <c r="H524" s="2"/>
      <c r="I524" s="2"/>
      <c r="J524" s="56"/>
      <c r="K524" s="2"/>
      <c r="L524" s="7"/>
      <c r="M524" s="27"/>
      <c r="N524" s="26"/>
    </row>
    <row r="525" spans="1:14" s="28" customFormat="1" x14ac:dyDescent="0.25">
      <c r="A525" s="7"/>
      <c r="B525" s="4" t="s">
        <v>187</v>
      </c>
      <c r="C525" s="2">
        <v>1</v>
      </c>
      <c r="D525" s="56">
        <f>CONVERT(E525,"m","ft")</f>
        <v>11.023622047244094</v>
      </c>
      <c r="E525" s="56">
        <v>3.36</v>
      </c>
      <c r="F525" s="56"/>
      <c r="G525" s="56"/>
      <c r="H525" s="56">
        <f>7+10/12</f>
        <v>7.833333333333333</v>
      </c>
      <c r="I525" s="56"/>
      <c r="J525" s="56">
        <f>C525*D525*H525</f>
        <v>86.351706036745398</v>
      </c>
      <c r="K525" s="2" t="s">
        <v>51</v>
      </c>
      <c r="L525" s="7"/>
      <c r="M525" s="27"/>
      <c r="N525" s="26"/>
    </row>
    <row r="526" spans="1:14" s="28" customFormat="1" x14ac:dyDescent="0.25">
      <c r="A526" s="7"/>
      <c r="B526" s="4" t="s">
        <v>193</v>
      </c>
      <c r="C526" s="2">
        <v>1</v>
      </c>
      <c r="D526" s="56">
        <f>CONVERT(E526,"m","ft")</f>
        <v>10.728346456692913</v>
      </c>
      <c r="E526" s="56">
        <v>3.27</v>
      </c>
      <c r="F526" s="56"/>
      <c r="G526" s="56"/>
      <c r="H526" s="56">
        <f>7+10/12</f>
        <v>7.833333333333333</v>
      </c>
      <c r="I526" s="56"/>
      <c r="J526" s="56">
        <f t="shared" ref="J526:J565" si="23">C526*D526*H526</f>
        <v>84.038713910761146</v>
      </c>
      <c r="K526" s="2" t="s">
        <v>51</v>
      </c>
      <c r="L526" s="7"/>
      <c r="M526" s="27"/>
      <c r="N526" s="26"/>
    </row>
    <row r="527" spans="1:14" s="28" customFormat="1" ht="14.25" customHeight="1" x14ac:dyDescent="0.25">
      <c r="A527" s="7"/>
      <c r="B527" s="4" t="s">
        <v>154</v>
      </c>
      <c r="C527" s="2">
        <f>-0.5*(2)</f>
        <v>-1</v>
      </c>
      <c r="D527" s="56">
        <v>6</v>
      </c>
      <c r="E527" s="56"/>
      <c r="F527" s="56"/>
      <c r="G527" s="56"/>
      <c r="H527" s="56">
        <v>4.5</v>
      </c>
      <c r="I527" s="56"/>
      <c r="J527" s="56">
        <f t="shared" si="23"/>
        <v>-27</v>
      </c>
      <c r="K527" s="2" t="s">
        <v>51</v>
      </c>
      <c r="L527" s="7"/>
      <c r="M527" s="27"/>
      <c r="N527" s="26"/>
    </row>
    <row r="528" spans="1:14" s="28" customFormat="1" x14ac:dyDescent="0.25">
      <c r="A528" s="7"/>
      <c r="B528" s="4"/>
      <c r="C528" s="2"/>
      <c r="D528" s="56"/>
      <c r="E528" s="56"/>
      <c r="F528" s="56"/>
      <c r="G528" s="56"/>
      <c r="H528" s="56"/>
      <c r="I528" s="56"/>
      <c r="J528" s="56"/>
      <c r="K528" s="2"/>
      <c r="L528" s="7"/>
      <c r="M528" s="27"/>
      <c r="N528" s="26"/>
    </row>
    <row r="529" spans="1:14" s="28" customFormat="1" x14ac:dyDescent="0.25">
      <c r="A529" s="7"/>
      <c r="B529" s="26" t="s">
        <v>299</v>
      </c>
      <c r="C529" s="2"/>
      <c r="D529" s="56"/>
      <c r="E529" s="56"/>
      <c r="F529" s="56"/>
      <c r="G529" s="56"/>
      <c r="H529" s="56"/>
      <c r="I529" s="56"/>
      <c r="J529" s="56"/>
      <c r="K529" s="2"/>
      <c r="L529" s="7"/>
      <c r="M529" s="27"/>
      <c r="N529" s="26"/>
    </row>
    <row r="530" spans="1:14" s="28" customFormat="1" x14ac:dyDescent="0.25">
      <c r="A530" s="7"/>
      <c r="B530" s="4" t="s">
        <v>191</v>
      </c>
      <c r="C530" s="2">
        <v>1</v>
      </c>
      <c r="D530" s="56">
        <f>CONVERT(E530,"m","ft")</f>
        <v>11.220472440944881</v>
      </c>
      <c r="E530" s="56">
        <v>3.42</v>
      </c>
      <c r="F530" s="56"/>
      <c r="G530" s="56"/>
      <c r="H530" s="56">
        <f>7+10/12</f>
        <v>7.833333333333333</v>
      </c>
      <c r="I530" s="56"/>
      <c r="J530" s="56">
        <f t="shared" si="23"/>
        <v>87.893700787401571</v>
      </c>
      <c r="K530" s="2" t="s">
        <v>51</v>
      </c>
      <c r="L530" s="7"/>
      <c r="M530" s="27"/>
      <c r="N530" s="26"/>
    </row>
    <row r="531" spans="1:14" s="28" customFormat="1" x14ac:dyDescent="0.25">
      <c r="A531" s="7"/>
      <c r="B531" s="4" t="s">
        <v>193</v>
      </c>
      <c r="C531" s="2">
        <v>1</v>
      </c>
      <c r="D531" s="56">
        <f>CONVERT(E531,"m","ft")</f>
        <v>10.728346456692913</v>
      </c>
      <c r="E531" s="56">
        <v>3.27</v>
      </c>
      <c r="F531" s="56"/>
      <c r="G531" s="56"/>
      <c r="H531" s="56">
        <f>7+10/12</f>
        <v>7.833333333333333</v>
      </c>
      <c r="I531" s="56"/>
      <c r="J531" s="56">
        <f t="shared" si="23"/>
        <v>84.038713910761146</v>
      </c>
      <c r="K531" s="2" t="s">
        <v>51</v>
      </c>
      <c r="L531" s="7"/>
      <c r="M531" s="27"/>
      <c r="N531" s="26"/>
    </row>
    <row r="532" spans="1:14" s="28" customFormat="1" ht="14.25" customHeight="1" x14ac:dyDescent="0.25">
      <c r="A532" s="7"/>
      <c r="B532" s="4" t="s">
        <v>154</v>
      </c>
      <c r="C532" s="2">
        <f>-0.5*(2)</f>
        <v>-1</v>
      </c>
      <c r="D532" s="56">
        <v>6</v>
      </c>
      <c r="E532" s="56"/>
      <c r="F532" s="56"/>
      <c r="G532" s="56"/>
      <c r="H532" s="56">
        <v>4.5</v>
      </c>
      <c r="I532" s="56"/>
      <c r="J532" s="56">
        <f t="shared" si="23"/>
        <v>-27</v>
      </c>
      <c r="K532" s="2" t="s">
        <v>51</v>
      </c>
      <c r="L532" s="7"/>
      <c r="M532" s="27"/>
      <c r="N532" s="26"/>
    </row>
    <row r="533" spans="1:14" s="28" customFormat="1" x14ac:dyDescent="0.25">
      <c r="A533" s="7"/>
      <c r="B533" s="4"/>
      <c r="C533" s="2"/>
      <c r="D533" s="56"/>
      <c r="E533" s="56"/>
      <c r="F533" s="56"/>
      <c r="G533" s="56"/>
      <c r="H533" s="56"/>
      <c r="I533" s="56"/>
      <c r="J533" s="56"/>
      <c r="K533" s="2"/>
      <c r="L533" s="7"/>
      <c r="M533" s="27"/>
      <c r="N533" s="26"/>
    </row>
    <row r="534" spans="1:14" s="28" customFormat="1" x14ac:dyDescent="0.25">
      <c r="A534" s="7"/>
      <c r="B534" s="41" t="s">
        <v>300</v>
      </c>
      <c r="C534" s="2"/>
      <c r="D534" s="56"/>
      <c r="E534" s="56"/>
      <c r="F534" s="56"/>
      <c r="G534" s="56"/>
      <c r="H534" s="56"/>
      <c r="I534" s="56"/>
      <c r="J534" s="56"/>
      <c r="K534" s="2"/>
      <c r="L534" s="7"/>
      <c r="M534" s="27"/>
      <c r="N534" s="26"/>
    </row>
    <row r="535" spans="1:14" s="28" customFormat="1" x14ac:dyDescent="0.25">
      <c r="A535" s="7"/>
      <c r="B535" s="4" t="s">
        <v>209</v>
      </c>
      <c r="C535" s="2">
        <v>2</v>
      </c>
      <c r="D535" s="56">
        <v>4</v>
      </c>
      <c r="E535" s="56"/>
      <c r="F535" s="56"/>
      <c r="G535" s="56"/>
      <c r="H535" s="56">
        <f>7+10/12</f>
        <v>7.833333333333333</v>
      </c>
      <c r="I535" s="56"/>
      <c r="J535" s="56">
        <f t="shared" si="23"/>
        <v>62.666666666666664</v>
      </c>
      <c r="K535" s="2" t="s">
        <v>51</v>
      </c>
      <c r="L535" s="7"/>
      <c r="M535" s="27"/>
      <c r="N535" s="26"/>
    </row>
    <row r="536" spans="1:14" s="28" customFormat="1" x14ac:dyDescent="0.25">
      <c r="A536" s="7"/>
      <c r="B536" s="4" t="s">
        <v>199</v>
      </c>
      <c r="C536" s="2">
        <f>0.5*-2</f>
        <v>-1</v>
      </c>
      <c r="D536" s="56">
        <v>4</v>
      </c>
      <c r="E536" s="56"/>
      <c r="F536" s="56"/>
      <c r="G536" s="56"/>
      <c r="H536" s="56">
        <f>7+3/12</f>
        <v>7.25</v>
      </c>
      <c r="I536" s="56"/>
      <c r="J536" s="56">
        <f t="shared" si="23"/>
        <v>-29</v>
      </c>
      <c r="K536" s="2" t="s">
        <v>51</v>
      </c>
      <c r="L536" s="7"/>
      <c r="M536" s="27"/>
      <c r="N536" s="26"/>
    </row>
    <row r="537" spans="1:14" s="28" customFormat="1" x14ac:dyDescent="0.25">
      <c r="A537" s="7"/>
      <c r="B537" s="4"/>
      <c r="C537" s="2"/>
      <c r="D537" s="56"/>
      <c r="E537" s="56"/>
      <c r="F537" s="56"/>
      <c r="G537" s="56"/>
      <c r="H537" s="56"/>
      <c r="I537" s="56"/>
      <c r="J537" s="56"/>
      <c r="K537" s="2"/>
      <c r="L537" s="7"/>
      <c r="M537" s="27"/>
      <c r="N537" s="26"/>
    </row>
    <row r="538" spans="1:14" s="28" customFormat="1" ht="30" x14ac:dyDescent="0.25">
      <c r="A538" s="7"/>
      <c r="B538" s="26" t="s">
        <v>301</v>
      </c>
      <c r="C538" s="2"/>
      <c r="D538" s="56"/>
      <c r="E538" s="56"/>
      <c r="F538" s="56"/>
      <c r="G538" s="56"/>
      <c r="H538" s="56"/>
      <c r="I538" s="56"/>
      <c r="J538" s="56"/>
      <c r="K538" s="2"/>
      <c r="L538" s="7"/>
      <c r="M538" s="27"/>
      <c r="N538" s="26"/>
    </row>
    <row r="539" spans="1:14" s="28" customFormat="1" x14ac:dyDescent="0.25">
      <c r="A539" s="7"/>
      <c r="B539" s="4" t="s">
        <v>187</v>
      </c>
      <c r="C539" s="2">
        <v>1</v>
      </c>
      <c r="D539" s="56">
        <f>CONVERT(E539,"m","ft")</f>
        <v>10.62992125984252</v>
      </c>
      <c r="E539" s="56">
        <v>3.24</v>
      </c>
      <c r="F539" s="56"/>
      <c r="G539" s="56"/>
      <c r="H539" s="56">
        <f>7+10/12</f>
        <v>7.833333333333333</v>
      </c>
      <c r="I539" s="56"/>
      <c r="J539" s="56">
        <f t="shared" si="23"/>
        <v>83.267716535433067</v>
      </c>
      <c r="K539" s="2" t="s">
        <v>51</v>
      </c>
      <c r="L539" s="7"/>
      <c r="M539" s="27"/>
      <c r="N539" s="26"/>
    </row>
    <row r="540" spans="1:14" s="28" customFormat="1" x14ac:dyDescent="0.25">
      <c r="A540" s="7"/>
      <c r="B540" s="4" t="s">
        <v>192</v>
      </c>
      <c r="C540" s="2">
        <v>1</v>
      </c>
      <c r="D540" s="56">
        <f>CONVERT(E540,"m","ft")</f>
        <v>10.793963254593177</v>
      </c>
      <c r="E540" s="56">
        <v>3.29</v>
      </c>
      <c r="F540" s="56"/>
      <c r="G540" s="56"/>
      <c r="H540" s="56">
        <f>7+10/12</f>
        <v>7.833333333333333</v>
      </c>
      <c r="I540" s="56"/>
      <c r="J540" s="56">
        <f t="shared" si="23"/>
        <v>84.55271216097988</v>
      </c>
      <c r="K540" s="2" t="s">
        <v>51</v>
      </c>
      <c r="L540" s="7"/>
      <c r="M540" s="27"/>
      <c r="N540" s="26"/>
    </row>
    <row r="541" spans="1:14" s="28" customFormat="1" ht="14.25" customHeight="1" x14ac:dyDescent="0.25">
      <c r="A541" s="7"/>
      <c r="B541" s="4" t="s">
        <v>197</v>
      </c>
      <c r="C541" s="2">
        <f>-0.5*(1)</f>
        <v>-0.5</v>
      </c>
      <c r="D541" s="56">
        <v>2</v>
      </c>
      <c r="E541" s="56"/>
      <c r="F541" s="56"/>
      <c r="G541" s="56"/>
      <c r="H541" s="56">
        <v>3</v>
      </c>
      <c r="I541" s="56"/>
      <c r="J541" s="56">
        <f t="shared" si="23"/>
        <v>-3</v>
      </c>
      <c r="K541" s="2" t="s">
        <v>51</v>
      </c>
      <c r="L541" s="7"/>
      <c r="M541" s="27"/>
      <c r="N541" s="26"/>
    </row>
    <row r="542" spans="1:14" s="28" customFormat="1" ht="14.25" customHeight="1" x14ac:dyDescent="0.25">
      <c r="A542" s="7"/>
      <c r="B542" s="4" t="s">
        <v>154</v>
      </c>
      <c r="C542" s="2">
        <f>-0.5*(1)</f>
        <v>-0.5</v>
      </c>
      <c r="D542" s="56">
        <v>6</v>
      </c>
      <c r="E542" s="56"/>
      <c r="F542" s="56"/>
      <c r="G542" s="56"/>
      <c r="H542" s="56">
        <v>4.5</v>
      </c>
      <c r="I542" s="56"/>
      <c r="J542" s="56">
        <f t="shared" si="23"/>
        <v>-13.5</v>
      </c>
      <c r="K542" s="2" t="s">
        <v>51</v>
      </c>
      <c r="L542" s="7"/>
      <c r="M542" s="27"/>
      <c r="N542" s="26"/>
    </row>
    <row r="543" spans="1:14" s="28" customFormat="1" x14ac:dyDescent="0.25">
      <c r="A543" s="7"/>
      <c r="B543" s="4"/>
      <c r="C543" s="2"/>
      <c r="D543" s="56"/>
      <c r="E543" s="56"/>
      <c r="F543" s="56"/>
      <c r="G543" s="56"/>
      <c r="H543" s="56"/>
      <c r="I543" s="56"/>
      <c r="J543" s="56"/>
      <c r="K543" s="2"/>
      <c r="L543" s="7"/>
      <c r="M543" s="27"/>
      <c r="N543" s="26"/>
    </row>
    <row r="544" spans="1:14" s="28" customFormat="1" x14ac:dyDescent="0.25">
      <c r="A544" s="7"/>
      <c r="B544" s="41" t="s">
        <v>302</v>
      </c>
      <c r="C544" s="2"/>
      <c r="D544" s="56"/>
      <c r="E544" s="56"/>
      <c r="F544" s="56"/>
      <c r="G544" s="56"/>
      <c r="H544" s="56"/>
      <c r="I544" s="56"/>
      <c r="J544" s="56"/>
      <c r="K544" s="2"/>
      <c r="L544" s="7"/>
      <c r="M544" s="27"/>
      <c r="N544" s="26"/>
    </row>
    <row r="545" spans="1:14" s="28" customFormat="1" x14ac:dyDescent="0.25">
      <c r="A545" s="7"/>
      <c r="B545" s="4" t="s">
        <v>204</v>
      </c>
      <c r="C545" s="2">
        <v>1</v>
      </c>
      <c r="D545" s="56">
        <f>CONVERT(E545,"m","ft")</f>
        <v>10.826771653543307</v>
      </c>
      <c r="E545" s="56">
        <v>3.3</v>
      </c>
      <c r="F545" s="56"/>
      <c r="G545" s="56"/>
      <c r="H545" s="56">
        <f>7+10/12</f>
        <v>7.833333333333333</v>
      </c>
      <c r="I545" s="56"/>
      <c r="J545" s="56">
        <f t="shared" si="23"/>
        <v>84.809711286089239</v>
      </c>
      <c r="K545" s="2" t="s">
        <v>51</v>
      </c>
      <c r="L545" s="7"/>
      <c r="M545" s="27"/>
      <c r="N545" s="26"/>
    </row>
    <row r="546" spans="1:14" s="28" customFormat="1" x14ac:dyDescent="0.25">
      <c r="A546" s="7"/>
      <c r="B546" s="4" t="s">
        <v>192</v>
      </c>
      <c r="C546" s="2">
        <v>1</v>
      </c>
      <c r="D546" s="56">
        <f>CONVERT(E546,"m","ft")</f>
        <v>10.728346456692913</v>
      </c>
      <c r="E546" s="56">
        <v>3.27</v>
      </c>
      <c r="F546" s="56"/>
      <c r="G546" s="56"/>
      <c r="H546" s="56">
        <f>7+10/12</f>
        <v>7.833333333333333</v>
      </c>
      <c r="I546" s="56"/>
      <c r="J546" s="56">
        <f>C546*D546*H546</f>
        <v>84.038713910761146</v>
      </c>
      <c r="K546" s="2" t="s">
        <v>51</v>
      </c>
      <c r="L546" s="7"/>
      <c r="M546" s="27"/>
      <c r="N546" s="26"/>
    </row>
    <row r="547" spans="1:14" s="28" customFormat="1" ht="14.25" customHeight="1" x14ac:dyDescent="0.25">
      <c r="A547" s="7"/>
      <c r="B547" s="4" t="s">
        <v>197</v>
      </c>
      <c r="C547" s="2">
        <f>-0.5*(2)</f>
        <v>-1</v>
      </c>
      <c r="D547" s="56">
        <v>2</v>
      </c>
      <c r="E547" s="56"/>
      <c r="F547" s="56"/>
      <c r="G547" s="56"/>
      <c r="H547" s="56">
        <v>3</v>
      </c>
      <c r="I547" s="56"/>
      <c r="J547" s="56">
        <f t="shared" si="23"/>
        <v>-6</v>
      </c>
      <c r="K547" s="2" t="s">
        <v>51</v>
      </c>
      <c r="L547" s="7"/>
      <c r="M547" s="27"/>
      <c r="N547" s="26"/>
    </row>
    <row r="548" spans="1:14" s="28" customFormat="1" x14ac:dyDescent="0.25">
      <c r="A548" s="7"/>
      <c r="B548" s="38"/>
      <c r="C548" s="2"/>
      <c r="D548" s="56"/>
      <c r="E548" s="56"/>
      <c r="F548" s="56"/>
      <c r="G548" s="56"/>
      <c r="H548" s="56"/>
      <c r="I548" s="56"/>
      <c r="J548" s="56"/>
      <c r="K548" s="2"/>
      <c r="L548" s="7"/>
      <c r="M548" s="27"/>
      <c r="N548" s="26"/>
    </row>
    <row r="549" spans="1:14" s="28" customFormat="1" x14ac:dyDescent="0.25">
      <c r="A549" s="7"/>
      <c r="B549" s="41" t="s">
        <v>75</v>
      </c>
      <c r="C549" s="2"/>
      <c r="D549" s="56"/>
      <c r="E549" s="56"/>
      <c r="F549" s="56"/>
      <c r="G549" s="56"/>
      <c r="H549" s="56"/>
      <c r="I549" s="56"/>
      <c r="J549" s="56"/>
      <c r="K549" s="2"/>
      <c r="L549" s="7"/>
      <c r="M549" s="27"/>
      <c r="N549" s="26"/>
    </row>
    <row r="550" spans="1:14" s="28" customFormat="1" x14ac:dyDescent="0.25">
      <c r="A550" s="7"/>
      <c r="B550" s="38" t="s">
        <v>222</v>
      </c>
      <c r="C550" s="2">
        <v>4</v>
      </c>
      <c r="D550" s="56">
        <f>1+1</f>
        <v>2</v>
      </c>
      <c r="E550" s="56"/>
      <c r="F550" s="56"/>
      <c r="G550" s="56"/>
      <c r="H550" s="56">
        <f>8+11/12</f>
        <v>8.9166666666666661</v>
      </c>
      <c r="I550" s="56"/>
      <c r="J550" s="56">
        <f t="shared" si="23"/>
        <v>71.333333333333329</v>
      </c>
      <c r="K550" s="2" t="s">
        <v>51</v>
      </c>
      <c r="L550" s="7"/>
      <c r="M550" s="27"/>
      <c r="N550" s="26"/>
    </row>
    <row r="551" spans="1:14" s="28" customFormat="1" x14ac:dyDescent="0.25">
      <c r="A551" s="7"/>
      <c r="B551" s="38" t="s">
        <v>290</v>
      </c>
      <c r="C551" s="2">
        <v>2</v>
      </c>
      <c r="D551" s="56">
        <f>1</f>
        <v>1</v>
      </c>
      <c r="E551" s="56"/>
      <c r="F551" s="56"/>
      <c r="G551" s="56"/>
      <c r="H551" s="56">
        <f>8+11/12</f>
        <v>8.9166666666666661</v>
      </c>
      <c r="I551" s="56"/>
      <c r="J551" s="56">
        <f t="shared" si="23"/>
        <v>17.833333333333332</v>
      </c>
      <c r="K551" s="2" t="s">
        <v>51</v>
      </c>
      <c r="L551" s="7"/>
      <c r="M551" s="27"/>
      <c r="N551" s="26"/>
    </row>
    <row r="552" spans="1:14" s="28" customFormat="1" x14ac:dyDescent="0.25">
      <c r="A552" s="7"/>
      <c r="B552" s="38" t="s">
        <v>289</v>
      </c>
      <c r="C552" s="2">
        <v>4</v>
      </c>
      <c r="D552" s="56">
        <f>1</f>
        <v>1</v>
      </c>
      <c r="E552" s="56"/>
      <c r="F552" s="56"/>
      <c r="G552" s="56"/>
      <c r="H552" s="56">
        <f>8+11/12</f>
        <v>8.9166666666666661</v>
      </c>
      <c r="I552" s="56"/>
      <c r="J552" s="56">
        <f t="shared" si="23"/>
        <v>35.666666666666664</v>
      </c>
      <c r="K552" s="2" t="s">
        <v>51</v>
      </c>
      <c r="L552" s="7"/>
      <c r="M552" s="27"/>
      <c r="N552" s="26"/>
    </row>
    <row r="553" spans="1:14" s="28" customFormat="1" x14ac:dyDescent="0.25">
      <c r="A553" s="7"/>
      <c r="B553" s="38"/>
      <c r="C553" s="2"/>
      <c r="D553" s="56"/>
      <c r="E553" s="56"/>
      <c r="F553" s="56"/>
      <c r="G553" s="56"/>
      <c r="H553" s="56"/>
      <c r="I553" s="56"/>
      <c r="J553" s="56"/>
      <c r="K553" s="2"/>
      <c r="L553" s="7"/>
      <c r="M553" s="27"/>
      <c r="N553" s="26"/>
    </row>
    <row r="554" spans="1:14" s="28" customFormat="1" x14ac:dyDescent="0.25">
      <c r="A554" s="7"/>
      <c r="B554" s="41" t="s">
        <v>77</v>
      </c>
      <c r="C554" s="2"/>
      <c r="D554" s="56"/>
      <c r="E554" s="56"/>
      <c r="F554" s="56"/>
      <c r="G554" s="56"/>
      <c r="H554" s="56"/>
      <c r="I554" s="56"/>
      <c r="J554" s="56"/>
      <c r="K554" s="2"/>
      <c r="L554" s="7"/>
      <c r="M554" s="27"/>
      <c r="N554" s="26"/>
    </row>
    <row r="555" spans="1:14" s="28" customFormat="1" x14ac:dyDescent="0.25">
      <c r="A555" s="7"/>
      <c r="B555" s="38" t="s">
        <v>236</v>
      </c>
      <c r="C555" s="2">
        <v>1</v>
      </c>
      <c r="D555" s="56">
        <f>CONVERT(E555,"m","ft")</f>
        <v>21.456692913385826</v>
      </c>
      <c r="E555" s="56">
        <f>3.27+3.27</f>
        <v>6.54</v>
      </c>
      <c r="F555" s="56"/>
      <c r="G555" s="56"/>
      <c r="H555" s="56">
        <f>1</f>
        <v>1</v>
      </c>
      <c r="I555" s="56"/>
      <c r="J555" s="56">
        <f t="shared" si="23"/>
        <v>21.456692913385826</v>
      </c>
      <c r="K555" s="2" t="s">
        <v>51</v>
      </c>
      <c r="L555" s="7"/>
      <c r="M555" s="27"/>
      <c r="N555" s="26"/>
    </row>
    <row r="556" spans="1:14" s="28" customFormat="1" x14ac:dyDescent="0.25">
      <c r="A556" s="7"/>
      <c r="B556" s="38" t="s">
        <v>235</v>
      </c>
      <c r="C556" s="2">
        <v>1</v>
      </c>
      <c r="D556" s="56">
        <f>CONVERT(E556,"m","ft")</f>
        <v>21.587926509186353</v>
      </c>
      <c r="E556" s="56">
        <f>3.28+3.3</f>
        <v>6.58</v>
      </c>
      <c r="F556" s="56"/>
      <c r="G556" s="56"/>
      <c r="H556" s="56">
        <f>1</f>
        <v>1</v>
      </c>
      <c r="I556" s="56"/>
      <c r="J556" s="56">
        <f t="shared" si="23"/>
        <v>21.587926509186353</v>
      </c>
      <c r="K556" s="2" t="s">
        <v>51</v>
      </c>
      <c r="L556" s="7"/>
      <c r="M556" s="27"/>
      <c r="N556" s="26"/>
    </row>
    <row r="557" spans="1:14" s="28" customFormat="1" x14ac:dyDescent="0.25">
      <c r="A557" s="7"/>
      <c r="B557" s="38" t="s">
        <v>230</v>
      </c>
      <c r="C557" s="2">
        <v>1</v>
      </c>
      <c r="D557" s="56">
        <f>CONVERT(E557,"m","ft")</f>
        <v>26.048268356699314</v>
      </c>
      <c r="E557" s="56">
        <f>3.42+4/3.28+3.3</f>
        <v>7.9395121951219512</v>
      </c>
      <c r="F557" s="56"/>
      <c r="G557" s="56"/>
      <c r="H557" s="56">
        <f>1</f>
        <v>1</v>
      </c>
      <c r="I557" s="56"/>
      <c r="J557" s="56">
        <f t="shared" si="23"/>
        <v>26.048268356699314</v>
      </c>
      <c r="K557" s="2" t="s">
        <v>51</v>
      </c>
      <c r="L557" s="7"/>
      <c r="M557" s="27"/>
      <c r="N557" s="26"/>
    </row>
    <row r="558" spans="1:14" s="28" customFormat="1" x14ac:dyDescent="0.25">
      <c r="A558" s="7"/>
      <c r="B558" s="38" t="s">
        <v>231</v>
      </c>
      <c r="C558" s="2">
        <v>1</v>
      </c>
      <c r="D558" s="56">
        <f>CONVERT(E558,"m","ft")</f>
        <v>25.65456756929774</v>
      </c>
      <c r="E558" s="56">
        <f>3.36+4/3.28+3.24</f>
        <v>7.8195121951219511</v>
      </c>
      <c r="F558" s="56"/>
      <c r="G558" s="56"/>
      <c r="H558" s="56">
        <f>1</f>
        <v>1</v>
      </c>
      <c r="I558" s="56"/>
      <c r="J558" s="56">
        <f t="shared" si="23"/>
        <v>25.65456756929774</v>
      </c>
      <c r="K558" s="2" t="s">
        <v>51</v>
      </c>
      <c r="L558" s="7"/>
      <c r="M558" s="27"/>
      <c r="N558" s="26"/>
    </row>
    <row r="559" spans="1:14" s="28" customFormat="1" x14ac:dyDescent="0.25">
      <c r="A559" s="7"/>
      <c r="B559" s="38"/>
      <c r="C559" s="2"/>
      <c r="D559" s="56"/>
      <c r="E559" s="56"/>
      <c r="F559" s="56"/>
      <c r="G559" s="56"/>
      <c r="H559" s="56"/>
      <c r="I559" s="56"/>
      <c r="J559" s="56"/>
      <c r="K559" s="2"/>
      <c r="L559" s="7"/>
      <c r="M559" s="67"/>
      <c r="N559" s="26"/>
    </row>
    <row r="560" spans="1:14" s="28" customFormat="1" x14ac:dyDescent="0.25">
      <c r="A560" s="7"/>
      <c r="B560" s="68" t="s">
        <v>159</v>
      </c>
      <c r="C560" s="2"/>
      <c r="D560" s="56"/>
      <c r="E560" s="56"/>
      <c r="F560" s="56"/>
      <c r="G560" s="56"/>
      <c r="H560" s="56"/>
      <c r="I560" s="56"/>
      <c r="J560" s="56"/>
      <c r="K560" s="2"/>
      <c r="L560" s="7"/>
      <c r="M560" s="27"/>
      <c r="N560" s="26"/>
    </row>
    <row r="561" spans="1:14" s="28" customFormat="1" x14ac:dyDescent="0.25">
      <c r="A561" s="7"/>
      <c r="B561" s="26" t="s">
        <v>208</v>
      </c>
      <c r="C561" s="2"/>
      <c r="D561" s="56"/>
      <c r="E561" s="56"/>
      <c r="F561" s="56"/>
      <c r="G561" s="56"/>
      <c r="H561" s="56"/>
      <c r="I561" s="56"/>
      <c r="J561" s="56"/>
      <c r="K561" s="2"/>
      <c r="L561" s="7"/>
      <c r="M561" s="27"/>
      <c r="N561" s="26"/>
    </row>
    <row r="562" spans="1:14" s="28" customFormat="1" x14ac:dyDescent="0.25">
      <c r="A562" s="7"/>
      <c r="B562" s="4" t="s">
        <v>187</v>
      </c>
      <c r="C562" s="2">
        <v>1</v>
      </c>
      <c r="D562" s="56">
        <f>CONVERT(E562,"m","ft")</f>
        <v>15.024646309455218</v>
      </c>
      <c r="E562" s="56">
        <f>3.36+4/3.28</f>
        <v>4.5795121951219508</v>
      </c>
      <c r="F562" s="56"/>
      <c r="G562" s="56"/>
      <c r="H562" s="56">
        <f>7+10/12</f>
        <v>7.833333333333333</v>
      </c>
      <c r="I562" s="56"/>
      <c r="J562" s="56">
        <f t="shared" si="23"/>
        <v>117.6930627573992</v>
      </c>
      <c r="K562" s="2" t="s">
        <v>51</v>
      </c>
      <c r="L562" s="7"/>
      <c r="M562" s="27"/>
      <c r="N562" s="26"/>
    </row>
    <row r="563" spans="1:14" s="28" customFormat="1" x14ac:dyDescent="0.25">
      <c r="A563" s="7"/>
      <c r="B563" s="4" t="s">
        <v>193</v>
      </c>
      <c r="C563" s="2">
        <v>1</v>
      </c>
      <c r="D563" s="56">
        <f>CONVERT(E563,"m","ft")</f>
        <v>10.728346456692913</v>
      </c>
      <c r="E563" s="56">
        <v>3.27</v>
      </c>
      <c r="F563" s="56"/>
      <c r="G563" s="56"/>
      <c r="H563" s="56">
        <f>7+10/12</f>
        <v>7.833333333333333</v>
      </c>
      <c r="I563" s="56"/>
      <c r="J563" s="56">
        <f>C563*D563*H563</f>
        <v>84.038713910761146</v>
      </c>
      <c r="K563" s="2" t="s">
        <v>51</v>
      </c>
      <c r="L563" s="7"/>
      <c r="M563" s="27"/>
      <c r="N563" s="26"/>
    </row>
    <row r="564" spans="1:14" s="28" customFormat="1" ht="14.25" customHeight="1" x14ac:dyDescent="0.25">
      <c r="A564" s="7"/>
      <c r="B564" s="4" t="s">
        <v>154</v>
      </c>
      <c r="C564" s="2">
        <f>-0.5*(2)</f>
        <v>-1</v>
      </c>
      <c r="D564" s="56">
        <v>6</v>
      </c>
      <c r="E564" s="56"/>
      <c r="F564" s="56"/>
      <c r="G564" s="56"/>
      <c r="H564" s="56">
        <v>4.5</v>
      </c>
      <c r="I564" s="56"/>
      <c r="J564" s="56">
        <f t="shared" si="23"/>
        <v>-27</v>
      </c>
      <c r="K564" s="2" t="s">
        <v>51</v>
      </c>
      <c r="L564" s="7"/>
      <c r="M564" s="27"/>
      <c r="N564" s="26"/>
    </row>
    <row r="565" spans="1:14" s="28" customFormat="1" ht="14.25" customHeight="1" x14ac:dyDescent="0.25">
      <c r="A565" s="7"/>
      <c r="B565" s="4" t="s">
        <v>163</v>
      </c>
      <c r="C565" s="2">
        <f>-0.5*(1)</f>
        <v>-0.5</v>
      </c>
      <c r="D565" s="56">
        <v>4</v>
      </c>
      <c r="E565" s="56"/>
      <c r="F565" s="56"/>
      <c r="G565" s="56"/>
      <c r="H565" s="56">
        <v>4.5</v>
      </c>
      <c r="I565" s="56"/>
      <c r="J565" s="56">
        <f t="shared" si="23"/>
        <v>-9</v>
      </c>
      <c r="K565" s="2" t="s">
        <v>51</v>
      </c>
      <c r="L565" s="7"/>
      <c r="M565" s="27"/>
      <c r="N565" s="26"/>
    </row>
    <row r="566" spans="1:14" s="28" customFormat="1" x14ac:dyDescent="0.25">
      <c r="A566" s="7"/>
      <c r="B566" s="4"/>
      <c r="C566" s="2"/>
      <c r="D566" s="56"/>
      <c r="E566" s="56"/>
      <c r="F566" s="56"/>
      <c r="G566" s="56"/>
      <c r="H566" s="56"/>
      <c r="I566" s="56"/>
      <c r="J566" s="56"/>
      <c r="K566" s="2"/>
      <c r="L566" s="7"/>
      <c r="M566" s="27"/>
      <c r="N566" s="26"/>
    </row>
    <row r="567" spans="1:14" s="28" customFormat="1" x14ac:dyDescent="0.25">
      <c r="A567" s="7"/>
      <c r="B567" s="26" t="s">
        <v>194</v>
      </c>
      <c r="C567" s="2"/>
      <c r="D567" s="56"/>
      <c r="E567" s="56"/>
      <c r="F567" s="56"/>
      <c r="G567" s="56"/>
      <c r="H567" s="56"/>
      <c r="I567" s="56"/>
      <c r="J567" s="56"/>
      <c r="K567" s="2"/>
      <c r="L567" s="7"/>
      <c r="M567" s="27"/>
      <c r="N567" s="26"/>
    </row>
    <row r="568" spans="1:14" s="28" customFormat="1" x14ac:dyDescent="0.25">
      <c r="A568" s="7"/>
      <c r="B568" s="4" t="s">
        <v>191</v>
      </c>
      <c r="C568" s="2">
        <v>1</v>
      </c>
      <c r="D568" s="56">
        <f>CONVERT(E568,"m","ft")</f>
        <v>11.220472440944881</v>
      </c>
      <c r="E568" s="56">
        <v>3.42</v>
      </c>
      <c r="F568" s="56"/>
      <c r="G568" s="56"/>
      <c r="H568" s="56">
        <f>7+10/12</f>
        <v>7.833333333333333</v>
      </c>
      <c r="I568" s="56"/>
      <c r="J568" s="56">
        <f t="shared" ref="J568:J612" si="24">C568*D568*H568</f>
        <v>87.893700787401571</v>
      </c>
      <c r="K568" s="2" t="s">
        <v>51</v>
      </c>
      <c r="L568" s="7"/>
      <c r="M568" s="27"/>
      <c r="N568" s="26"/>
    </row>
    <row r="569" spans="1:14" s="28" customFormat="1" x14ac:dyDescent="0.25">
      <c r="A569" s="7"/>
      <c r="B569" s="4" t="s">
        <v>193</v>
      </c>
      <c r="C569" s="2">
        <v>1</v>
      </c>
      <c r="D569" s="56">
        <f>CONVERT(E569,"m","ft")</f>
        <v>10.826771653543307</v>
      </c>
      <c r="E569" s="56">
        <v>3.3</v>
      </c>
      <c r="F569" s="56"/>
      <c r="G569" s="56"/>
      <c r="H569" s="56">
        <f>7+10/12</f>
        <v>7.833333333333333</v>
      </c>
      <c r="I569" s="56"/>
      <c r="J569" s="56">
        <f t="shared" si="24"/>
        <v>84.809711286089239</v>
      </c>
      <c r="K569" s="2" t="s">
        <v>51</v>
      </c>
      <c r="L569" s="7"/>
      <c r="M569" s="27"/>
      <c r="N569" s="26"/>
    </row>
    <row r="570" spans="1:14" s="28" customFormat="1" ht="14.25" customHeight="1" x14ac:dyDescent="0.25">
      <c r="A570" s="7"/>
      <c r="B570" s="4" t="s">
        <v>154</v>
      </c>
      <c r="C570" s="2">
        <f>-0.5*(2)</f>
        <v>-1</v>
      </c>
      <c r="D570" s="56">
        <v>6</v>
      </c>
      <c r="E570" s="56"/>
      <c r="F570" s="56"/>
      <c r="G570" s="56"/>
      <c r="H570" s="56">
        <v>4.5</v>
      </c>
      <c r="I570" s="56"/>
      <c r="J570" s="56">
        <f t="shared" si="24"/>
        <v>-27</v>
      </c>
      <c r="K570" s="2" t="s">
        <v>51</v>
      </c>
      <c r="L570" s="7"/>
      <c r="M570" s="27"/>
      <c r="N570" s="26"/>
    </row>
    <row r="571" spans="1:14" s="28" customFormat="1" x14ac:dyDescent="0.25">
      <c r="A571" s="7"/>
      <c r="B571" s="4"/>
      <c r="C571" s="2"/>
      <c r="D571" s="56"/>
      <c r="E571" s="56"/>
      <c r="F571" s="56"/>
      <c r="G571" s="56"/>
      <c r="H571" s="56"/>
      <c r="I571" s="56"/>
      <c r="J571" s="56"/>
      <c r="K571" s="2"/>
      <c r="L571" s="7"/>
      <c r="M571" s="27"/>
      <c r="N571" s="26"/>
    </row>
    <row r="572" spans="1:14" s="28" customFormat="1" x14ac:dyDescent="0.25">
      <c r="A572" s="7"/>
      <c r="B572" s="41" t="s">
        <v>305</v>
      </c>
      <c r="C572" s="2"/>
      <c r="D572" s="56"/>
      <c r="E572" s="56"/>
      <c r="F572" s="56"/>
      <c r="G572" s="56"/>
      <c r="H572" s="56"/>
      <c r="I572" s="56"/>
      <c r="J572" s="56"/>
      <c r="K572" s="2"/>
      <c r="L572" s="7"/>
      <c r="M572" s="27"/>
      <c r="N572" s="26"/>
    </row>
    <row r="573" spans="1:14" s="28" customFormat="1" x14ac:dyDescent="0.25">
      <c r="A573" s="7"/>
      <c r="B573" s="4" t="s">
        <v>191</v>
      </c>
      <c r="C573" s="2">
        <v>1</v>
      </c>
      <c r="D573" s="56">
        <v>4</v>
      </c>
      <c r="E573" s="56"/>
      <c r="F573" s="56"/>
      <c r="G573" s="56"/>
      <c r="H573" s="56">
        <f>7+10/12</f>
        <v>7.833333333333333</v>
      </c>
      <c r="I573" s="56"/>
      <c r="J573" s="56">
        <f t="shared" si="24"/>
        <v>31.333333333333332</v>
      </c>
      <c r="K573" s="2" t="s">
        <v>51</v>
      </c>
      <c r="L573" s="7"/>
      <c r="M573" s="27"/>
      <c r="N573" s="26"/>
    </row>
    <row r="574" spans="1:14" s="28" customFormat="1" x14ac:dyDescent="0.25">
      <c r="A574" s="7"/>
      <c r="B574" s="4" t="s">
        <v>163</v>
      </c>
      <c r="C574" s="2">
        <f>0.5*-1</f>
        <v>-0.5</v>
      </c>
      <c r="D574" s="56">
        <v>4</v>
      </c>
      <c r="E574" s="56"/>
      <c r="F574" s="56"/>
      <c r="G574" s="56"/>
      <c r="H574" s="56">
        <v>4.5</v>
      </c>
      <c r="I574" s="56"/>
      <c r="J574" s="56">
        <f t="shared" si="24"/>
        <v>-9</v>
      </c>
      <c r="K574" s="2" t="s">
        <v>51</v>
      </c>
      <c r="L574" s="7"/>
      <c r="M574" s="27"/>
      <c r="N574" s="26"/>
    </row>
    <row r="575" spans="1:14" s="28" customFormat="1" x14ac:dyDescent="0.25">
      <c r="A575" s="7"/>
      <c r="B575" s="4"/>
      <c r="C575" s="2"/>
      <c r="D575" s="56"/>
      <c r="E575" s="56"/>
      <c r="F575" s="56"/>
      <c r="G575" s="56"/>
      <c r="H575" s="56"/>
      <c r="I575" s="56"/>
      <c r="J575" s="56"/>
      <c r="K575" s="2"/>
      <c r="L575" s="7"/>
      <c r="M575" s="27"/>
      <c r="N575" s="26"/>
    </row>
    <row r="576" spans="1:14" s="28" customFormat="1" x14ac:dyDescent="0.25">
      <c r="A576" s="7"/>
      <c r="B576" s="26" t="s">
        <v>195</v>
      </c>
      <c r="C576" s="2"/>
      <c r="D576" s="56"/>
      <c r="E576" s="56"/>
      <c r="F576" s="56"/>
      <c r="G576" s="56"/>
      <c r="H576" s="56"/>
      <c r="I576" s="56"/>
      <c r="J576" s="56"/>
      <c r="K576" s="2"/>
      <c r="L576" s="7"/>
      <c r="M576" s="27"/>
      <c r="N576" s="26"/>
    </row>
    <row r="577" spans="1:14" s="28" customFormat="1" x14ac:dyDescent="0.25">
      <c r="A577" s="7"/>
      <c r="B577" s="4" t="s">
        <v>187</v>
      </c>
      <c r="C577" s="2">
        <v>1</v>
      </c>
      <c r="D577" s="56">
        <f>CONVERT(E577,"m","ft")</f>
        <v>10.69553805774278</v>
      </c>
      <c r="E577" s="56">
        <v>3.26</v>
      </c>
      <c r="F577" s="56"/>
      <c r="G577" s="56"/>
      <c r="H577" s="56">
        <f>7+10/12</f>
        <v>7.833333333333333</v>
      </c>
      <c r="I577" s="56"/>
      <c r="J577" s="56">
        <f t="shared" si="24"/>
        <v>83.781714785651772</v>
      </c>
      <c r="K577" s="2" t="s">
        <v>51</v>
      </c>
      <c r="L577" s="7"/>
      <c r="M577" s="27"/>
      <c r="N577" s="26"/>
    </row>
    <row r="578" spans="1:14" s="28" customFormat="1" x14ac:dyDescent="0.25">
      <c r="A578" s="7"/>
      <c r="B578" s="4" t="s">
        <v>192</v>
      </c>
      <c r="C578" s="2">
        <v>1</v>
      </c>
      <c r="D578" s="56">
        <f>CONVERT(E578,"m","ft")</f>
        <v>10.826771653543307</v>
      </c>
      <c r="E578" s="56">
        <v>3.3</v>
      </c>
      <c r="F578" s="56"/>
      <c r="G578" s="56"/>
      <c r="H578" s="56">
        <f>7+10/12</f>
        <v>7.833333333333333</v>
      </c>
      <c r="I578" s="56"/>
      <c r="J578" s="56">
        <f t="shared" si="24"/>
        <v>84.809711286089239</v>
      </c>
      <c r="K578" s="2" t="s">
        <v>51</v>
      </c>
      <c r="L578" s="7"/>
      <c r="M578" s="27"/>
      <c r="N578" s="26"/>
    </row>
    <row r="579" spans="1:14" s="28" customFormat="1" ht="14.25" customHeight="1" x14ac:dyDescent="0.25">
      <c r="A579" s="7"/>
      <c r="B579" s="4" t="s">
        <v>154</v>
      </c>
      <c r="C579" s="2">
        <f>-0.5*(2)</f>
        <v>-1</v>
      </c>
      <c r="D579" s="56">
        <v>6</v>
      </c>
      <c r="E579" s="56"/>
      <c r="F579" s="56"/>
      <c r="G579" s="56"/>
      <c r="H579" s="56">
        <v>4.5</v>
      </c>
      <c r="I579" s="56"/>
      <c r="J579" s="56">
        <f t="shared" si="24"/>
        <v>-27</v>
      </c>
      <c r="K579" s="2" t="s">
        <v>51</v>
      </c>
      <c r="L579" s="7"/>
      <c r="M579" s="27"/>
      <c r="N579" s="26"/>
    </row>
    <row r="580" spans="1:14" s="28" customFormat="1" x14ac:dyDescent="0.25">
      <c r="A580" s="7"/>
      <c r="B580" s="4"/>
      <c r="C580" s="2"/>
      <c r="D580" s="56"/>
      <c r="E580" s="56"/>
      <c r="F580" s="56"/>
      <c r="G580" s="56"/>
      <c r="H580" s="56"/>
      <c r="I580" s="56"/>
      <c r="J580" s="56"/>
      <c r="K580" s="2"/>
      <c r="L580" s="7"/>
      <c r="M580" s="27"/>
      <c r="N580" s="26"/>
    </row>
    <row r="581" spans="1:14" s="28" customFormat="1" x14ac:dyDescent="0.25">
      <c r="A581" s="7"/>
      <c r="B581" s="41" t="s">
        <v>302</v>
      </c>
      <c r="C581" s="2"/>
      <c r="D581" s="56"/>
      <c r="E581" s="56"/>
      <c r="F581" s="56"/>
      <c r="G581" s="56"/>
      <c r="H581" s="56"/>
      <c r="I581" s="56"/>
      <c r="J581" s="56"/>
      <c r="K581" s="2"/>
      <c r="L581" s="7"/>
      <c r="M581" s="27"/>
      <c r="N581" s="26"/>
    </row>
    <row r="582" spans="1:14" s="28" customFormat="1" x14ac:dyDescent="0.25">
      <c r="A582" s="7"/>
      <c r="B582" s="4" t="s">
        <v>204</v>
      </c>
      <c r="C582" s="2">
        <v>1</v>
      </c>
      <c r="D582" s="56">
        <f>CONVERT(E582,"m","ft")</f>
        <v>10.826771653543307</v>
      </c>
      <c r="E582" s="56">
        <v>3.3</v>
      </c>
      <c r="F582" s="56"/>
      <c r="G582" s="56"/>
      <c r="H582" s="56">
        <f>7+10/12</f>
        <v>7.833333333333333</v>
      </c>
      <c r="I582" s="56"/>
      <c r="J582" s="56">
        <f t="shared" si="24"/>
        <v>84.809711286089239</v>
      </c>
      <c r="K582" s="2" t="s">
        <v>51</v>
      </c>
      <c r="L582" s="7"/>
      <c r="M582" s="27"/>
      <c r="N582" s="26"/>
    </row>
    <row r="583" spans="1:14" s="28" customFormat="1" x14ac:dyDescent="0.25">
      <c r="A583" s="7"/>
      <c r="B583" s="4" t="s">
        <v>192</v>
      </c>
      <c r="C583" s="2">
        <v>1</v>
      </c>
      <c r="D583" s="56">
        <f>CONVERT(E583,"m","ft")</f>
        <v>10.039370078740157</v>
      </c>
      <c r="E583" s="56">
        <f>0.96+2.1</f>
        <v>3.06</v>
      </c>
      <c r="F583" s="56"/>
      <c r="G583" s="56"/>
      <c r="H583" s="56">
        <f>7+10/12</f>
        <v>7.833333333333333</v>
      </c>
      <c r="I583" s="56"/>
      <c r="J583" s="56">
        <f>C583*D583*H583</f>
        <v>78.641732283464563</v>
      </c>
      <c r="K583" s="2" t="s">
        <v>51</v>
      </c>
      <c r="L583" s="7"/>
      <c r="M583" s="27"/>
      <c r="N583" s="26"/>
    </row>
    <row r="584" spans="1:14" s="28" customFormat="1" ht="14.25" customHeight="1" x14ac:dyDescent="0.25">
      <c r="A584" s="7"/>
      <c r="B584" s="4" t="s">
        <v>197</v>
      </c>
      <c r="C584" s="2">
        <f>-0.5*(2)</f>
        <v>-1</v>
      </c>
      <c r="D584" s="56">
        <v>2</v>
      </c>
      <c r="E584" s="56"/>
      <c r="F584" s="56"/>
      <c r="G584" s="56"/>
      <c r="H584" s="56">
        <v>3</v>
      </c>
      <c r="I584" s="56"/>
      <c r="J584" s="56">
        <f t="shared" si="24"/>
        <v>-6</v>
      </c>
      <c r="K584" s="2" t="s">
        <v>51</v>
      </c>
      <c r="L584" s="7"/>
      <c r="M584" s="27"/>
      <c r="N584" s="26"/>
    </row>
    <row r="585" spans="1:14" s="28" customFormat="1" x14ac:dyDescent="0.25">
      <c r="A585" s="7"/>
      <c r="B585" s="38"/>
      <c r="C585" s="2"/>
      <c r="D585" s="56"/>
      <c r="E585" s="56"/>
      <c r="F585" s="56"/>
      <c r="G585" s="56"/>
      <c r="H585" s="56"/>
      <c r="I585" s="56"/>
      <c r="J585" s="56"/>
      <c r="K585" s="2"/>
      <c r="L585" s="7"/>
      <c r="M585" s="27"/>
      <c r="N585" s="26"/>
    </row>
    <row r="586" spans="1:14" s="28" customFormat="1" x14ac:dyDescent="0.25">
      <c r="A586" s="7"/>
      <c r="B586" s="41" t="s">
        <v>75</v>
      </c>
      <c r="C586" s="2"/>
      <c r="D586" s="56"/>
      <c r="E586" s="56"/>
      <c r="F586" s="56"/>
      <c r="G586" s="56"/>
      <c r="H586" s="56"/>
      <c r="I586" s="56"/>
      <c r="J586" s="56"/>
      <c r="K586" s="2"/>
      <c r="L586" s="7"/>
      <c r="M586" s="27"/>
      <c r="N586" s="26"/>
    </row>
    <row r="587" spans="1:14" s="28" customFormat="1" x14ac:dyDescent="0.25">
      <c r="A587" s="7"/>
      <c r="B587" s="38" t="s">
        <v>222</v>
      </c>
      <c r="C587" s="2">
        <v>4</v>
      </c>
      <c r="D587" s="56">
        <f>1+1</f>
        <v>2</v>
      </c>
      <c r="E587" s="56"/>
      <c r="F587" s="56"/>
      <c r="G587" s="56"/>
      <c r="H587" s="56">
        <f>8+11/12</f>
        <v>8.9166666666666661</v>
      </c>
      <c r="I587" s="56"/>
      <c r="J587" s="56">
        <f t="shared" si="24"/>
        <v>71.333333333333329</v>
      </c>
      <c r="K587" s="2" t="s">
        <v>51</v>
      </c>
      <c r="L587" s="7"/>
      <c r="M587" s="27"/>
      <c r="N587" s="26"/>
    </row>
    <row r="588" spans="1:14" s="28" customFormat="1" x14ac:dyDescent="0.25">
      <c r="A588" s="7"/>
      <c r="B588" s="38" t="s">
        <v>223</v>
      </c>
      <c r="C588" s="2">
        <v>1</v>
      </c>
      <c r="D588" s="56">
        <f>1</f>
        <v>1</v>
      </c>
      <c r="E588" s="56"/>
      <c r="F588" s="56"/>
      <c r="G588" s="56"/>
      <c r="H588" s="56">
        <f>8+11/12</f>
        <v>8.9166666666666661</v>
      </c>
      <c r="I588" s="56"/>
      <c r="J588" s="56">
        <f t="shared" si="24"/>
        <v>8.9166666666666661</v>
      </c>
      <c r="K588" s="2" t="s">
        <v>51</v>
      </c>
      <c r="L588" s="7"/>
      <c r="M588" s="27"/>
      <c r="N588" s="26"/>
    </row>
    <row r="589" spans="1:14" s="28" customFormat="1" x14ac:dyDescent="0.25">
      <c r="A589" s="7"/>
      <c r="B589" s="38" t="s">
        <v>288</v>
      </c>
      <c r="C589" s="2">
        <v>5</v>
      </c>
      <c r="D589" s="56">
        <f>1</f>
        <v>1</v>
      </c>
      <c r="E589" s="56"/>
      <c r="F589" s="56"/>
      <c r="G589" s="56"/>
      <c r="H589" s="56">
        <f>8+11/12</f>
        <v>8.9166666666666661</v>
      </c>
      <c r="I589" s="56"/>
      <c r="J589" s="56">
        <f t="shared" si="24"/>
        <v>44.583333333333329</v>
      </c>
      <c r="K589" s="2" t="s">
        <v>51</v>
      </c>
      <c r="L589" s="7"/>
      <c r="M589" s="27"/>
      <c r="N589" s="26"/>
    </row>
    <row r="590" spans="1:14" s="28" customFormat="1" x14ac:dyDescent="0.25">
      <c r="A590" s="7"/>
      <c r="B590" s="38"/>
      <c r="C590" s="2"/>
      <c r="D590" s="56"/>
      <c r="E590" s="56"/>
      <c r="F590" s="56"/>
      <c r="G590" s="56"/>
      <c r="H590" s="56"/>
      <c r="I590" s="56"/>
      <c r="J590" s="56"/>
      <c r="K590" s="2"/>
      <c r="L590" s="7"/>
      <c r="M590" s="27"/>
      <c r="N590" s="26"/>
    </row>
    <row r="591" spans="1:14" s="28" customFormat="1" x14ac:dyDescent="0.25">
      <c r="A591" s="7"/>
      <c r="B591" s="41" t="s">
        <v>77</v>
      </c>
      <c r="C591" s="2"/>
      <c r="D591" s="56"/>
      <c r="E591" s="56"/>
      <c r="F591" s="56"/>
      <c r="G591" s="56"/>
      <c r="H591" s="56"/>
      <c r="I591" s="56"/>
      <c r="J591" s="56"/>
      <c r="K591" s="2"/>
      <c r="L591" s="7"/>
      <c r="M591" s="27"/>
      <c r="N591" s="26"/>
    </row>
    <row r="592" spans="1:14" s="28" customFormat="1" x14ac:dyDescent="0.25">
      <c r="A592" s="7"/>
      <c r="B592" s="38" t="s">
        <v>236</v>
      </c>
      <c r="C592" s="2">
        <v>1</v>
      </c>
      <c r="D592" s="56">
        <f>CONVERT(E592,"m","ft")</f>
        <v>21.456692913385826</v>
      </c>
      <c r="E592" s="56">
        <f>3.27+3.27</f>
        <v>6.54</v>
      </c>
      <c r="F592" s="56"/>
      <c r="G592" s="56"/>
      <c r="H592" s="56">
        <f>1</f>
        <v>1</v>
      </c>
      <c r="I592" s="56"/>
      <c r="J592" s="56">
        <f t="shared" si="24"/>
        <v>21.456692913385826</v>
      </c>
      <c r="K592" s="2" t="s">
        <v>51</v>
      </c>
      <c r="L592" s="7"/>
      <c r="M592" s="27"/>
      <c r="N592" s="26"/>
    </row>
    <row r="593" spans="1:14" s="28" customFormat="1" x14ac:dyDescent="0.25">
      <c r="A593" s="7"/>
      <c r="B593" s="38" t="s">
        <v>235</v>
      </c>
      <c r="C593" s="2">
        <v>1</v>
      </c>
      <c r="D593" s="56">
        <f>CONVERT(E593,"m","ft")</f>
        <v>21.587926509186353</v>
      </c>
      <c r="E593" s="56">
        <f>3.28+3.3</f>
        <v>6.58</v>
      </c>
      <c r="F593" s="56"/>
      <c r="G593" s="56"/>
      <c r="H593" s="56">
        <f>1</f>
        <v>1</v>
      </c>
      <c r="I593" s="56"/>
      <c r="J593" s="56">
        <f t="shared" si="24"/>
        <v>21.587926509186353</v>
      </c>
      <c r="K593" s="2" t="s">
        <v>51</v>
      </c>
      <c r="L593" s="7"/>
      <c r="M593" s="27"/>
      <c r="N593" s="26"/>
    </row>
    <row r="594" spans="1:14" s="28" customFormat="1" x14ac:dyDescent="0.25">
      <c r="A594" s="7"/>
      <c r="B594" s="38" t="s">
        <v>230</v>
      </c>
      <c r="C594" s="2">
        <v>1</v>
      </c>
      <c r="D594" s="56">
        <f>CONVERT(E594,"m","ft")</f>
        <v>26.048268356699314</v>
      </c>
      <c r="E594" s="56">
        <f>3.42+4/3.28+3.3</f>
        <v>7.9395121951219512</v>
      </c>
      <c r="F594" s="56"/>
      <c r="G594" s="56"/>
      <c r="H594" s="56">
        <f>1</f>
        <v>1</v>
      </c>
      <c r="I594" s="56"/>
      <c r="J594" s="56">
        <f t="shared" si="24"/>
        <v>26.048268356699314</v>
      </c>
      <c r="K594" s="2" t="s">
        <v>51</v>
      </c>
      <c r="L594" s="7"/>
      <c r="M594" s="27"/>
      <c r="N594" s="26"/>
    </row>
    <row r="595" spans="1:14" s="28" customFormat="1" x14ac:dyDescent="0.25">
      <c r="A595" s="7"/>
      <c r="B595" s="38" t="s">
        <v>231</v>
      </c>
      <c r="C595" s="2">
        <v>1</v>
      </c>
      <c r="D595" s="56">
        <f>CONVERT(E595,"m","ft")</f>
        <v>25.65456756929774</v>
      </c>
      <c r="E595" s="56">
        <f>3.36+4/3.28+3.24</f>
        <v>7.8195121951219511</v>
      </c>
      <c r="F595" s="56"/>
      <c r="G595" s="56"/>
      <c r="H595" s="56">
        <f>1</f>
        <v>1</v>
      </c>
      <c r="I595" s="56"/>
      <c r="J595" s="56">
        <f t="shared" si="24"/>
        <v>25.65456756929774</v>
      </c>
      <c r="K595" s="2" t="s">
        <v>51</v>
      </c>
      <c r="L595" s="7"/>
      <c r="M595" s="27"/>
      <c r="N595" s="26"/>
    </row>
    <row r="596" spans="1:14" s="28" customFormat="1" x14ac:dyDescent="0.25">
      <c r="A596" s="7"/>
      <c r="B596" s="38"/>
      <c r="C596" s="2"/>
      <c r="D596" s="56"/>
      <c r="E596" s="56"/>
      <c r="F596" s="56"/>
      <c r="G596" s="56"/>
      <c r="H596" s="56"/>
      <c r="I596" s="56"/>
      <c r="J596" s="56"/>
      <c r="K596" s="2"/>
      <c r="L596" s="7"/>
      <c r="M596" s="27"/>
      <c r="N596" s="26"/>
    </row>
    <row r="597" spans="1:14" s="28" customFormat="1" x14ac:dyDescent="0.25">
      <c r="A597" s="7"/>
      <c r="B597" s="26" t="s">
        <v>269</v>
      </c>
      <c r="C597" s="2">
        <v>1</v>
      </c>
      <c r="D597" s="56">
        <f>(30+1.67*2)*2+(25+1.67*2)*2</f>
        <v>123.36000000000001</v>
      </c>
      <c r="E597" s="56">
        <f>CONVERT(D597,"ft","m")</f>
        <v>37.600128000000005</v>
      </c>
      <c r="F597" s="56"/>
      <c r="G597" s="56"/>
      <c r="H597" s="56">
        <v>0.42</v>
      </c>
      <c r="I597" s="56"/>
      <c r="J597" s="56">
        <f t="shared" si="24"/>
        <v>51.811200000000007</v>
      </c>
      <c r="K597" s="2" t="s">
        <v>51</v>
      </c>
      <c r="L597" s="44"/>
      <c r="M597" s="69"/>
      <c r="N597" s="26"/>
    </row>
    <row r="598" spans="1:14" s="28" customFormat="1" x14ac:dyDescent="0.25">
      <c r="A598" s="7"/>
      <c r="B598" s="38"/>
      <c r="C598" s="2"/>
      <c r="D598" s="56"/>
      <c r="E598" s="56"/>
      <c r="F598" s="56"/>
      <c r="G598" s="56"/>
      <c r="H598" s="56"/>
      <c r="I598" s="56"/>
      <c r="J598" s="56"/>
      <c r="K598" s="2"/>
      <c r="L598" s="7"/>
      <c r="M598" s="27"/>
      <c r="N598" s="26"/>
    </row>
    <row r="599" spans="1:14" s="28" customFormat="1" x14ac:dyDescent="0.25">
      <c r="A599" s="7"/>
      <c r="B599" s="68" t="s">
        <v>89</v>
      </c>
      <c r="C599" s="2"/>
      <c r="D599" s="56"/>
      <c r="E599" s="56"/>
      <c r="F599" s="56"/>
      <c r="G599" s="56"/>
      <c r="H599" s="56"/>
      <c r="I599" s="56"/>
      <c r="J599" s="56"/>
      <c r="K599" s="2"/>
      <c r="L599" s="7"/>
      <c r="M599" s="27"/>
      <c r="N599" s="26"/>
    </row>
    <row r="600" spans="1:14" s="28" customFormat="1" x14ac:dyDescent="0.25">
      <c r="A600" s="7"/>
      <c r="B600" s="26" t="s">
        <v>210</v>
      </c>
      <c r="C600" s="2"/>
      <c r="D600" s="56"/>
      <c r="E600" s="56"/>
      <c r="F600" s="56"/>
      <c r="G600" s="56"/>
      <c r="H600" s="56"/>
      <c r="I600" s="56"/>
      <c r="J600" s="56"/>
      <c r="K600" s="2"/>
      <c r="L600" s="7"/>
      <c r="M600" s="27"/>
      <c r="N600" s="26"/>
    </row>
    <row r="601" spans="1:14" x14ac:dyDescent="0.25">
      <c r="A601" s="2"/>
      <c r="B601" s="4" t="s">
        <v>211</v>
      </c>
      <c r="C601" s="2">
        <v>1</v>
      </c>
      <c r="D601" s="56">
        <f>CONVERT(E601,"m","ft")</f>
        <v>14.696562319953909</v>
      </c>
      <c r="E601" s="56">
        <f>3.26+4/3.28</f>
        <v>4.4795121951219512</v>
      </c>
      <c r="F601" s="56"/>
      <c r="G601" s="56"/>
      <c r="H601" s="56">
        <f>7+10/12</f>
        <v>7.833333333333333</v>
      </c>
      <c r="I601" s="56"/>
      <c r="J601" s="56">
        <f t="shared" si="24"/>
        <v>115.12307150630562</v>
      </c>
      <c r="K601" s="2" t="s">
        <v>51</v>
      </c>
      <c r="L601" s="2"/>
      <c r="M601" s="25"/>
      <c r="N601" s="4"/>
    </row>
    <row r="602" spans="1:14" x14ac:dyDescent="0.25">
      <c r="A602" s="2"/>
      <c r="B602" s="4" t="s">
        <v>286</v>
      </c>
      <c r="C602" s="2">
        <v>2</v>
      </c>
      <c r="D602" s="56">
        <f>CONVERT(E602,"m","ft")</f>
        <v>10.826771653543307</v>
      </c>
      <c r="E602" s="56">
        <v>3.3</v>
      </c>
      <c r="F602" s="56"/>
      <c r="G602" s="56"/>
      <c r="H602" s="56">
        <f>7+10/12</f>
        <v>7.833333333333333</v>
      </c>
      <c r="I602" s="56"/>
      <c r="J602" s="56">
        <f t="shared" si="24"/>
        <v>169.61942257217848</v>
      </c>
      <c r="K602" s="2" t="s">
        <v>51</v>
      </c>
      <c r="L602" s="2"/>
      <c r="M602" s="25"/>
      <c r="N602" s="4"/>
    </row>
    <row r="603" spans="1:14" s="28" customFormat="1" ht="14.25" customHeight="1" x14ac:dyDescent="0.25">
      <c r="A603" s="7"/>
      <c r="B603" s="4" t="s">
        <v>154</v>
      </c>
      <c r="C603" s="2">
        <f>-0.5*(3)</f>
        <v>-1.5</v>
      </c>
      <c r="D603" s="56">
        <v>6</v>
      </c>
      <c r="E603" s="56"/>
      <c r="F603" s="56"/>
      <c r="G603" s="56"/>
      <c r="H603" s="56">
        <v>4.5</v>
      </c>
      <c r="I603" s="56"/>
      <c r="J603" s="56">
        <f t="shared" si="24"/>
        <v>-40.5</v>
      </c>
      <c r="K603" s="2" t="s">
        <v>51</v>
      </c>
      <c r="L603" s="7"/>
      <c r="M603" s="27"/>
      <c r="N603" s="26"/>
    </row>
    <row r="604" spans="1:14" s="28" customFormat="1" ht="14.25" customHeight="1" x14ac:dyDescent="0.25">
      <c r="A604" s="7"/>
      <c r="B604" s="4" t="s">
        <v>163</v>
      </c>
      <c r="C604" s="2">
        <f>-0.5*(1)</f>
        <v>-0.5</v>
      </c>
      <c r="D604" s="56">
        <v>4</v>
      </c>
      <c r="E604" s="56"/>
      <c r="F604" s="56"/>
      <c r="G604" s="56"/>
      <c r="H604" s="56">
        <v>4.5</v>
      </c>
      <c r="I604" s="56"/>
      <c r="J604" s="56">
        <f t="shared" si="24"/>
        <v>-9</v>
      </c>
      <c r="K604" s="2" t="s">
        <v>51</v>
      </c>
      <c r="L604" s="7"/>
      <c r="M604" s="27"/>
      <c r="N604" s="26"/>
    </row>
    <row r="605" spans="1:14" x14ac:dyDescent="0.25">
      <c r="A605" s="2"/>
      <c r="B605" s="4"/>
      <c r="C605" s="2"/>
      <c r="D605" s="56"/>
      <c r="E605" s="56"/>
      <c r="F605" s="56"/>
      <c r="G605" s="56"/>
      <c r="H605" s="56"/>
      <c r="I605" s="56"/>
      <c r="J605" s="56"/>
      <c r="K605" s="2"/>
      <c r="L605" s="2"/>
      <c r="M605" s="25"/>
      <c r="N605" s="4"/>
    </row>
    <row r="606" spans="1:14" s="28" customFormat="1" x14ac:dyDescent="0.25">
      <c r="A606" s="7"/>
      <c r="B606" s="41" t="s">
        <v>214</v>
      </c>
      <c r="C606" s="2"/>
      <c r="D606" s="56"/>
      <c r="E606" s="56"/>
      <c r="F606" s="56"/>
      <c r="G606" s="56"/>
      <c r="H606" s="56"/>
      <c r="I606" s="56"/>
      <c r="J606" s="56"/>
      <c r="K606" s="2"/>
      <c r="L606" s="7"/>
      <c r="M606" s="27"/>
      <c r="N606" s="26"/>
    </row>
    <row r="607" spans="1:14" s="28" customFormat="1" x14ac:dyDescent="0.25">
      <c r="A607" s="7"/>
      <c r="B607" s="41" t="s">
        <v>201</v>
      </c>
      <c r="C607" s="2"/>
      <c r="D607" s="56"/>
      <c r="E607" s="56"/>
      <c r="F607" s="56"/>
      <c r="G607" s="56"/>
      <c r="H607" s="56"/>
      <c r="I607" s="56"/>
      <c r="J607" s="56"/>
      <c r="K607" s="2"/>
      <c r="L607" s="7"/>
      <c r="M607" s="27"/>
      <c r="N607" s="26"/>
    </row>
    <row r="608" spans="1:14" s="28" customFormat="1" x14ac:dyDescent="0.25">
      <c r="A608" s="7"/>
      <c r="B608" s="26" t="s">
        <v>216</v>
      </c>
      <c r="C608" s="2">
        <v>1</v>
      </c>
      <c r="D608" s="56">
        <f>CONVERT(E608,"m","ft")</f>
        <v>10.826771653543307</v>
      </c>
      <c r="E608" s="56">
        <v>3.3</v>
      </c>
      <c r="F608" s="56"/>
      <c r="G608" s="56"/>
      <c r="H608" s="56">
        <f>7+10/12</f>
        <v>7.833333333333333</v>
      </c>
      <c r="I608" s="56"/>
      <c r="J608" s="56">
        <f t="shared" si="24"/>
        <v>84.809711286089239</v>
      </c>
      <c r="K608" s="2" t="s">
        <v>51</v>
      </c>
      <c r="L608" s="7"/>
      <c r="M608" s="27"/>
      <c r="N608" s="26"/>
    </row>
    <row r="609" spans="1:14" s="28" customFormat="1" x14ac:dyDescent="0.25">
      <c r="A609" s="7"/>
      <c r="B609" s="26" t="s">
        <v>215</v>
      </c>
      <c r="C609" s="2">
        <v>1</v>
      </c>
      <c r="D609" s="56">
        <f>CONVERT(E609,"m","ft")</f>
        <v>14.827795915754434</v>
      </c>
      <c r="E609" s="56">
        <f>3.3+4/3.28</f>
        <v>4.5195121951219512</v>
      </c>
      <c r="F609" s="56"/>
      <c r="G609" s="56"/>
      <c r="H609" s="56">
        <f>7+10/12</f>
        <v>7.833333333333333</v>
      </c>
      <c r="I609" s="56"/>
      <c r="J609" s="56">
        <f t="shared" si="24"/>
        <v>116.15106800674306</v>
      </c>
      <c r="K609" s="2" t="s">
        <v>51</v>
      </c>
      <c r="L609" s="7"/>
      <c r="M609" s="27"/>
      <c r="N609" s="26"/>
    </row>
    <row r="610" spans="1:14" s="28" customFormat="1" x14ac:dyDescent="0.25">
      <c r="A610" s="7"/>
      <c r="B610" s="4" t="s">
        <v>192</v>
      </c>
      <c r="C610" s="2">
        <v>1</v>
      </c>
      <c r="D610" s="56">
        <f>CONVERT(E610,"m","ft")</f>
        <v>10.826771653543307</v>
      </c>
      <c r="E610" s="56">
        <v>3.3</v>
      </c>
      <c r="F610" s="56"/>
      <c r="G610" s="56"/>
      <c r="H610" s="56">
        <f>7+10/12</f>
        <v>7.833333333333333</v>
      </c>
      <c r="I610" s="56"/>
      <c r="J610" s="56">
        <f>C610*D610*H610</f>
        <v>84.809711286089239</v>
      </c>
      <c r="K610" s="2" t="s">
        <v>51</v>
      </c>
      <c r="L610" s="7"/>
      <c r="M610" s="27"/>
      <c r="N610" s="26"/>
    </row>
    <row r="611" spans="1:14" s="28" customFormat="1" ht="14.25" customHeight="1" x14ac:dyDescent="0.25">
      <c r="A611" s="7"/>
      <c r="B611" s="4" t="s">
        <v>197</v>
      </c>
      <c r="C611" s="2">
        <f>-0.5*(2)</f>
        <v>-1</v>
      </c>
      <c r="D611" s="56">
        <v>2</v>
      </c>
      <c r="E611" s="56"/>
      <c r="F611" s="56"/>
      <c r="G611" s="56"/>
      <c r="H611" s="56">
        <v>3</v>
      </c>
      <c r="I611" s="56"/>
      <c r="J611" s="56">
        <f t="shared" si="24"/>
        <v>-6</v>
      </c>
      <c r="K611" s="2" t="s">
        <v>51</v>
      </c>
      <c r="L611" s="7"/>
      <c r="M611" s="27"/>
      <c r="N611" s="26"/>
    </row>
    <row r="612" spans="1:14" s="28" customFormat="1" ht="14.25" customHeight="1" x14ac:dyDescent="0.25">
      <c r="A612" s="7"/>
      <c r="B612" s="4" t="s">
        <v>163</v>
      </c>
      <c r="C612" s="2">
        <f>-0.5*(1)</f>
        <v>-0.5</v>
      </c>
      <c r="D612" s="56">
        <v>4</v>
      </c>
      <c r="E612" s="56"/>
      <c r="F612" s="56"/>
      <c r="G612" s="56"/>
      <c r="H612" s="56">
        <v>4.5</v>
      </c>
      <c r="I612" s="56"/>
      <c r="J612" s="56">
        <f t="shared" si="24"/>
        <v>-9</v>
      </c>
      <c r="K612" s="2" t="s">
        <v>51</v>
      </c>
      <c r="L612" s="7"/>
      <c r="M612" s="27"/>
      <c r="N612" s="26"/>
    </row>
    <row r="613" spans="1:14" x14ac:dyDescent="0.25">
      <c r="A613" s="2"/>
      <c r="B613" s="4"/>
      <c r="C613" s="2"/>
      <c r="D613" s="56"/>
      <c r="E613" s="56"/>
      <c r="F613" s="56"/>
      <c r="G613" s="56"/>
      <c r="H613" s="56"/>
      <c r="I613" s="56"/>
      <c r="J613" s="56"/>
      <c r="K613" s="2"/>
      <c r="L613" s="2"/>
      <c r="M613" s="25"/>
      <c r="N613" s="4"/>
    </row>
    <row r="614" spans="1:14" x14ac:dyDescent="0.25">
      <c r="A614" s="2"/>
      <c r="B614" s="38" t="s">
        <v>218</v>
      </c>
      <c r="C614" s="2">
        <v>2</v>
      </c>
      <c r="D614" s="56">
        <f>CONVERT(E614,"m","ft")</f>
        <v>44.094488188976378</v>
      </c>
      <c r="E614" s="56">
        <f>6.6+3.42+3.42</f>
        <v>13.44</v>
      </c>
      <c r="F614" s="56"/>
      <c r="G614" s="56"/>
      <c r="H614" s="56">
        <v>2</v>
      </c>
      <c r="I614" s="56"/>
      <c r="J614" s="56">
        <f>C614*D614*H614</f>
        <v>176.37795275590551</v>
      </c>
      <c r="K614" s="2" t="s">
        <v>51</v>
      </c>
      <c r="L614" s="2"/>
      <c r="M614" s="25"/>
      <c r="N614" s="4"/>
    </row>
    <row r="615" spans="1:14" x14ac:dyDescent="0.25">
      <c r="A615" s="2"/>
      <c r="B615" s="38"/>
      <c r="C615" s="2"/>
      <c r="D615" s="56"/>
      <c r="E615" s="56"/>
      <c r="F615" s="56"/>
      <c r="G615" s="56"/>
      <c r="H615" s="56"/>
      <c r="I615" s="56"/>
      <c r="J615" s="56"/>
      <c r="K615" s="2"/>
      <c r="L615" s="2"/>
      <c r="M615" s="25"/>
      <c r="N615" s="4"/>
    </row>
    <row r="616" spans="1:14" s="28" customFormat="1" x14ac:dyDescent="0.25">
      <c r="A616" s="7"/>
      <c r="B616" s="41" t="s">
        <v>75</v>
      </c>
      <c r="C616" s="2"/>
      <c r="D616" s="56"/>
      <c r="E616" s="56"/>
      <c r="F616" s="56"/>
      <c r="G616" s="56"/>
      <c r="H616" s="56"/>
      <c r="I616" s="56"/>
      <c r="J616" s="56"/>
      <c r="K616" s="2"/>
      <c r="L616" s="7"/>
      <c r="M616" s="27"/>
      <c r="N616" s="26"/>
    </row>
    <row r="617" spans="1:14" s="28" customFormat="1" x14ac:dyDescent="0.25">
      <c r="A617" s="7"/>
      <c r="B617" s="38" t="s">
        <v>247</v>
      </c>
      <c r="C617" s="2">
        <v>3</v>
      </c>
      <c r="D617" s="56">
        <f>1+1+0.33+0.33</f>
        <v>2.66</v>
      </c>
      <c r="E617" s="56"/>
      <c r="F617" s="56"/>
      <c r="G617" s="56"/>
      <c r="H617" s="56">
        <v>2</v>
      </c>
      <c r="I617" s="56"/>
      <c r="J617" s="56">
        <f>C617*D617*H617</f>
        <v>15.96</v>
      </c>
      <c r="K617" s="2" t="s">
        <v>51</v>
      </c>
      <c r="L617" s="7"/>
      <c r="M617" s="27"/>
      <c r="N617" s="26"/>
    </row>
    <row r="618" spans="1:14" s="28" customFormat="1" x14ac:dyDescent="0.25">
      <c r="A618" s="7"/>
      <c r="B618" s="38" t="s">
        <v>291</v>
      </c>
      <c r="C618" s="2">
        <v>4</v>
      </c>
      <c r="D618" s="56">
        <f>1+1</f>
        <v>2</v>
      </c>
      <c r="E618" s="56"/>
      <c r="F618" s="56"/>
      <c r="G618" s="56"/>
      <c r="H618" s="56">
        <f>8+11/12</f>
        <v>8.9166666666666661</v>
      </c>
      <c r="I618" s="56"/>
      <c r="J618" s="56">
        <f>C618*D618*H618</f>
        <v>71.333333333333329</v>
      </c>
      <c r="K618" s="2" t="s">
        <v>51</v>
      </c>
      <c r="L618" s="7"/>
      <c r="M618" s="27"/>
      <c r="N618" s="26"/>
    </row>
    <row r="619" spans="1:14" s="28" customFormat="1" x14ac:dyDescent="0.25">
      <c r="A619" s="7"/>
      <c r="B619" s="38" t="s">
        <v>292</v>
      </c>
      <c r="C619" s="2">
        <v>4</v>
      </c>
      <c r="D619" s="56">
        <f>1</f>
        <v>1</v>
      </c>
      <c r="E619" s="56"/>
      <c r="F619" s="56"/>
      <c r="G619" s="56"/>
      <c r="H619" s="56">
        <f>8+11/12</f>
        <v>8.9166666666666661</v>
      </c>
      <c r="I619" s="56"/>
      <c r="J619" s="56">
        <f>C619*D619*H619</f>
        <v>35.666666666666664</v>
      </c>
      <c r="K619" s="2" t="s">
        <v>51</v>
      </c>
      <c r="L619" s="7"/>
      <c r="M619" s="27"/>
      <c r="N619" s="26"/>
    </row>
    <row r="620" spans="1:14" s="28" customFormat="1" x14ac:dyDescent="0.25">
      <c r="A620" s="7"/>
      <c r="B620" s="38"/>
      <c r="C620" s="2"/>
      <c r="D620" s="56"/>
      <c r="E620" s="56"/>
      <c r="F620" s="56"/>
      <c r="G620" s="56"/>
      <c r="H620" s="56"/>
      <c r="I620" s="56"/>
      <c r="J620" s="56"/>
      <c r="K620" s="2"/>
      <c r="L620" s="7"/>
      <c r="M620" s="27"/>
      <c r="N620" s="26"/>
    </row>
    <row r="621" spans="1:14" s="28" customFormat="1" x14ac:dyDescent="0.25">
      <c r="A621" s="7"/>
      <c r="B621" s="41" t="s">
        <v>77</v>
      </c>
      <c r="C621" s="2"/>
      <c r="D621" s="56"/>
      <c r="E621" s="56"/>
      <c r="F621" s="56"/>
      <c r="G621" s="56"/>
      <c r="H621" s="56"/>
      <c r="I621" s="56"/>
      <c r="J621" s="56"/>
      <c r="K621" s="2"/>
      <c r="L621" s="7"/>
      <c r="M621" s="27"/>
      <c r="N621" s="26"/>
    </row>
    <row r="622" spans="1:14" s="28" customFormat="1" x14ac:dyDescent="0.25">
      <c r="A622" s="7"/>
      <c r="B622" s="38" t="s">
        <v>284</v>
      </c>
      <c r="C622" s="2">
        <v>2</v>
      </c>
      <c r="D622" s="56">
        <f>CONVERT(E622,"m","ft")</f>
        <v>21.653543307086615</v>
      </c>
      <c r="E622" s="56">
        <f>3.3+3.3</f>
        <v>6.6</v>
      </c>
      <c r="F622" s="56"/>
      <c r="G622" s="56"/>
      <c r="H622" s="56">
        <f>1</f>
        <v>1</v>
      </c>
      <c r="I622" s="56"/>
      <c r="J622" s="56">
        <f>C622*D622*H622</f>
        <v>43.30708661417323</v>
      </c>
      <c r="K622" s="2" t="s">
        <v>51</v>
      </c>
      <c r="L622" s="7"/>
      <c r="M622" s="27"/>
      <c r="N622" s="26"/>
    </row>
    <row r="623" spans="1:14" s="28" customFormat="1" x14ac:dyDescent="0.25">
      <c r="A623" s="7"/>
      <c r="B623" s="38" t="s">
        <v>249</v>
      </c>
      <c r="C623" s="2">
        <v>1</v>
      </c>
      <c r="D623" s="56">
        <f>CONVERT(E623,"m","ft")</f>
        <v>14.827795915754434</v>
      </c>
      <c r="E623" s="56">
        <f>4/3.28+3.3</f>
        <v>4.5195121951219512</v>
      </c>
      <c r="F623" s="56"/>
      <c r="G623" s="56"/>
      <c r="H623" s="56">
        <f>1</f>
        <v>1</v>
      </c>
      <c r="I623" s="56"/>
      <c r="J623" s="56">
        <f>C623*D623*H623</f>
        <v>14.827795915754434</v>
      </c>
      <c r="K623" s="2" t="s">
        <v>51</v>
      </c>
      <c r="L623" s="7"/>
      <c r="M623" s="27"/>
      <c r="N623" s="26"/>
    </row>
    <row r="624" spans="1:14" s="28" customFormat="1" x14ac:dyDescent="0.25">
      <c r="A624" s="7"/>
      <c r="B624" s="38" t="s">
        <v>268</v>
      </c>
      <c r="C624" s="2">
        <v>1</v>
      </c>
      <c r="D624" s="56">
        <f>CONVERT(E624,"m","ft")</f>
        <v>14.630945522053645</v>
      </c>
      <c r="E624" s="56">
        <f>4/3.28+3.24</f>
        <v>4.4595121951219516</v>
      </c>
      <c r="F624" s="56"/>
      <c r="G624" s="56"/>
      <c r="H624" s="56">
        <f>1</f>
        <v>1</v>
      </c>
      <c r="I624" s="56"/>
      <c r="J624" s="56">
        <f>C624*D624*H624</f>
        <v>14.630945522053645</v>
      </c>
      <c r="K624" s="2" t="s">
        <v>51</v>
      </c>
      <c r="L624" s="7"/>
      <c r="M624" s="27"/>
      <c r="N624" s="26"/>
    </row>
    <row r="625" spans="1:14" s="28" customFormat="1" x14ac:dyDescent="0.25">
      <c r="A625" s="7"/>
      <c r="B625" s="38"/>
      <c r="C625" s="2"/>
      <c r="D625" s="56"/>
      <c r="E625" s="56"/>
      <c r="F625" s="56"/>
      <c r="G625" s="56"/>
      <c r="H625" s="56"/>
      <c r="I625" s="56"/>
      <c r="J625" s="56"/>
      <c r="K625" s="2"/>
      <c r="L625" s="7"/>
      <c r="M625" s="27"/>
      <c r="N625" s="26"/>
    </row>
    <row r="626" spans="1:14" s="28" customFormat="1" x14ac:dyDescent="0.25">
      <c r="A626" s="7"/>
      <c r="B626" s="26" t="s">
        <v>269</v>
      </c>
      <c r="C626" s="2">
        <v>1</v>
      </c>
      <c r="D626" s="56">
        <f>(30+1.67*2)*2+(25+1.67*2)*2</f>
        <v>123.36000000000001</v>
      </c>
      <c r="E626" s="56">
        <f>CONVERT(D626,"ft","m")</f>
        <v>37.600128000000005</v>
      </c>
      <c r="F626" s="56"/>
      <c r="G626" s="56"/>
      <c r="H626" s="56">
        <v>0.42</v>
      </c>
      <c r="I626" s="56"/>
      <c r="J626" s="56">
        <f>C626*D626*H626</f>
        <v>51.811200000000007</v>
      </c>
      <c r="K626" s="2" t="s">
        <v>51</v>
      </c>
      <c r="L626" s="44"/>
      <c r="M626" s="69"/>
      <c r="N626" s="26"/>
    </row>
    <row r="627" spans="1:14" s="28" customFormat="1" x14ac:dyDescent="0.25">
      <c r="A627" s="7"/>
      <c r="B627" s="26"/>
      <c r="C627" s="2"/>
      <c r="D627" s="56"/>
      <c r="E627" s="56"/>
      <c r="F627" s="56"/>
      <c r="G627" s="56"/>
      <c r="H627" s="56"/>
      <c r="I627" s="56"/>
      <c r="J627" s="56"/>
      <c r="K627" s="56"/>
      <c r="L627" s="44"/>
      <c r="M627" s="69"/>
      <c r="N627" s="26"/>
    </row>
    <row r="628" spans="1:14" x14ac:dyDescent="0.25">
      <c r="A628" s="2"/>
      <c r="B628" s="68" t="s">
        <v>219</v>
      </c>
      <c r="C628" s="2"/>
      <c r="D628" s="56"/>
      <c r="E628" s="56"/>
      <c r="F628" s="56"/>
      <c r="G628" s="56"/>
      <c r="H628" s="56"/>
      <c r="I628" s="56"/>
      <c r="J628" s="56"/>
      <c r="K628" s="2"/>
      <c r="L628" s="2"/>
      <c r="M628" s="25"/>
      <c r="N628" s="4"/>
    </row>
    <row r="629" spans="1:14" x14ac:dyDescent="0.25">
      <c r="A629" s="2"/>
      <c r="B629" s="38" t="s">
        <v>218</v>
      </c>
      <c r="C629" s="2">
        <v>2</v>
      </c>
      <c r="D629" s="56">
        <f>CONVERT(E629,"m","ft")</f>
        <v>72.831444849881564</v>
      </c>
      <c r="E629" s="56">
        <f>3.3+4/3.28+3.26+4/3.28+3.3+3.3+3.3+3.3</f>
        <v>22.199024390243903</v>
      </c>
      <c r="F629" s="56"/>
      <c r="G629" s="56"/>
      <c r="H629" s="56">
        <v>2</v>
      </c>
      <c r="I629" s="56"/>
      <c r="J629" s="56">
        <f>C629*D629*H629</f>
        <v>291.32577939952625</v>
      </c>
      <c r="K629" s="2" t="s">
        <v>51</v>
      </c>
      <c r="L629" s="2"/>
      <c r="M629" s="25"/>
      <c r="N629" s="4"/>
    </row>
    <row r="630" spans="1:14" s="28" customFormat="1" x14ac:dyDescent="0.25">
      <c r="A630" s="7"/>
      <c r="B630" s="26" t="s">
        <v>269</v>
      </c>
      <c r="C630" s="2">
        <v>1</v>
      </c>
      <c r="D630" s="56">
        <f>(2+1+4+1+11+1+1.67)*2+(1.67+1+11+1+11+1+1.67)*2</f>
        <v>100.02000000000001</v>
      </c>
      <c r="E630" s="56">
        <f>CONVERT(D630,"ft","m")</f>
        <v>30.486096000000007</v>
      </c>
      <c r="F630" s="56"/>
      <c r="G630" s="56"/>
      <c r="H630" s="56">
        <v>0.42</v>
      </c>
      <c r="I630" s="56"/>
      <c r="J630" s="56">
        <f>C630*D630*H630</f>
        <v>42.008400000000002</v>
      </c>
      <c r="K630" s="2" t="s">
        <v>51</v>
      </c>
      <c r="L630" s="44"/>
      <c r="M630" s="69"/>
      <c r="N630" s="26"/>
    </row>
    <row r="631" spans="1:14" s="28" customFormat="1" x14ac:dyDescent="0.25">
      <c r="A631" s="7"/>
      <c r="B631" s="41" t="s">
        <v>75</v>
      </c>
      <c r="C631" s="2"/>
      <c r="D631" s="56"/>
      <c r="E631" s="56"/>
      <c r="F631" s="56"/>
      <c r="G631" s="56"/>
      <c r="H631" s="56"/>
      <c r="I631" s="56"/>
      <c r="J631" s="56"/>
      <c r="K631" s="2"/>
      <c r="L631" s="7"/>
      <c r="M631" s="27"/>
      <c r="N631" s="26"/>
    </row>
    <row r="632" spans="1:14" s="28" customFormat="1" x14ac:dyDescent="0.25">
      <c r="A632" s="7"/>
      <c r="B632" s="38" t="s">
        <v>251</v>
      </c>
      <c r="C632" s="2">
        <v>3</v>
      </c>
      <c r="D632" s="56">
        <f>1+1+0.33+0.33</f>
        <v>2.66</v>
      </c>
      <c r="E632" s="56"/>
      <c r="F632" s="56"/>
      <c r="G632" s="56"/>
      <c r="H632" s="56">
        <v>2</v>
      </c>
      <c r="I632" s="56"/>
      <c r="J632" s="56">
        <f>C632*D632*H632</f>
        <v>15.96</v>
      </c>
      <c r="K632" s="2" t="s">
        <v>51</v>
      </c>
      <c r="L632" s="7"/>
      <c r="M632" s="27"/>
      <c r="N632" s="26"/>
    </row>
    <row r="633" spans="1:14" s="28" customFormat="1" x14ac:dyDescent="0.25">
      <c r="A633" s="7"/>
      <c r="B633" s="4"/>
      <c r="C633" s="7"/>
      <c r="D633" s="7"/>
      <c r="E633" s="7"/>
      <c r="F633" s="7"/>
      <c r="G633" s="7"/>
      <c r="H633" s="35" t="s">
        <v>310</v>
      </c>
      <c r="I633" s="7"/>
      <c r="J633" s="44">
        <f>SUM(J525:J632)</f>
        <v>3039.1646691505025</v>
      </c>
      <c r="K633" s="7" t="s">
        <v>51</v>
      </c>
      <c r="L633" s="7"/>
      <c r="M633" s="27"/>
      <c r="N633" s="26"/>
    </row>
    <row r="634" spans="1:14" s="28" customFormat="1" x14ac:dyDescent="0.25">
      <c r="A634" s="7"/>
      <c r="B634" s="26"/>
      <c r="C634" s="7"/>
      <c r="D634" s="7"/>
      <c r="E634" s="7"/>
      <c r="F634" s="7"/>
      <c r="G634" s="7"/>
      <c r="H634" s="7"/>
      <c r="I634" s="7"/>
      <c r="J634" s="44">
        <f>CONVERT(CONVERT(J633,"ft","m"),"ft","m")</f>
        <v>282.34763682467593</v>
      </c>
      <c r="K634" s="7" t="s">
        <v>220</v>
      </c>
      <c r="L634" s="7"/>
      <c r="M634" s="27"/>
      <c r="N634" s="26"/>
    </row>
    <row r="635" spans="1:14" ht="38.25" x14ac:dyDescent="0.25">
      <c r="A635" s="7">
        <v>2.4</v>
      </c>
      <c r="B635" s="82" t="s">
        <v>318</v>
      </c>
      <c r="C635" s="2"/>
      <c r="D635" s="2"/>
      <c r="E635" s="2"/>
      <c r="F635" s="2"/>
      <c r="G635" s="2"/>
      <c r="H635" s="2"/>
      <c r="I635" s="2"/>
      <c r="J635" s="56"/>
      <c r="K635" s="2"/>
      <c r="L635" s="2"/>
      <c r="M635" s="40"/>
      <c r="N635" s="2"/>
    </row>
    <row r="636" spans="1:14" x14ac:dyDescent="0.25">
      <c r="A636" s="7"/>
      <c r="B636" s="83" t="s">
        <v>319</v>
      </c>
      <c r="C636" s="2">
        <v>1</v>
      </c>
      <c r="D636" s="2"/>
      <c r="E636" s="2"/>
      <c r="F636" s="2"/>
      <c r="G636" s="2"/>
      <c r="H636" s="35" t="s">
        <v>310</v>
      </c>
      <c r="I636" s="2"/>
      <c r="J636" s="44">
        <f>J633</f>
        <v>3039.1646691505025</v>
      </c>
      <c r="K636" s="7" t="s">
        <v>51</v>
      </c>
      <c r="L636" s="2"/>
      <c r="M636" s="40"/>
      <c r="N636" s="2"/>
    </row>
    <row r="637" spans="1:14" x14ac:dyDescent="0.25">
      <c r="A637" s="7"/>
      <c r="B637" s="2"/>
      <c r="C637" s="2"/>
      <c r="D637" s="2"/>
      <c r="E637" s="2"/>
      <c r="F637" s="2"/>
      <c r="G637" s="2"/>
      <c r="H637" s="2"/>
      <c r="I637" s="2"/>
      <c r="J637" s="44">
        <f>CONVERT(CONVERT(J636,"ft","m"),"ft","m")</f>
        <v>282.34763682467593</v>
      </c>
      <c r="K637" s="7" t="s">
        <v>220</v>
      </c>
      <c r="L637" s="2"/>
      <c r="M637" s="40"/>
      <c r="N637" s="2"/>
    </row>
    <row r="638" spans="1:14" x14ac:dyDescent="0.25">
      <c r="A638" s="7"/>
      <c r="B638" s="2"/>
      <c r="C638" s="2"/>
      <c r="D638" s="2"/>
      <c r="E638" s="2"/>
      <c r="F638" s="2"/>
      <c r="G638" s="2"/>
      <c r="H638" s="2"/>
      <c r="I638" s="2"/>
      <c r="J638" s="56"/>
      <c r="K638" s="2"/>
      <c r="L638" s="2"/>
      <c r="M638" s="40"/>
      <c r="N638" s="2"/>
    </row>
    <row r="639" spans="1:14" ht="38.25" x14ac:dyDescent="0.25">
      <c r="A639" s="7">
        <v>2.5</v>
      </c>
      <c r="B639" s="82" t="s">
        <v>320</v>
      </c>
      <c r="C639" s="2"/>
      <c r="D639" s="2"/>
      <c r="E639" s="2"/>
      <c r="F639" s="2"/>
      <c r="G639" s="2"/>
      <c r="H639" s="2"/>
      <c r="I639" s="2"/>
      <c r="J639" s="56"/>
      <c r="K639" s="2"/>
      <c r="L639" s="2"/>
      <c r="M639" s="40"/>
      <c r="N639" s="2"/>
    </row>
    <row r="640" spans="1:14" x14ac:dyDescent="0.25">
      <c r="A640" s="7"/>
      <c r="B640" s="84" t="s">
        <v>322</v>
      </c>
      <c r="C640" s="2"/>
      <c r="D640" s="2"/>
      <c r="E640" s="2"/>
      <c r="F640" s="2"/>
      <c r="G640" s="2"/>
      <c r="H640" s="2"/>
      <c r="I640" s="2"/>
      <c r="J640" s="56"/>
      <c r="K640" s="2"/>
      <c r="L640" s="2"/>
      <c r="M640" s="40"/>
      <c r="N640" s="2"/>
    </row>
    <row r="641" spans="1:14" s="28" customFormat="1" x14ac:dyDescent="0.25">
      <c r="A641" s="7"/>
      <c r="B641" s="68" t="s">
        <v>158</v>
      </c>
      <c r="C641" s="2"/>
      <c r="D641" s="56"/>
      <c r="E641" s="56"/>
      <c r="F641" s="56"/>
      <c r="G641" s="56"/>
      <c r="H641" s="56"/>
      <c r="I641" s="56"/>
      <c r="J641" s="56"/>
      <c r="K641" s="56"/>
      <c r="L641" s="44"/>
      <c r="M641" s="69"/>
      <c r="N641" s="26"/>
    </row>
    <row r="642" spans="1:14" s="28" customFormat="1" x14ac:dyDescent="0.25">
      <c r="A642" s="7"/>
      <c r="B642" s="4" t="s">
        <v>275</v>
      </c>
      <c r="C642" s="2">
        <v>2</v>
      </c>
      <c r="D642" s="56">
        <f>7.25*2+4*2</f>
        <v>22.5</v>
      </c>
      <c r="E642" s="56"/>
      <c r="F642" s="56">
        <f>(0.42+0.33)*2</f>
        <v>1.5</v>
      </c>
      <c r="G642" s="56"/>
      <c r="H642" s="56"/>
      <c r="I642" s="56"/>
      <c r="J642" s="56">
        <f>C642*D642*F642</f>
        <v>67.5</v>
      </c>
      <c r="K642" s="56" t="s">
        <v>51</v>
      </c>
      <c r="L642" s="44"/>
      <c r="M642" s="69"/>
      <c r="N642" s="26"/>
    </row>
    <row r="643" spans="1:14" s="28" customFormat="1" x14ac:dyDescent="0.25">
      <c r="A643" s="7"/>
      <c r="B643" s="4" t="s">
        <v>270</v>
      </c>
      <c r="C643" s="2">
        <v>2</v>
      </c>
      <c r="D643" s="56">
        <f>7*2+3</f>
        <v>17</v>
      </c>
      <c r="E643" s="56"/>
      <c r="F643" s="56">
        <f>(0.25+0.33)*2</f>
        <v>1.1600000000000001</v>
      </c>
      <c r="G643" s="56"/>
      <c r="H643" s="56"/>
      <c r="I643" s="56"/>
      <c r="J643" s="56">
        <f>C643*D643*F643</f>
        <v>39.440000000000005</v>
      </c>
      <c r="K643" s="56" t="s">
        <v>51</v>
      </c>
      <c r="L643" s="44"/>
      <c r="M643" s="69"/>
      <c r="N643" s="26"/>
    </row>
    <row r="644" spans="1:14" s="28" customFormat="1" x14ac:dyDescent="0.25">
      <c r="A644" s="7"/>
      <c r="B644" s="4" t="s">
        <v>271</v>
      </c>
      <c r="C644" s="2">
        <v>3</v>
      </c>
      <c r="D644" s="56">
        <f>6.5*2+2.5</f>
        <v>15.5</v>
      </c>
      <c r="E644" s="56"/>
      <c r="F644" s="56">
        <f>(0.25+0.33)*2</f>
        <v>1.1600000000000001</v>
      </c>
      <c r="G644" s="56"/>
      <c r="H644" s="56"/>
      <c r="I644" s="56"/>
      <c r="J644" s="56">
        <f>C644*D644*F644</f>
        <v>53.940000000000005</v>
      </c>
      <c r="K644" s="56" t="s">
        <v>51</v>
      </c>
      <c r="L644" s="44"/>
      <c r="M644" s="69"/>
      <c r="N644" s="26"/>
    </row>
    <row r="645" spans="1:14" s="28" customFormat="1" x14ac:dyDescent="0.25">
      <c r="A645" s="7"/>
      <c r="B645" s="4" t="s">
        <v>272</v>
      </c>
      <c r="C645" s="2">
        <v>5</v>
      </c>
      <c r="D645" s="56">
        <f>6*2+4*4.5</f>
        <v>30</v>
      </c>
      <c r="E645" s="56"/>
      <c r="F645" s="56">
        <f>(0.25+0.33)*2</f>
        <v>1.1600000000000001</v>
      </c>
      <c r="G645" s="56"/>
      <c r="H645" s="56"/>
      <c r="I645" s="56"/>
      <c r="J645" s="56">
        <f>C645*D645*F645</f>
        <v>174.00000000000003</v>
      </c>
      <c r="K645" s="56" t="s">
        <v>51</v>
      </c>
      <c r="L645" s="44"/>
      <c r="M645" s="69"/>
      <c r="N645" s="26"/>
    </row>
    <row r="646" spans="1:14" s="28" customFormat="1" x14ac:dyDescent="0.25">
      <c r="A646" s="7"/>
      <c r="B646" s="4" t="s">
        <v>274</v>
      </c>
      <c r="C646" s="2">
        <v>2</v>
      </c>
      <c r="D646" s="56">
        <f>3*2+2*3</f>
        <v>12</v>
      </c>
      <c r="E646" s="56"/>
      <c r="F646" s="56">
        <f>(0.25+0.33)*2</f>
        <v>1.1600000000000001</v>
      </c>
      <c r="G646" s="56"/>
      <c r="H646" s="56"/>
      <c r="I646" s="56"/>
      <c r="J646" s="56">
        <f>C646*D646*F646</f>
        <v>27.840000000000003</v>
      </c>
      <c r="K646" s="56" t="s">
        <v>51</v>
      </c>
      <c r="L646" s="44"/>
      <c r="M646" s="69"/>
      <c r="N646" s="26"/>
    </row>
    <row r="647" spans="1:14" s="28" customFormat="1" x14ac:dyDescent="0.25">
      <c r="A647" s="7"/>
      <c r="B647" s="38"/>
      <c r="C647" s="2"/>
      <c r="D647" s="56"/>
      <c r="E647" s="56"/>
      <c r="F647" s="56"/>
      <c r="G647" s="56"/>
      <c r="H647" s="56"/>
      <c r="I647" s="56"/>
      <c r="J647" s="56"/>
      <c r="K647" s="56"/>
      <c r="L647" s="44"/>
      <c r="M647" s="70"/>
      <c r="N647" s="26"/>
    </row>
    <row r="648" spans="1:14" s="28" customFormat="1" x14ac:dyDescent="0.25">
      <c r="A648" s="7"/>
      <c r="B648" s="68" t="s">
        <v>159</v>
      </c>
      <c r="C648" s="2"/>
      <c r="D648" s="56"/>
      <c r="E648" s="56"/>
      <c r="F648" s="56"/>
      <c r="G648" s="56"/>
      <c r="H648" s="56"/>
      <c r="I648" s="56"/>
      <c r="J648" s="56"/>
      <c r="K648" s="56"/>
      <c r="L648" s="44"/>
      <c r="M648" s="69"/>
      <c r="N648" s="26"/>
    </row>
    <row r="649" spans="1:14" s="28" customFormat="1" x14ac:dyDescent="0.25">
      <c r="A649" s="7"/>
      <c r="B649" s="4" t="s">
        <v>270</v>
      </c>
      <c r="C649" s="2">
        <v>3</v>
      </c>
      <c r="D649" s="56">
        <f>7*2+3</f>
        <v>17</v>
      </c>
      <c r="E649" s="56"/>
      <c r="F649" s="56">
        <f>(0.25+0.33)*2</f>
        <v>1.1600000000000001</v>
      </c>
      <c r="G649" s="56"/>
      <c r="H649" s="56"/>
      <c r="I649" s="56"/>
      <c r="J649" s="56">
        <f>C649*D649*F649</f>
        <v>59.160000000000011</v>
      </c>
      <c r="K649" s="56" t="s">
        <v>51</v>
      </c>
      <c r="L649" s="44"/>
      <c r="M649" s="69"/>
      <c r="N649" s="26"/>
    </row>
    <row r="650" spans="1:14" s="28" customFormat="1" x14ac:dyDescent="0.25">
      <c r="A650" s="7"/>
      <c r="B650" s="4" t="s">
        <v>271</v>
      </c>
      <c r="C650" s="2">
        <v>1</v>
      </c>
      <c r="D650" s="56">
        <f>6.5*2+2.5</f>
        <v>15.5</v>
      </c>
      <c r="E650" s="56"/>
      <c r="F650" s="56">
        <f>(0.25+0.33)*2</f>
        <v>1.1600000000000001</v>
      </c>
      <c r="G650" s="56"/>
      <c r="H650" s="56"/>
      <c r="I650" s="56"/>
      <c r="J650" s="56">
        <f>C650*D650*F650</f>
        <v>17.980000000000004</v>
      </c>
      <c r="K650" s="56" t="s">
        <v>51</v>
      </c>
      <c r="L650" s="44"/>
      <c r="M650" s="69"/>
      <c r="N650" s="26"/>
    </row>
    <row r="651" spans="1:14" s="28" customFormat="1" x14ac:dyDescent="0.25">
      <c r="A651" s="7"/>
      <c r="B651" s="4" t="s">
        <v>272</v>
      </c>
      <c r="C651" s="2">
        <v>6</v>
      </c>
      <c r="D651" s="56">
        <f>6*2+4*4.5</f>
        <v>30</v>
      </c>
      <c r="E651" s="56"/>
      <c r="F651" s="56">
        <f>(0.25+0.33)*2</f>
        <v>1.1600000000000001</v>
      </c>
      <c r="G651" s="56"/>
      <c r="H651" s="56"/>
      <c r="I651" s="56"/>
      <c r="J651" s="56">
        <f>C651*D651*F651</f>
        <v>208.8</v>
      </c>
      <c r="K651" s="56" t="s">
        <v>51</v>
      </c>
      <c r="L651" s="44"/>
      <c r="M651" s="69"/>
      <c r="N651" s="26"/>
    </row>
    <row r="652" spans="1:14" s="28" customFormat="1" x14ac:dyDescent="0.25">
      <c r="A652" s="7"/>
      <c r="B652" s="4" t="s">
        <v>273</v>
      </c>
      <c r="C652" s="2">
        <v>2</v>
      </c>
      <c r="D652" s="56">
        <f>4*2+4.5*3</f>
        <v>21.5</v>
      </c>
      <c r="E652" s="56"/>
      <c r="F652" s="56">
        <f>(0.25+0.33)*2</f>
        <v>1.1600000000000001</v>
      </c>
      <c r="G652" s="56"/>
      <c r="H652" s="56"/>
      <c r="I652" s="56"/>
      <c r="J652" s="56">
        <f>C652*D652*F652</f>
        <v>49.88000000000001</v>
      </c>
      <c r="K652" s="56" t="s">
        <v>51</v>
      </c>
      <c r="L652" s="44"/>
      <c r="M652" s="69"/>
      <c r="N652" s="26"/>
    </row>
    <row r="653" spans="1:14" s="28" customFormat="1" x14ac:dyDescent="0.25">
      <c r="A653" s="7"/>
      <c r="B653" s="4" t="s">
        <v>274</v>
      </c>
      <c r="C653" s="2">
        <v>2</v>
      </c>
      <c r="D653" s="56">
        <f>3*2+2*3</f>
        <v>12</v>
      </c>
      <c r="E653" s="56"/>
      <c r="F653" s="56">
        <f>(0.25+0.33)*2</f>
        <v>1.1600000000000001</v>
      </c>
      <c r="G653" s="56"/>
      <c r="H653" s="56"/>
      <c r="I653" s="56"/>
      <c r="J653" s="56">
        <f>C653*D653*F653</f>
        <v>27.840000000000003</v>
      </c>
      <c r="K653" s="56" t="s">
        <v>51</v>
      </c>
      <c r="L653" s="44"/>
      <c r="M653" s="69"/>
      <c r="N653" s="26"/>
    </row>
    <row r="654" spans="1:14" s="28" customFormat="1" x14ac:dyDescent="0.25">
      <c r="A654" s="7"/>
      <c r="B654" s="26"/>
      <c r="C654" s="2"/>
      <c r="D654" s="56"/>
      <c r="E654" s="56"/>
      <c r="F654" s="56"/>
      <c r="G654" s="56"/>
      <c r="H654" s="56"/>
      <c r="I654" s="56"/>
      <c r="J654" s="56"/>
      <c r="K654" s="56"/>
      <c r="L654" s="44"/>
      <c r="M654" s="69"/>
      <c r="N654" s="26"/>
    </row>
    <row r="655" spans="1:14" s="28" customFormat="1" x14ac:dyDescent="0.25">
      <c r="A655" s="7"/>
      <c r="B655" s="68" t="s">
        <v>89</v>
      </c>
      <c r="C655" s="2"/>
      <c r="D655" s="56"/>
      <c r="E655" s="56"/>
      <c r="F655" s="56"/>
      <c r="G655" s="56"/>
      <c r="H655" s="56"/>
      <c r="I655" s="56"/>
      <c r="J655" s="56"/>
      <c r="K655" s="56"/>
      <c r="L655" s="44"/>
      <c r="M655" s="69"/>
      <c r="N655" s="26"/>
    </row>
    <row r="656" spans="1:14" s="28" customFormat="1" x14ac:dyDescent="0.25">
      <c r="A656" s="7"/>
      <c r="B656" s="4" t="s">
        <v>270</v>
      </c>
      <c r="C656" s="2">
        <v>2</v>
      </c>
      <c r="D656" s="56">
        <f>7*2+3</f>
        <v>17</v>
      </c>
      <c r="E656" s="56"/>
      <c r="F656" s="56">
        <f>(0.25+0.33)*2</f>
        <v>1.1600000000000001</v>
      </c>
      <c r="G656" s="56"/>
      <c r="H656" s="56"/>
      <c r="I656" s="56"/>
      <c r="J656" s="56">
        <f>C656*D656*F656</f>
        <v>39.440000000000005</v>
      </c>
      <c r="K656" s="56" t="s">
        <v>51</v>
      </c>
      <c r="L656" s="44"/>
      <c r="M656" s="69"/>
      <c r="N656" s="26"/>
    </row>
    <row r="657" spans="1:14" s="28" customFormat="1" x14ac:dyDescent="0.25">
      <c r="A657" s="7"/>
      <c r="B657" s="4" t="s">
        <v>271</v>
      </c>
      <c r="C657" s="2">
        <v>1</v>
      </c>
      <c r="D657" s="56">
        <f>6.5*2+2.5</f>
        <v>15.5</v>
      </c>
      <c r="E657" s="56"/>
      <c r="F657" s="56">
        <f>(0.25+0.33)*2</f>
        <v>1.1600000000000001</v>
      </c>
      <c r="G657" s="56"/>
      <c r="H657" s="56"/>
      <c r="I657" s="56"/>
      <c r="J657" s="56">
        <f>C657*D657*F657</f>
        <v>17.980000000000004</v>
      </c>
      <c r="K657" s="56" t="s">
        <v>51</v>
      </c>
      <c r="L657" s="44"/>
      <c r="M657" s="69"/>
      <c r="N657" s="26"/>
    </row>
    <row r="658" spans="1:14" s="28" customFormat="1" x14ac:dyDescent="0.25">
      <c r="A658" s="7"/>
      <c r="B658" s="4" t="s">
        <v>272</v>
      </c>
      <c r="C658" s="2">
        <v>3</v>
      </c>
      <c r="D658" s="56">
        <f>6*2+4*4.5</f>
        <v>30</v>
      </c>
      <c r="E658" s="56"/>
      <c r="F658" s="56">
        <f>(0.25+0.33)*2</f>
        <v>1.1600000000000001</v>
      </c>
      <c r="G658" s="56"/>
      <c r="H658" s="56"/>
      <c r="I658" s="56"/>
      <c r="J658" s="56">
        <f>C658*D658*F658</f>
        <v>104.4</v>
      </c>
      <c r="K658" s="56" t="s">
        <v>51</v>
      </c>
      <c r="L658" s="44"/>
      <c r="M658" s="69"/>
      <c r="N658" s="26"/>
    </row>
    <row r="659" spans="1:14" s="28" customFormat="1" x14ac:dyDescent="0.25">
      <c r="A659" s="7"/>
      <c r="B659" s="4" t="s">
        <v>273</v>
      </c>
      <c r="C659" s="2">
        <v>2</v>
      </c>
      <c r="D659" s="56">
        <f>4*2+4.5*3</f>
        <v>21.5</v>
      </c>
      <c r="E659" s="56"/>
      <c r="F659" s="56">
        <f>(0.25+0.33)*2</f>
        <v>1.1600000000000001</v>
      </c>
      <c r="G659" s="56"/>
      <c r="H659" s="56"/>
      <c r="I659" s="56"/>
      <c r="J659" s="56">
        <f>C659*D659*F659</f>
        <v>49.88000000000001</v>
      </c>
      <c r="K659" s="56" t="s">
        <v>51</v>
      </c>
      <c r="L659" s="44"/>
      <c r="M659" s="69"/>
      <c r="N659" s="26"/>
    </row>
    <row r="660" spans="1:14" s="28" customFormat="1" x14ac:dyDescent="0.25">
      <c r="A660" s="7"/>
      <c r="B660" s="4" t="s">
        <v>274</v>
      </c>
      <c r="C660" s="2">
        <v>2</v>
      </c>
      <c r="D660" s="56">
        <f>3*2+2*3</f>
        <v>12</v>
      </c>
      <c r="E660" s="56"/>
      <c r="F660" s="56">
        <f>(0.25+0.33)*2</f>
        <v>1.1600000000000001</v>
      </c>
      <c r="G660" s="56"/>
      <c r="H660" s="56"/>
      <c r="I660" s="56"/>
      <c r="J660" s="56">
        <f>C660*D660*F660</f>
        <v>27.840000000000003</v>
      </c>
      <c r="K660" s="56" t="s">
        <v>51</v>
      </c>
      <c r="L660" s="44"/>
      <c r="M660" s="69"/>
      <c r="N660" s="26"/>
    </row>
    <row r="661" spans="1:14" s="28" customFormat="1" x14ac:dyDescent="0.25">
      <c r="A661" s="7"/>
      <c r="B661" s="4"/>
      <c r="C661" s="7"/>
      <c r="D661" s="44"/>
      <c r="E661" s="44"/>
      <c r="F661" s="44"/>
      <c r="G661" s="44"/>
      <c r="H661" s="35" t="s">
        <v>324</v>
      </c>
      <c r="I661" s="44"/>
      <c r="J661" s="44">
        <f>SUM(J642:J660)</f>
        <v>965.92000000000019</v>
      </c>
      <c r="K661" s="44" t="s">
        <v>51</v>
      </c>
      <c r="L661" s="44"/>
      <c r="M661" s="69"/>
      <c r="N661" s="26"/>
    </row>
    <row r="662" spans="1:14" s="28" customFormat="1" x14ac:dyDescent="0.25">
      <c r="A662" s="7"/>
      <c r="B662" s="26"/>
      <c r="C662" s="7"/>
      <c r="D662" s="44"/>
      <c r="E662" s="44"/>
      <c r="F662" s="44"/>
      <c r="G662" s="44"/>
      <c r="H662" s="44"/>
      <c r="I662" s="44"/>
      <c r="J662" s="44">
        <f>CONVERT(CONVERT(J661,"ft","m"),"ft","m")</f>
        <v>89.736904396800028</v>
      </c>
      <c r="K662" s="44" t="s">
        <v>58</v>
      </c>
      <c r="L662" s="44"/>
      <c r="M662" s="69"/>
      <c r="N662" s="26"/>
    </row>
    <row r="663" spans="1:14" s="28" customFormat="1" x14ac:dyDescent="0.25">
      <c r="A663" s="7"/>
      <c r="B663" s="41" t="s">
        <v>323</v>
      </c>
      <c r="C663" s="7"/>
      <c r="D663" s="44"/>
      <c r="E663" s="44"/>
      <c r="F663" s="44"/>
      <c r="G663" s="44"/>
      <c r="H663" s="44"/>
      <c r="I663" s="44"/>
      <c r="J663" s="44"/>
      <c r="K663" s="44"/>
      <c r="L663" s="44"/>
      <c r="M663" s="69"/>
      <c r="N663" s="26"/>
    </row>
    <row r="664" spans="1:14" s="28" customFormat="1" x14ac:dyDescent="0.25">
      <c r="A664" s="7"/>
      <c r="B664" s="68" t="s">
        <v>158</v>
      </c>
      <c r="C664" s="2"/>
      <c r="D664" s="56"/>
      <c r="E664" s="56"/>
      <c r="F664" s="56"/>
      <c r="G664" s="56"/>
      <c r="H664" s="56"/>
      <c r="I664" s="56"/>
      <c r="J664" s="56"/>
      <c r="K664" s="56"/>
      <c r="L664" s="44"/>
      <c r="M664" s="69"/>
      <c r="N664" s="26"/>
    </row>
    <row r="665" spans="1:14" s="28" customFormat="1" x14ac:dyDescent="0.25">
      <c r="A665" s="7"/>
      <c r="B665" s="4" t="s">
        <v>275</v>
      </c>
      <c r="C665" s="2">
        <v>2</v>
      </c>
      <c r="D665" s="56">
        <v>4</v>
      </c>
      <c r="E665" s="56"/>
      <c r="F665" s="56"/>
      <c r="G665" s="56"/>
      <c r="H665" s="56">
        <v>7.25</v>
      </c>
      <c r="I665" s="56"/>
      <c r="J665" s="56">
        <f>C665*D665*H665</f>
        <v>58</v>
      </c>
      <c r="K665" s="56" t="s">
        <v>51</v>
      </c>
      <c r="L665" s="44"/>
      <c r="M665" s="69"/>
      <c r="N665" s="26"/>
    </row>
    <row r="666" spans="1:14" s="28" customFormat="1" x14ac:dyDescent="0.25">
      <c r="A666" s="7"/>
      <c r="B666" s="4" t="s">
        <v>270</v>
      </c>
      <c r="C666" s="2">
        <v>2</v>
      </c>
      <c r="D666" s="56">
        <v>3</v>
      </c>
      <c r="E666" s="56"/>
      <c r="F666" s="56"/>
      <c r="G666" s="56"/>
      <c r="H666" s="56">
        <v>7</v>
      </c>
      <c r="I666" s="56"/>
      <c r="J666" s="56">
        <f>C666*D666*H666</f>
        <v>42</v>
      </c>
      <c r="K666" s="56" t="s">
        <v>51</v>
      </c>
      <c r="L666" s="44"/>
      <c r="M666" s="69"/>
      <c r="N666" s="26"/>
    </row>
    <row r="667" spans="1:14" s="28" customFormat="1" x14ac:dyDescent="0.25">
      <c r="A667" s="7"/>
      <c r="B667" s="4" t="s">
        <v>271</v>
      </c>
      <c r="C667" s="2">
        <v>3</v>
      </c>
      <c r="D667" s="56">
        <v>2.5</v>
      </c>
      <c r="E667" s="56"/>
      <c r="F667" s="56"/>
      <c r="G667" s="56"/>
      <c r="H667" s="56">
        <v>6.5</v>
      </c>
      <c r="I667" s="56"/>
      <c r="J667" s="56">
        <f>C667*D667*H667</f>
        <v>48.75</v>
      </c>
      <c r="K667" s="56" t="s">
        <v>51</v>
      </c>
      <c r="L667" s="44"/>
      <c r="M667" s="69"/>
      <c r="N667" s="26"/>
    </row>
    <row r="668" spans="1:14" s="28" customFormat="1" x14ac:dyDescent="0.25">
      <c r="A668" s="7"/>
      <c r="B668" s="4" t="s">
        <v>272</v>
      </c>
      <c r="C668" s="2">
        <v>5</v>
      </c>
      <c r="D668" s="56">
        <v>6</v>
      </c>
      <c r="E668" s="56"/>
      <c r="F668" s="56"/>
      <c r="G668" s="56"/>
      <c r="H668" s="56">
        <v>4.5</v>
      </c>
      <c r="I668" s="56"/>
      <c r="J668" s="56">
        <f>C668*D668*H668</f>
        <v>135</v>
      </c>
      <c r="K668" s="56" t="s">
        <v>51</v>
      </c>
      <c r="L668" s="44"/>
      <c r="M668" s="69"/>
      <c r="N668" s="26"/>
    </row>
    <row r="669" spans="1:14" s="28" customFormat="1" x14ac:dyDescent="0.25">
      <c r="A669" s="7"/>
      <c r="B669" s="4" t="s">
        <v>274</v>
      </c>
      <c r="C669" s="2">
        <v>2</v>
      </c>
      <c r="D669" s="56">
        <v>3</v>
      </c>
      <c r="E669" s="56"/>
      <c r="F669" s="56"/>
      <c r="G669" s="56"/>
      <c r="H669" s="56">
        <v>2</v>
      </c>
      <c r="I669" s="56"/>
      <c r="J669" s="56">
        <f>C669*D669*H669</f>
        <v>12</v>
      </c>
      <c r="K669" s="56" t="s">
        <v>51</v>
      </c>
      <c r="L669" s="44"/>
      <c r="M669" s="69"/>
      <c r="N669" s="26"/>
    </row>
    <row r="670" spans="1:14" s="28" customFormat="1" x14ac:dyDescent="0.25">
      <c r="A670" s="7"/>
      <c r="B670" s="38"/>
      <c r="C670" s="2"/>
      <c r="D670" s="56"/>
      <c r="E670" s="56"/>
      <c r="F670" s="56"/>
      <c r="G670" s="56"/>
      <c r="H670" s="56"/>
      <c r="I670" s="56"/>
      <c r="J670" s="56"/>
      <c r="K670" s="56"/>
      <c r="L670" s="44"/>
      <c r="M670" s="70"/>
      <c r="N670" s="26"/>
    </row>
    <row r="671" spans="1:14" s="28" customFormat="1" x14ac:dyDescent="0.25">
      <c r="A671" s="7"/>
      <c r="B671" s="68" t="s">
        <v>159</v>
      </c>
      <c r="C671" s="2"/>
      <c r="D671" s="56"/>
      <c r="E671" s="56"/>
      <c r="F671" s="56"/>
      <c r="G671" s="56"/>
      <c r="H671" s="56"/>
      <c r="I671" s="56"/>
      <c r="J671" s="56"/>
      <c r="K671" s="56"/>
      <c r="L671" s="44"/>
      <c r="M671" s="69"/>
      <c r="N671" s="26"/>
    </row>
    <row r="672" spans="1:14" s="28" customFormat="1" x14ac:dyDescent="0.25">
      <c r="A672" s="7"/>
      <c r="B672" s="4" t="s">
        <v>270</v>
      </c>
      <c r="C672" s="2">
        <v>3</v>
      </c>
      <c r="D672" s="56">
        <v>3</v>
      </c>
      <c r="E672" s="56"/>
      <c r="F672" s="56"/>
      <c r="G672" s="56"/>
      <c r="H672" s="56">
        <v>7</v>
      </c>
      <c r="I672" s="56"/>
      <c r="J672" s="56">
        <f>C672*D672*H672</f>
        <v>63</v>
      </c>
      <c r="K672" s="56" t="s">
        <v>51</v>
      </c>
      <c r="L672" s="44"/>
      <c r="M672" s="69"/>
      <c r="N672" s="26"/>
    </row>
    <row r="673" spans="1:14" s="28" customFormat="1" x14ac:dyDescent="0.25">
      <c r="A673" s="7"/>
      <c r="B673" s="4" t="s">
        <v>271</v>
      </c>
      <c r="C673" s="2">
        <v>1</v>
      </c>
      <c r="D673" s="56">
        <v>2.5</v>
      </c>
      <c r="E673" s="56"/>
      <c r="F673" s="56"/>
      <c r="G673" s="56"/>
      <c r="H673" s="56">
        <v>6.5</v>
      </c>
      <c r="I673" s="56"/>
      <c r="J673" s="56">
        <f>C673*D673*H673</f>
        <v>16.25</v>
      </c>
      <c r="K673" s="56" t="s">
        <v>51</v>
      </c>
      <c r="L673" s="44"/>
      <c r="M673" s="69"/>
      <c r="N673" s="26"/>
    </row>
    <row r="674" spans="1:14" s="28" customFormat="1" x14ac:dyDescent="0.25">
      <c r="A674" s="7"/>
      <c r="B674" s="4" t="s">
        <v>272</v>
      </c>
      <c r="C674" s="2">
        <v>6</v>
      </c>
      <c r="D674" s="56">
        <v>6</v>
      </c>
      <c r="E674" s="56"/>
      <c r="F674" s="56"/>
      <c r="G674" s="56"/>
      <c r="H674" s="56">
        <v>4.5</v>
      </c>
      <c r="I674" s="56"/>
      <c r="J674" s="56">
        <f>C674*D674*H674</f>
        <v>162</v>
      </c>
      <c r="K674" s="56" t="s">
        <v>51</v>
      </c>
      <c r="L674" s="44"/>
      <c r="M674" s="69"/>
      <c r="N674" s="26"/>
    </row>
    <row r="675" spans="1:14" s="28" customFormat="1" x14ac:dyDescent="0.25">
      <c r="A675" s="7"/>
      <c r="B675" s="4" t="s">
        <v>273</v>
      </c>
      <c r="C675" s="2">
        <v>2</v>
      </c>
      <c r="D675" s="56">
        <v>4</v>
      </c>
      <c r="E675" s="56"/>
      <c r="F675" s="56"/>
      <c r="G675" s="56"/>
      <c r="H675" s="56">
        <v>4.5</v>
      </c>
      <c r="I675" s="56"/>
      <c r="J675" s="56">
        <f>C675*D675*H675</f>
        <v>36</v>
      </c>
      <c r="K675" s="56" t="s">
        <v>51</v>
      </c>
      <c r="L675" s="44"/>
      <c r="M675" s="69"/>
      <c r="N675" s="26"/>
    </row>
    <row r="676" spans="1:14" s="28" customFormat="1" x14ac:dyDescent="0.25">
      <c r="A676" s="7"/>
      <c r="B676" s="4" t="s">
        <v>274</v>
      </c>
      <c r="C676" s="2">
        <v>2</v>
      </c>
      <c r="D676" s="56">
        <v>3</v>
      </c>
      <c r="E676" s="56"/>
      <c r="F676" s="56"/>
      <c r="G676" s="56"/>
      <c r="H676" s="56">
        <v>2</v>
      </c>
      <c r="I676" s="56"/>
      <c r="J676" s="56">
        <f>C676*D676*H676</f>
        <v>12</v>
      </c>
      <c r="K676" s="56" t="s">
        <v>51</v>
      </c>
      <c r="L676" s="44"/>
      <c r="M676" s="69"/>
      <c r="N676" s="26"/>
    </row>
    <row r="677" spans="1:14" s="28" customFormat="1" x14ac:dyDescent="0.25">
      <c r="A677" s="7"/>
      <c r="B677" s="26"/>
      <c r="C677" s="2"/>
      <c r="D677" s="56"/>
      <c r="E677" s="56"/>
      <c r="F677" s="56"/>
      <c r="G677" s="56"/>
      <c r="H677" s="56"/>
      <c r="I677" s="56"/>
      <c r="J677" s="56"/>
      <c r="K677" s="56"/>
      <c r="L677" s="44"/>
      <c r="M677" s="69"/>
      <c r="N677" s="26"/>
    </row>
    <row r="678" spans="1:14" s="28" customFormat="1" x14ac:dyDescent="0.25">
      <c r="A678" s="7"/>
      <c r="B678" s="38"/>
      <c r="C678" s="2"/>
      <c r="D678" s="56"/>
      <c r="E678" s="56"/>
      <c r="F678" s="56"/>
      <c r="G678" s="56"/>
      <c r="H678" s="56"/>
      <c r="I678" s="56"/>
      <c r="J678" s="56"/>
      <c r="K678" s="56"/>
      <c r="L678" s="44"/>
      <c r="M678" s="69"/>
      <c r="N678" s="26"/>
    </row>
    <row r="679" spans="1:14" s="28" customFormat="1" x14ac:dyDescent="0.25">
      <c r="A679" s="7"/>
      <c r="B679" s="68" t="s">
        <v>89</v>
      </c>
      <c r="C679" s="2"/>
      <c r="D679" s="56"/>
      <c r="E679" s="56"/>
      <c r="F679" s="56"/>
      <c r="G679" s="56"/>
      <c r="H679" s="56"/>
      <c r="I679" s="56"/>
      <c r="J679" s="56"/>
      <c r="K679" s="56"/>
      <c r="L679" s="44"/>
      <c r="M679" s="69"/>
      <c r="N679" s="26"/>
    </row>
    <row r="680" spans="1:14" s="28" customFormat="1" x14ac:dyDescent="0.25">
      <c r="A680" s="7"/>
      <c r="B680" s="4" t="s">
        <v>270</v>
      </c>
      <c r="C680" s="2">
        <v>2</v>
      </c>
      <c r="D680" s="56">
        <v>3</v>
      </c>
      <c r="E680" s="56"/>
      <c r="F680" s="56"/>
      <c r="G680" s="56"/>
      <c r="H680" s="56">
        <v>7</v>
      </c>
      <c r="I680" s="56"/>
      <c r="J680" s="56">
        <f>C680*D680*H680</f>
        <v>42</v>
      </c>
      <c r="K680" s="56" t="s">
        <v>51</v>
      </c>
      <c r="L680" s="44"/>
      <c r="M680" s="69"/>
      <c r="N680" s="26"/>
    </row>
    <row r="681" spans="1:14" s="28" customFormat="1" x14ac:dyDescent="0.25">
      <c r="A681" s="7"/>
      <c r="B681" s="4" t="s">
        <v>271</v>
      </c>
      <c r="C681" s="2">
        <v>1</v>
      </c>
      <c r="D681" s="56">
        <v>2.5</v>
      </c>
      <c r="E681" s="56"/>
      <c r="F681" s="56"/>
      <c r="G681" s="56"/>
      <c r="H681" s="56">
        <v>6.5</v>
      </c>
      <c r="I681" s="56"/>
      <c r="J681" s="56">
        <f>C681*D681*H681</f>
        <v>16.25</v>
      </c>
      <c r="K681" s="56" t="s">
        <v>51</v>
      </c>
      <c r="L681" s="44"/>
      <c r="M681" s="69"/>
      <c r="N681" s="26"/>
    </row>
    <row r="682" spans="1:14" s="28" customFormat="1" x14ac:dyDescent="0.25">
      <c r="A682" s="7"/>
      <c r="B682" s="4" t="s">
        <v>272</v>
      </c>
      <c r="C682" s="2">
        <v>3</v>
      </c>
      <c r="D682" s="56">
        <v>6</v>
      </c>
      <c r="E682" s="56"/>
      <c r="F682" s="56"/>
      <c r="G682" s="56"/>
      <c r="H682" s="56">
        <v>4.5</v>
      </c>
      <c r="I682" s="56"/>
      <c r="J682" s="56">
        <f>C682*D682*H682</f>
        <v>81</v>
      </c>
      <c r="K682" s="56" t="s">
        <v>51</v>
      </c>
      <c r="L682" s="44"/>
      <c r="M682" s="69"/>
      <c r="N682" s="26"/>
    </row>
    <row r="683" spans="1:14" s="28" customFormat="1" x14ac:dyDescent="0.25">
      <c r="A683" s="7"/>
      <c r="B683" s="4" t="s">
        <v>273</v>
      </c>
      <c r="C683" s="2">
        <v>2</v>
      </c>
      <c r="D683" s="56">
        <v>4</v>
      </c>
      <c r="E683" s="56"/>
      <c r="F683" s="56"/>
      <c r="G683" s="56"/>
      <c r="H683" s="56">
        <v>4.5</v>
      </c>
      <c r="I683" s="56"/>
      <c r="J683" s="56">
        <f>C683*D683*H683</f>
        <v>36</v>
      </c>
      <c r="K683" s="56" t="s">
        <v>51</v>
      </c>
      <c r="L683" s="44"/>
      <c r="M683" s="69"/>
      <c r="N683" s="26"/>
    </row>
    <row r="684" spans="1:14" s="28" customFormat="1" x14ac:dyDescent="0.25">
      <c r="A684" s="7"/>
      <c r="B684" s="4" t="s">
        <v>274</v>
      </c>
      <c r="C684" s="2">
        <v>2</v>
      </c>
      <c r="D684" s="56">
        <v>3</v>
      </c>
      <c r="E684" s="56"/>
      <c r="F684" s="56"/>
      <c r="G684" s="56"/>
      <c r="H684" s="56">
        <v>2</v>
      </c>
      <c r="I684" s="56"/>
      <c r="J684" s="56">
        <f>C684*D684*H684</f>
        <v>12</v>
      </c>
      <c r="K684" s="56" t="s">
        <v>51</v>
      </c>
      <c r="L684" s="44"/>
      <c r="M684" s="69"/>
      <c r="N684" s="26"/>
    </row>
    <row r="685" spans="1:14" s="28" customFormat="1" x14ac:dyDescent="0.25">
      <c r="A685" s="7"/>
      <c r="B685" s="4"/>
      <c r="C685" s="7"/>
      <c r="D685" s="44"/>
      <c r="E685" s="44"/>
      <c r="F685" s="44"/>
      <c r="G685" s="44"/>
      <c r="H685" s="35" t="s">
        <v>324</v>
      </c>
      <c r="I685" s="44"/>
      <c r="J685" s="44">
        <f>SUM(J665:J684)</f>
        <v>772.25</v>
      </c>
      <c r="K685" s="44" t="s">
        <v>51</v>
      </c>
      <c r="L685" s="44"/>
      <c r="M685" s="69"/>
      <c r="N685" s="26"/>
    </row>
    <row r="686" spans="1:14" s="28" customFormat="1" x14ac:dyDescent="0.25">
      <c r="A686" s="7"/>
      <c r="B686" s="26"/>
      <c r="C686" s="7"/>
      <c r="D686" s="44"/>
      <c r="E686" s="44"/>
      <c r="F686" s="44"/>
      <c r="G686" s="44"/>
      <c r="H686" s="44"/>
      <c r="I686" s="44"/>
      <c r="J686" s="44">
        <f>CONVERT(CONVERT(J685,"ft","m"),"ft","m")</f>
        <v>71.744372639999995</v>
      </c>
      <c r="K686" s="44" t="s">
        <v>58</v>
      </c>
      <c r="L686" s="44"/>
      <c r="M686" s="69"/>
      <c r="N686" s="26"/>
    </row>
    <row r="687" spans="1:14" x14ac:dyDescent="0.25">
      <c r="A687" s="7"/>
      <c r="B687" s="2"/>
      <c r="C687" s="2"/>
      <c r="D687" s="2"/>
      <c r="E687" s="2"/>
      <c r="F687" s="2"/>
      <c r="G687" s="2"/>
      <c r="H687" s="35" t="s">
        <v>310</v>
      </c>
      <c r="I687" s="2"/>
      <c r="J687" s="44">
        <f>J686+J662</f>
        <v>161.48127703680001</v>
      </c>
      <c r="K687" s="44" t="s">
        <v>58</v>
      </c>
      <c r="L687" s="2"/>
      <c r="M687" s="40"/>
      <c r="N687" s="2"/>
    </row>
    <row r="688" spans="1:14" ht="33.6" customHeight="1" x14ac:dyDescent="0.25">
      <c r="A688" s="7">
        <v>3</v>
      </c>
      <c r="B688" s="39" t="s">
        <v>328</v>
      </c>
      <c r="C688" s="85"/>
      <c r="D688" s="2"/>
      <c r="E688" s="2"/>
      <c r="F688" s="2"/>
      <c r="G688" s="2"/>
      <c r="H688" s="35"/>
      <c r="I688" s="2"/>
      <c r="J688" s="44"/>
      <c r="K688" s="44"/>
      <c r="L688" s="2"/>
      <c r="M688" s="40"/>
      <c r="N688" s="2"/>
    </row>
    <row r="689" spans="1:14" ht="75" x14ac:dyDescent="0.25">
      <c r="A689" s="7">
        <v>3.1</v>
      </c>
      <c r="B689" s="76" t="s">
        <v>327</v>
      </c>
      <c r="C689" s="2"/>
      <c r="D689" s="2"/>
      <c r="E689" s="2"/>
      <c r="F689" s="2"/>
      <c r="G689" s="2"/>
      <c r="H689" s="2"/>
      <c r="I689" s="2"/>
      <c r="J689" s="56"/>
      <c r="K689" s="2"/>
      <c r="L689" s="2"/>
      <c r="M689" s="40"/>
      <c r="N689" s="2"/>
    </row>
    <row r="690" spans="1:14" s="28" customFormat="1" x14ac:dyDescent="0.25">
      <c r="A690" s="7"/>
      <c r="B690" s="41" t="s">
        <v>219</v>
      </c>
      <c r="C690" s="2"/>
      <c r="D690" s="56"/>
      <c r="E690" s="56"/>
      <c r="F690" s="56"/>
      <c r="G690" s="56"/>
      <c r="H690" s="56"/>
      <c r="I690" s="56"/>
      <c r="J690" s="56"/>
      <c r="K690" s="2"/>
      <c r="L690" s="7"/>
      <c r="M690" s="27"/>
      <c r="N690" s="26"/>
    </row>
    <row r="691" spans="1:14" s="28" customFormat="1" x14ac:dyDescent="0.25">
      <c r="A691" s="7"/>
      <c r="B691" s="38" t="s">
        <v>325</v>
      </c>
      <c r="C691" s="2">
        <v>1</v>
      </c>
      <c r="D691" s="56">
        <f>11*6+4*2</f>
        <v>74</v>
      </c>
      <c r="E691" s="56">
        <f>3.3+3.3</f>
        <v>6.6</v>
      </c>
      <c r="F691" s="56">
        <v>0.33</v>
      </c>
      <c r="G691" s="56"/>
      <c r="H691" s="56">
        <v>2</v>
      </c>
      <c r="I691" s="56"/>
      <c r="J691" s="56">
        <f>C691*D691*F691*H691</f>
        <v>48.84</v>
      </c>
      <c r="K691" s="2" t="s">
        <v>48</v>
      </c>
      <c r="L691" s="7"/>
      <c r="M691" s="27"/>
      <c r="N691" s="26"/>
    </row>
    <row r="692" spans="1:14" s="28" customFormat="1" x14ac:dyDescent="0.25">
      <c r="A692" s="7"/>
      <c r="B692" s="38" t="s">
        <v>326</v>
      </c>
      <c r="C692" s="2">
        <v>-1</v>
      </c>
      <c r="D692" s="2"/>
      <c r="E692" s="2"/>
      <c r="F692" s="2"/>
      <c r="G692" s="2"/>
      <c r="H692" s="2"/>
      <c r="I692" s="2"/>
      <c r="J692" s="56">
        <v>-15.64</v>
      </c>
      <c r="K692" s="2" t="s">
        <v>48</v>
      </c>
      <c r="L692" s="7"/>
      <c r="M692" s="27"/>
      <c r="N692" s="26"/>
    </row>
    <row r="693" spans="1:14" s="28" customFormat="1" x14ac:dyDescent="0.25">
      <c r="A693" s="7"/>
      <c r="B693" s="4"/>
      <c r="C693" s="7"/>
      <c r="D693" s="7"/>
      <c r="E693" s="7"/>
      <c r="F693" s="7"/>
      <c r="G693" s="7"/>
      <c r="H693" s="35" t="s">
        <v>310</v>
      </c>
      <c r="I693" s="7"/>
      <c r="J693" s="44">
        <f>SUM(J691:J692)</f>
        <v>33.200000000000003</v>
      </c>
      <c r="K693" s="7" t="s">
        <v>48</v>
      </c>
      <c r="L693" s="7"/>
      <c r="M693" s="27"/>
      <c r="N693" s="26"/>
    </row>
    <row r="694" spans="1:14" s="28" customFormat="1" x14ac:dyDescent="0.25">
      <c r="A694" s="7"/>
      <c r="B694" s="26"/>
      <c r="C694" s="7"/>
      <c r="D694" s="7"/>
      <c r="E694" s="7"/>
      <c r="F694" s="7"/>
      <c r="G694" s="7"/>
      <c r="H694" s="7"/>
      <c r="I694" s="7"/>
      <c r="J694" s="44">
        <f>CONVERT(CONVERT(CONVERT(J693,"ft","m"),"ft","m"),"ft","m")</f>
        <v>0.94011930685440026</v>
      </c>
      <c r="K694" s="7" t="s">
        <v>56</v>
      </c>
      <c r="L694" s="7"/>
      <c r="M694" s="27"/>
      <c r="N694" s="26"/>
    </row>
    <row r="695" spans="1:14" s="28" customFormat="1" x14ac:dyDescent="0.25">
      <c r="A695" s="7"/>
      <c r="B695" s="26"/>
      <c r="C695" s="7"/>
      <c r="D695" s="7"/>
      <c r="E695" s="7"/>
      <c r="F695" s="7"/>
      <c r="G695" s="7"/>
      <c r="H695" s="7"/>
      <c r="I695" s="7"/>
      <c r="J695" s="44"/>
      <c r="K695" s="7"/>
      <c r="L695" s="7"/>
      <c r="M695" s="27"/>
      <c r="N695" s="26"/>
    </row>
    <row r="696" spans="1:14" ht="36.6" customHeight="1" x14ac:dyDescent="0.25">
      <c r="A696" s="7">
        <v>4</v>
      </c>
      <c r="B696" s="39" t="s">
        <v>329</v>
      </c>
      <c r="C696" s="79"/>
      <c r="D696" s="2"/>
      <c r="E696" s="2"/>
      <c r="F696" s="2"/>
      <c r="G696" s="2"/>
      <c r="H696" s="2"/>
      <c r="I696" s="2"/>
      <c r="J696" s="56"/>
      <c r="K696" s="2"/>
      <c r="L696" s="2"/>
      <c r="M696" s="40"/>
      <c r="N696" s="2"/>
    </row>
    <row r="697" spans="1:14" ht="76.900000000000006" customHeight="1" x14ac:dyDescent="0.25">
      <c r="A697" s="7"/>
      <c r="B697" s="76" t="s">
        <v>332</v>
      </c>
      <c r="C697" s="79"/>
      <c r="D697" s="2"/>
      <c r="E697" s="2"/>
      <c r="F697" s="2"/>
      <c r="G697" s="2"/>
      <c r="H697" s="2"/>
      <c r="I697" s="2"/>
      <c r="J697" s="56"/>
      <c r="K697" s="2"/>
      <c r="L697" s="2"/>
      <c r="M697" s="40"/>
      <c r="N697" s="2"/>
    </row>
    <row r="698" spans="1:14" s="28" customFormat="1" x14ac:dyDescent="0.25">
      <c r="A698" s="7"/>
      <c r="B698" s="41" t="s">
        <v>219</v>
      </c>
      <c r="C698" s="2"/>
      <c r="D698" s="56"/>
      <c r="E698" s="56"/>
      <c r="F698" s="56"/>
      <c r="G698" s="56"/>
      <c r="H698" s="56"/>
      <c r="I698" s="56"/>
      <c r="J698" s="56"/>
      <c r="K698" s="2"/>
      <c r="L698" s="7"/>
      <c r="M698" s="27"/>
      <c r="N698" s="26"/>
    </row>
    <row r="699" spans="1:14" s="28" customFormat="1" x14ac:dyDescent="0.25">
      <c r="A699" s="7"/>
      <c r="B699" s="38" t="s">
        <v>330</v>
      </c>
      <c r="C699" s="2">
        <v>8</v>
      </c>
      <c r="D699" s="56">
        <v>1</v>
      </c>
      <c r="E699" s="56">
        <f>3.3+3.3</f>
        <v>6.6</v>
      </c>
      <c r="F699" s="56">
        <v>1</v>
      </c>
      <c r="G699" s="56"/>
      <c r="H699" s="56">
        <v>2</v>
      </c>
      <c r="I699" s="56"/>
      <c r="J699" s="56">
        <f>C699*D699*F699*H699</f>
        <v>16</v>
      </c>
      <c r="K699" s="2" t="s">
        <v>48</v>
      </c>
      <c r="L699" s="7"/>
      <c r="M699" s="27"/>
      <c r="N699" s="26"/>
    </row>
    <row r="700" spans="1:14" s="28" customFormat="1" x14ac:dyDescent="0.25">
      <c r="A700" s="7"/>
      <c r="B700" s="4"/>
      <c r="C700" s="7"/>
      <c r="D700" s="7"/>
      <c r="E700" s="7"/>
      <c r="F700" s="7"/>
      <c r="G700" s="7"/>
      <c r="H700" s="35" t="s">
        <v>310</v>
      </c>
      <c r="I700" s="7"/>
      <c r="J700" s="44">
        <f>CONVERT(CONVERT(CONVERT(J699,"ft","m"),"ft","m"),"ft","m")</f>
        <v>0.45306954547200001</v>
      </c>
      <c r="K700" s="7" t="s">
        <v>56</v>
      </c>
      <c r="L700" s="7"/>
      <c r="M700" s="27"/>
      <c r="N700" s="26"/>
    </row>
    <row r="701" spans="1:14" x14ac:dyDescent="0.25">
      <c r="A701" s="7"/>
      <c r="B701" s="2"/>
      <c r="C701" s="2"/>
      <c r="D701" s="2"/>
      <c r="E701" s="2"/>
      <c r="F701" s="2"/>
      <c r="G701" s="2"/>
      <c r="H701" s="2"/>
      <c r="I701" s="2"/>
      <c r="J701" s="56"/>
      <c r="K701" s="2"/>
      <c r="L701" s="2"/>
      <c r="M701" s="40"/>
      <c r="N701" s="2"/>
    </row>
    <row r="702" spans="1:14" ht="18" customHeight="1" x14ac:dyDescent="0.25">
      <c r="A702" s="7">
        <v>5</v>
      </c>
      <c r="B702" s="39" t="s">
        <v>331</v>
      </c>
      <c r="C702" s="85"/>
      <c r="D702" s="2"/>
      <c r="E702" s="2"/>
      <c r="F702" s="2"/>
      <c r="G702" s="2"/>
      <c r="H702" s="2"/>
      <c r="I702" s="2"/>
      <c r="J702" s="56"/>
      <c r="K702" s="2"/>
      <c r="L702" s="2"/>
      <c r="M702" s="40"/>
      <c r="N702" s="2"/>
    </row>
    <row r="703" spans="1:14" ht="67.900000000000006" customHeight="1" x14ac:dyDescent="0.25">
      <c r="A703" s="7"/>
      <c r="B703" s="94" t="s">
        <v>333</v>
      </c>
      <c r="C703" s="85"/>
      <c r="D703" s="2"/>
      <c r="E703" s="2"/>
      <c r="F703" s="2"/>
      <c r="G703" s="2"/>
      <c r="H703" s="2"/>
      <c r="I703" s="2"/>
      <c r="J703" s="56"/>
      <c r="K703" s="2"/>
      <c r="L703" s="2"/>
      <c r="M703" s="40"/>
      <c r="N703" s="2"/>
    </row>
    <row r="704" spans="1:14" s="28" customFormat="1" x14ac:dyDescent="0.25">
      <c r="A704" s="7"/>
      <c r="B704" s="41" t="s">
        <v>219</v>
      </c>
      <c r="C704" s="2"/>
      <c r="D704" s="56"/>
      <c r="E704" s="56"/>
      <c r="F704" s="56"/>
      <c r="G704" s="56"/>
      <c r="H704" s="56"/>
      <c r="I704" s="56"/>
      <c r="J704" s="56"/>
      <c r="K704" s="2"/>
      <c r="L704" s="7"/>
      <c r="M704" s="27"/>
      <c r="N704" s="26"/>
    </row>
    <row r="705" spans="1:14" s="28" customFormat="1" x14ac:dyDescent="0.25">
      <c r="A705" s="7"/>
      <c r="B705" s="38" t="s">
        <v>330</v>
      </c>
      <c r="C705" s="2">
        <v>8</v>
      </c>
      <c r="D705" s="56">
        <f>1*4</f>
        <v>4</v>
      </c>
      <c r="E705" s="56">
        <f>3.3+3.3</f>
        <v>6.6</v>
      </c>
      <c r="F705" s="56"/>
      <c r="G705" s="56"/>
      <c r="H705" s="56">
        <v>2</v>
      </c>
      <c r="I705" s="56"/>
      <c r="J705" s="56">
        <f>C705*D705*H705</f>
        <v>64</v>
      </c>
      <c r="K705" s="2" t="s">
        <v>51</v>
      </c>
      <c r="L705" s="7"/>
      <c r="M705" s="27"/>
      <c r="N705" s="26"/>
    </row>
    <row r="706" spans="1:14" s="28" customFormat="1" x14ac:dyDescent="0.25">
      <c r="A706" s="7"/>
      <c r="B706" s="4"/>
      <c r="C706" s="7"/>
      <c r="D706" s="7"/>
      <c r="E706" s="7"/>
      <c r="F706" s="7"/>
      <c r="G706" s="7"/>
      <c r="H706" s="35" t="s">
        <v>310</v>
      </c>
      <c r="I706" s="7"/>
      <c r="J706" s="44">
        <f>CONVERT(CONVERT(J705,"ft","m"),"ft","m")</f>
        <v>5.9457945600000004</v>
      </c>
      <c r="K706" s="7" t="s">
        <v>58</v>
      </c>
      <c r="L706" s="7"/>
      <c r="M706" s="27"/>
      <c r="N706" s="26"/>
    </row>
    <row r="707" spans="1:14" x14ac:dyDescent="0.25">
      <c r="A707" s="7">
        <v>6</v>
      </c>
      <c r="B707" s="7" t="s">
        <v>337</v>
      </c>
      <c r="C707" s="2"/>
      <c r="D707" s="2"/>
      <c r="E707" s="2"/>
      <c r="F707" s="2"/>
      <c r="G707" s="2"/>
      <c r="H707" s="2"/>
      <c r="I707" s="2"/>
      <c r="J707" s="56"/>
      <c r="K707" s="2"/>
      <c r="L707" s="2"/>
      <c r="M707" s="40"/>
      <c r="N707" s="2"/>
    </row>
    <row r="708" spans="1:14" ht="75" x14ac:dyDescent="0.25">
      <c r="A708" s="7">
        <v>6.1</v>
      </c>
      <c r="B708" s="76" t="s">
        <v>338</v>
      </c>
      <c r="C708" s="2"/>
      <c r="D708" s="2"/>
      <c r="E708" s="2"/>
      <c r="F708" s="2"/>
      <c r="G708" s="2"/>
      <c r="H708" s="2"/>
      <c r="I708" s="2"/>
      <c r="J708" s="56"/>
      <c r="K708" s="2"/>
      <c r="L708" s="2"/>
      <c r="M708" s="40"/>
      <c r="N708" s="2"/>
    </row>
    <row r="709" spans="1:14" s="28" customFormat="1" x14ac:dyDescent="0.25">
      <c r="A709" s="7"/>
      <c r="B709" s="68" t="s">
        <v>158</v>
      </c>
      <c r="C709" s="2"/>
      <c r="D709" s="56"/>
      <c r="E709" s="56"/>
      <c r="F709" s="56"/>
      <c r="G709" s="56"/>
      <c r="H709" s="56"/>
      <c r="I709" s="56"/>
      <c r="J709" s="56"/>
      <c r="K709" s="56"/>
      <c r="L709" s="44"/>
      <c r="M709" s="69"/>
      <c r="N709" s="26"/>
    </row>
    <row r="710" spans="1:14" s="28" customFormat="1" x14ac:dyDescent="0.25">
      <c r="A710" s="7"/>
      <c r="B710" s="4" t="s">
        <v>298</v>
      </c>
      <c r="C710" s="2">
        <v>1</v>
      </c>
      <c r="D710" s="56">
        <f>CONVERT(E710,"m","ft")</f>
        <v>11.34130337366366</v>
      </c>
      <c r="E710" s="56">
        <f>(3.27+3.29)/2+((0.25+0.33)/3.28)</f>
        <v>3.4568292682926831</v>
      </c>
      <c r="F710" s="56">
        <f>CONVERT(G710,"m","ft")</f>
        <v>11.589366877920746</v>
      </c>
      <c r="G710" s="56">
        <f>(3.36+3.4)/2+(0.5/3.28)</f>
        <v>3.5324390243902437</v>
      </c>
      <c r="H710" s="56"/>
      <c r="I710" s="56"/>
      <c r="J710" s="56">
        <f>C710*D710*F710</f>
        <v>131.43852567118844</v>
      </c>
      <c r="K710" s="56" t="s">
        <v>51</v>
      </c>
      <c r="L710" s="44"/>
      <c r="M710" s="69"/>
      <c r="N710" s="26"/>
    </row>
    <row r="711" spans="1:14" s="28" customFormat="1" x14ac:dyDescent="0.25">
      <c r="A711" s="7"/>
      <c r="B711" s="4"/>
      <c r="C711" s="2"/>
      <c r="D711" s="56"/>
      <c r="E711" s="56"/>
      <c r="F711" s="56"/>
      <c r="G711" s="56"/>
      <c r="H711" s="56"/>
      <c r="I711" s="56"/>
      <c r="J711" s="56"/>
      <c r="K711" s="56"/>
      <c r="L711" s="44"/>
      <c r="M711" s="69"/>
      <c r="N711" s="26"/>
    </row>
    <row r="712" spans="1:14" s="28" customFormat="1" x14ac:dyDescent="0.25">
      <c r="A712" s="7"/>
      <c r="B712" s="4" t="s">
        <v>299</v>
      </c>
      <c r="C712" s="2">
        <v>1</v>
      </c>
      <c r="D712" s="56">
        <f t="shared" ref="D712:D717" si="25">CONVERT(E712,"m","ft")</f>
        <v>11.720600473721271</v>
      </c>
      <c r="E712" s="56">
        <f>3.42+0.5/3.28</f>
        <v>3.5724390243902437</v>
      </c>
      <c r="F712" s="56">
        <f>CONVERT(G712,"m","ft")</f>
        <v>11.228474489469304</v>
      </c>
      <c r="G712" s="56">
        <f>3.27+0.5/3.28</f>
        <v>3.4224390243902438</v>
      </c>
      <c r="H712" s="56"/>
      <c r="I712" s="56"/>
      <c r="J712" s="56">
        <f>C712*D712*F712</f>
        <v>131.60446342044114</v>
      </c>
      <c r="K712" s="56" t="s">
        <v>51</v>
      </c>
      <c r="L712" s="44"/>
      <c r="M712" s="69"/>
      <c r="N712" s="26"/>
    </row>
    <row r="713" spans="1:14" s="28" customFormat="1" x14ac:dyDescent="0.25">
      <c r="A713" s="7"/>
      <c r="B713" s="4"/>
      <c r="C713" s="2"/>
      <c r="D713" s="56"/>
      <c r="E713" s="56"/>
      <c r="F713" s="56"/>
      <c r="G713" s="56"/>
      <c r="H713" s="56"/>
      <c r="I713" s="56"/>
      <c r="J713" s="56"/>
      <c r="K713" s="56"/>
      <c r="L713" s="44"/>
      <c r="M713" s="69"/>
      <c r="N713" s="26"/>
    </row>
    <row r="714" spans="1:14" s="28" customFormat="1" x14ac:dyDescent="0.25">
      <c r="A714" s="7"/>
      <c r="B714" s="38" t="s">
        <v>300</v>
      </c>
      <c r="C714" s="2">
        <v>1</v>
      </c>
      <c r="D714" s="56">
        <f t="shared" si="25"/>
        <v>13.123359580052494</v>
      </c>
      <c r="E714" s="56">
        <v>4</v>
      </c>
      <c r="F714" s="56">
        <v>25</v>
      </c>
      <c r="G714" s="56"/>
      <c r="H714" s="56"/>
      <c r="I714" s="56"/>
      <c r="J714" s="56">
        <f>C714*D714*F714</f>
        <v>328.08398950131232</v>
      </c>
      <c r="K714" s="56" t="s">
        <v>51</v>
      </c>
      <c r="L714" s="44"/>
      <c r="M714" s="69"/>
      <c r="N714" s="26"/>
    </row>
    <row r="715" spans="1:14" s="28" customFormat="1" x14ac:dyDescent="0.25">
      <c r="A715" s="7"/>
      <c r="B715" s="4"/>
      <c r="C715" s="2"/>
      <c r="D715" s="56"/>
      <c r="E715" s="56"/>
      <c r="F715" s="56"/>
      <c r="G715" s="56"/>
      <c r="H715" s="56"/>
      <c r="I715" s="56"/>
      <c r="J715" s="56"/>
      <c r="K715" s="56"/>
      <c r="L715" s="44"/>
      <c r="M715" s="69"/>
      <c r="N715" s="26"/>
    </row>
    <row r="716" spans="1:14" s="28" customFormat="1" x14ac:dyDescent="0.25">
      <c r="A716" s="7"/>
      <c r="B716" s="26" t="s">
        <v>195</v>
      </c>
      <c r="C716" s="2"/>
      <c r="D716" s="56"/>
      <c r="E716" s="56"/>
      <c r="F716" s="56"/>
      <c r="G716" s="56"/>
      <c r="H716" s="56"/>
      <c r="I716" s="56"/>
      <c r="J716" s="56"/>
      <c r="K716" s="56"/>
      <c r="L716" s="44"/>
      <c r="M716" s="69"/>
      <c r="N716" s="26"/>
    </row>
    <row r="717" spans="1:14" s="28" customFormat="1" ht="30" x14ac:dyDescent="0.25">
      <c r="A717" s="7"/>
      <c r="B717" s="4" t="s">
        <v>301</v>
      </c>
      <c r="C717" s="2">
        <v>1</v>
      </c>
      <c r="D717" s="56">
        <f t="shared" si="25"/>
        <v>11.909448818897637</v>
      </c>
      <c r="E717" s="56">
        <v>3.63</v>
      </c>
      <c r="F717" s="56">
        <f>CONVERT(G717,"m","ft")</f>
        <v>6.7133186095640491</v>
      </c>
      <c r="G717" s="56">
        <f>1.97+0.25/3.28</f>
        <v>2.0462195121951221</v>
      </c>
      <c r="H717" s="56"/>
      <c r="I717" s="56"/>
      <c r="J717" s="56">
        <f>C717*D717*F717</f>
        <v>79.951924385556097</v>
      </c>
      <c r="K717" s="56" t="s">
        <v>51</v>
      </c>
      <c r="L717" s="44"/>
      <c r="M717" s="69"/>
      <c r="N717" s="26"/>
    </row>
    <row r="718" spans="1:14" s="28" customFormat="1" x14ac:dyDescent="0.25">
      <c r="A718" s="7"/>
      <c r="B718" s="4"/>
      <c r="C718" s="2"/>
      <c r="D718" s="56"/>
      <c r="E718" s="56"/>
      <c r="F718" s="56"/>
      <c r="G718" s="56"/>
      <c r="H718" s="56"/>
      <c r="I718" s="56"/>
      <c r="J718" s="56"/>
      <c r="K718" s="56"/>
      <c r="L718" s="44"/>
      <c r="M718" s="69"/>
      <c r="N718" s="26"/>
    </row>
    <row r="719" spans="1:14" s="28" customFormat="1" x14ac:dyDescent="0.25">
      <c r="A719" s="7"/>
      <c r="B719" s="41" t="s">
        <v>302</v>
      </c>
      <c r="C719" s="2"/>
      <c r="D719" s="56"/>
      <c r="E719" s="56"/>
      <c r="F719" s="56"/>
      <c r="G719" s="56"/>
      <c r="H719" s="56"/>
      <c r="I719" s="56"/>
      <c r="J719" s="56"/>
      <c r="K719" s="56"/>
      <c r="L719" s="44"/>
      <c r="M719" s="69"/>
      <c r="N719" s="26"/>
    </row>
    <row r="720" spans="1:14" s="28" customFormat="1" x14ac:dyDescent="0.25">
      <c r="A720" s="7"/>
      <c r="B720" s="38" t="s">
        <v>253</v>
      </c>
      <c r="C720" s="2">
        <v>1</v>
      </c>
      <c r="D720" s="56">
        <f>2+1+3.5</f>
        <v>6.5</v>
      </c>
      <c r="E720" s="56"/>
      <c r="F720" s="56">
        <f>CONVERT(G720,"m","ft")</f>
        <v>6.8897637795275593</v>
      </c>
      <c r="G720" s="56">
        <v>2.1</v>
      </c>
      <c r="H720" s="56"/>
      <c r="I720" s="56"/>
      <c r="J720" s="56">
        <f>C720*D720*F720</f>
        <v>44.783464566929133</v>
      </c>
      <c r="K720" s="56" t="s">
        <v>51</v>
      </c>
      <c r="L720" s="44"/>
      <c r="M720" s="69"/>
      <c r="N720" s="26"/>
    </row>
    <row r="721" spans="1:14" s="28" customFormat="1" x14ac:dyDescent="0.25">
      <c r="A721" s="7"/>
      <c r="B721" s="38" t="s">
        <v>80</v>
      </c>
      <c r="C721" s="2">
        <v>13</v>
      </c>
      <c r="D721" s="56">
        <v>3.5</v>
      </c>
      <c r="E721" s="56"/>
      <c r="F721" s="56">
        <f>0.83+0.58</f>
        <v>1.41</v>
      </c>
      <c r="G721" s="56"/>
      <c r="H721" s="56"/>
      <c r="I721" s="56"/>
      <c r="J721" s="56">
        <f>C721*D721*F721</f>
        <v>64.155000000000001</v>
      </c>
      <c r="K721" s="56" t="s">
        <v>51</v>
      </c>
      <c r="L721" s="44"/>
      <c r="M721" s="69"/>
      <c r="N721" s="26"/>
    </row>
    <row r="722" spans="1:14" s="28" customFormat="1" x14ac:dyDescent="0.25">
      <c r="A722" s="7"/>
      <c r="B722" s="38" t="s">
        <v>254</v>
      </c>
      <c r="C722" s="2">
        <v>1</v>
      </c>
      <c r="D722" s="56">
        <f>CONVERT(E722,"m","ft")</f>
        <v>4.7244094488188972</v>
      </c>
      <c r="E722" s="56">
        <v>1.44</v>
      </c>
      <c r="F722" s="56">
        <f>CONVERT(G722,"m","ft")</f>
        <v>3.9370078740157481</v>
      </c>
      <c r="G722" s="56">
        <v>1.2</v>
      </c>
      <c r="H722" s="56"/>
      <c r="I722" s="56"/>
      <c r="J722" s="56">
        <f>C722*D722*F722</f>
        <v>18.6000372000744</v>
      </c>
      <c r="K722" s="56" t="s">
        <v>51</v>
      </c>
      <c r="L722" s="44"/>
      <c r="M722" s="69"/>
      <c r="N722" s="26"/>
    </row>
    <row r="723" spans="1:14" s="28" customFormat="1" x14ac:dyDescent="0.25">
      <c r="A723" s="7"/>
      <c r="B723" s="38"/>
      <c r="C723" s="2"/>
      <c r="D723" s="56"/>
      <c r="E723" s="56"/>
      <c r="F723" s="56"/>
      <c r="G723" s="56"/>
      <c r="H723" s="56"/>
      <c r="I723" s="56"/>
      <c r="J723" s="56"/>
      <c r="K723" s="56"/>
      <c r="L723" s="44"/>
      <c r="M723" s="70"/>
      <c r="N723" s="26"/>
    </row>
    <row r="724" spans="1:14" s="28" customFormat="1" x14ac:dyDescent="0.25">
      <c r="A724" s="7"/>
      <c r="B724" s="68" t="s">
        <v>159</v>
      </c>
      <c r="C724" s="2"/>
      <c r="D724" s="56"/>
      <c r="E724" s="56"/>
      <c r="F724" s="56"/>
      <c r="G724" s="56"/>
      <c r="H724" s="56"/>
      <c r="I724" s="56"/>
      <c r="J724" s="56"/>
      <c r="K724" s="56"/>
      <c r="L724" s="44"/>
      <c r="M724" s="69"/>
      <c r="N724" s="26"/>
    </row>
    <row r="725" spans="1:14" s="28" customFormat="1" x14ac:dyDescent="0.25">
      <c r="A725" s="7"/>
      <c r="B725" s="26" t="s">
        <v>208</v>
      </c>
      <c r="C725" s="2">
        <v>1</v>
      </c>
      <c r="D725" s="56">
        <f>CONVERT(E725,"m","ft")</f>
        <v>16.328180014083603</v>
      </c>
      <c r="E725" s="56">
        <f>3.3+5/3.28+(0.25+0.25)/3.28</f>
        <v>4.9768292682926827</v>
      </c>
      <c r="F725" s="56">
        <f>CONVERT(G725,"m","ft")</f>
        <v>11.076835669931501</v>
      </c>
      <c r="G725" s="56">
        <f>3.3+0.25/3.28</f>
        <v>3.3762195121951217</v>
      </c>
      <c r="H725" s="56"/>
      <c r="I725" s="56"/>
      <c r="J725" s="56">
        <f>C725*D725*F725</f>
        <v>180.8645668050639</v>
      </c>
      <c r="K725" s="56" t="s">
        <v>51</v>
      </c>
      <c r="L725" s="44"/>
      <c r="M725" s="69"/>
      <c r="N725" s="26"/>
    </row>
    <row r="726" spans="1:14" s="28" customFormat="1" x14ac:dyDescent="0.25">
      <c r="A726" s="7"/>
      <c r="B726" s="4"/>
      <c r="C726" s="2"/>
      <c r="D726" s="56"/>
      <c r="E726" s="56"/>
      <c r="F726" s="56"/>
      <c r="G726" s="56"/>
      <c r="H726" s="56"/>
      <c r="I726" s="56"/>
      <c r="J726" s="56"/>
      <c r="K726" s="56"/>
      <c r="L726" s="44"/>
      <c r="M726" s="69"/>
      <c r="N726" s="26"/>
    </row>
    <row r="727" spans="1:14" s="28" customFormat="1" x14ac:dyDescent="0.25">
      <c r="A727" s="7"/>
      <c r="B727" s="26" t="s">
        <v>194</v>
      </c>
      <c r="C727" s="2">
        <v>1</v>
      </c>
      <c r="D727" s="56">
        <f>CONVERT(E727,"m","ft")</f>
        <v>11.720600473721271</v>
      </c>
      <c r="E727" s="56">
        <f>3.42+0.5/3.28</f>
        <v>3.5724390243902437</v>
      </c>
      <c r="F727" s="56">
        <f>CONVERT(G727,"m","ft")</f>
        <v>11.326899686319697</v>
      </c>
      <c r="G727" s="56">
        <f>3.3+0.5/3.28</f>
        <v>3.4524390243902436</v>
      </c>
      <c r="H727" s="56"/>
      <c r="I727" s="56"/>
      <c r="J727" s="56">
        <f>C727*D727*F727</f>
        <v>132.75806582927197</v>
      </c>
      <c r="K727" s="56" t="s">
        <v>51</v>
      </c>
      <c r="L727" s="44"/>
      <c r="M727" s="69"/>
      <c r="N727" s="26"/>
    </row>
    <row r="728" spans="1:14" s="28" customFormat="1" x14ac:dyDescent="0.25">
      <c r="A728" s="7"/>
      <c r="B728" s="4"/>
      <c r="C728" s="2"/>
      <c r="D728" s="56"/>
      <c r="E728" s="56"/>
      <c r="F728" s="56"/>
      <c r="G728" s="56"/>
      <c r="H728" s="56"/>
      <c r="I728" s="56"/>
      <c r="J728" s="56"/>
      <c r="K728" s="56"/>
      <c r="L728" s="44"/>
      <c r="M728" s="69"/>
      <c r="N728" s="26"/>
    </row>
    <row r="729" spans="1:14" s="28" customFormat="1" x14ac:dyDescent="0.25">
      <c r="A729" s="7"/>
      <c r="B729" s="41" t="s">
        <v>217</v>
      </c>
      <c r="C729" s="2"/>
      <c r="D729" s="56"/>
      <c r="E729" s="56"/>
      <c r="F729" s="56"/>
      <c r="G729" s="56"/>
      <c r="H729" s="56"/>
      <c r="I729" s="56"/>
      <c r="J729" s="56"/>
      <c r="K729" s="56"/>
      <c r="L729" s="44"/>
      <c r="M729" s="69"/>
      <c r="N729" s="26"/>
    </row>
    <row r="730" spans="1:14" s="28" customFormat="1" x14ac:dyDescent="0.25">
      <c r="A730" s="7"/>
      <c r="B730" s="38" t="s">
        <v>186</v>
      </c>
      <c r="C730" s="2">
        <v>1</v>
      </c>
      <c r="D730" s="56">
        <v>4</v>
      </c>
      <c r="E730" s="56"/>
      <c r="F730" s="56">
        <f>CONVERT(G730,"m","ft")</f>
        <v>12.577219768260676</v>
      </c>
      <c r="G730" s="56">
        <f>3.3+(1.75)/3.28</f>
        <v>3.8335365853658536</v>
      </c>
      <c r="H730" s="56"/>
      <c r="I730" s="56"/>
      <c r="J730" s="56">
        <f>C730*D730*F730</f>
        <v>50.308879073042704</v>
      </c>
      <c r="K730" s="56" t="s">
        <v>51</v>
      </c>
      <c r="L730" s="44"/>
      <c r="M730" s="69"/>
      <c r="N730" s="26"/>
    </row>
    <row r="731" spans="1:14" s="28" customFormat="1" x14ac:dyDescent="0.25">
      <c r="A731" s="7"/>
      <c r="B731" s="4"/>
      <c r="C731" s="2"/>
      <c r="D731" s="56"/>
      <c r="E731" s="56"/>
      <c r="F731" s="56"/>
      <c r="G731" s="56"/>
      <c r="H731" s="56"/>
      <c r="I731" s="56"/>
      <c r="J731" s="56"/>
      <c r="K731" s="56"/>
      <c r="L731" s="44"/>
      <c r="M731" s="69"/>
      <c r="N731" s="26"/>
    </row>
    <row r="732" spans="1:14" s="28" customFormat="1" x14ac:dyDescent="0.25">
      <c r="A732" s="7"/>
      <c r="B732" s="26" t="s">
        <v>195</v>
      </c>
      <c r="C732" s="2">
        <v>1</v>
      </c>
      <c r="D732" s="56">
        <f>CONVERT(E732,"m","ft")</f>
        <v>10.945602074130976</v>
      </c>
      <c r="E732" s="56">
        <f>3.26+0.25/3.28</f>
        <v>3.3362195121951217</v>
      </c>
      <c r="F732" s="56">
        <f>CONVERT(G732,"m","ft")</f>
        <v>11.326899686319697</v>
      </c>
      <c r="G732" s="56">
        <f>3.3+0.5/3.28</f>
        <v>3.4524390243902436</v>
      </c>
      <c r="H732" s="56"/>
      <c r="I732" s="56"/>
      <c r="J732" s="56">
        <f>C732*D732*F732</f>
        <v>123.97973670005437</v>
      </c>
      <c r="K732" s="56" t="s">
        <v>51</v>
      </c>
      <c r="L732" s="44"/>
      <c r="M732" s="69"/>
      <c r="N732" s="26"/>
    </row>
    <row r="733" spans="1:14" s="28" customFormat="1" x14ac:dyDescent="0.25">
      <c r="A733" s="7"/>
      <c r="B733" s="4"/>
      <c r="C733" s="2"/>
      <c r="D733" s="56"/>
      <c r="E733" s="56"/>
      <c r="F733" s="56"/>
      <c r="G733" s="56"/>
      <c r="H733" s="56"/>
      <c r="I733" s="56"/>
      <c r="J733" s="56"/>
      <c r="K733" s="56"/>
      <c r="L733" s="44"/>
      <c r="M733" s="69"/>
      <c r="N733" s="26"/>
    </row>
    <row r="734" spans="1:14" s="28" customFormat="1" x14ac:dyDescent="0.25">
      <c r="A734" s="7"/>
      <c r="B734" s="41" t="s">
        <v>200</v>
      </c>
      <c r="C734" s="2"/>
      <c r="D734" s="56"/>
      <c r="E734" s="56"/>
      <c r="F734" s="56"/>
      <c r="G734" s="56"/>
      <c r="H734" s="56"/>
      <c r="I734" s="56"/>
      <c r="J734" s="56"/>
      <c r="K734" s="56"/>
      <c r="L734" s="44"/>
      <c r="M734" s="69"/>
      <c r="N734" s="26"/>
    </row>
    <row r="735" spans="1:14" s="28" customFormat="1" x14ac:dyDescent="0.25">
      <c r="A735" s="7"/>
      <c r="B735" s="41" t="s">
        <v>201</v>
      </c>
      <c r="C735" s="2"/>
      <c r="D735" s="56"/>
      <c r="E735" s="56"/>
      <c r="F735" s="56"/>
      <c r="G735" s="56"/>
      <c r="H735" s="56"/>
      <c r="I735" s="56"/>
      <c r="J735" s="56"/>
      <c r="K735" s="56"/>
      <c r="L735" s="44"/>
      <c r="M735" s="69"/>
      <c r="N735" s="26"/>
    </row>
    <row r="736" spans="1:14" s="28" customFormat="1" x14ac:dyDescent="0.25">
      <c r="A736" s="7"/>
      <c r="B736" s="38" t="s">
        <v>253</v>
      </c>
      <c r="C736" s="2">
        <v>1</v>
      </c>
      <c r="D736" s="56">
        <f>2+1+3.5</f>
        <v>6.5</v>
      </c>
      <c r="E736" s="56"/>
      <c r="F736" s="56">
        <f>CONVERT(G736,"m","ft")</f>
        <v>6.8897637795275593</v>
      </c>
      <c r="G736" s="56">
        <v>2.1</v>
      </c>
      <c r="H736" s="56"/>
      <c r="I736" s="56"/>
      <c r="J736" s="56">
        <f>C736*D736*F736</f>
        <v>44.783464566929133</v>
      </c>
      <c r="K736" s="56" t="s">
        <v>51</v>
      </c>
      <c r="L736" s="44"/>
      <c r="M736" s="69"/>
      <c r="N736" s="26"/>
    </row>
    <row r="737" spans="1:14" s="28" customFormat="1" x14ac:dyDescent="0.25">
      <c r="A737" s="7"/>
      <c r="B737" s="38" t="s">
        <v>80</v>
      </c>
      <c r="C737" s="2">
        <v>13</v>
      </c>
      <c r="D737" s="56">
        <v>3.5</v>
      </c>
      <c r="E737" s="56"/>
      <c r="F737" s="56">
        <f>0.83+0.58</f>
        <v>1.41</v>
      </c>
      <c r="G737" s="56"/>
      <c r="H737" s="56"/>
      <c r="I737" s="56"/>
      <c r="J737" s="56">
        <f>C737*D737*F737</f>
        <v>64.155000000000001</v>
      </c>
      <c r="K737" s="56" t="s">
        <v>51</v>
      </c>
      <c r="L737" s="44"/>
      <c r="M737" s="69"/>
      <c r="N737" s="26"/>
    </row>
    <row r="738" spans="1:14" s="28" customFormat="1" x14ac:dyDescent="0.25">
      <c r="A738" s="7"/>
      <c r="B738" s="38" t="s">
        <v>254</v>
      </c>
      <c r="C738" s="2">
        <v>1</v>
      </c>
      <c r="D738" s="56">
        <f>CONVERT(E738,"m","ft")</f>
        <v>5.9215159080724664</v>
      </c>
      <c r="E738" s="56">
        <f>1.5+1/3.28</f>
        <v>1.8048780487804879</v>
      </c>
      <c r="F738" s="56">
        <f>CONVERT(G738,"m","ft")</f>
        <v>3.9370078740157481</v>
      </c>
      <c r="G738" s="56">
        <v>1.2</v>
      </c>
      <c r="H738" s="56"/>
      <c r="I738" s="56"/>
      <c r="J738" s="56">
        <f>C738*D738*F738</f>
        <v>23.313054756190812</v>
      </c>
      <c r="K738" s="56" t="s">
        <v>51</v>
      </c>
      <c r="L738" s="44"/>
      <c r="M738" s="69"/>
      <c r="N738" s="26"/>
    </row>
    <row r="739" spans="1:14" s="28" customFormat="1" x14ac:dyDescent="0.25">
      <c r="A739" s="7"/>
      <c r="B739" s="38"/>
      <c r="C739" s="2"/>
      <c r="D739" s="56"/>
      <c r="E739" s="56"/>
      <c r="F739" s="56"/>
      <c r="G739" s="56"/>
      <c r="H739" s="56"/>
      <c r="I739" s="56"/>
      <c r="J739" s="56"/>
      <c r="K739" s="56"/>
      <c r="L739" s="44"/>
      <c r="M739" s="69"/>
      <c r="N739" s="26"/>
    </row>
    <row r="740" spans="1:14" s="28" customFormat="1" x14ac:dyDescent="0.25">
      <c r="A740" s="7"/>
      <c r="B740" s="38" t="s">
        <v>259</v>
      </c>
      <c r="C740" s="2">
        <v>1</v>
      </c>
      <c r="D740" s="56">
        <f>(30+1.667+1.667)*2+25*2</f>
        <v>116.66800000000001</v>
      </c>
      <c r="E740" s="56"/>
      <c r="F740" s="56">
        <v>1.667</v>
      </c>
      <c r="G740" s="56"/>
      <c r="H740" s="56"/>
      <c r="I740" s="56"/>
      <c r="J740" s="56">
        <f>C740*D740*F740</f>
        <v>194.485556</v>
      </c>
      <c r="K740" s="56" t="s">
        <v>51</v>
      </c>
      <c r="L740" s="44"/>
      <c r="M740" s="69"/>
      <c r="N740" s="26"/>
    </row>
    <row r="741" spans="1:14" s="28" customFormat="1" x14ac:dyDescent="0.25">
      <c r="A741" s="7"/>
      <c r="B741" s="38"/>
      <c r="C741" s="2"/>
      <c r="D741" s="56"/>
      <c r="E741" s="56"/>
      <c r="F741" s="56"/>
      <c r="G741" s="56"/>
      <c r="H741" s="56"/>
      <c r="I741" s="56"/>
      <c r="J741" s="56"/>
      <c r="K741" s="56"/>
      <c r="L741" s="44"/>
      <c r="M741" s="69"/>
      <c r="N741" s="26"/>
    </row>
    <row r="742" spans="1:14" s="28" customFormat="1" x14ac:dyDescent="0.25">
      <c r="A742" s="7"/>
      <c r="B742" s="68" t="s">
        <v>89</v>
      </c>
      <c r="C742" s="2"/>
      <c r="D742" s="56"/>
      <c r="E742" s="56"/>
      <c r="F742" s="56"/>
      <c r="G742" s="56"/>
      <c r="H742" s="56"/>
      <c r="I742" s="56"/>
      <c r="J742" s="56"/>
      <c r="K742" s="56"/>
      <c r="L742" s="44"/>
      <c r="M742" s="69"/>
      <c r="N742" s="26"/>
    </row>
    <row r="743" spans="1:14" s="28" customFormat="1" x14ac:dyDescent="0.25">
      <c r="A743" s="7"/>
      <c r="B743" s="26" t="s">
        <v>210</v>
      </c>
      <c r="C743" s="2">
        <v>1</v>
      </c>
      <c r="D743" s="56">
        <f>CONVERT(E743,"m","ft")</f>
        <v>16.19694641828308</v>
      </c>
      <c r="E743" s="56">
        <f>3.26+5/3.28+0.5/3.28</f>
        <v>4.9368292682926826</v>
      </c>
      <c r="F743" s="56">
        <f>CONVERT(G743,"m","ft")</f>
        <v>11.326899686319697</v>
      </c>
      <c r="G743" s="56">
        <f>3.3+0.5/3.28</f>
        <v>3.4524390243902436</v>
      </c>
      <c r="H743" s="56"/>
      <c r="I743" s="56"/>
      <c r="J743" s="56">
        <f>C743*D743*F743</f>
        <v>183.46118730458755</v>
      </c>
      <c r="K743" s="56" t="s">
        <v>51</v>
      </c>
      <c r="L743" s="44"/>
      <c r="M743" s="69"/>
      <c r="N743" s="26"/>
    </row>
    <row r="744" spans="1:14" x14ac:dyDescent="0.25">
      <c r="A744" s="2"/>
      <c r="B744" s="4"/>
      <c r="C744" s="2"/>
      <c r="D744" s="56"/>
      <c r="E744" s="56"/>
      <c r="F744" s="56"/>
      <c r="G744" s="56"/>
      <c r="H744" s="56"/>
      <c r="I744" s="56"/>
      <c r="J744" s="56"/>
      <c r="K744" s="56"/>
      <c r="L744" s="56"/>
      <c r="M744" s="71"/>
      <c r="N744" s="4"/>
    </row>
    <row r="745" spans="1:14" s="28" customFormat="1" x14ac:dyDescent="0.25">
      <c r="A745" s="7"/>
      <c r="B745" s="41" t="s">
        <v>214</v>
      </c>
      <c r="C745" s="2"/>
      <c r="D745" s="56"/>
      <c r="E745" s="56"/>
      <c r="F745" s="56"/>
      <c r="G745" s="56"/>
      <c r="H745" s="56"/>
      <c r="I745" s="56"/>
      <c r="J745" s="56"/>
      <c r="K745" s="56"/>
      <c r="L745" s="44"/>
      <c r="M745" s="69"/>
      <c r="N745" s="26"/>
    </row>
    <row r="746" spans="1:14" s="28" customFormat="1" x14ac:dyDescent="0.25">
      <c r="A746" s="7"/>
      <c r="B746" s="41" t="s">
        <v>201</v>
      </c>
      <c r="C746" s="2"/>
      <c r="D746" s="56"/>
      <c r="E746" s="56"/>
      <c r="F746" s="56"/>
      <c r="G746" s="56"/>
      <c r="H746" s="56"/>
      <c r="I746" s="56"/>
      <c r="J746" s="56"/>
      <c r="K746" s="56"/>
      <c r="L746" s="44"/>
      <c r="M746" s="69"/>
      <c r="N746" s="26"/>
    </row>
    <row r="747" spans="1:14" s="28" customFormat="1" x14ac:dyDescent="0.25">
      <c r="A747" s="7"/>
      <c r="B747" s="38" t="s">
        <v>253</v>
      </c>
      <c r="C747" s="2">
        <v>1</v>
      </c>
      <c r="D747" s="56">
        <f>2+1+3.5</f>
        <v>6.5</v>
      </c>
      <c r="E747" s="56"/>
      <c r="F747" s="56">
        <f>CONVERT(G747,"m","ft")</f>
        <v>6.8897637795275593</v>
      </c>
      <c r="G747" s="56">
        <v>2.1</v>
      </c>
      <c r="H747" s="56"/>
      <c r="I747" s="56"/>
      <c r="J747" s="56">
        <f>C747*D747*F747</f>
        <v>44.783464566929133</v>
      </c>
      <c r="K747" s="56" t="s">
        <v>51</v>
      </c>
      <c r="L747" s="44"/>
      <c r="M747" s="69"/>
      <c r="N747" s="26"/>
    </row>
    <row r="748" spans="1:14" s="28" customFormat="1" x14ac:dyDescent="0.25">
      <c r="A748" s="7"/>
      <c r="B748" s="38" t="s">
        <v>80</v>
      </c>
      <c r="C748" s="2">
        <v>13</v>
      </c>
      <c r="D748" s="56">
        <v>3.5</v>
      </c>
      <c r="E748" s="56"/>
      <c r="F748" s="56">
        <f>0.83+0.58</f>
        <v>1.41</v>
      </c>
      <c r="G748" s="56"/>
      <c r="H748" s="56"/>
      <c r="I748" s="56"/>
      <c r="J748" s="56">
        <f>C748*D748*F748</f>
        <v>64.155000000000001</v>
      </c>
      <c r="K748" s="56" t="s">
        <v>51</v>
      </c>
      <c r="L748" s="44"/>
      <c r="M748" s="69"/>
      <c r="N748" s="26"/>
    </row>
    <row r="749" spans="1:14" s="28" customFormat="1" x14ac:dyDescent="0.25">
      <c r="A749" s="7"/>
      <c r="B749" s="41" t="s">
        <v>186</v>
      </c>
      <c r="C749" s="2">
        <v>1</v>
      </c>
      <c r="D749" s="56">
        <v>4.5</v>
      </c>
      <c r="E749" s="56"/>
      <c r="F749" s="56">
        <f>CONVERT(G749,"m","ft")</f>
        <v>11.076835669931501</v>
      </c>
      <c r="G749" s="56">
        <f>3.3+0.25/3.28</f>
        <v>3.3762195121951217</v>
      </c>
      <c r="H749" s="56"/>
      <c r="I749" s="56"/>
      <c r="J749" s="56">
        <f>C749*D749*F749</f>
        <v>49.845760514691754</v>
      </c>
      <c r="K749" s="56" t="s">
        <v>51</v>
      </c>
      <c r="L749" s="44"/>
      <c r="M749" s="69"/>
      <c r="N749" s="26"/>
    </row>
    <row r="750" spans="1:14" s="28" customFormat="1" x14ac:dyDescent="0.25">
      <c r="A750" s="7"/>
      <c r="B750" s="38" t="s">
        <v>254</v>
      </c>
      <c r="C750" s="2">
        <v>1</v>
      </c>
      <c r="D750" s="56">
        <f>CONVERT(E750,"m","ft")</f>
        <v>5.4746014979834836</v>
      </c>
      <c r="E750" s="56">
        <f>1.44+(1-0.25)/3.28</f>
        <v>1.6686585365853659</v>
      </c>
      <c r="F750" s="56">
        <f>CONVERT(G750,"m","ft")</f>
        <v>4.2979002624671914</v>
      </c>
      <c r="G750" s="56">
        <v>1.31</v>
      </c>
      <c r="H750" s="56"/>
      <c r="I750" s="56"/>
      <c r="J750" s="56">
        <f>C750*D750*F750</f>
        <v>23.529291215086495</v>
      </c>
      <c r="K750" s="56" t="s">
        <v>51</v>
      </c>
      <c r="L750" s="44"/>
      <c r="M750" s="69"/>
      <c r="N750" s="26"/>
    </row>
    <row r="751" spans="1:14" x14ac:dyDescent="0.25">
      <c r="A751" s="2"/>
      <c r="B751" s="4"/>
      <c r="C751" s="2"/>
      <c r="D751" s="56"/>
      <c r="E751" s="56"/>
      <c r="F751" s="56"/>
      <c r="G751" s="56"/>
      <c r="H751" s="56"/>
      <c r="I751" s="56"/>
      <c r="J751" s="56"/>
      <c r="K751" s="56"/>
      <c r="L751" s="56"/>
      <c r="M751" s="71"/>
      <c r="N751" s="4"/>
    </row>
    <row r="752" spans="1:14" s="28" customFormat="1" x14ac:dyDescent="0.25">
      <c r="A752" s="7"/>
      <c r="B752" s="38" t="s">
        <v>259</v>
      </c>
      <c r="C752" s="2">
        <v>1</v>
      </c>
      <c r="D752" s="56">
        <f>(30+1.667+1.667)*2+25*2</f>
        <v>116.66800000000001</v>
      </c>
      <c r="E752" s="56"/>
      <c r="F752" s="56">
        <v>1.667</v>
      </c>
      <c r="G752" s="56"/>
      <c r="H752" s="56"/>
      <c r="I752" s="56"/>
      <c r="J752" s="56">
        <f>C752*D752*F752</f>
        <v>194.485556</v>
      </c>
      <c r="K752" s="56" t="s">
        <v>51</v>
      </c>
      <c r="L752" s="44"/>
      <c r="M752" s="69"/>
      <c r="N752" s="26"/>
    </row>
    <row r="753" spans="1:16" s="28" customFormat="1" x14ac:dyDescent="0.25">
      <c r="A753" s="7"/>
      <c r="B753" s="38"/>
      <c r="C753" s="2"/>
      <c r="D753" s="56"/>
      <c r="E753" s="56"/>
      <c r="F753" s="56"/>
      <c r="G753" s="56"/>
      <c r="H753" s="56"/>
      <c r="I753" s="56"/>
      <c r="J753" s="56"/>
      <c r="K753" s="56"/>
      <c r="L753" s="44"/>
      <c r="M753" s="69"/>
      <c r="N753" s="26"/>
    </row>
    <row r="754" spans="1:16" s="28" customFormat="1" x14ac:dyDescent="0.25">
      <c r="A754" s="7"/>
      <c r="B754" s="95" t="s">
        <v>219</v>
      </c>
      <c r="C754" s="2"/>
      <c r="D754" s="56"/>
      <c r="E754" s="56"/>
      <c r="F754" s="56"/>
      <c r="G754" s="56"/>
      <c r="H754" s="56"/>
      <c r="I754" s="56"/>
      <c r="J754" s="56"/>
      <c r="K754" s="56"/>
      <c r="L754" s="44"/>
      <c r="M754" s="69"/>
      <c r="N754" s="26"/>
    </row>
    <row r="755" spans="1:16" s="28" customFormat="1" x14ac:dyDescent="0.25">
      <c r="A755" s="7"/>
      <c r="B755" s="38" t="s">
        <v>260</v>
      </c>
      <c r="C755" s="2">
        <v>1</v>
      </c>
      <c r="D755" s="56">
        <v>16.5</v>
      </c>
      <c r="E755" s="56"/>
      <c r="F755" s="56">
        <v>23.5</v>
      </c>
      <c r="G755" s="56"/>
      <c r="H755" s="56"/>
      <c r="I755" s="56"/>
      <c r="J755" s="56">
        <f>C755*D755*F755</f>
        <v>387.75</v>
      </c>
      <c r="K755" s="56" t="s">
        <v>51</v>
      </c>
      <c r="L755" s="44"/>
      <c r="M755" s="69"/>
      <c r="N755" s="26"/>
    </row>
    <row r="756" spans="1:16" s="28" customFormat="1" x14ac:dyDescent="0.25">
      <c r="A756" s="7"/>
      <c r="B756" s="38" t="s">
        <v>259</v>
      </c>
      <c r="C756" s="2">
        <v>1</v>
      </c>
      <c r="D756" s="56">
        <f>(2+1.667+1+4+1+11+1)*2+25</f>
        <v>68.334000000000003</v>
      </c>
      <c r="E756" s="56"/>
      <c r="F756" s="56">
        <v>1.667</v>
      </c>
      <c r="G756" s="56"/>
      <c r="H756" s="56"/>
      <c r="I756" s="56"/>
      <c r="J756" s="56">
        <f>C756*D756*F756</f>
        <v>113.912778</v>
      </c>
      <c r="K756" s="56" t="s">
        <v>51</v>
      </c>
      <c r="L756" s="44"/>
      <c r="M756" s="69"/>
      <c r="N756" s="26"/>
    </row>
    <row r="757" spans="1:16" s="28" customFormat="1" x14ac:dyDescent="0.25">
      <c r="A757" s="7"/>
      <c r="B757" s="38" t="s">
        <v>259</v>
      </c>
      <c r="C757" s="2">
        <v>1</v>
      </c>
      <c r="D757" s="56">
        <v>25</v>
      </c>
      <c r="E757" s="56"/>
      <c r="F757" s="56">
        <v>2</v>
      </c>
      <c r="G757" s="56"/>
      <c r="H757" s="56"/>
      <c r="I757" s="56"/>
      <c r="J757" s="56">
        <f>C757*D757*F757</f>
        <v>50</v>
      </c>
      <c r="K757" s="56" t="s">
        <v>51</v>
      </c>
      <c r="L757" s="44"/>
      <c r="M757" s="69"/>
      <c r="N757" s="26"/>
    </row>
    <row r="758" spans="1:16" s="28" customFormat="1" x14ac:dyDescent="0.25">
      <c r="A758" s="7"/>
      <c r="B758" s="38"/>
      <c r="C758" s="2"/>
      <c r="D758" s="56"/>
      <c r="E758" s="56"/>
      <c r="F758" s="56"/>
      <c r="G758" s="56"/>
      <c r="H758" s="56"/>
      <c r="I758" s="56"/>
      <c r="J758" s="56"/>
      <c r="K758" s="56"/>
      <c r="L758" s="44"/>
      <c r="M758" s="69"/>
      <c r="N758" s="26"/>
    </row>
    <row r="759" spans="1:16" s="28" customFormat="1" x14ac:dyDescent="0.25">
      <c r="A759" s="7"/>
      <c r="B759" s="4"/>
      <c r="C759" s="7"/>
      <c r="D759" s="44"/>
      <c r="E759" s="44"/>
      <c r="F759" s="44"/>
      <c r="G759" s="44"/>
      <c r="H759" s="35" t="s">
        <v>310</v>
      </c>
      <c r="I759" s="44"/>
      <c r="J759" s="44">
        <f>SUM(J710:J757)</f>
        <v>2725.1887660773496</v>
      </c>
      <c r="K759" s="44" t="s">
        <v>51</v>
      </c>
      <c r="L759" s="44"/>
      <c r="M759" s="69"/>
      <c r="N759" s="26"/>
    </row>
    <row r="760" spans="1:16" s="28" customFormat="1" x14ac:dyDescent="0.25">
      <c r="A760" s="7"/>
      <c r="B760" s="26"/>
      <c r="C760" s="7"/>
      <c r="D760" s="44"/>
      <c r="E760" s="44"/>
      <c r="F760" s="44"/>
      <c r="G760" s="44"/>
      <c r="H760" s="35"/>
      <c r="I760" s="44"/>
      <c r="J760" s="44">
        <f>CONVERT(CONVERT(J759,"ft","m"),"ft","m")</f>
        <v>253.17832094243468</v>
      </c>
      <c r="K760" s="44" t="s">
        <v>220</v>
      </c>
      <c r="L760" s="44"/>
      <c r="M760" s="69"/>
      <c r="N760" s="26"/>
    </row>
    <row r="761" spans="1:16" ht="51" x14ac:dyDescent="0.25">
      <c r="A761" s="7">
        <v>6.2</v>
      </c>
      <c r="B761" s="82" t="s">
        <v>339</v>
      </c>
      <c r="C761" s="2"/>
      <c r="D761" s="2"/>
      <c r="E761" s="2"/>
      <c r="F761" s="2"/>
      <c r="G761" s="2"/>
      <c r="H761" s="2"/>
      <c r="I761" s="2"/>
      <c r="J761" s="56"/>
      <c r="K761" s="2"/>
      <c r="L761" s="2"/>
      <c r="M761" s="40"/>
      <c r="N761" s="2"/>
    </row>
    <row r="762" spans="1:16" x14ac:dyDescent="0.25">
      <c r="A762" s="7"/>
      <c r="B762" s="83" t="s">
        <v>340</v>
      </c>
      <c r="C762" s="2">
        <v>1</v>
      </c>
      <c r="D762" s="2"/>
      <c r="E762" s="2"/>
      <c r="F762" s="2"/>
      <c r="G762" s="2"/>
      <c r="H762" s="35" t="s">
        <v>310</v>
      </c>
      <c r="I762" s="2"/>
      <c r="J762" s="44">
        <f>J759</f>
        <v>2725.1887660773496</v>
      </c>
      <c r="K762" s="44" t="s">
        <v>51</v>
      </c>
      <c r="L762" s="2"/>
      <c r="M762" s="40"/>
      <c r="N762" s="2"/>
    </row>
    <row r="763" spans="1:16" x14ac:dyDescent="0.25">
      <c r="A763" s="7"/>
      <c r="B763" s="2"/>
      <c r="C763" s="2"/>
      <c r="D763" s="2"/>
      <c r="E763" s="2"/>
      <c r="F763" s="2"/>
      <c r="G763" s="2"/>
      <c r="H763" s="35"/>
      <c r="I763" s="2"/>
      <c r="J763" s="44">
        <f>J760</f>
        <v>253.17832094243468</v>
      </c>
      <c r="K763" s="44" t="s">
        <v>220</v>
      </c>
      <c r="L763" s="2"/>
      <c r="M763" s="40"/>
      <c r="N763" s="2"/>
    </row>
    <row r="764" spans="1:16" x14ac:dyDescent="0.25">
      <c r="A764" s="7"/>
      <c r="B764" s="2"/>
      <c r="C764" s="2"/>
      <c r="D764" s="2"/>
      <c r="E764" s="2"/>
      <c r="F764" s="2"/>
      <c r="G764" s="2"/>
      <c r="H764" s="2"/>
      <c r="I764" s="2"/>
      <c r="J764" s="56"/>
      <c r="K764" s="2"/>
      <c r="L764" s="2"/>
      <c r="M764" s="40"/>
      <c r="N764" s="2"/>
    </row>
    <row r="765" spans="1:16" ht="30" customHeight="1" x14ac:dyDescent="0.25">
      <c r="A765" s="7">
        <v>6.3</v>
      </c>
      <c r="B765" s="97" t="s">
        <v>346</v>
      </c>
      <c r="C765" s="78"/>
      <c r="D765" s="2"/>
      <c r="E765" s="2"/>
      <c r="F765" s="2"/>
      <c r="G765" s="2"/>
      <c r="H765" s="2"/>
      <c r="I765" s="2"/>
      <c r="J765" s="71"/>
      <c r="K765" s="7"/>
      <c r="L765" s="2"/>
      <c r="M765" s="40"/>
      <c r="N765" s="2"/>
    </row>
    <row r="766" spans="1:16" ht="45" x14ac:dyDescent="0.25">
      <c r="A766" s="2"/>
      <c r="B766" s="76" t="s">
        <v>343</v>
      </c>
      <c r="C766" s="2"/>
      <c r="D766" s="2"/>
      <c r="E766" s="2"/>
      <c r="F766" s="2"/>
      <c r="G766" s="2"/>
      <c r="H766" s="2"/>
      <c r="I766" s="2"/>
      <c r="J766" s="56"/>
      <c r="K766" s="2"/>
      <c r="L766" s="2"/>
      <c r="M766" s="40"/>
      <c r="N766" s="2"/>
      <c r="P766" s="73"/>
    </row>
    <row r="767" spans="1:16" x14ac:dyDescent="0.25">
      <c r="A767" s="2"/>
      <c r="B767" s="7" t="s">
        <v>73</v>
      </c>
      <c r="C767" s="2"/>
      <c r="D767" s="2"/>
      <c r="E767" s="2"/>
      <c r="F767" s="2"/>
      <c r="G767" s="2"/>
      <c r="H767" s="2"/>
      <c r="I767" s="2"/>
      <c r="J767" s="56"/>
      <c r="K767" s="2"/>
      <c r="L767" s="2"/>
      <c r="M767" s="40"/>
      <c r="N767" s="2"/>
    </row>
    <row r="768" spans="1:16" x14ac:dyDescent="0.25">
      <c r="A768" s="2"/>
      <c r="B768" s="83" t="s">
        <v>344</v>
      </c>
      <c r="C768" s="2">
        <v>1</v>
      </c>
      <c r="D768" s="56">
        <f>CONVERT(E768,"m","ft")</f>
        <v>17.962598425196852</v>
      </c>
      <c r="E768" s="2">
        <f>1.6+1.6+1.1+1.1+0.075</f>
        <v>5.4750000000000005</v>
      </c>
      <c r="F768" s="2"/>
      <c r="G768" s="2"/>
      <c r="H768" s="2">
        <f>7+10/12</f>
        <v>7.833333333333333</v>
      </c>
      <c r="I768" s="2"/>
      <c r="J768" s="56">
        <f>C768*D768*H768</f>
        <v>140.70702099737534</v>
      </c>
      <c r="K768" s="2"/>
      <c r="L768" s="2"/>
      <c r="M768" s="40"/>
      <c r="N768" s="2"/>
    </row>
    <row r="769" spans="1:14" x14ac:dyDescent="0.25">
      <c r="A769" s="2"/>
      <c r="B769" s="83" t="s">
        <v>345</v>
      </c>
      <c r="C769" s="2">
        <v>1</v>
      </c>
      <c r="D769" s="56">
        <f>CONVERT(E769,"m","ft")</f>
        <v>18.372703412073491</v>
      </c>
      <c r="E769" s="2">
        <f>1.7+1.7+1.1+1.1</f>
        <v>5.6</v>
      </c>
      <c r="F769" s="2"/>
      <c r="G769" s="2"/>
      <c r="H769" s="2">
        <f>7+10/12</f>
        <v>7.833333333333333</v>
      </c>
      <c r="I769" s="2"/>
      <c r="J769" s="56">
        <f t="shared" ref="J769:J774" si="26">C769*D769*H769</f>
        <v>143.91951006124233</v>
      </c>
      <c r="K769" s="2"/>
      <c r="L769" s="2"/>
      <c r="M769" s="40"/>
      <c r="N769" s="2"/>
    </row>
    <row r="770" spans="1:14" x14ac:dyDescent="0.25">
      <c r="A770" s="2"/>
      <c r="B770" s="83" t="s">
        <v>347</v>
      </c>
      <c r="C770" s="2">
        <v>1</v>
      </c>
      <c r="D770" s="56">
        <f>CONVERT(E770,"m","ft")</f>
        <v>18.044619422572179</v>
      </c>
      <c r="E770" s="2">
        <f>1.68+1.68+1.07+1.07</f>
        <v>5.5</v>
      </c>
      <c r="F770" s="2"/>
      <c r="G770" s="2"/>
      <c r="H770" s="2">
        <f>7+10/12</f>
        <v>7.833333333333333</v>
      </c>
      <c r="I770" s="2"/>
      <c r="J770" s="56">
        <f t="shared" si="26"/>
        <v>141.34951881014874</v>
      </c>
      <c r="K770" s="2"/>
      <c r="L770" s="2"/>
      <c r="M770" s="40"/>
      <c r="N770" s="2"/>
    </row>
    <row r="771" spans="1:14" x14ac:dyDescent="0.25">
      <c r="A771" s="2"/>
      <c r="B771" s="83" t="s">
        <v>197</v>
      </c>
      <c r="C771" s="2">
        <f>-0.5*2</f>
        <v>-1</v>
      </c>
      <c r="D771" s="56">
        <v>3</v>
      </c>
      <c r="E771" s="2"/>
      <c r="F771" s="2"/>
      <c r="G771" s="2"/>
      <c r="H771" s="2">
        <v>2</v>
      </c>
      <c r="I771" s="2"/>
      <c r="J771" s="56">
        <f t="shared" si="26"/>
        <v>-6</v>
      </c>
      <c r="K771" s="2"/>
      <c r="L771" s="2"/>
      <c r="M771" s="40"/>
      <c r="N771" s="2"/>
    </row>
    <row r="772" spans="1:14" x14ac:dyDescent="0.25">
      <c r="A772" s="2"/>
      <c r="B772" s="83" t="s">
        <v>174</v>
      </c>
      <c r="C772" s="2">
        <f>-4*0.5</f>
        <v>-2</v>
      </c>
      <c r="D772" s="56">
        <v>2.5</v>
      </c>
      <c r="E772" s="2"/>
      <c r="F772" s="2"/>
      <c r="G772" s="2"/>
      <c r="H772" s="2">
        <v>6.5</v>
      </c>
      <c r="I772" s="2"/>
      <c r="J772" s="56">
        <f t="shared" si="26"/>
        <v>-32.5</v>
      </c>
      <c r="K772" s="2"/>
      <c r="L772" s="2"/>
      <c r="M772" s="40"/>
      <c r="N772" s="2"/>
    </row>
    <row r="773" spans="1:14" x14ac:dyDescent="0.25">
      <c r="A773" s="2"/>
      <c r="B773" s="83" t="s">
        <v>348</v>
      </c>
      <c r="C773" s="2">
        <v>1</v>
      </c>
      <c r="D773" s="56">
        <f>CONVERT(E773,"m","ft")</f>
        <v>10.826771653543307</v>
      </c>
      <c r="E773" s="2">
        <f>1.7+1.6</f>
        <v>3.3</v>
      </c>
      <c r="F773" s="2"/>
      <c r="G773" s="2"/>
      <c r="H773" s="2">
        <v>1.1000000000000001</v>
      </c>
      <c r="I773" s="2"/>
      <c r="J773" s="56">
        <f t="shared" si="26"/>
        <v>11.909448818897639</v>
      </c>
      <c r="K773" s="2"/>
      <c r="L773" s="2"/>
      <c r="M773" s="40"/>
      <c r="N773" s="2"/>
    </row>
    <row r="774" spans="1:14" x14ac:dyDescent="0.25">
      <c r="A774" s="2"/>
      <c r="B774" s="83"/>
      <c r="C774" s="2">
        <v>1</v>
      </c>
      <c r="D774" s="56">
        <f>CONVERT(E774,"m","ft")</f>
        <v>5.5118110236220472</v>
      </c>
      <c r="E774" s="2">
        <v>1.68</v>
      </c>
      <c r="F774" s="2"/>
      <c r="G774" s="2"/>
      <c r="H774" s="2">
        <v>1.07</v>
      </c>
      <c r="I774" s="2"/>
      <c r="J774" s="56">
        <f t="shared" si="26"/>
        <v>5.8976377952755907</v>
      </c>
      <c r="K774" s="2"/>
      <c r="L774" s="2"/>
      <c r="M774" s="40"/>
      <c r="N774" s="2"/>
    </row>
    <row r="775" spans="1:14" x14ac:dyDescent="0.25">
      <c r="A775" s="2"/>
      <c r="B775" s="2"/>
      <c r="C775" s="2"/>
      <c r="D775" s="2"/>
      <c r="E775" s="2"/>
      <c r="F775" s="2"/>
      <c r="G775" s="2"/>
      <c r="H775" s="2"/>
      <c r="I775" s="2"/>
      <c r="J775" s="56"/>
      <c r="K775" s="2"/>
      <c r="L775" s="2"/>
      <c r="M775" s="40"/>
      <c r="N775" s="2"/>
    </row>
    <row r="776" spans="1:14" x14ac:dyDescent="0.25">
      <c r="A776" s="2"/>
      <c r="B776" s="7" t="s">
        <v>84</v>
      </c>
      <c r="C776" s="2"/>
      <c r="D776" s="2"/>
      <c r="E776" s="2"/>
      <c r="F776" s="2"/>
      <c r="G776" s="2"/>
      <c r="H776" s="2"/>
      <c r="I776" s="2"/>
      <c r="J776" s="56"/>
      <c r="K776" s="2"/>
      <c r="L776" s="2"/>
      <c r="M776" s="40"/>
      <c r="N776" s="2"/>
    </row>
    <row r="777" spans="1:14" x14ac:dyDescent="0.25">
      <c r="A777" s="2"/>
      <c r="B777" s="83" t="s">
        <v>347</v>
      </c>
      <c r="C777" s="2">
        <v>1</v>
      </c>
      <c r="D777" s="56">
        <f>CONVERT(E777,"m","ft")</f>
        <v>16.666666666666668</v>
      </c>
      <c r="E777" s="2">
        <f>1.58+1.58+0.96*2</f>
        <v>5.08</v>
      </c>
      <c r="F777" s="2"/>
      <c r="G777" s="2"/>
      <c r="H777" s="2">
        <f>7+10/12</f>
        <v>7.833333333333333</v>
      </c>
      <c r="I777" s="2"/>
      <c r="J777" s="56">
        <f>C777*D777*H777</f>
        <v>130.55555555555557</v>
      </c>
      <c r="K777" s="2"/>
      <c r="L777" s="2"/>
      <c r="M777" s="40"/>
      <c r="N777" s="2"/>
    </row>
    <row r="778" spans="1:14" x14ac:dyDescent="0.25">
      <c r="A778" s="2"/>
      <c r="B778" s="83" t="s">
        <v>197</v>
      </c>
      <c r="C778" s="2">
        <f>-0.5</f>
        <v>-0.5</v>
      </c>
      <c r="D778" s="56">
        <v>3</v>
      </c>
      <c r="E778" s="2"/>
      <c r="F778" s="2"/>
      <c r="G778" s="2"/>
      <c r="H778" s="2">
        <v>2</v>
      </c>
      <c r="I778" s="2"/>
      <c r="J778" s="56">
        <f>C778*D778*H778</f>
        <v>-3</v>
      </c>
      <c r="K778" s="2"/>
      <c r="L778" s="2"/>
      <c r="M778" s="40"/>
      <c r="N778" s="2"/>
    </row>
    <row r="779" spans="1:14" x14ac:dyDescent="0.25">
      <c r="A779" s="2"/>
      <c r="B779" s="83" t="s">
        <v>174</v>
      </c>
      <c r="C779" s="2">
        <f>-1*0.5</f>
        <v>-0.5</v>
      </c>
      <c r="D779" s="56">
        <v>2.5</v>
      </c>
      <c r="E779" s="2"/>
      <c r="F779" s="2"/>
      <c r="G779" s="2"/>
      <c r="H779" s="2">
        <v>6.5</v>
      </c>
      <c r="I779" s="2"/>
      <c r="J779" s="56">
        <f>C779*D779*H779</f>
        <v>-8.125</v>
      </c>
      <c r="K779" s="2"/>
      <c r="L779" s="2"/>
      <c r="M779" s="40"/>
      <c r="N779" s="2"/>
    </row>
    <row r="780" spans="1:14" x14ac:dyDescent="0.25">
      <c r="A780" s="2"/>
      <c r="B780" s="83" t="s">
        <v>348</v>
      </c>
      <c r="C780" s="2">
        <v>1</v>
      </c>
      <c r="D780" s="56">
        <f>CONVERT(E780,"m","ft")</f>
        <v>5.1837270341207349</v>
      </c>
      <c r="E780" s="2">
        <v>1.58</v>
      </c>
      <c r="F780" s="2"/>
      <c r="G780" s="2"/>
      <c r="H780" s="2">
        <v>0.96</v>
      </c>
      <c r="I780" s="2"/>
      <c r="J780" s="56">
        <f>C780*D780*H780</f>
        <v>4.9763779527559056</v>
      </c>
      <c r="K780" s="2"/>
      <c r="L780" s="2"/>
      <c r="M780" s="40"/>
      <c r="N780" s="2"/>
    </row>
    <row r="781" spans="1:14" x14ac:dyDescent="0.25">
      <c r="A781" s="2"/>
      <c r="B781" s="2"/>
      <c r="C781" s="2"/>
      <c r="D781" s="2"/>
      <c r="E781" s="2"/>
      <c r="F781" s="2"/>
      <c r="G781" s="2"/>
      <c r="H781" s="2"/>
      <c r="I781" s="2"/>
      <c r="J781" s="56"/>
      <c r="K781" s="2"/>
      <c r="L781" s="2"/>
      <c r="M781" s="40"/>
      <c r="N781" s="2"/>
    </row>
    <row r="782" spans="1:14" x14ac:dyDescent="0.25">
      <c r="A782" s="2"/>
      <c r="B782" s="7" t="s">
        <v>89</v>
      </c>
      <c r="C782" s="2"/>
      <c r="D782" s="2"/>
      <c r="E782" s="2"/>
      <c r="F782" s="2"/>
      <c r="G782" s="2"/>
      <c r="H782" s="2"/>
      <c r="I782" s="2"/>
      <c r="J782" s="56"/>
      <c r="K782" s="2"/>
      <c r="L782" s="2"/>
      <c r="M782" s="40"/>
      <c r="N782" s="2"/>
    </row>
    <row r="783" spans="1:14" x14ac:dyDescent="0.25">
      <c r="A783" s="2"/>
      <c r="B783" s="83" t="s">
        <v>347</v>
      </c>
      <c r="C783" s="2">
        <v>1</v>
      </c>
      <c r="D783" s="56">
        <f>CONVERT(E783,"m","ft")</f>
        <v>16.666666666666668</v>
      </c>
      <c r="E783" s="2">
        <f>1.58+1.58+0.96*2</f>
        <v>5.08</v>
      </c>
      <c r="F783" s="2"/>
      <c r="G783" s="2"/>
      <c r="H783" s="2">
        <f>7+10/12</f>
        <v>7.833333333333333</v>
      </c>
      <c r="I783" s="2"/>
      <c r="J783" s="56">
        <f>C783*D783*H783</f>
        <v>130.55555555555557</v>
      </c>
      <c r="K783" s="2"/>
      <c r="L783" s="2"/>
      <c r="M783" s="40"/>
      <c r="N783" s="2"/>
    </row>
    <row r="784" spans="1:14" x14ac:dyDescent="0.25">
      <c r="A784" s="2"/>
      <c r="B784" s="83" t="s">
        <v>197</v>
      </c>
      <c r="C784" s="2">
        <f>-0.5</f>
        <v>-0.5</v>
      </c>
      <c r="D784" s="56">
        <v>3</v>
      </c>
      <c r="E784" s="2"/>
      <c r="F784" s="2"/>
      <c r="G784" s="2"/>
      <c r="H784" s="2">
        <v>2</v>
      </c>
      <c r="I784" s="2"/>
      <c r="J784" s="56">
        <f>C784*D784*H784</f>
        <v>-3</v>
      </c>
      <c r="K784" s="2"/>
      <c r="L784" s="2"/>
      <c r="M784" s="40"/>
      <c r="N784" s="2"/>
    </row>
    <row r="785" spans="1:14" x14ac:dyDescent="0.25">
      <c r="A785" s="2"/>
      <c r="B785" s="83" t="s">
        <v>174</v>
      </c>
      <c r="C785" s="2">
        <f>-1*0.5</f>
        <v>-0.5</v>
      </c>
      <c r="D785" s="56">
        <v>2.5</v>
      </c>
      <c r="E785" s="2"/>
      <c r="F785" s="2"/>
      <c r="G785" s="2"/>
      <c r="H785" s="2">
        <v>6.5</v>
      </c>
      <c r="I785" s="2"/>
      <c r="J785" s="56">
        <f>C785*D785*H785</f>
        <v>-8.125</v>
      </c>
      <c r="K785" s="2"/>
      <c r="L785" s="2"/>
      <c r="M785" s="40"/>
      <c r="N785" s="2"/>
    </row>
    <row r="786" spans="1:14" x14ac:dyDescent="0.25">
      <c r="A786" s="2"/>
      <c r="B786" s="83" t="s">
        <v>348</v>
      </c>
      <c r="C786" s="2">
        <v>1</v>
      </c>
      <c r="D786" s="56">
        <f>CONVERT(E786,"m","ft")</f>
        <v>5.1837270341207349</v>
      </c>
      <c r="E786" s="2">
        <v>1.58</v>
      </c>
      <c r="F786" s="2"/>
      <c r="G786" s="2"/>
      <c r="H786" s="2">
        <v>0.96</v>
      </c>
      <c r="I786" s="2"/>
      <c r="J786" s="56">
        <f>C786*D786*H786</f>
        <v>4.9763779527559056</v>
      </c>
      <c r="K786" s="2"/>
      <c r="L786" s="2"/>
      <c r="M786" s="40"/>
      <c r="N786" s="2"/>
    </row>
    <row r="787" spans="1:14" x14ac:dyDescent="0.25">
      <c r="A787" s="2"/>
      <c r="B787" s="2"/>
      <c r="C787" s="2"/>
      <c r="D787" s="2"/>
      <c r="E787" s="2"/>
      <c r="F787" s="2"/>
      <c r="G787" s="2"/>
      <c r="H787" s="2"/>
      <c r="I787" s="2"/>
      <c r="J787" s="56"/>
      <c r="K787" s="2"/>
      <c r="L787" s="2"/>
      <c r="M787" s="40"/>
      <c r="N787" s="2"/>
    </row>
    <row r="788" spans="1:14" x14ac:dyDescent="0.25">
      <c r="A788" s="2"/>
      <c r="B788" s="2"/>
      <c r="C788" s="2"/>
      <c r="D788" s="2"/>
      <c r="E788" s="2"/>
      <c r="F788" s="2"/>
      <c r="G788" s="2"/>
      <c r="H788" s="35" t="s">
        <v>310</v>
      </c>
      <c r="I788" s="2"/>
      <c r="J788" s="44">
        <f>SUM(J768:J786)</f>
        <v>654.09700349956256</v>
      </c>
      <c r="K788" s="44" t="s">
        <v>51</v>
      </c>
      <c r="L788" s="2"/>
      <c r="M788" s="40"/>
      <c r="N788" s="2"/>
    </row>
    <row r="789" spans="1:14" x14ac:dyDescent="0.25">
      <c r="A789" s="2"/>
      <c r="B789" s="2"/>
      <c r="C789" s="2"/>
      <c r="D789" s="2"/>
      <c r="E789" s="2"/>
      <c r="F789" s="2"/>
      <c r="G789" s="2"/>
      <c r="H789" s="35"/>
      <c r="I789" s="2"/>
      <c r="J789" s="44">
        <f>CONVERT(CONVERT(J788,"ft","m"),"ft","m")</f>
        <v>60.767600080000015</v>
      </c>
      <c r="K789" s="44" t="s">
        <v>220</v>
      </c>
      <c r="L789" s="2"/>
      <c r="M789" s="40"/>
      <c r="N789" s="2"/>
    </row>
  </sheetData>
  <mergeCells count="5">
    <mergeCell ref="A1:N1"/>
    <mergeCell ref="A2:N2"/>
    <mergeCell ref="A3:N3"/>
    <mergeCell ref="A4:N4"/>
    <mergeCell ref="A5:N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view="pageBreakPreview" zoomScaleSheetLayoutView="100" workbookViewId="0">
      <selection activeCell="B11" sqref="B11"/>
    </sheetView>
  </sheetViews>
  <sheetFormatPr defaultColWidth="9.140625" defaultRowHeight="15" x14ac:dyDescent="0.25"/>
  <cols>
    <col min="1" max="1" width="6.140625" style="20" customWidth="1"/>
    <col min="2" max="2" width="44.85546875" style="20" customWidth="1"/>
    <col min="3" max="3" width="5.5703125" style="20" customWidth="1"/>
    <col min="4" max="6" width="9.140625" style="20" customWidth="1"/>
    <col min="7" max="7" width="13.85546875" style="20" customWidth="1"/>
    <col min="8" max="8" width="6.85546875" style="20" customWidth="1"/>
    <col min="9" max="9" width="13.85546875" style="20" customWidth="1"/>
    <col min="10" max="10" width="14.5703125" style="21" bestFit="1" customWidth="1"/>
    <col min="11" max="11" width="19.28515625" style="20" bestFit="1"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37</v>
      </c>
      <c r="B5" s="189"/>
      <c r="C5" s="189"/>
      <c r="D5" s="189"/>
      <c r="E5" s="189"/>
      <c r="F5" s="189"/>
      <c r="G5" s="189"/>
      <c r="H5" s="189"/>
      <c r="I5" s="189"/>
      <c r="J5" s="189"/>
      <c r="K5" s="189"/>
    </row>
    <row r="6" spans="1:11" s="19" customFormat="1" x14ac:dyDescent="0.25">
      <c r="A6"/>
      <c r="B6"/>
      <c r="C6"/>
      <c r="D6"/>
      <c r="E6"/>
      <c r="F6"/>
      <c r="G6"/>
      <c r="H6"/>
      <c r="I6"/>
      <c r="J6" s="6"/>
      <c r="K6"/>
    </row>
    <row r="7" spans="1:11" x14ac:dyDescent="0.25">
      <c r="A7" t="s">
        <v>27</v>
      </c>
      <c r="B7"/>
      <c r="C7"/>
      <c r="D7"/>
      <c r="E7"/>
      <c r="F7"/>
      <c r="G7"/>
      <c r="H7"/>
      <c r="I7"/>
      <c r="J7" s="20"/>
      <c r="K7" s="18" t="s">
        <v>26</v>
      </c>
    </row>
    <row r="8" spans="1:11" customFormat="1" x14ac:dyDescent="0.25">
      <c r="A8" t="s">
        <v>28</v>
      </c>
      <c r="J8" s="18"/>
      <c r="K8" s="22" t="s">
        <v>36</v>
      </c>
    </row>
    <row r="9" spans="1:11" customFormat="1" ht="22.5" customHeight="1" x14ac:dyDescent="0.25">
      <c r="A9" s="23" t="s">
        <v>0</v>
      </c>
      <c r="B9" s="23" t="s">
        <v>20</v>
      </c>
      <c r="C9" s="23" t="s">
        <v>1</v>
      </c>
      <c r="D9" s="23" t="s">
        <v>2</v>
      </c>
      <c r="E9" s="23" t="s">
        <v>3</v>
      </c>
      <c r="F9" s="23" t="s">
        <v>4</v>
      </c>
      <c r="G9" s="23" t="s">
        <v>6</v>
      </c>
      <c r="H9" s="23" t="s">
        <v>7</v>
      </c>
      <c r="I9" s="23" t="s">
        <v>8</v>
      </c>
      <c r="J9" s="24" t="s">
        <v>9</v>
      </c>
      <c r="K9" s="23" t="s">
        <v>5</v>
      </c>
    </row>
    <row r="10" spans="1:11" ht="24" customHeight="1" x14ac:dyDescent="0.25">
      <c r="A10" s="2">
        <v>1</v>
      </c>
      <c r="B10" s="34" t="s">
        <v>29</v>
      </c>
      <c r="C10" s="2"/>
      <c r="D10" s="7"/>
      <c r="E10" s="7"/>
      <c r="F10" s="7"/>
      <c r="G10" s="7"/>
      <c r="H10" s="7"/>
      <c r="I10" s="7"/>
      <c r="J10" s="27"/>
      <c r="K10" s="4"/>
    </row>
    <row r="11" spans="1:11" ht="24" customHeight="1" x14ac:dyDescent="0.25">
      <c r="A11" s="7"/>
      <c r="B11" s="36" t="s">
        <v>30</v>
      </c>
      <c r="C11" s="2">
        <v>1</v>
      </c>
      <c r="D11" s="2">
        <v>15</v>
      </c>
      <c r="E11" s="2">
        <v>4</v>
      </c>
      <c r="F11" s="2">
        <v>0.15</v>
      </c>
      <c r="G11" s="2">
        <f>PRODUCT(C11:F11)</f>
        <v>9</v>
      </c>
      <c r="H11" s="2"/>
      <c r="I11" s="2"/>
      <c r="J11" s="25"/>
      <c r="K11" s="4"/>
    </row>
    <row r="12" spans="1:11" ht="24" customHeight="1" x14ac:dyDescent="0.25">
      <c r="A12" s="7"/>
      <c r="B12" s="36" t="s">
        <v>31</v>
      </c>
      <c r="C12" s="2">
        <v>1</v>
      </c>
      <c r="D12" s="2">
        <v>22</v>
      </c>
      <c r="E12" s="2">
        <v>4</v>
      </c>
      <c r="F12" s="2">
        <v>0.15</v>
      </c>
      <c r="G12" s="2">
        <f>PRODUCT(C12:F12)</f>
        <v>13.2</v>
      </c>
      <c r="H12" s="2"/>
      <c r="I12" s="2"/>
      <c r="J12" s="25"/>
      <c r="K12" s="4"/>
    </row>
    <row r="13" spans="1:11" ht="22.5" customHeight="1" x14ac:dyDescent="0.25">
      <c r="A13" s="7"/>
      <c r="B13" s="34"/>
      <c r="C13" s="2"/>
      <c r="D13" s="2"/>
      <c r="E13" s="2"/>
      <c r="F13" s="2"/>
      <c r="G13" s="7">
        <f>SUM(G11:G12)</f>
        <v>22.2</v>
      </c>
      <c r="H13" s="7" t="s">
        <v>21</v>
      </c>
      <c r="I13" s="7">
        <v>1901.19</v>
      </c>
      <c r="J13" s="25">
        <f>G13*I13</f>
        <v>42206.417999999998</v>
      </c>
      <c r="K13" s="4"/>
    </row>
    <row r="14" spans="1:11" x14ac:dyDescent="0.25">
      <c r="A14" s="7"/>
      <c r="B14" s="26" t="s">
        <v>25</v>
      </c>
      <c r="C14" s="2"/>
      <c r="D14" s="2"/>
      <c r="E14" s="2"/>
      <c r="F14" s="2"/>
      <c r="G14" s="25"/>
      <c r="H14" s="2"/>
      <c r="I14" s="2"/>
      <c r="J14" s="25">
        <f>G13*1869.84*0.13</f>
        <v>5396.3582399999996</v>
      </c>
      <c r="K14" s="4"/>
    </row>
    <row r="15" spans="1:11" ht="22.5" customHeight="1" x14ac:dyDescent="0.25">
      <c r="A15" s="7"/>
      <c r="B15" s="7"/>
      <c r="C15" s="2"/>
      <c r="D15" s="2"/>
      <c r="E15" s="2"/>
      <c r="F15" s="2"/>
      <c r="G15" s="25"/>
      <c r="H15" s="7"/>
      <c r="I15" s="35" t="s">
        <v>10</v>
      </c>
      <c r="J15" s="27">
        <f>SUM(J10:J14)</f>
        <v>47602.776239999999</v>
      </c>
      <c r="K15" s="7" t="s">
        <v>24</v>
      </c>
    </row>
    <row r="16" spans="1:11" ht="22.5" customHeight="1" x14ac:dyDescent="0.25">
      <c r="A16" s="28"/>
      <c r="B16" s="28"/>
      <c r="G16" s="29"/>
      <c r="H16" s="28"/>
      <c r="J16" s="30"/>
    </row>
    <row r="17" spans="2:11" ht="22.5" customHeight="1" x14ac:dyDescent="0.25">
      <c r="G17" s="32"/>
      <c r="I17" s="33"/>
      <c r="J17" s="31"/>
      <c r="K17" s="28"/>
    </row>
    <row r="20" spans="2:11" x14ac:dyDescent="0.25">
      <c r="B20" s="185"/>
      <c r="C20" s="185"/>
      <c r="D20" s="185"/>
      <c r="E20" s="185"/>
      <c r="F20" s="185"/>
      <c r="G20" s="185"/>
      <c r="H20" s="184"/>
      <c r="I20" s="185"/>
      <c r="J20" s="185"/>
    </row>
  </sheetData>
  <mergeCells count="7">
    <mergeCell ref="B20:G20"/>
    <mergeCell ref="H20:J20"/>
    <mergeCell ref="A1:K1"/>
    <mergeCell ref="A2:K2"/>
    <mergeCell ref="A3:K3"/>
    <mergeCell ref="A4:K4"/>
    <mergeCell ref="A5:K5"/>
  </mergeCells>
  <pageMargins left="0.7" right="0.7" top="0.75" bottom="0.75" header="0.3" footer="0.3"/>
  <pageSetup scale="80" orientation="landscape" verticalDpi="300" r:id="rId1"/>
  <headerFooter>
    <oddFooter>&amp;LPrepared ByEr Bal Krishna Manandhar&amp;RApproved ByPramod Simkhada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D13" sqref="D1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206" t="s">
        <v>11</v>
      </c>
      <c r="B1" s="206"/>
      <c r="C1" s="206"/>
      <c r="D1" s="206"/>
      <c r="E1" s="206"/>
      <c r="F1" s="206"/>
      <c r="G1" s="206"/>
      <c r="H1" s="206"/>
      <c r="I1" s="206"/>
      <c r="J1" s="206"/>
      <c r="K1" s="206"/>
    </row>
    <row r="2" spans="1:11" ht="25.5" x14ac:dyDescent="0.35">
      <c r="A2" s="207" t="s">
        <v>12</v>
      </c>
      <c r="B2" s="207"/>
      <c r="C2" s="207"/>
      <c r="D2" s="207"/>
      <c r="E2" s="207"/>
      <c r="F2" s="207"/>
      <c r="G2" s="207"/>
      <c r="H2" s="207"/>
      <c r="I2" s="207"/>
      <c r="J2" s="207"/>
      <c r="K2" s="207"/>
    </row>
    <row r="3" spans="1:11" ht="18.75" x14ac:dyDescent="0.3">
      <c r="A3" s="208" t="s">
        <v>13</v>
      </c>
      <c r="B3" s="208"/>
      <c r="C3" s="208"/>
      <c r="D3" s="208"/>
      <c r="E3" s="208"/>
      <c r="F3" s="208"/>
      <c r="G3" s="208"/>
      <c r="H3" s="208"/>
      <c r="I3" s="208"/>
      <c r="J3" s="208"/>
      <c r="K3" s="208"/>
    </row>
    <row r="4" spans="1:11" x14ac:dyDescent="0.25">
      <c r="A4" s="209"/>
      <c r="B4" s="209"/>
      <c r="C4" s="209"/>
      <c r="D4" s="209"/>
      <c r="E4" s="209"/>
      <c r="F4" s="209"/>
      <c r="G4" s="209"/>
      <c r="H4" s="209"/>
      <c r="I4" s="209"/>
      <c r="J4" s="209"/>
      <c r="K4" s="209"/>
    </row>
    <row r="5" spans="1:11" ht="18.75" x14ac:dyDescent="0.3">
      <c r="A5" s="210" t="s">
        <v>15</v>
      </c>
      <c r="B5" s="210"/>
      <c r="C5" s="210"/>
      <c r="D5" s="210"/>
      <c r="E5" s="210"/>
      <c r="F5" s="210"/>
      <c r="G5" s="210"/>
      <c r="H5" s="210"/>
      <c r="I5" s="210"/>
      <c r="J5" s="210"/>
      <c r="K5" s="210"/>
    </row>
    <row r="6" spans="1:11" ht="18.75" x14ac:dyDescent="0.3">
      <c r="A6" s="195" t="s">
        <v>38</v>
      </c>
      <c r="B6" s="195"/>
      <c r="C6" s="195"/>
      <c r="D6" s="195"/>
      <c r="E6" s="8"/>
      <c r="F6" s="9"/>
      <c r="G6" s="9"/>
      <c r="H6" s="196" t="s">
        <v>39</v>
      </c>
      <c r="I6" s="196"/>
      <c r="J6" s="196"/>
      <c r="K6" s="196"/>
    </row>
    <row r="7" spans="1:11" x14ac:dyDescent="0.25">
      <c r="A7" s="10" t="s">
        <v>33</v>
      </c>
      <c r="B7" s="10"/>
      <c r="C7" s="10"/>
      <c r="D7" s="10"/>
      <c r="F7" s="203"/>
      <c r="G7" s="203"/>
      <c r="I7" s="204" t="s">
        <v>34</v>
      </c>
      <c r="J7" s="204"/>
      <c r="K7" s="204"/>
    </row>
    <row r="8" spans="1:11" x14ac:dyDescent="0.25">
      <c r="A8" t="s">
        <v>32</v>
      </c>
      <c r="I8" s="204" t="s">
        <v>35</v>
      </c>
      <c r="J8" s="204"/>
      <c r="K8" s="204"/>
    </row>
    <row r="9" spans="1:11" x14ac:dyDescent="0.25">
      <c r="A9" s="205" t="s">
        <v>22</v>
      </c>
      <c r="B9" s="205"/>
      <c r="C9" s="205"/>
      <c r="D9" s="205"/>
      <c r="E9" s="205"/>
      <c r="F9" s="205"/>
      <c r="I9" s="204" t="s">
        <v>36</v>
      </c>
      <c r="J9" s="204"/>
      <c r="K9" s="204"/>
    </row>
    <row r="11" spans="1:11" x14ac:dyDescent="0.25">
      <c r="A11" s="201" t="s">
        <v>0</v>
      </c>
      <c r="B11" s="201" t="s">
        <v>14</v>
      </c>
      <c r="C11" s="197" t="s">
        <v>7</v>
      </c>
      <c r="D11" s="202" t="s">
        <v>16</v>
      </c>
      <c r="E11" s="202"/>
      <c r="F11" s="202"/>
      <c r="G11" s="202" t="s">
        <v>17</v>
      </c>
      <c r="H11" s="202"/>
      <c r="I11" s="202"/>
      <c r="J11" s="197" t="s">
        <v>18</v>
      </c>
      <c r="K11" s="199" t="s">
        <v>5</v>
      </c>
    </row>
    <row r="12" spans="1:11" x14ac:dyDescent="0.25">
      <c r="A12" s="201"/>
      <c r="B12" s="201"/>
      <c r="C12" s="198"/>
      <c r="D12" s="11" t="s">
        <v>19</v>
      </c>
      <c r="E12" s="11" t="s">
        <v>8</v>
      </c>
      <c r="F12" s="11" t="s">
        <v>9</v>
      </c>
      <c r="G12" s="11" t="s">
        <v>19</v>
      </c>
      <c r="H12" s="11" t="s">
        <v>8</v>
      </c>
      <c r="I12" s="11" t="s">
        <v>9</v>
      </c>
      <c r="J12" s="198"/>
      <c r="K12" s="200"/>
    </row>
    <row r="13" spans="1:11" x14ac:dyDescent="0.25">
      <c r="A13" s="2">
        <v>1</v>
      </c>
      <c r="B13" s="34" t="s">
        <v>29</v>
      </c>
      <c r="C13" s="1" t="s">
        <v>21</v>
      </c>
      <c r="D13" s="13" t="e">
        <f>'वडा नं. ३'!#REF!</f>
        <v>#REF!</v>
      </c>
      <c r="E13" s="2">
        <v>1901.19</v>
      </c>
      <c r="F13" s="14" t="e">
        <f>D13*E13</f>
        <v>#REF!</v>
      </c>
      <c r="G13" s="14" t="e">
        <f>D13</f>
        <v>#REF!</v>
      </c>
      <c r="H13" s="14">
        <f>E13</f>
        <v>1901.19</v>
      </c>
      <c r="I13" s="14" t="e">
        <f>F13</f>
        <v>#REF!</v>
      </c>
      <c r="J13" s="14" t="e">
        <f>I13-F13</f>
        <v>#REF!</v>
      </c>
      <c r="K13" s="14"/>
    </row>
    <row r="14" spans="1:11" x14ac:dyDescent="0.25">
      <c r="A14" s="7"/>
      <c r="B14" s="26" t="s">
        <v>25</v>
      </c>
      <c r="C14" s="1"/>
      <c r="D14" s="4"/>
      <c r="E14" s="2"/>
      <c r="F14" s="15" t="e">
        <f>'वडा नं. ३'!#REF!</f>
        <v>#REF!</v>
      </c>
      <c r="G14" s="15"/>
      <c r="H14" s="2"/>
      <c r="I14" s="15">
        <f>'valuated sheet'!J14</f>
        <v>5396.3582399999996</v>
      </c>
      <c r="J14" s="15"/>
      <c r="K14" s="14"/>
    </row>
    <row r="15" spans="1:11" x14ac:dyDescent="0.25">
      <c r="A15" s="12"/>
      <c r="B15" s="26"/>
      <c r="C15" s="1"/>
      <c r="D15" s="4"/>
      <c r="E15" s="2"/>
      <c r="F15" s="15"/>
      <c r="G15" s="15"/>
      <c r="H15" s="2"/>
      <c r="I15" s="15"/>
      <c r="J15" s="15"/>
      <c r="K15" s="14"/>
    </row>
    <row r="16" spans="1:11" x14ac:dyDescent="0.25">
      <c r="A16" s="1"/>
      <c r="B16" s="16" t="s">
        <v>10</v>
      </c>
      <c r="C16" s="16"/>
      <c r="D16" s="3"/>
      <c r="E16" s="3"/>
      <c r="F16" s="17" t="e">
        <f>SUM(F13:F15)</f>
        <v>#REF!</v>
      </c>
      <c r="G16" s="3"/>
      <c r="H16" s="3"/>
      <c r="I16" s="17" t="e">
        <f>SUM(I13:I15)</f>
        <v>#REF!</v>
      </c>
      <c r="J16" s="5" t="e">
        <f>I16-F16</f>
        <v>#REF!</v>
      </c>
      <c r="K16" s="1"/>
    </row>
  </sheetData>
  <mergeCells count="19">
    <mergeCell ref="A1:K1"/>
    <mergeCell ref="A2:K2"/>
    <mergeCell ref="A3:K3"/>
    <mergeCell ref="A4:K4"/>
    <mergeCell ref="A5:K5"/>
    <mergeCell ref="A6:D6"/>
    <mergeCell ref="H6:K6"/>
    <mergeCell ref="J11:J12"/>
    <mergeCell ref="K11:K12"/>
    <mergeCell ref="A11:A12"/>
    <mergeCell ref="B11:B12"/>
    <mergeCell ref="D11:F11"/>
    <mergeCell ref="G11:I11"/>
    <mergeCell ref="F7:G7"/>
    <mergeCell ref="I7:K7"/>
    <mergeCell ref="I8:K8"/>
    <mergeCell ref="A9:F9"/>
    <mergeCell ref="I9:K9"/>
    <mergeCell ref="C11:C12"/>
  </mergeCells>
  <pageMargins left="0.7" right="0.7" top="0.75" bottom="0.75" header="0.3" footer="0.3"/>
  <pageSetup scale="85" orientation="landscape" verticalDpi="0" r:id="rId1"/>
  <headerFooter>
    <oddFooter>&amp;LPrepared ByEr Bal Krishna Manandhar&amp;CChecked ByKapil Prasad Paudel&amp;RApproved ByDurga Nath Gautam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view="pageBreakPreview" zoomScaleSheetLayoutView="100" workbookViewId="0">
      <selection activeCell="F15" sqref="F15"/>
    </sheetView>
  </sheetViews>
  <sheetFormatPr defaultColWidth="9.140625" defaultRowHeight="15" x14ac:dyDescent="0.25"/>
  <cols>
    <col min="1" max="1" width="6" style="20" customWidth="1"/>
    <col min="2" max="2" width="40.7109375" style="20" bestFit="1" customWidth="1"/>
    <col min="3" max="3" width="5.5703125" style="20" customWidth="1"/>
    <col min="4" max="4" width="7.85546875" style="20" bestFit="1" customWidth="1"/>
    <col min="5" max="5" width="8.7109375" style="20" bestFit="1" customWidth="1"/>
    <col min="6" max="6" width="7.5703125" style="20" bestFit="1" customWidth="1"/>
    <col min="7" max="7" width="11.28515625" style="32" bestFit="1" customWidth="1"/>
    <col min="8" max="8" width="5" style="20" bestFit="1" customWidth="1"/>
    <col min="9" max="9" width="10.7109375" style="20" customWidth="1"/>
    <col min="10" max="10" width="13" style="21" customWidth="1"/>
    <col min="11" max="11" width="13"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v>1</v>
      </c>
      <c r="B10" s="26" t="s">
        <v>50</v>
      </c>
      <c r="C10" s="7"/>
      <c r="D10" s="7"/>
      <c r="E10" s="7"/>
      <c r="F10" s="7"/>
      <c r="G10" s="44"/>
      <c r="H10" s="7"/>
      <c r="I10" s="7"/>
      <c r="J10" s="27"/>
      <c r="K10" s="26"/>
    </row>
    <row r="11" spans="1:11" s="28" customFormat="1" x14ac:dyDescent="0.25">
      <c r="A11" s="7"/>
      <c r="B11" s="41" t="s">
        <v>53</v>
      </c>
      <c r="C11" s="7"/>
      <c r="D11" s="7"/>
      <c r="E11" s="7"/>
      <c r="F11" s="7"/>
      <c r="G11" s="44"/>
      <c r="H11" s="7"/>
      <c r="I11" s="7"/>
      <c r="J11" s="27"/>
      <c r="K11" s="26"/>
    </row>
    <row r="12" spans="1:11" s="28" customFormat="1" x14ac:dyDescent="0.25">
      <c r="A12" s="7"/>
      <c r="B12" s="36" t="s">
        <v>54</v>
      </c>
      <c r="C12" s="2">
        <v>6</v>
      </c>
      <c r="D12" s="2">
        <v>6</v>
      </c>
      <c r="E12" s="2">
        <v>6</v>
      </c>
      <c r="F12" s="57">
        <v>5.5</v>
      </c>
      <c r="G12" s="56">
        <f>PRODUCT(C12:F12)</f>
        <v>1188</v>
      </c>
      <c r="H12" s="2" t="s">
        <v>48</v>
      </c>
      <c r="I12" s="7"/>
      <c r="J12" s="27"/>
      <c r="K12" s="26"/>
    </row>
    <row r="13" spans="1:11" s="28" customFormat="1" x14ac:dyDescent="0.25">
      <c r="A13" s="7"/>
      <c r="B13" s="36" t="s">
        <v>55</v>
      </c>
      <c r="C13" s="2">
        <v>3</v>
      </c>
      <c r="D13" s="2">
        <v>11</v>
      </c>
      <c r="E13" s="2">
        <v>6</v>
      </c>
      <c r="F13" s="57">
        <v>5.5</v>
      </c>
      <c r="G13" s="56">
        <f>PRODUCT(C13:F13)</f>
        <v>1089</v>
      </c>
      <c r="H13" s="2" t="s">
        <v>48</v>
      </c>
      <c r="I13" s="7"/>
      <c r="J13" s="27"/>
      <c r="K13" s="26"/>
    </row>
    <row r="14" spans="1:11" s="28" customFormat="1" x14ac:dyDescent="0.25">
      <c r="A14" s="7"/>
      <c r="B14" s="41" t="s">
        <v>57</v>
      </c>
      <c r="C14" s="2">
        <v>14</v>
      </c>
      <c r="D14" s="2">
        <v>6</v>
      </c>
      <c r="E14" s="2">
        <v>2</v>
      </c>
      <c r="F14" s="58">
        <v>4.08</v>
      </c>
      <c r="G14" s="56">
        <f>PRODUCT(C14:F14)</f>
        <v>685.44</v>
      </c>
      <c r="H14" s="2" t="s">
        <v>48</v>
      </c>
      <c r="I14" s="7"/>
      <c r="J14" s="27"/>
      <c r="K14" s="26"/>
    </row>
    <row r="15" spans="1:11" s="28" customFormat="1" x14ac:dyDescent="0.25">
      <c r="A15" s="7"/>
      <c r="B15" s="26"/>
      <c r="C15" s="7"/>
      <c r="D15" s="7"/>
      <c r="E15" s="7"/>
      <c r="F15" s="7"/>
      <c r="G15" s="44">
        <f>SUM(G12:G14)</f>
        <v>2962.44</v>
      </c>
      <c r="H15" s="7" t="s">
        <v>48</v>
      </c>
      <c r="I15" s="7"/>
      <c r="J15" s="27"/>
      <c r="K15" s="26"/>
    </row>
    <row r="16" spans="1:11" s="28" customFormat="1" x14ac:dyDescent="0.25">
      <c r="A16" s="7"/>
      <c r="B16" s="26"/>
      <c r="C16" s="7"/>
      <c r="D16" s="7"/>
      <c r="E16" s="7"/>
      <c r="F16" s="7"/>
      <c r="G16" s="44">
        <f>CONVERT(CONVERT(CONVERT(G15,"ft","m"),"ft","m"),"ft","m")</f>
        <v>83.886959018004475</v>
      </c>
      <c r="H16" s="7" t="s">
        <v>56</v>
      </c>
      <c r="I16" s="7"/>
      <c r="J16" s="27">
        <f>G16*I16</f>
        <v>0</v>
      </c>
      <c r="K16" s="26"/>
    </row>
    <row r="17" spans="1:11" x14ac:dyDescent="0.25">
      <c r="A17" s="7"/>
      <c r="B17" s="7"/>
      <c r="C17" s="2"/>
      <c r="D17" s="2"/>
      <c r="E17" s="2"/>
      <c r="F17" s="2"/>
      <c r="G17" s="45"/>
      <c r="H17" s="7"/>
      <c r="I17" s="37" t="s">
        <v>10</v>
      </c>
      <c r="J17" s="40">
        <f>SUM(J12:J16)</f>
        <v>0</v>
      </c>
      <c r="K17" s="2" t="s">
        <v>24</v>
      </c>
    </row>
    <row r="18" spans="1:11" x14ac:dyDescent="0.25">
      <c r="A18" s="28"/>
      <c r="B18" s="28"/>
      <c r="G18" s="46"/>
      <c r="H18" s="28"/>
      <c r="J18"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view="pageBreakPreview" topLeftCell="A8" zoomScaleSheetLayoutView="100" workbookViewId="0">
      <selection activeCell="F26" sqref="F26"/>
    </sheetView>
  </sheetViews>
  <sheetFormatPr defaultColWidth="9.140625" defaultRowHeight="15" x14ac:dyDescent="0.25"/>
  <cols>
    <col min="1" max="1" width="5.85546875" style="20" customWidth="1"/>
    <col min="2" max="2" width="44.7109375" style="20" bestFit="1" customWidth="1"/>
    <col min="3" max="3" width="4.85546875" style="20" bestFit="1" customWidth="1"/>
    <col min="4" max="4" width="7.85546875" style="20" bestFit="1" customWidth="1"/>
    <col min="5" max="5" width="8.7109375" style="20" bestFit="1" customWidth="1"/>
    <col min="6" max="6" width="7.5703125" style="20" bestFit="1" customWidth="1"/>
    <col min="7" max="7" width="9.42578125" style="32" bestFit="1" customWidth="1"/>
    <col min="8" max="8" width="5" style="20" bestFit="1" customWidth="1"/>
    <col min="9" max="9" width="12.28515625" style="20" customWidth="1"/>
    <col min="10" max="10" width="14.28515625" style="21" customWidth="1"/>
    <col min="11" max="11" width="10.4257812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c r="B10" s="26" t="s">
        <v>69</v>
      </c>
      <c r="C10" s="7"/>
      <c r="D10" s="7"/>
      <c r="E10" s="7"/>
      <c r="F10" s="7"/>
      <c r="G10" s="44"/>
      <c r="H10" s="7"/>
      <c r="I10" s="7"/>
      <c r="J10" s="27"/>
      <c r="K10" s="26"/>
    </row>
    <row r="11" spans="1:11" s="28" customFormat="1" x14ac:dyDescent="0.25">
      <c r="A11" s="7"/>
      <c r="B11" s="41" t="s">
        <v>53</v>
      </c>
      <c r="C11" s="7"/>
      <c r="D11" s="7"/>
      <c r="E11" s="7"/>
      <c r="F11" s="7"/>
      <c r="G11" s="44"/>
      <c r="H11" s="7"/>
      <c r="I11" s="7"/>
      <c r="J11" s="27"/>
      <c r="K11" s="26"/>
    </row>
    <row r="12" spans="1:11" s="28" customFormat="1" x14ac:dyDescent="0.25">
      <c r="A12" s="7"/>
      <c r="B12" s="4" t="s">
        <v>54</v>
      </c>
      <c r="C12" s="2">
        <v>6</v>
      </c>
      <c r="D12" s="2">
        <v>5</v>
      </c>
      <c r="E12" s="2">
        <v>5</v>
      </c>
      <c r="F12" s="2">
        <v>0.5</v>
      </c>
      <c r="G12" s="56">
        <f>PRODUCT(C12:F12)</f>
        <v>75</v>
      </c>
      <c r="H12" s="2" t="s">
        <v>48</v>
      </c>
      <c r="I12" s="7"/>
      <c r="J12" s="27"/>
      <c r="K12" s="26"/>
    </row>
    <row r="13" spans="1:11" s="28" customFormat="1" x14ac:dyDescent="0.25">
      <c r="A13" s="7"/>
      <c r="B13" s="4" t="s">
        <v>55</v>
      </c>
      <c r="C13" s="2">
        <v>3</v>
      </c>
      <c r="D13" s="2">
        <v>10</v>
      </c>
      <c r="E13" s="2">
        <v>5</v>
      </c>
      <c r="F13" s="2">
        <v>0.5</v>
      </c>
      <c r="G13" s="56">
        <f>PRODUCT(C13:F13)</f>
        <v>75</v>
      </c>
      <c r="H13" s="2" t="s">
        <v>48</v>
      </c>
      <c r="I13" s="7"/>
      <c r="J13" s="27"/>
      <c r="K13" s="26"/>
    </row>
    <row r="14" spans="1:11" s="28" customFormat="1" x14ac:dyDescent="0.25">
      <c r="A14" s="7"/>
      <c r="B14" s="41" t="s">
        <v>57</v>
      </c>
      <c r="C14" s="7"/>
      <c r="D14" s="7"/>
      <c r="E14" s="7"/>
      <c r="F14" s="7"/>
      <c r="G14" s="44"/>
      <c r="H14" s="7"/>
      <c r="I14" s="7"/>
      <c r="J14" s="27"/>
      <c r="K14" s="26"/>
    </row>
    <row r="15" spans="1:11" s="28" customFormat="1" x14ac:dyDescent="0.25">
      <c r="A15" s="7"/>
      <c r="B15" s="41" t="s">
        <v>66</v>
      </c>
      <c r="C15" s="7"/>
      <c r="D15" s="7"/>
      <c r="E15" s="7"/>
      <c r="F15" s="7"/>
      <c r="G15" s="44"/>
      <c r="H15" s="7"/>
      <c r="I15" s="7"/>
      <c r="J15" s="27"/>
      <c r="K15" s="26"/>
    </row>
    <row r="16" spans="1:11" s="28" customFormat="1" ht="30" x14ac:dyDescent="0.25">
      <c r="A16" s="7"/>
      <c r="B16" s="4" t="s">
        <v>64</v>
      </c>
      <c r="C16" s="2">
        <v>6</v>
      </c>
      <c r="D16" s="2">
        <v>10.33</v>
      </c>
      <c r="E16" s="2">
        <v>0.75</v>
      </c>
      <c r="F16" s="2">
        <v>0.5</v>
      </c>
      <c r="G16" s="56">
        <f>PRODUCT(C16:F16)</f>
        <v>23.2425</v>
      </c>
      <c r="H16" s="2" t="s">
        <v>48</v>
      </c>
      <c r="I16" s="7"/>
      <c r="J16" s="27"/>
      <c r="K16" s="26"/>
    </row>
    <row r="17" spans="1:11" s="28" customFormat="1" x14ac:dyDescent="0.25">
      <c r="A17" s="7"/>
      <c r="B17" s="4" t="s">
        <v>61</v>
      </c>
      <c r="C17" s="2">
        <v>3</v>
      </c>
      <c r="D17" s="2">
        <f>3.33</f>
        <v>3.33</v>
      </c>
      <c r="E17" s="2">
        <v>0.75</v>
      </c>
      <c r="F17" s="2">
        <v>0.5</v>
      </c>
      <c r="G17" s="56">
        <f>PRODUCT(C17:F17)</f>
        <v>3.7462499999999999</v>
      </c>
      <c r="H17" s="2" t="s">
        <v>48</v>
      </c>
      <c r="I17" s="7"/>
      <c r="J17" s="27"/>
      <c r="K17" s="26"/>
    </row>
    <row r="18" spans="1:11" s="28" customFormat="1" x14ac:dyDescent="0.25">
      <c r="A18" s="7"/>
      <c r="B18" s="41" t="s">
        <v>67</v>
      </c>
      <c r="C18" s="2"/>
      <c r="D18" s="2"/>
      <c r="E18" s="2"/>
      <c r="F18" s="2"/>
      <c r="G18" s="56"/>
      <c r="H18" s="2"/>
      <c r="I18" s="7"/>
      <c r="J18" s="27"/>
      <c r="K18" s="26"/>
    </row>
    <row r="19" spans="1:11" s="28" customFormat="1" x14ac:dyDescent="0.25">
      <c r="A19" s="7"/>
      <c r="B19" s="4" t="s">
        <v>65</v>
      </c>
      <c r="C19" s="2">
        <v>4</v>
      </c>
      <c r="D19" s="2">
        <v>10.33</v>
      </c>
      <c r="E19" s="2">
        <v>0.75</v>
      </c>
      <c r="F19" s="2">
        <v>0.5</v>
      </c>
      <c r="G19" s="56">
        <f>PRODUCT(C19:F19)</f>
        <v>15.495000000000001</v>
      </c>
      <c r="H19" s="2" t="s">
        <v>48</v>
      </c>
      <c r="I19" s="7"/>
      <c r="J19" s="27"/>
      <c r="K19" s="26"/>
    </row>
    <row r="20" spans="1:11" s="28" customFormat="1" x14ac:dyDescent="0.25">
      <c r="A20" s="7"/>
      <c r="B20" s="4"/>
      <c r="C20" s="2"/>
      <c r="D20" s="2"/>
      <c r="E20" s="2"/>
      <c r="F20" s="2"/>
      <c r="G20" s="56"/>
      <c r="H20" s="2"/>
      <c r="I20" s="7"/>
      <c r="J20" s="27"/>
      <c r="K20" s="26"/>
    </row>
    <row r="21" spans="1:11" s="28" customFormat="1" x14ac:dyDescent="0.25">
      <c r="A21" s="7"/>
      <c r="B21" s="26" t="s">
        <v>158</v>
      </c>
      <c r="C21" s="2"/>
      <c r="D21" s="2"/>
      <c r="E21" s="2"/>
      <c r="F21" s="2"/>
      <c r="G21" s="56"/>
      <c r="H21" s="2"/>
      <c r="I21" s="7"/>
      <c r="J21" s="27"/>
      <c r="K21" s="26"/>
    </row>
    <row r="22" spans="1:11" s="28" customFormat="1" x14ac:dyDescent="0.25">
      <c r="A22" s="7"/>
      <c r="B22" s="38" t="s">
        <v>183</v>
      </c>
      <c r="C22" s="2">
        <v>1</v>
      </c>
      <c r="D22" s="2">
        <v>11.5</v>
      </c>
      <c r="E22" s="2">
        <v>11.5</v>
      </c>
      <c r="F22" s="2">
        <v>0.5</v>
      </c>
      <c r="G22" s="56">
        <f>PRODUCT(C22:F22)</f>
        <v>66.125</v>
      </c>
      <c r="H22" s="2" t="s">
        <v>48</v>
      </c>
      <c r="I22" s="7"/>
      <c r="J22" s="27"/>
      <c r="K22" s="26"/>
    </row>
    <row r="23" spans="1:11" s="28" customFormat="1" x14ac:dyDescent="0.25">
      <c r="A23" s="7"/>
      <c r="B23" s="38" t="s">
        <v>184</v>
      </c>
      <c r="C23" s="2">
        <v>1</v>
      </c>
      <c r="D23" s="20">
        <v>11.5</v>
      </c>
      <c r="E23" s="20">
        <v>11.5</v>
      </c>
      <c r="F23" s="2">
        <v>0.5</v>
      </c>
      <c r="G23" s="56">
        <f>PRODUCT(C23:F23)</f>
        <v>66.125</v>
      </c>
      <c r="H23" s="2" t="s">
        <v>48</v>
      </c>
      <c r="I23" s="7"/>
      <c r="J23" s="27"/>
      <c r="K23" s="26"/>
    </row>
    <row r="24" spans="1:11" s="28" customFormat="1" x14ac:dyDescent="0.25">
      <c r="A24" s="7"/>
      <c r="B24" s="66" t="s">
        <v>185</v>
      </c>
      <c r="C24" s="2">
        <v>1</v>
      </c>
      <c r="D24" s="2">
        <v>11.5</v>
      </c>
      <c r="E24" s="2">
        <v>7.42</v>
      </c>
      <c r="F24" s="2">
        <v>0.5</v>
      </c>
      <c r="G24" s="56">
        <f>PRODUCT(C24:F24)</f>
        <v>42.664999999999999</v>
      </c>
      <c r="H24" s="2" t="s">
        <v>48</v>
      </c>
      <c r="I24" s="7"/>
      <c r="J24" s="27"/>
      <c r="K24" s="26"/>
    </row>
    <row r="25" spans="1:11" s="28" customFormat="1" x14ac:dyDescent="0.25">
      <c r="A25" s="7"/>
      <c r="B25" s="66" t="s">
        <v>186</v>
      </c>
      <c r="C25" s="2">
        <v>1</v>
      </c>
      <c r="D25" s="2">
        <v>23</v>
      </c>
      <c r="E25" s="2">
        <v>4</v>
      </c>
      <c r="F25" s="2">
        <v>0.5</v>
      </c>
      <c r="G25" s="56">
        <f>PRODUCT(C25:F25)</f>
        <v>46</v>
      </c>
      <c r="H25" s="2" t="s">
        <v>48</v>
      </c>
      <c r="I25" s="7"/>
      <c r="J25" s="27"/>
      <c r="K25" s="26"/>
    </row>
    <row r="26" spans="1:11" s="28" customFormat="1" x14ac:dyDescent="0.25">
      <c r="A26" s="7"/>
      <c r="B26" s="66"/>
      <c r="C26" s="2"/>
      <c r="D26" s="2"/>
      <c r="E26" s="2"/>
      <c r="F26" s="2"/>
      <c r="G26" s="56"/>
      <c r="H26" s="2"/>
      <c r="I26" s="7"/>
      <c r="J26" s="27"/>
      <c r="K26" s="26"/>
    </row>
    <row r="27" spans="1:11" s="28" customFormat="1" x14ac:dyDescent="0.25">
      <c r="A27" s="7"/>
      <c r="B27" s="26"/>
      <c r="C27" s="7"/>
      <c r="D27" s="7"/>
      <c r="E27" s="7"/>
      <c r="F27" s="7"/>
      <c r="G27" s="44">
        <f>SUM(G12:G16)</f>
        <v>173.24250000000001</v>
      </c>
      <c r="H27" s="7" t="s">
        <v>48</v>
      </c>
      <c r="I27" s="7"/>
      <c r="J27" s="27"/>
      <c r="K27" s="26"/>
    </row>
    <row r="28" spans="1:11" s="28" customFormat="1" x14ac:dyDescent="0.25">
      <c r="A28" s="7"/>
      <c r="B28" s="26"/>
      <c r="C28" s="7"/>
      <c r="D28" s="7"/>
      <c r="E28" s="7"/>
      <c r="F28" s="7"/>
      <c r="G28" s="44">
        <f>CONVERT(CONVERT(CONVERT(G27,"ft","m"),"ft","m"),"ft","m")</f>
        <v>4.9056812957145599</v>
      </c>
      <c r="H28" s="7" t="s">
        <v>56</v>
      </c>
      <c r="I28" s="7"/>
      <c r="J28" s="27">
        <f>G28*I28</f>
        <v>0</v>
      </c>
      <c r="K28" s="26"/>
    </row>
    <row r="29" spans="1:11" x14ac:dyDescent="0.25">
      <c r="A29" s="7"/>
      <c r="B29" s="7"/>
      <c r="C29" s="2"/>
      <c r="D29" s="2"/>
      <c r="E29" s="2"/>
      <c r="F29" s="2"/>
      <c r="G29" s="45"/>
      <c r="H29" s="7"/>
      <c r="I29" s="37" t="s">
        <v>10</v>
      </c>
      <c r="J29" s="40">
        <f>SUM(J12:J28)</f>
        <v>0</v>
      </c>
      <c r="K29" s="2" t="s">
        <v>24</v>
      </c>
    </row>
    <row r="30" spans="1:11" x14ac:dyDescent="0.25">
      <c r="A30" s="28"/>
      <c r="B30" s="28"/>
      <c r="G30" s="46"/>
      <c r="H30" s="28"/>
      <c r="J30"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view="pageBreakPreview" zoomScaleSheetLayoutView="100" workbookViewId="0">
      <selection activeCell="A15" sqref="A15:XFD19"/>
    </sheetView>
  </sheetViews>
  <sheetFormatPr defaultColWidth="9.140625" defaultRowHeight="15" x14ac:dyDescent="0.25"/>
  <cols>
    <col min="1" max="1" width="6.140625" style="20" customWidth="1"/>
    <col min="2" max="2" width="44.85546875" style="20" customWidth="1"/>
    <col min="3" max="3" width="4.7109375" style="20" bestFit="1" customWidth="1"/>
    <col min="4" max="4" width="7.7109375" style="20" bestFit="1" customWidth="1"/>
    <col min="5" max="5" width="8.5703125" style="20" bestFit="1" customWidth="1"/>
    <col min="6" max="6" width="7.42578125" style="20" bestFit="1" customWidth="1"/>
    <col min="7" max="7" width="9" style="32" bestFit="1" customWidth="1"/>
    <col min="8" max="8" width="5" style="20" bestFit="1" customWidth="1"/>
    <col min="9" max="9" width="10.85546875" style="20" customWidth="1"/>
    <col min="10" max="10" width="12.140625" style="21" customWidth="1"/>
    <col min="11" max="11" width="10"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c r="B10" s="26" t="s">
        <v>59</v>
      </c>
      <c r="C10" s="7"/>
      <c r="D10" s="7"/>
      <c r="E10" s="7"/>
      <c r="F10" s="7"/>
      <c r="G10" s="44"/>
      <c r="H10" s="7"/>
      <c r="I10" s="7"/>
      <c r="J10" s="27"/>
      <c r="K10" s="26"/>
    </row>
    <row r="11" spans="1:11" s="28" customFormat="1" x14ac:dyDescent="0.25">
      <c r="A11" s="7"/>
      <c r="B11" s="41" t="s">
        <v>53</v>
      </c>
      <c r="C11" s="7"/>
      <c r="D11" s="7"/>
      <c r="E11" s="7"/>
      <c r="F11" s="7"/>
      <c r="G11" s="44"/>
      <c r="H11" s="7"/>
      <c r="I11" s="7"/>
      <c r="J11" s="27"/>
      <c r="K11" s="26"/>
    </row>
    <row r="12" spans="1:11" s="28" customFormat="1" x14ac:dyDescent="0.25">
      <c r="A12" s="7"/>
      <c r="B12" s="4" t="s">
        <v>54</v>
      </c>
      <c r="C12" s="2">
        <v>6</v>
      </c>
      <c r="D12" s="2">
        <v>5</v>
      </c>
      <c r="E12" s="2">
        <v>5</v>
      </c>
      <c r="F12" s="2">
        <v>0.25</v>
      </c>
      <c r="G12" s="56">
        <f>PRODUCT(C12:F12)</f>
        <v>37.5</v>
      </c>
      <c r="H12" s="2" t="s">
        <v>48</v>
      </c>
      <c r="I12" s="7"/>
      <c r="J12" s="27"/>
      <c r="K12" s="26"/>
    </row>
    <row r="13" spans="1:11" s="28" customFormat="1" x14ac:dyDescent="0.25">
      <c r="A13" s="7"/>
      <c r="B13" s="4" t="s">
        <v>55</v>
      </c>
      <c r="C13" s="2">
        <v>3</v>
      </c>
      <c r="D13" s="2">
        <v>10</v>
      </c>
      <c r="E13" s="2">
        <v>5</v>
      </c>
      <c r="F13" s="2">
        <v>0.25</v>
      </c>
      <c r="G13" s="56">
        <f>PRODUCT(C13:F13)</f>
        <v>37.5</v>
      </c>
      <c r="H13" s="2" t="s">
        <v>48</v>
      </c>
      <c r="I13" s="7"/>
      <c r="J13" s="27"/>
      <c r="K13" s="26"/>
    </row>
    <row r="14" spans="1:11" s="28" customFormat="1" x14ac:dyDescent="0.25">
      <c r="A14" s="7"/>
      <c r="B14" s="4"/>
      <c r="C14" s="2"/>
      <c r="D14" s="2"/>
      <c r="E14" s="2"/>
      <c r="F14" s="2"/>
      <c r="G14" s="56"/>
      <c r="H14" s="2"/>
      <c r="I14" s="7"/>
      <c r="J14" s="27"/>
      <c r="K14" s="26"/>
    </row>
    <row r="15" spans="1:11" s="28" customFormat="1" x14ac:dyDescent="0.25">
      <c r="A15" s="7"/>
      <c r="B15" s="26" t="s">
        <v>158</v>
      </c>
      <c r="C15" s="2"/>
      <c r="D15" s="2"/>
      <c r="E15" s="2"/>
      <c r="F15" s="2"/>
      <c r="G15" s="56"/>
      <c r="H15" s="2"/>
      <c r="I15" s="7"/>
      <c r="J15" s="27"/>
      <c r="K15" s="26"/>
    </row>
    <row r="16" spans="1:11" s="28" customFormat="1" x14ac:dyDescent="0.25">
      <c r="A16" s="7"/>
      <c r="B16" s="38" t="s">
        <v>183</v>
      </c>
      <c r="C16" s="2">
        <v>1</v>
      </c>
      <c r="D16" s="2">
        <v>11.5</v>
      </c>
      <c r="E16" s="2">
        <v>11.5</v>
      </c>
      <c r="F16" s="2">
        <v>0.33</v>
      </c>
      <c r="G16" s="56">
        <f>PRODUCT(C16:F16)</f>
        <v>43.642500000000005</v>
      </c>
      <c r="H16" s="2" t="s">
        <v>48</v>
      </c>
      <c r="I16" s="7"/>
      <c r="J16" s="27"/>
      <c r="K16" s="26"/>
    </row>
    <row r="17" spans="1:11" s="28" customFormat="1" x14ac:dyDescent="0.25">
      <c r="A17" s="7"/>
      <c r="B17" s="38" t="s">
        <v>184</v>
      </c>
      <c r="C17" s="2">
        <v>1</v>
      </c>
      <c r="D17" s="20">
        <v>11.5</v>
      </c>
      <c r="E17" s="20">
        <v>11.5</v>
      </c>
      <c r="F17" s="2">
        <v>0.33</v>
      </c>
      <c r="G17" s="56">
        <f>PRODUCT(C17:F17)</f>
        <v>43.642500000000005</v>
      </c>
      <c r="H17" s="2" t="s">
        <v>48</v>
      </c>
      <c r="I17" s="7"/>
      <c r="J17" s="27"/>
      <c r="K17" s="26"/>
    </row>
    <row r="18" spans="1:11" s="28" customFormat="1" x14ac:dyDescent="0.25">
      <c r="A18" s="7"/>
      <c r="B18" s="66" t="s">
        <v>185</v>
      </c>
      <c r="C18" s="2">
        <v>1</v>
      </c>
      <c r="D18" s="2">
        <v>11.5</v>
      </c>
      <c r="E18" s="2">
        <v>7.42</v>
      </c>
      <c r="F18" s="2">
        <v>0.33</v>
      </c>
      <c r="G18" s="56">
        <f>PRODUCT(C18:F18)</f>
        <v>28.158899999999999</v>
      </c>
      <c r="H18" s="2" t="s">
        <v>48</v>
      </c>
      <c r="I18" s="7"/>
      <c r="J18" s="27"/>
      <c r="K18" s="26"/>
    </row>
    <row r="19" spans="1:11" s="28" customFormat="1" x14ac:dyDescent="0.25">
      <c r="A19" s="7"/>
      <c r="B19" s="66" t="s">
        <v>186</v>
      </c>
      <c r="C19" s="2">
        <v>1</v>
      </c>
      <c r="D19" s="2">
        <v>23</v>
      </c>
      <c r="E19" s="2">
        <v>4</v>
      </c>
      <c r="F19" s="2">
        <v>0.33</v>
      </c>
      <c r="G19" s="56">
        <f>PRODUCT(C19:F19)</f>
        <v>30.360000000000003</v>
      </c>
      <c r="H19" s="2" t="s">
        <v>48</v>
      </c>
      <c r="I19" s="7"/>
      <c r="J19" s="27"/>
      <c r="K19" s="26"/>
    </row>
    <row r="20" spans="1:11" s="28" customFormat="1" x14ac:dyDescent="0.25">
      <c r="A20" s="7"/>
      <c r="B20" s="66"/>
      <c r="C20" s="2"/>
      <c r="D20" s="2"/>
      <c r="E20" s="2"/>
      <c r="F20" s="2"/>
      <c r="G20" s="56"/>
      <c r="H20" s="2"/>
      <c r="I20" s="7"/>
      <c r="J20" s="27"/>
      <c r="K20" s="26"/>
    </row>
    <row r="21" spans="1:11" s="28" customFormat="1" x14ac:dyDescent="0.25">
      <c r="A21" s="7"/>
      <c r="C21" s="7"/>
      <c r="D21" s="7"/>
      <c r="E21" s="7"/>
      <c r="F21" s="7"/>
      <c r="G21" s="44">
        <f>SUM(G12:G19)</f>
        <v>220.80390000000003</v>
      </c>
      <c r="H21" s="7" t="s">
        <v>48</v>
      </c>
      <c r="I21" s="7"/>
      <c r="J21" s="27"/>
      <c r="K21" s="26"/>
    </row>
    <row r="22" spans="1:11" s="28" customFormat="1" x14ac:dyDescent="0.25">
      <c r="A22" s="7"/>
      <c r="B22" s="26"/>
      <c r="C22" s="7"/>
      <c r="D22" s="7"/>
      <c r="E22" s="7"/>
      <c r="F22" s="7"/>
      <c r="G22" s="44">
        <f>CONVERT(CONVERT(CONVERT(G21,"ft","m"),"ft","m"),"ft","m")</f>
        <v>6.2524701632153104</v>
      </c>
      <c r="H22" s="7" t="s">
        <v>56</v>
      </c>
      <c r="I22" s="7"/>
      <c r="J22" s="27">
        <f>G22*I22</f>
        <v>0</v>
      </c>
      <c r="K22" s="26"/>
    </row>
    <row r="23" spans="1:11" x14ac:dyDescent="0.25">
      <c r="A23" s="7"/>
      <c r="B23" s="7"/>
      <c r="C23" s="2"/>
      <c r="D23" s="2"/>
      <c r="E23" s="2"/>
      <c r="F23" s="2"/>
      <c r="G23" s="45"/>
      <c r="H23" s="7"/>
      <c r="I23" s="37" t="s">
        <v>10</v>
      </c>
      <c r="J23" s="40">
        <f>SUM(J12:J22)</f>
        <v>0</v>
      </c>
      <c r="K23" s="2" t="s">
        <v>24</v>
      </c>
    </row>
    <row r="24" spans="1:11" x14ac:dyDescent="0.25">
      <c r="A24" s="28"/>
      <c r="B24" s="28"/>
      <c r="G24" s="46"/>
      <c r="H24" s="28"/>
      <c r="J24"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view="pageBreakPreview" topLeftCell="A8" zoomScaleSheetLayoutView="100" workbookViewId="0">
      <pane ySplit="2" topLeftCell="A106" activePane="bottomLeft" state="frozen"/>
      <selection activeCell="A8" sqref="A8"/>
      <selection pane="bottomLeft" activeCell="D66" sqref="D66"/>
    </sheetView>
  </sheetViews>
  <sheetFormatPr defaultColWidth="9.140625" defaultRowHeight="15" x14ac:dyDescent="0.25"/>
  <cols>
    <col min="1" max="1" width="6.140625" style="20" customWidth="1"/>
    <col min="2" max="2" width="44.85546875" style="20" customWidth="1"/>
    <col min="3" max="3" width="4.7109375" style="20" bestFit="1" customWidth="1"/>
    <col min="4" max="4" width="7.7109375" style="20" bestFit="1" customWidth="1"/>
    <col min="5" max="5" width="8.5703125" style="20" bestFit="1" customWidth="1"/>
    <col min="6" max="6" width="7.42578125" style="20" bestFit="1" customWidth="1"/>
    <col min="7" max="7" width="9" style="32" bestFit="1" customWidth="1"/>
    <col min="8" max="8" width="5" style="20" bestFit="1" customWidth="1"/>
    <col min="9" max="9" width="10.7109375" style="20" customWidth="1"/>
    <col min="10" max="10" width="12.85546875" style="21" customWidth="1"/>
    <col min="11" max="11" width="10.710937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v>1</v>
      </c>
      <c r="B10" s="41" t="s">
        <v>53</v>
      </c>
      <c r="C10" s="7"/>
      <c r="D10" s="7"/>
      <c r="E10" s="7"/>
      <c r="F10" s="7"/>
      <c r="G10" s="44"/>
      <c r="H10" s="7"/>
      <c r="I10" s="7"/>
      <c r="J10" s="27"/>
      <c r="K10" s="26"/>
    </row>
    <row r="11" spans="1:11" s="28" customFormat="1" x14ac:dyDescent="0.25">
      <c r="A11" s="7"/>
      <c r="B11" s="4" t="s">
        <v>54</v>
      </c>
      <c r="C11" s="7"/>
      <c r="D11" s="7"/>
      <c r="E11" s="7"/>
      <c r="F11" s="7"/>
      <c r="G11" s="7"/>
      <c r="H11" s="7"/>
      <c r="I11" s="7"/>
      <c r="J11" s="27"/>
      <c r="K11" s="26"/>
    </row>
    <row r="12" spans="1:11" s="28" customFormat="1" x14ac:dyDescent="0.25">
      <c r="A12" s="7"/>
      <c r="B12" s="4"/>
      <c r="C12" s="2">
        <v>6</v>
      </c>
      <c r="D12" s="2">
        <f>5*4</f>
        <v>20</v>
      </c>
      <c r="E12" s="2"/>
      <c r="F12" s="2">
        <f>ROUND(8/12,2)</f>
        <v>0.67</v>
      </c>
      <c r="G12" s="56">
        <f>PRODUCT(C12:F12)</f>
        <v>80.400000000000006</v>
      </c>
      <c r="H12" s="2" t="s">
        <v>51</v>
      </c>
      <c r="I12" s="7"/>
      <c r="J12" s="27"/>
      <c r="K12" s="26"/>
    </row>
    <row r="13" spans="1:11" s="28" customFormat="1" x14ac:dyDescent="0.25">
      <c r="A13" s="7"/>
      <c r="B13" s="4" t="s">
        <v>55</v>
      </c>
      <c r="C13" s="2"/>
      <c r="D13" s="2"/>
      <c r="E13" s="2"/>
      <c r="F13" s="2"/>
      <c r="G13" s="2"/>
      <c r="H13" s="2"/>
      <c r="I13" s="7"/>
      <c r="J13" s="27"/>
      <c r="K13" s="26"/>
    </row>
    <row r="14" spans="1:11" s="28" customFormat="1" x14ac:dyDescent="0.25">
      <c r="A14" s="7"/>
      <c r="B14" s="4"/>
      <c r="C14" s="2">
        <v>3</v>
      </c>
      <c r="D14" s="2">
        <f>10+10+5+5</f>
        <v>30</v>
      </c>
      <c r="E14" s="2"/>
      <c r="F14" s="2">
        <f>ROUND(8/12,2)</f>
        <v>0.67</v>
      </c>
      <c r="G14" s="56">
        <f>PRODUCT(C14:F14)</f>
        <v>60.300000000000004</v>
      </c>
      <c r="H14" s="2" t="s">
        <v>51</v>
      </c>
      <c r="I14" s="7"/>
      <c r="J14" s="27"/>
      <c r="K14" s="26"/>
    </row>
    <row r="15" spans="1:11" s="28" customFormat="1" x14ac:dyDescent="0.25">
      <c r="A15" s="7"/>
      <c r="B15" s="41" t="s">
        <v>57</v>
      </c>
      <c r="C15" s="2"/>
      <c r="D15" s="2"/>
      <c r="E15" s="2"/>
      <c r="F15" s="2"/>
      <c r="G15" s="56"/>
      <c r="H15" s="2"/>
      <c r="I15" s="7"/>
      <c r="J15" s="27"/>
      <c r="K15" s="26"/>
    </row>
    <row r="16" spans="1:11" s="28" customFormat="1" x14ac:dyDescent="0.25">
      <c r="A16" s="7"/>
      <c r="B16" s="41" t="s">
        <v>66</v>
      </c>
      <c r="C16" s="2"/>
      <c r="D16" s="2"/>
      <c r="E16" s="2"/>
      <c r="F16" s="2"/>
      <c r="G16" s="56"/>
      <c r="H16" s="2"/>
      <c r="I16" s="7"/>
      <c r="J16" s="27"/>
      <c r="K16" s="26"/>
    </row>
    <row r="17" spans="1:11" s="28" customFormat="1" ht="30" x14ac:dyDescent="0.25">
      <c r="A17" s="7"/>
      <c r="B17" s="4" t="s">
        <v>64</v>
      </c>
      <c r="C17" s="2">
        <f>6</f>
        <v>6</v>
      </c>
      <c r="D17" s="2">
        <v>11</v>
      </c>
      <c r="E17" s="2"/>
      <c r="F17" s="2">
        <f>1*2</f>
        <v>2</v>
      </c>
      <c r="G17" s="56">
        <f>PRODUCT(C17:F17)</f>
        <v>132</v>
      </c>
      <c r="H17" s="2" t="s">
        <v>51</v>
      </c>
      <c r="I17" s="7"/>
      <c r="J17" s="27"/>
      <c r="K17" s="26"/>
    </row>
    <row r="18" spans="1:11" s="28" customFormat="1" x14ac:dyDescent="0.25">
      <c r="A18" s="7"/>
      <c r="B18" s="4" t="s">
        <v>61</v>
      </c>
      <c r="C18" s="2">
        <f>3</f>
        <v>3</v>
      </c>
      <c r="D18" s="2">
        <v>4</v>
      </c>
      <c r="E18" s="2"/>
      <c r="F18" s="2">
        <f>1*2</f>
        <v>2</v>
      </c>
      <c r="G18" s="56">
        <f>PRODUCT(C18:F18)</f>
        <v>24</v>
      </c>
      <c r="H18" s="2" t="s">
        <v>51</v>
      </c>
      <c r="I18" s="7"/>
      <c r="J18" s="27"/>
      <c r="K18" s="26"/>
    </row>
    <row r="19" spans="1:11" s="28" customFormat="1" x14ac:dyDescent="0.25">
      <c r="A19" s="7"/>
      <c r="B19" s="41" t="s">
        <v>67</v>
      </c>
      <c r="C19" s="2"/>
      <c r="D19" s="2"/>
      <c r="E19" s="2"/>
      <c r="F19" s="2"/>
      <c r="G19" s="56"/>
      <c r="H19" s="2"/>
      <c r="I19" s="7"/>
      <c r="J19" s="27"/>
      <c r="K19" s="26"/>
    </row>
    <row r="20" spans="1:11" s="28" customFormat="1" x14ac:dyDescent="0.25">
      <c r="A20" s="7"/>
      <c r="B20" s="4" t="s">
        <v>65</v>
      </c>
      <c r="C20" s="2">
        <f>4</f>
        <v>4</v>
      </c>
      <c r="D20" s="2">
        <v>22</v>
      </c>
      <c r="E20" s="2"/>
      <c r="F20" s="2">
        <f>1*2</f>
        <v>2</v>
      </c>
      <c r="G20" s="56">
        <f>PRODUCT(C20:F20)</f>
        <v>176</v>
      </c>
      <c r="H20" s="2" t="s">
        <v>51</v>
      </c>
      <c r="I20" s="7"/>
      <c r="J20" s="27"/>
      <c r="K20" s="26"/>
    </row>
    <row r="21" spans="1:11" s="28" customFormat="1" x14ac:dyDescent="0.25">
      <c r="A21" s="7"/>
      <c r="B21" s="26"/>
      <c r="C21" s="2"/>
      <c r="D21" s="2"/>
      <c r="E21" s="2"/>
      <c r="F21" s="2"/>
      <c r="G21" s="56"/>
      <c r="H21" s="2"/>
      <c r="I21" s="7"/>
      <c r="J21" s="27"/>
      <c r="K21" s="26"/>
    </row>
    <row r="22" spans="1:11" s="28" customFormat="1" x14ac:dyDescent="0.25">
      <c r="A22" s="7"/>
      <c r="B22" s="26" t="s">
        <v>74</v>
      </c>
      <c r="C22" s="2"/>
      <c r="D22" s="2"/>
      <c r="E22" s="2"/>
      <c r="F22" s="2"/>
      <c r="G22" s="56"/>
      <c r="H22" s="2"/>
      <c r="I22" s="7"/>
      <c r="J22" s="27"/>
      <c r="K22" s="26"/>
    </row>
    <row r="23" spans="1:11" s="28" customFormat="1" x14ac:dyDescent="0.25">
      <c r="A23" s="7"/>
      <c r="B23" s="4" t="s">
        <v>68</v>
      </c>
      <c r="C23" s="2">
        <v>12</v>
      </c>
      <c r="D23" s="2"/>
      <c r="E23" s="2">
        <f>1*4</f>
        <v>4</v>
      </c>
      <c r="F23" s="2">
        <v>5.58</v>
      </c>
      <c r="G23" s="56">
        <f>PRODUCT(C23:F23)</f>
        <v>267.84000000000003</v>
      </c>
      <c r="H23" s="2" t="s">
        <v>51</v>
      </c>
      <c r="I23" s="7"/>
      <c r="J23" s="27"/>
      <c r="K23" s="26"/>
    </row>
    <row r="24" spans="1:11" s="28" customFormat="1" ht="30" x14ac:dyDescent="0.25">
      <c r="A24" s="7"/>
      <c r="B24" s="4" t="s">
        <v>72</v>
      </c>
      <c r="C24" s="2">
        <f>-1*34</f>
        <v>-34</v>
      </c>
      <c r="D24" s="2"/>
      <c r="E24" s="2">
        <v>0.75</v>
      </c>
      <c r="F24" s="2">
        <v>1</v>
      </c>
      <c r="G24" s="56">
        <f>PRODUCT(C24:F24)</f>
        <v>-25.5</v>
      </c>
      <c r="H24" s="2" t="s">
        <v>51</v>
      </c>
      <c r="I24" s="7"/>
      <c r="J24" s="27"/>
      <c r="K24" s="26"/>
    </row>
    <row r="25" spans="1:11" s="28" customFormat="1" x14ac:dyDescent="0.25">
      <c r="A25" s="7"/>
      <c r="B25" s="26"/>
      <c r="C25" s="2"/>
      <c r="D25" s="2"/>
      <c r="E25" s="2"/>
      <c r="F25" s="2"/>
      <c r="G25" s="56"/>
      <c r="H25" s="2"/>
      <c r="I25" s="7"/>
      <c r="J25" s="27"/>
      <c r="K25" s="26"/>
    </row>
    <row r="26" spans="1:11" s="28" customFormat="1" x14ac:dyDescent="0.25">
      <c r="A26" s="7">
        <v>2</v>
      </c>
      <c r="B26" s="26" t="s">
        <v>73</v>
      </c>
      <c r="C26" s="2"/>
      <c r="D26" s="2"/>
      <c r="E26" s="2"/>
      <c r="F26" s="2"/>
      <c r="G26" s="56"/>
      <c r="H26" s="2"/>
      <c r="I26" s="7"/>
      <c r="J26" s="27"/>
      <c r="K26" s="26"/>
    </row>
    <row r="27" spans="1:11" s="28" customFormat="1" x14ac:dyDescent="0.25">
      <c r="A27" s="7"/>
      <c r="B27" s="26" t="s">
        <v>75</v>
      </c>
      <c r="C27" s="2"/>
      <c r="D27" s="2"/>
      <c r="E27" s="2"/>
      <c r="F27" s="2"/>
      <c r="G27" s="2"/>
      <c r="H27" s="2"/>
      <c r="I27" s="7"/>
      <c r="J27" s="27"/>
      <c r="K27" s="26"/>
    </row>
    <row r="28" spans="1:11" s="28" customFormat="1" ht="15" customHeight="1" x14ac:dyDescent="0.25">
      <c r="A28" s="7"/>
      <c r="B28" s="4" t="s">
        <v>76</v>
      </c>
      <c r="C28" s="2">
        <v>12</v>
      </c>
      <c r="D28" s="2">
        <f>1*4</f>
        <v>4</v>
      </c>
      <c r="E28" s="2"/>
      <c r="F28" s="2">
        <v>8.92</v>
      </c>
      <c r="G28" s="56">
        <f>PRODUCT(C28:F28)</f>
        <v>428.15999999999997</v>
      </c>
      <c r="H28" s="2" t="s">
        <v>51</v>
      </c>
      <c r="I28" s="7"/>
      <c r="J28" s="27"/>
      <c r="K28" s="26"/>
    </row>
    <row r="29" spans="1:11" s="28" customFormat="1" ht="30" x14ac:dyDescent="0.25">
      <c r="A29" s="7"/>
      <c r="B29" s="4" t="s">
        <v>72</v>
      </c>
      <c r="C29" s="2">
        <f>-1*34</f>
        <v>-34</v>
      </c>
      <c r="D29" s="2"/>
      <c r="E29" s="2">
        <v>0.75</v>
      </c>
      <c r="F29" s="2">
        <v>1</v>
      </c>
      <c r="G29" s="56">
        <f>PRODUCT(C29:F29)</f>
        <v>-25.5</v>
      </c>
      <c r="H29" s="2" t="s">
        <v>51</v>
      </c>
      <c r="I29" s="7"/>
      <c r="J29" s="27"/>
      <c r="K29" s="26"/>
    </row>
    <row r="30" spans="1:11" s="28" customFormat="1" x14ac:dyDescent="0.25">
      <c r="A30" s="7"/>
      <c r="B30" s="26"/>
      <c r="C30" s="2"/>
      <c r="D30" s="2"/>
      <c r="E30" s="2"/>
      <c r="F30" s="2"/>
      <c r="G30" s="56"/>
      <c r="H30" s="2"/>
      <c r="I30" s="7"/>
      <c r="J30" s="27"/>
      <c r="K30" s="26"/>
    </row>
    <row r="31" spans="1:11" s="28" customFormat="1" x14ac:dyDescent="0.25">
      <c r="A31" s="7"/>
      <c r="B31" s="26" t="s">
        <v>78</v>
      </c>
      <c r="C31" s="2"/>
      <c r="D31" s="2"/>
      <c r="E31" s="2"/>
      <c r="F31" s="2"/>
      <c r="G31" s="56"/>
      <c r="H31" s="2"/>
      <c r="I31" s="7"/>
      <c r="J31" s="27"/>
      <c r="K31" s="26"/>
    </row>
    <row r="32" spans="1:11" s="28" customFormat="1" x14ac:dyDescent="0.25">
      <c r="A32" s="7"/>
      <c r="B32" s="41" t="s">
        <v>66</v>
      </c>
      <c r="C32" s="2"/>
      <c r="D32" s="2"/>
      <c r="E32" s="2"/>
      <c r="F32" s="2"/>
      <c r="G32" s="56"/>
      <c r="H32" s="2"/>
      <c r="I32" s="7"/>
      <c r="J32" s="27"/>
      <c r="K32" s="26"/>
    </row>
    <row r="33" spans="1:11" s="28" customFormat="1" ht="30" x14ac:dyDescent="0.25">
      <c r="A33" s="7"/>
      <c r="B33" s="4" t="s">
        <v>64</v>
      </c>
      <c r="C33" s="2">
        <f>6</f>
        <v>6</v>
      </c>
      <c r="D33" s="2">
        <v>11</v>
      </c>
      <c r="E33" s="2"/>
      <c r="F33" s="2">
        <f>1*2</f>
        <v>2</v>
      </c>
      <c r="G33" s="56">
        <f>PRODUCT(C33:F33)</f>
        <v>132</v>
      </c>
      <c r="H33" s="2" t="s">
        <v>51</v>
      </c>
      <c r="I33" s="7"/>
      <c r="J33" s="27"/>
      <c r="K33" s="26"/>
    </row>
    <row r="34" spans="1:11" s="28" customFormat="1" x14ac:dyDescent="0.25">
      <c r="A34" s="7"/>
      <c r="B34" s="4" t="s">
        <v>61</v>
      </c>
      <c r="C34" s="2">
        <f>3</f>
        <v>3</v>
      </c>
      <c r="D34" s="2">
        <v>4</v>
      </c>
      <c r="E34" s="2"/>
      <c r="F34" s="2">
        <f>1*2</f>
        <v>2</v>
      </c>
      <c r="G34" s="56">
        <f>PRODUCT(C34:F34)</f>
        <v>24</v>
      </c>
      <c r="H34" s="2" t="s">
        <v>51</v>
      </c>
      <c r="I34" s="7"/>
      <c r="J34" s="27"/>
      <c r="K34" s="26"/>
    </row>
    <row r="35" spans="1:11" s="28" customFormat="1" x14ac:dyDescent="0.25">
      <c r="A35" s="7"/>
      <c r="B35" s="41" t="s">
        <v>67</v>
      </c>
      <c r="C35" s="2"/>
      <c r="D35" s="2"/>
      <c r="E35" s="2"/>
      <c r="F35" s="2"/>
      <c r="G35" s="56"/>
      <c r="H35" s="2"/>
      <c r="I35" s="7"/>
      <c r="J35" s="27"/>
      <c r="K35" s="26"/>
    </row>
    <row r="36" spans="1:11" s="28" customFormat="1" x14ac:dyDescent="0.25">
      <c r="A36" s="7"/>
      <c r="B36" s="4" t="s">
        <v>65</v>
      </c>
      <c r="C36" s="2">
        <f>4</f>
        <v>4</v>
      </c>
      <c r="D36" s="2">
        <v>22</v>
      </c>
      <c r="E36" s="2"/>
      <c r="F36" s="2">
        <f>1*2</f>
        <v>2</v>
      </c>
      <c r="G36" s="56">
        <f>PRODUCT(C36:F36)</f>
        <v>176</v>
      </c>
      <c r="H36" s="2" t="s">
        <v>51</v>
      </c>
      <c r="I36" s="7"/>
      <c r="J36" s="27"/>
      <c r="K36" s="26"/>
    </row>
    <row r="37" spans="1:11" s="28" customFormat="1" x14ac:dyDescent="0.25">
      <c r="A37" s="7"/>
      <c r="B37" s="26"/>
      <c r="C37" s="2"/>
      <c r="D37" s="2"/>
      <c r="E37" s="2"/>
      <c r="F37" s="2"/>
      <c r="G37" s="56"/>
      <c r="H37" s="2"/>
      <c r="I37" s="7"/>
      <c r="J37" s="27"/>
      <c r="K37" s="26"/>
    </row>
    <row r="38" spans="1:11" s="28" customFormat="1" x14ac:dyDescent="0.25">
      <c r="A38" s="7"/>
      <c r="B38" s="26" t="s">
        <v>79</v>
      </c>
      <c r="C38" s="2"/>
      <c r="D38" s="2"/>
      <c r="E38" s="2"/>
      <c r="F38" s="2"/>
      <c r="G38" s="56"/>
      <c r="H38" s="2"/>
      <c r="I38" s="7"/>
      <c r="J38" s="27"/>
      <c r="K38" s="26"/>
    </row>
    <row r="39" spans="1:11" s="28" customFormat="1" x14ac:dyDescent="0.25">
      <c r="A39" s="7"/>
      <c r="B39" s="38" t="s">
        <v>83</v>
      </c>
      <c r="C39" s="2">
        <v>2</v>
      </c>
      <c r="D39" s="2">
        <v>7.58</v>
      </c>
      <c r="E39" s="2">
        <f>3.5+0.33*2</f>
        <v>4.16</v>
      </c>
      <c r="F39" s="2"/>
      <c r="G39" s="56">
        <f>PRODUCT(C39:F39)</f>
        <v>63.065600000000003</v>
      </c>
      <c r="H39" s="2" t="s">
        <v>51</v>
      </c>
      <c r="I39" s="7"/>
      <c r="J39" s="27"/>
      <c r="K39" s="26"/>
    </row>
    <row r="40" spans="1:11" s="28" customFormat="1" x14ac:dyDescent="0.25">
      <c r="A40" s="7"/>
      <c r="B40" s="38" t="s">
        <v>82</v>
      </c>
      <c r="C40" s="2">
        <v>1</v>
      </c>
      <c r="D40" s="2">
        <f>9+0.33*2</f>
        <v>9.66</v>
      </c>
      <c r="E40" s="2">
        <f>3.5+0.33</f>
        <v>3.83</v>
      </c>
      <c r="F40" s="2"/>
      <c r="G40" s="56">
        <f>PRODUCT(C40:F40)</f>
        <v>36.997799999999998</v>
      </c>
      <c r="H40" s="2" t="s">
        <v>51</v>
      </c>
      <c r="I40" s="7"/>
      <c r="J40" s="27"/>
      <c r="K40" s="26"/>
    </row>
    <row r="41" spans="1:11" s="28" customFormat="1" x14ac:dyDescent="0.25">
      <c r="A41" s="7"/>
      <c r="B41" s="38"/>
      <c r="C41" s="2"/>
      <c r="D41" s="2"/>
      <c r="E41" s="2"/>
      <c r="F41" s="2"/>
      <c r="G41" s="56"/>
      <c r="H41" s="2"/>
      <c r="I41" s="7"/>
      <c r="J41" s="27"/>
      <c r="K41" s="26"/>
    </row>
    <row r="42" spans="1:11" s="28" customFormat="1" x14ac:dyDescent="0.25">
      <c r="A42" s="7">
        <v>3</v>
      </c>
      <c r="B42" s="26" t="s">
        <v>84</v>
      </c>
      <c r="C42" s="2"/>
      <c r="D42" s="2"/>
      <c r="E42" s="2"/>
      <c r="F42" s="2"/>
      <c r="G42" s="56"/>
      <c r="H42" s="2"/>
      <c r="I42" s="7"/>
      <c r="J42" s="27"/>
      <c r="K42" s="26"/>
    </row>
    <row r="43" spans="1:11" s="28" customFormat="1" x14ac:dyDescent="0.25">
      <c r="A43" s="7"/>
      <c r="B43" s="26" t="s">
        <v>75</v>
      </c>
      <c r="C43" s="2"/>
      <c r="D43" s="2"/>
      <c r="E43" s="2"/>
      <c r="F43" s="2"/>
      <c r="G43" s="2"/>
      <c r="H43" s="2"/>
      <c r="I43" s="7"/>
      <c r="J43" s="27"/>
      <c r="K43" s="26"/>
    </row>
    <row r="44" spans="1:11" s="28" customFormat="1" ht="15" customHeight="1" x14ac:dyDescent="0.25">
      <c r="A44" s="7"/>
      <c r="B44" s="4" t="s">
        <v>76</v>
      </c>
      <c r="C44" s="2">
        <v>12</v>
      </c>
      <c r="D44" s="2">
        <f>1*4</f>
        <v>4</v>
      </c>
      <c r="E44" s="2"/>
      <c r="F44" s="2">
        <f>8.92</f>
        <v>8.92</v>
      </c>
      <c r="G44" s="56">
        <f>PRODUCT(C44:F44)</f>
        <v>428.15999999999997</v>
      </c>
      <c r="H44" s="2" t="s">
        <v>51</v>
      </c>
      <c r="I44" s="7"/>
      <c r="J44" s="27"/>
      <c r="K44" s="26"/>
    </row>
    <row r="45" spans="1:11" s="28" customFormat="1" ht="30" x14ac:dyDescent="0.25">
      <c r="A45" s="7"/>
      <c r="B45" s="4" t="s">
        <v>72</v>
      </c>
      <c r="C45" s="2">
        <f>-1*34</f>
        <v>-34</v>
      </c>
      <c r="D45" s="2"/>
      <c r="E45" s="2">
        <v>0.75</v>
      </c>
      <c r="F45" s="2">
        <v>0.75</v>
      </c>
      <c r="G45" s="56">
        <f>PRODUCT(C45:F45)</f>
        <v>-19.125</v>
      </c>
      <c r="H45" s="2" t="s">
        <v>51</v>
      </c>
      <c r="I45" s="7"/>
      <c r="J45" s="27"/>
      <c r="K45" s="26"/>
    </row>
    <row r="46" spans="1:11" s="28" customFormat="1" x14ac:dyDescent="0.25">
      <c r="A46" s="7"/>
      <c r="B46" s="26"/>
      <c r="C46" s="2"/>
      <c r="D46" s="2"/>
      <c r="E46" s="2"/>
      <c r="F46" s="2"/>
      <c r="G46" s="56"/>
      <c r="H46" s="2"/>
      <c r="I46" s="7"/>
      <c r="J46" s="27"/>
      <c r="K46" s="26"/>
    </row>
    <row r="47" spans="1:11" s="28" customFormat="1" x14ac:dyDescent="0.25">
      <c r="A47" s="7"/>
      <c r="B47" s="26" t="s">
        <v>77</v>
      </c>
      <c r="C47" s="2"/>
      <c r="D47" s="2"/>
      <c r="E47" s="2"/>
      <c r="F47" s="2"/>
      <c r="G47" s="56"/>
      <c r="H47" s="2"/>
      <c r="I47" s="7"/>
      <c r="J47" s="27"/>
      <c r="K47" s="26"/>
    </row>
    <row r="48" spans="1:11" s="28" customFormat="1" x14ac:dyDescent="0.25">
      <c r="A48" s="7"/>
      <c r="B48" s="41" t="s">
        <v>66</v>
      </c>
      <c r="C48" s="2"/>
      <c r="D48" s="2"/>
      <c r="E48" s="2"/>
      <c r="F48" s="2"/>
      <c r="G48" s="56"/>
      <c r="H48" s="2"/>
      <c r="I48" s="7"/>
      <c r="J48" s="27"/>
      <c r="K48" s="26"/>
    </row>
    <row r="49" spans="1:11" s="28" customFormat="1" x14ac:dyDescent="0.25">
      <c r="A49" s="7"/>
      <c r="B49" s="4" t="s">
        <v>100</v>
      </c>
      <c r="C49" s="2">
        <v>4</v>
      </c>
      <c r="D49" s="2">
        <v>11</v>
      </c>
      <c r="E49" s="2"/>
      <c r="F49" s="2">
        <f>2*0.75</f>
        <v>1.5</v>
      </c>
      <c r="G49" s="56">
        <f>PRODUCT(C49:F49)</f>
        <v>66</v>
      </c>
      <c r="H49" s="2" t="s">
        <v>51</v>
      </c>
      <c r="I49" s="7"/>
      <c r="J49" s="27"/>
      <c r="K49" s="26"/>
    </row>
    <row r="50" spans="1:11" s="28" customFormat="1" x14ac:dyDescent="0.25">
      <c r="A50" s="7"/>
      <c r="B50" s="4" t="s">
        <v>97</v>
      </c>
      <c r="C50" s="2">
        <v>2</v>
      </c>
      <c r="D50" s="2">
        <v>11</v>
      </c>
      <c r="E50" s="2"/>
      <c r="F50" s="2">
        <f>2*0.75</f>
        <v>1.5</v>
      </c>
      <c r="G50" s="56">
        <f>PRODUCT(C50:F50)</f>
        <v>33</v>
      </c>
      <c r="H50" s="2" t="s">
        <v>51</v>
      </c>
      <c r="I50" s="7"/>
      <c r="J50" s="27"/>
      <c r="K50" s="26"/>
    </row>
    <row r="51" spans="1:11" s="28" customFormat="1" x14ac:dyDescent="0.25">
      <c r="A51" s="7"/>
      <c r="B51" s="4" t="s">
        <v>99</v>
      </c>
      <c r="C51" s="2">
        <v>2</v>
      </c>
      <c r="D51" s="2">
        <v>4</v>
      </c>
      <c r="E51" s="2"/>
      <c r="F51" s="2">
        <f>2*0.75</f>
        <v>1.5</v>
      </c>
      <c r="G51" s="56">
        <f>PRODUCT(C51:F51)</f>
        <v>12</v>
      </c>
      <c r="H51" s="2" t="s">
        <v>51</v>
      </c>
      <c r="I51" s="7"/>
      <c r="J51" s="27"/>
      <c r="K51" s="26"/>
    </row>
    <row r="52" spans="1:11" s="28" customFormat="1" x14ac:dyDescent="0.25">
      <c r="A52" s="7"/>
      <c r="B52" s="4" t="s">
        <v>98</v>
      </c>
      <c r="C52" s="2">
        <v>1</v>
      </c>
      <c r="D52" s="2">
        <v>4</v>
      </c>
      <c r="E52" s="2"/>
      <c r="F52" s="2">
        <f>2*0.75</f>
        <v>1.5</v>
      </c>
      <c r="G52" s="56">
        <f>PRODUCT(C52:F52)</f>
        <v>6</v>
      </c>
      <c r="H52" s="2" t="s">
        <v>51</v>
      </c>
      <c r="I52" s="7"/>
      <c r="J52" s="27"/>
      <c r="K52" s="26"/>
    </row>
    <row r="53" spans="1:11" s="28" customFormat="1" x14ac:dyDescent="0.25">
      <c r="A53" s="7"/>
      <c r="B53" s="41" t="s">
        <v>67</v>
      </c>
      <c r="C53" s="2"/>
      <c r="D53" s="2"/>
      <c r="E53" s="2"/>
      <c r="F53" s="2"/>
      <c r="G53" s="56"/>
      <c r="H53" s="2"/>
      <c r="I53" s="7"/>
      <c r="J53" s="27"/>
      <c r="K53" s="26"/>
    </row>
    <row r="54" spans="1:11" s="28" customFormat="1" x14ac:dyDescent="0.25">
      <c r="A54" s="7"/>
      <c r="B54" s="4" t="s">
        <v>101</v>
      </c>
      <c r="C54" s="2">
        <v>2</v>
      </c>
      <c r="D54" s="2">
        <v>22</v>
      </c>
      <c r="E54" s="2"/>
      <c r="F54" s="2">
        <f>2*0.75</f>
        <v>1.5</v>
      </c>
      <c r="G54" s="56">
        <f>PRODUCT(C54:F54)</f>
        <v>66</v>
      </c>
      <c r="H54" s="2" t="s">
        <v>51</v>
      </c>
      <c r="I54" s="7"/>
      <c r="J54" s="27"/>
      <c r="K54" s="26"/>
    </row>
    <row r="55" spans="1:11" s="28" customFormat="1" x14ac:dyDescent="0.25">
      <c r="A55" s="7"/>
      <c r="B55" s="4" t="s">
        <v>102</v>
      </c>
      <c r="C55" s="2">
        <v>2</v>
      </c>
      <c r="D55" s="2">
        <v>22</v>
      </c>
      <c r="E55" s="2"/>
      <c r="F55" s="2">
        <f>2*0.75</f>
        <v>1.5</v>
      </c>
      <c r="G55" s="56">
        <f>PRODUCT(C55:F55)</f>
        <v>66</v>
      </c>
      <c r="H55" s="2" t="s">
        <v>51</v>
      </c>
      <c r="I55" s="7"/>
      <c r="J55" s="27"/>
      <c r="K55" s="26"/>
    </row>
    <row r="56" spans="1:11" s="28" customFormat="1" x14ac:dyDescent="0.25">
      <c r="A56" s="7"/>
      <c r="B56" s="26"/>
      <c r="C56" s="2"/>
      <c r="D56" s="2"/>
      <c r="E56" s="2"/>
      <c r="F56" s="2"/>
      <c r="G56" s="56"/>
      <c r="H56" s="2"/>
      <c r="I56" s="7"/>
      <c r="J56" s="27"/>
      <c r="K56" s="26"/>
    </row>
    <row r="57" spans="1:11" s="28" customFormat="1" x14ac:dyDescent="0.25">
      <c r="A57" s="7"/>
      <c r="B57" s="26" t="s">
        <v>85</v>
      </c>
      <c r="C57" s="2">
        <v>1</v>
      </c>
      <c r="D57" s="2">
        <v>30</v>
      </c>
      <c r="E57" s="2">
        <v>25</v>
      </c>
      <c r="F57" s="2"/>
      <c r="G57" s="56">
        <f t="shared" ref="G57:G63" si="0">PRODUCT(C57:F57)</f>
        <v>750</v>
      </c>
      <c r="H57" s="2" t="s">
        <v>51</v>
      </c>
      <c r="I57" s="7"/>
      <c r="J57" s="27"/>
      <c r="K57" s="26"/>
    </row>
    <row r="58" spans="1:11" s="55" customFormat="1" x14ac:dyDescent="0.25">
      <c r="A58" s="51"/>
      <c r="B58" s="54" t="s">
        <v>86</v>
      </c>
      <c r="C58" s="57">
        <v>1</v>
      </c>
      <c r="D58" s="57">
        <f>32.83*2+25*2</f>
        <v>115.66</v>
      </c>
      <c r="E58" s="57">
        <f>1.42</f>
        <v>1.42</v>
      </c>
      <c r="F58" s="57"/>
      <c r="G58" s="58">
        <f t="shared" si="0"/>
        <v>164.23719999999997</v>
      </c>
      <c r="H58" s="57" t="s">
        <v>51</v>
      </c>
      <c r="I58" s="51"/>
      <c r="J58" s="53"/>
      <c r="K58" s="54"/>
    </row>
    <row r="59" spans="1:11" s="28" customFormat="1" x14ac:dyDescent="0.25">
      <c r="A59" s="7"/>
      <c r="B59" s="38" t="s">
        <v>87</v>
      </c>
      <c r="C59" s="2">
        <v>-1</v>
      </c>
      <c r="D59" s="2">
        <v>9.33</v>
      </c>
      <c r="E59" s="2">
        <v>7.5</v>
      </c>
      <c r="F59" s="2"/>
      <c r="G59" s="56">
        <f t="shared" si="0"/>
        <v>-69.974999999999994</v>
      </c>
      <c r="H59" s="2" t="s">
        <v>51</v>
      </c>
      <c r="I59" s="7"/>
      <c r="J59" s="27"/>
      <c r="K59" s="26"/>
    </row>
    <row r="60" spans="1:11" s="28" customFormat="1" x14ac:dyDescent="0.25">
      <c r="A60" s="7"/>
      <c r="B60" s="38" t="s">
        <v>103</v>
      </c>
      <c r="C60" s="2">
        <v>-12</v>
      </c>
      <c r="D60" s="2">
        <v>1</v>
      </c>
      <c r="E60" s="2">
        <v>1</v>
      </c>
      <c r="F60" s="2"/>
      <c r="G60" s="56">
        <f t="shared" si="0"/>
        <v>-12</v>
      </c>
      <c r="H60" s="2" t="s">
        <v>51</v>
      </c>
      <c r="I60" s="7"/>
      <c r="J60" s="27"/>
      <c r="K60" s="26"/>
    </row>
    <row r="61" spans="1:11" s="28" customFormat="1" x14ac:dyDescent="0.25">
      <c r="A61" s="7"/>
      <c r="B61" s="4" t="s">
        <v>106</v>
      </c>
      <c r="C61" s="59">
        <v>1</v>
      </c>
      <c r="D61" s="59">
        <f>32.83*2+27.83*2</f>
        <v>121.32</v>
      </c>
      <c r="E61" s="2"/>
      <c r="F61" s="59">
        <v>0.42</v>
      </c>
      <c r="G61" s="60">
        <f t="shared" si="0"/>
        <v>50.954399999999993</v>
      </c>
      <c r="H61" s="59" t="s">
        <v>51</v>
      </c>
      <c r="I61" s="7"/>
      <c r="J61" s="27"/>
      <c r="K61" s="26"/>
    </row>
    <row r="62" spans="1:11" s="28" customFormat="1" x14ac:dyDescent="0.25">
      <c r="A62" s="7"/>
      <c r="B62" s="38" t="s">
        <v>105</v>
      </c>
      <c r="C62" s="2">
        <v>-8</v>
      </c>
      <c r="D62" s="2">
        <v>11</v>
      </c>
      <c r="E62" s="2">
        <v>0.75</v>
      </c>
      <c r="F62" s="2"/>
      <c r="G62" s="56">
        <f t="shared" si="0"/>
        <v>-66</v>
      </c>
      <c r="H62" s="2" t="s">
        <v>51</v>
      </c>
      <c r="I62" s="7"/>
      <c r="J62" s="27"/>
      <c r="K62" s="26"/>
    </row>
    <row r="63" spans="1:11" s="28" customFormat="1" x14ac:dyDescent="0.25">
      <c r="A63" s="7"/>
      <c r="B63" s="38" t="s">
        <v>105</v>
      </c>
      <c r="C63" s="2">
        <v>-2</v>
      </c>
      <c r="D63" s="2">
        <v>4</v>
      </c>
      <c r="E63" s="2">
        <v>0.75</v>
      </c>
      <c r="F63" s="2"/>
      <c r="G63" s="56">
        <f t="shared" si="0"/>
        <v>-6</v>
      </c>
      <c r="H63" s="2" t="s">
        <v>51</v>
      </c>
      <c r="I63" s="7"/>
      <c r="J63" s="27"/>
      <c r="K63" s="26"/>
    </row>
    <row r="64" spans="1:11" s="28" customFormat="1" x14ac:dyDescent="0.25">
      <c r="A64" s="7"/>
      <c r="B64" s="26"/>
      <c r="C64" s="2"/>
      <c r="D64" s="2"/>
      <c r="E64" s="2"/>
      <c r="F64" s="2"/>
      <c r="G64" s="56"/>
      <c r="H64" s="2"/>
      <c r="I64" s="7"/>
      <c r="J64" s="27"/>
      <c r="K64" s="26"/>
    </row>
    <row r="65" spans="1:11" s="28" customFormat="1" x14ac:dyDescent="0.25">
      <c r="A65" s="7"/>
      <c r="B65" s="26" t="s">
        <v>79</v>
      </c>
      <c r="C65" s="2"/>
      <c r="D65" s="2"/>
      <c r="E65" s="2"/>
      <c r="F65" s="2"/>
      <c r="G65" s="56"/>
      <c r="H65" s="2"/>
      <c r="I65" s="7"/>
      <c r="J65" s="27"/>
      <c r="K65" s="26"/>
    </row>
    <row r="66" spans="1:11" s="28" customFormat="1" x14ac:dyDescent="0.25">
      <c r="A66" s="7"/>
      <c r="B66" s="38" t="s">
        <v>83</v>
      </c>
      <c r="C66" s="2">
        <v>2</v>
      </c>
      <c r="D66" s="2">
        <v>7.58</v>
      </c>
      <c r="E66" s="2">
        <f>3.5+0.33*2</f>
        <v>4.16</v>
      </c>
      <c r="F66" s="2"/>
      <c r="G66" s="56">
        <f>PRODUCT(C66:F66)</f>
        <v>63.065600000000003</v>
      </c>
      <c r="H66" s="2" t="s">
        <v>51</v>
      </c>
      <c r="I66" s="7"/>
      <c r="J66" s="27"/>
      <c r="K66" s="26"/>
    </row>
    <row r="67" spans="1:11" s="28" customFormat="1" x14ac:dyDescent="0.25">
      <c r="A67" s="7"/>
      <c r="B67" s="38" t="s">
        <v>82</v>
      </c>
      <c r="C67" s="2">
        <v>1</v>
      </c>
      <c r="D67" s="2">
        <f>9+0.33*2</f>
        <v>9.66</v>
      </c>
      <c r="E67" s="2">
        <f>3.5+0.33</f>
        <v>3.83</v>
      </c>
      <c r="F67" s="2"/>
      <c r="G67" s="56">
        <f>PRODUCT(C67:F67)</f>
        <v>36.997799999999998</v>
      </c>
      <c r="H67" s="2" t="s">
        <v>51</v>
      </c>
      <c r="I67" s="7"/>
      <c r="J67" s="27"/>
      <c r="K67" s="26"/>
    </row>
    <row r="68" spans="1:11" s="28" customFormat="1" x14ac:dyDescent="0.25">
      <c r="A68" s="7"/>
      <c r="B68" s="38"/>
      <c r="C68" s="2"/>
      <c r="D68" s="2"/>
      <c r="E68" s="2"/>
      <c r="F68" s="2"/>
      <c r="G68" s="56"/>
      <c r="H68" s="2"/>
      <c r="I68" s="7"/>
      <c r="J68" s="27"/>
      <c r="K68" s="26"/>
    </row>
    <row r="69" spans="1:11" s="28" customFormat="1" x14ac:dyDescent="0.25">
      <c r="A69" s="7">
        <v>4</v>
      </c>
      <c r="B69" s="26" t="s">
        <v>89</v>
      </c>
      <c r="C69" s="2"/>
      <c r="D69" s="2"/>
      <c r="E69" s="2"/>
      <c r="F69" s="2"/>
      <c r="G69" s="56"/>
      <c r="H69" s="2"/>
      <c r="I69" s="7"/>
      <c r="J69" s="27"/>
      <c r="K69" s="26"/>
    </row>
    <row r="70" spans="1:11" s="28" customFormat="1" x14ac:dyDescent="0.25">
      <c r="A70" s="7"/>
      <c r="B70" s="26" t="s">
        <v>75</v>
      </c>
      <c r="C70" s="2"/>
      <c r="D70" s="2"/>
      <c r="E70" s="2"/>
      <c r="F70" s="2"/>
      <c r="G70" s="2"/>
      <c r="H70" s="2"/>
      <c r="I70" s="7"/>
      <c r="J70" s="27"/>
      <c r="K70" s="26"/>
    </row>
    <row r="71" spans="1:11" s="28" customFormat="1" ht="15" customHeight="1" x14ac:dyDescent="0.25">
      <c r="A71" s="7"/>
      <c r="B71" s="4" t="s">
        <v>92</v>
      </c>
      <c r="C71" s="2">
        <v>9</v>
      </c>
      <c r="D71" s="2">
        <f>1*4</f>
        <v>4</v>
      </c>
      <c r="E71" s="2"/>
      <c r="F71" s="2">
        <f>9.33</f>
        <v>9.33</v>
      </c>
      <c r="G71" s="56">
        <f>PRODUCT(C71:F71)</f>
        <v>335.88</v>
      </c>
      <c r="H71" s="2" t="s">
        <v>51</v>
      </c>
      <c r="I71" s="7"/>
      <c r="J71" s="27"/>
      <c r="K71" s="26"/>
    </row>
    <row r="72" spans="1:11" s="28" customFormat="1" ht="15" customHeight="1" x14ac:dyDescent="0.25">
      <c r="A72" s="7"/>
      <c r="B72" s="4" t="s">
        <v>91</v>
      </c>
      <c r="C72" s="2">
        <v>3</v>
      </c>
      <c r="D72" s="2">
        <f>1*4</f>
        <v>4</v>
      </c>
      <c r="E72" s="2"/>
      <c r="F72" s="2">
        <v>2.5</v>
      </c>
      <c r="G72" s="56">
        <f>PRODUCT(C72:F72)</f>
        <v>30</v>
      </c>
      <c r="H72" s="2" t="s">
        <v>51</v>
      </c>
      <c r="I72" s="7"/>
      <c r="J72" s="27"/>
      <c r="K72" s="26"/>
    </row>
    <row r="73" spans="1:11" s="28" customFormat="1" ht="30" x14ac:dyDescent="0.25">
      <c r="A73" s="7"/>
      <c r="B73" s="4" t="s">
        <v>72</v>
      </c>
      <c r="C73" s="2">
        <f>-1*34</f>
        <v>-34</v>
      </c>
      <c r="D73" s="2"/>
      <c r="E73" s="2">
        <v>0.75</v>
      </c>
      <c r="F73" s="2">
        <v>0.75</v>
      </c>
      <c r="G73" s="56">
        <f>PRODUCT(C73:F73)</f>
        <v>-19.125</v>
      </c>
      <c r="H73" s="2" t="s">
        <v>51</v>
      </c>
      <c r="I73" s="7"/>
      <c r="J73" s="27"/>
      <c r="K73" s="26"/>
    </row>
    <row r="74" spans="1:11" s="28" customFormat="1" x14ac:dyDescent="0.25">
      <c r="A74" s="7"/>
      <c r="B74" s="26"/>
      <c r="C74" s="2"/>
      <c r="D74" s="2"/>
      <c r="E74" s="2"/>
      <c r="F74" s="2"/>
      <c r="G74" s="56"/>
      <c r="H74" s="2"/>
      <c r="I74" s="7"/>
      <c r="J74" s="27"/>
      <c r="K74" s="26"/>
    </row>
    <row r="75" spans="1:11" s="28" customFormat="1" x14ac:dyDescent="0.25">
      <c r="A75" s="7"/>
      <c r="B75" s="26" t="s">
        <v>77</v>
      </c>
      <c r="C75" s="2"/>
      <c r="D75" s="2"/>
      <c r="E75" s="2"/>
      <c r="F75" s="2"/>
      <c r="G75" s="56"/>
      <c r="H75" s="2"/>
      <c r="I75" s="7"/>
      <c r="J75" s="27"/>
      <c r="K75" s="26"/>
    </row>
    <row r="76" spans="1:11" s="28" customFormat="1" x14ac:dyDescent="0.25">
      <c r="A76" s="7"/>
      <c r="B76" s="41" t="s">
        <v>66</v>
      </c>
      <c r="C76" s="2"/>
      <c r="D76" s="2"/>
      <c r="E76" s="2"/>
      <c r="F76" s="2"/>
      <c r="G76" s="56"/>
      <c r="H76" s="2"/>
      <c r="I76" s="7"/>
      <c r="J76" s="27"/>
      <c r="K76" s="26"/>
    </row>
    <row r="77" spans="1:11" s="28" customFormat="1" x14ac:dyDescent="0.25">
      <c r="A77" s="7"/>
      <c r="B77" s="4" t="s">
        <v>100</v>
      </c>
      <c r="C77" s="2">
        <v>4</v>
      </c>
      <c r="D77" s="2">
        <v>11</v>
      </c>
      <c r="E77" s="2"/>
      <c r="F77" s="2">
        <f>2*0.75</f>
        <v>1.5</v>
      </c>
      <c r="G77" s="56">
        <f>PRODUCT(C77:F77)</f>
        <v>66</v>
      </c>
      <c r="H77" s="2" t="s">
        <v>51</v>
      </c>
      <c r="I77" s="7"/>
      <c r="J77" s="27"/>
      <c r="K77" s="26"/>
    </row>
    <row r="78" spans="1:11" s="28" customFormat="1" x14ac:dyDescent="0.25">
      <c r="A78" s="7"/>
      <c r="B78" s="4" t="s">
        <v>97</v>
      </c>
      <c r="C78" s="2">
        <v>2</v>
      </c>
      <c r="D78" s="2">
        <v>11</v>
      </c>
      <c r="E78" s="2"/>
      <c r="F78" s="2">
        <f>2*0.75</f>
        <v>1.5</v>
      </c>
      <c r="G78" s="56">
        <f>PRODUCT(C78:F78)</f>
        <v>33</v>
      </c>
      <c r="H78" s="2" t="s">
        <v>51</v>
      </c>
      <c r="I78" s="7"/>
      <c r="J78" s="27"/>
      <c r="K78" s="26"/>
    </row>
    <row r="79" spans="1:11" s="28" customFormat="1" x14ac:dyDescent="0.25">
      <c r="A79" s="7"/>
      <c r="B79" s="4" t="s">
        <v>99</v>
      </c>
      <c r="C79" s="2">
        <v>2</v>
      </c>
      <c r="D79" s="2">
        <v>4</v>
      </c>
      <c r="E79" s="2"/>
      <c r="F79" s="2">
        <f>2*0.75</f>
        <v>1.5</v>
      </c>
      <c r="G79" s="56">
        <f>PRODUCT(C79:F79)</f>
        <v>12</v>
      </c>
      <c r="H79" s="2" t="s">
        <v>51</v>
      </c>
      <c r="I79" s="7"/>
      <c r="J79" s="27"/>
      <c r="K79" s="26"/>
    </row>
    <row r="80" spans="1:11" s="28" customFormat="1" x14ac:dyDescent="0.25">
      <c r="A80" s="7"/>
      <c r="B80" s="4" t="s">
        <v>98</v>
      </c>
      <c r="C80" s="2">
        <v>1</v>
      </c>
      <c r="D80" s="2">
        <v>4</v>
      </c>
      <c r="E80" s="2"/>
      <c r="F80" s="2">
        <f>2*0.75</f>
        <v>1.5</v>
      </c>
      <c r="G80" s="56">
        <f>PRODUCT(C80:F80)</f>
        <v>6</v>
      </c>
      <c r="H80" s="2" t="s">
        <v>51</v>
      </c>
      <c r="I80" s="7"/>
      <c r="J80" s="27"/>
      <c r="K80" s="26"/>
    </row>
    <row r="81" spans="1:11" s="28" customFormat="1" x14ac:dyDescent="0.25">
      <c r="A81" s="7"/>
      <c r="B81" s="41" t="s">
        <v>67</v>
      </c>
      <c r="C81" s="2"/>
      <c r="D81" s="2"/>
      <c r="E81" s="2"/>
      <c r="F81" s="2"/>
      <c r="G81" s="56"/>
      <c r="H81" s="2"/>
      <c r="I81" s="7"/>
      <c r="J81" s="27"/>
      <c r="K81" s="26"/>
    </row>
    <row r="82" spans="1:11" s="28" customFormat="1" x14ac:dyDescent="0.25">
      <c r="A82" s="7"/>
      <c r="B82" s="4" t="s">
        <v>101</v>
      </c>
      <c r="C82" s="2">
        <v>2</v>
      </c>
      <c r="D82" s="2">
        <v>22</v>
      </c>
      <c r="E82" s="2"/>
      <c r="F82" s="2">
        <f>2*0.75</f>
        <v>1.5</v>
      </c>
      <c r="G82" s="56">
        <f>PRODUCT(C82:F82)</f>
        <v>66</v>
      </c>
      <c r="H82" s="2" t="s">
        <v>51</v>
      </c>
      <c r="I82" s="7"/>
      <c r="J82" s="27"/>
      <c r="K82" s="26"/>
    </row>
    <row r="83" spans="1:11" s="28" customFormat="1" x14ac:dyDescent="0.25">
      <c r="A83" s="7"/>
      <c r="B83" s="4" t="s">
        <v>102</v>
      </c>
      <c r="C83" s="2">
        <v>2</v>
      </c>
      <c r="D83" s="2">
        <v>22</v>
      </c>
      <c r="E83" s="2"/>
      <c r="F83" s="2">
        <f>2*0.75</f>
        <v>1.5</v>
      </c>
      <c r="G83" s="56">
        <f>PRODUCT(C83:F83)</f>
        <v>66</v>
      </c>
      <c r="H83" s="2" t="s">
        <v>51</v>
      </c>
      <c r="I83" s="7"/>
      <c r="J83" s="27"/>
      <c r="K83" s="26"/>
    </row>
    <row r="84" spans="1:11" s="28" customFormat="1" x14ac:dyDescent="0.25">
      <c r="A84" s="7"/>
      <c r="B84" s="26"/>
      <c r="C84" s="2"/>
      <c r="D84" s="2"/>
      <c r="E84" s="2"/>
      <c r="F84" s="2"/>
      <c r="G84" s="56"/>
      <c r="H84" s="2"/>
      <c r="I84" s="7"/>
      <c r="J84" s="27"/>
      <c r="K84" s="26"/>
    </row>
    <row r="85" spans="1:11" s="28" customFormat="1" x14ac:dyDescent="0.25">
      <c r="A85" s="7"/>
      <c r="B85" s="26" t="s">
        <v>85</v>
      </c>
      <c r="C85" s="2">
        <v>1</v>
      </c>
      <c r="D85" s="2">
        <v>30</v>
      </c>
      <c r="E85" s="2">
        <v>25</v>
      </c>
      <c r="F85" s="2"/>
      <c r="G85" s="56">
        <f t="shared" ref="G85:G91" si="1">PRODUCT(C85:F85)</f>
        <v>750</v>
      </c>
      <c r="H85" s="2" t="s">
        <v>51</v>
      </c>
      <c r="I85" s="7"/>
      <c r="J85" s="27"/>
      <c r="K85" s="26"/>
    </row>
    <row r="86" spans="1:11" s="55" customFormat="1" x14ac:dyDescent="0.25">
      <c r="A86" s="51"/>
      <c r="B86" s="54" t="s">
        <v>86</v>
      </c>
      <c r="C86" s="57">
        <v>1</v>
      </c>
      <c r="D86" s="57">
        <f>32.83*2+25*2</f>
        <v>115.66</v>
      </c>
      <c r="E86" s="57">
        <f>1.42</f>
        <v>1.42</v>
      </c>
      <c r="F86" s="57"/>
      <c r="G86" s="58">
        <f t="shared" si="1"/>
        <v>164.23719999999997</v>
      </c>
      <c r="H86" s="57" t="s">
        <v>51</v>
      </c>
      <c r="I86" s="51"/>
      <c r="J86" s="53"/>
      <c r="K86" s="54"/>
    </row>
    <row r="87" spans="1:11" s="28" customFormat="1" x14ac:dyDescent="0.25">
      <c r="A87" s="7"/>
      <c r="B87" s="38" t="s">
        <v>87</v>
      </c>
      <c r="C87" s="2">
        <v>-1</v>
      </c>
      <c r="D87" s="2">
        <v>9.33</v>
      </c>
      <c r="E87" s="2">
        <v>7.5</v>
      </c>
      <c r="F87" s="2"/>
      <c r="G87" s="56">
        <f t="shared" si="1"/>
        <v>-69.974999999999994</v>
      </c>
      <c r="H87" s="2" t="s">
        <v>51</v>
      </c>
      <c r="I87" s="7"/>
      <c r="J87" s="27"/>
      <c r="K87" s="26"/>
    </row>
    <row r="88" spans="1:11" s="28" customFormat="1" x14ac:dyDescent="0.25">
      <c r="A88" s="7"/>
      <c r="B88" s="38" t="s">
        <v>103</v>
      </c>
      <c r="C88" s="2">
        <v>-12</v>
      </c>
      <c r="D88" s="2">
        <v>1</v>
      </c>
      <c r="E88" s="2">
        <v>1</v>
      </c>
      <c r="F88" s="2"/>
      <c r="G88" s="56">
        <f t="shared" si="1"/>
        <v>-12</v>
      </c>
      <c r="H88" s="2" t="s">
        <v>51</v>
      </c>
      <c r="I88" s="7"/>
      <c r="J88" s="27"/>
      <c r="K88" s="26"/>
    </row>
    <row r="89" spans="1:11" s="28" customFormat="1" x14ac:dyDescent="0.25">
      <c r="A89" s="7"/>
      <c r="B89" s="4" t="s">
        <v>104</v>
      </c>
      <c r="C89" s="59">
        <v>1</v>
      </c>
      <c r="D89" s="59">
        <f>32.83*2+27.83*2</f>
        <v>121.32</v>
      </c>
      <c r="E89" s="2"/>
      <c r="F89" s="59">
        <v>0.42</v>
      </c>
      <c r="G89" s="60">
        <f t="shared" si="1"/>
        <v>50.954399999999993</v>
      </c>
      <c r="H89" s="59" t="s">
        <v>51</v>
      </c>
      <c r="I89" s="7"/>
      <c r="J89" s="27"/>
      <c r="K89" s="26"/>
    </row>
    <row r="90" spans="1:11" s="28" customFormat="1" x14ac:dyDescent="0.25">
      <c r="A90" s="7"/>
      <c r="B90" s="38" t="s">
        <v>105</v>
      </c>
      <c r="C90" s="2">
        <v>-8</v>
      </c>
      <c r="D90" s="2">
        <v>11</v>
      </c>
      <c r="E90" s="2">
        <v>0.75</v>
      </c>
      <c r="F90" s="2"/>
      <c r="G90" s="56">
        <f t="shared" si="1"/>
        <v>-66</v>
      </c>
      <c r="H90" s="2" t="s">
        <v>51</v>
      </c>
      <c r="I90" s="7"/>
      <c r="J90" s="27"/>
      <c r="K90" s="26"/>
    </row>
    <row r="91" spans="1:11" s="28" customFormat="1" x14ac:dyDescent="0.25">
      <c r="A91" s="7"/>
      <c r="B91" s="38" t="s">
        <v>105</v>
      </c>
      <c r="C91" s="2">
        <v>-2</v>
      </c>
      <c r="D91" s="2">
        <v>4</v>
      </c>
      <c r="E91" s="2">
        <v>0.75</v>
      </c>
      <c r="F91" s="2"/>
      <c r="G91" s="56">
        <f t="shared" si="1"/>
        <v>-6</v>
      </c>
      <c r="H91" s="2" t="s">
        <v>51</v>
      </c>
      <c r="I91" s="7"/>
      <c r="J91" s="27"/>
      <c r="K91" s="26"/>
    </row>
    <row r="92" spans="1:11" s="28" customFormat="1" x14ac:dyDescent="0.25">
      <c r="A92" s="7"/>
      <c r="B92" s="26"/>
      <c r="C92" s="2"/>
      <c r="D92" s="2"/>
      <c r="E92" s="2"/>
      <c r="F92" s="2"/>
      <c r="G92" s="56"/>
      <c r="H92" s="2"/>
      <c r="I92" s="7"/>
      <c r="J92" s="27"/>
      <c r="K92" s="26"/>
    </row>
    <row r="93" spans="1:11" s="28" customFormat="1" x14ac:dyDescent="0.25">
      <c r="A93" s="7"/>
      <c r="B93" s="26" t="s">
        <v>79</v>
      </c>
      <c r="C93" s="2"/>
      <c r="D93" s="2"/>
      <c r="E93" s="2"/>
      <c r="F93" s="2"/>
      <c r="G93" s="56"/>
      <c r="H93" s="2"/>
      <c r="I93" s="7"/>
      <c r="J93" s="27"/>
      <c r="K93" s="26"/>
    </row>
    <row r="94" spans="1:11" s="28" customFormat="1" x14ac:dyDescent="0.25">
      <c r="A94" s="7"/>
      <c r="B94" s="38" t="s">
        <v>96</v>
      </c>
      <c r="C94" s="2">
        <f>0.5*16</f>
        <v>8</v>
      </c>
      <c r="D94" s="2"/>
      <c r="E94" s="2">
        <v>0.83</v>
      </c>
      <c r="F94" s="2">
        <v>0.57999999999999996</v>
      </c>
      <c r="G94" s="56">
        <f>PRODUCT(C94:F94)</f>
        <v>3.8511999999999995</v>
      </c>
      <c r="H94" s="2" t="s">
        <v>51</v>
      </c>
      <c r="I94" s="7"/>
      <c r="J94" s="27"/>
      <c r="K94" s="26"/>
    </row>
    <row r="95" spans="1:11" s="28" customFormat="1" x14ac:dyDescent="0.25">
      <c r="A95" s="7"/>
      <c r="B95" s="38" t="s">
        <v>95</v>
      </c>
      <c r="C95" s="2">
        <f>16</f>
        <v>16</v>
      </c>
      <c r="D95" s="2">
        <v>3.5</v>
      </c>
      <c r="E95" s="2"/>
      <c r="F95" s="2">
        <v>0.57999999999999996</v>
      </c>
      <c r="G95" s="56">
        <f>PRODUCT(C95:F95)</f>
        <v>32.479999999999997</v>
      </c>
      <c r="H95" s="2" t="s">
        <v>51</v>
      </c>
      <c r="I95" s="7"/>
      <c r="J95" s="27"/>
      <c r="K95" s="26"/>
    </row>
    <row r="96" spans="1:11" s="28" customFormat="1" x14ac:dyDescent="0.25">
      <c r="A96" s="7"/>
      <c r="B96" s="38" t="s">
        <v>83</v>
      </c>
      <c r="C96" s="2">
        <v>2</v>
      </c>
      <c r="D96" s="2">
        <v>7.58</v>
      </c>
      <c r="E96" s="2">
        <f>3.5+0.67</f>
        <v>4.17</v>
      </c>
      <c r="F96" s="2"/>
      <c r="G96" s="56">
        <f>PRODUCT(C96:F96)</f>
        <v>63.217199999999998</v>
      </c>
      <c r="H96" s="2" t="s">
        <v>51</v>
      </c>
      <c r="I96" s="7"/>
      <c r="J96" s="27"/>
      <c r="K96" s="26"/>
    </row>
    <row r="97" spans="1:11" s="28" customFormat="1" x14ac:dyDescent="0.25">
      <c r="A97" s="7"/>
      <c r="B97" s="38" t="s">
        <v>82</v>
      </c>
      <c r="C97" s="2">
        <v>1</v>
      </c>
      <c r="D97" s="2">
        <f>9+0.67</f>
        <v>9.67</v>
      </c>
      <c r="E97" s="2">
        <f>3.5+0.33</f>
        <v>3.83</v>
      </c>
      <c r="F97" s="2"/>
      <c r="G97" s="56">
        <f>PRODUCT(C97:F97)</f>
        <v>37.036099999999998</v>
      </c>
      <c r="H97" s="2" t="s">
        <v>51</v>
      </c>
      <c r="I97" s="7"/>
      <c r="J97" s="27"/>
      <c r="K97" s="26"/>
    </row>
    <row r="98" spans="1:11" s="28" customFormat="1" x14ac:dyDescent="0.25">
      <c r="A98" s="7"/>
      <c r="B98" s="38"/>
      <c r="C98" s="2"/>
      <c r="D98" s="2"/>
      <c r="E98" s="2"/>
      <c r="F98" s="2"/>
      <c r="G98" s="56"/>
      <c r="H98" s="2"/>
      <c r="I98" s="7"/>
      <c r="J98" s="27"/>
      <c r="K98" s="26"/>
    </row>
    <row r="99" spans="1:11" s="28" customFormat="1" x14ac:dyDescent="0.25">
      <c r="A99" s="7">
        <v>5</v>
      </c>
      <c r="B99" s="26" t="s">
        <v>90</v>
      </c>
      <c r="C99" s="2"/>
      <c r="D99" s="2"/>
      <c r="E99" s="2"/>
      <c r="F99" s="2"/>
      <c r="G99" s="56"/>
      <c r="H99" s="2"/>
      <c r="I99" s="7"/>
      <c r="J99" s="27"/>
      <c r="K99" s="26"/>
    </row>
    <row r="100" spans="1:11" s="28" customFormat="1" x14ac:dyDescent="0.25">
      <c r="A100" s="7"/>
      <c r="B100" s="26" t="s">
        <v>77</v>
      </c>
      <c r="C100" s="2"/>
      <c r="D100" s="2"/>
      <c r="E100" s="2"/>
      <c r="F100" s="2"/>
      <c r="G100" s="56"/>
      <c r="H100" s="2"/>
      <c r="I100" s="7"/>
      <c r="J100" s="27"/>
      <c r="K100" s="26"/>
    </row>
    <row r="101" spans="1:11" s="28" customFormat="1" x14ac:dyDescent="0.25">
      <c r="A101" s="7"/>
      <c r="B101" s="41" t="s">
        <v>66</v>
      </c>
      <c r="C101" s="2"/>
      <c r="D101" s="2"/>
      <c r="E101" s="2"/>
      <c r="F101" s="2"/>
      <c r="G101" s="56"/>
      <c r="H101" s="2"/>
      <c r="I101" s="7"/>
      <c r="J101" s="27"/>
      <c r="K101" s="26"/>
    </row>
    <row r="102" spans="1:11" s="28" customFormat="1" x14ac:dyDescent="0.25">
      <c r="A102" s="7"/>
      <c r="B102" s="4" t="s">
        <v>107</v>
      </c>
      <c r="C102" s="2">
        <v>2</v>
      </c>
      <c r="D102" s="2">
        <v>11</v>
      </c>
      <c r="E102" s="2"/>
      <c r="F102" s="2">
        <f>2*0.75</f>
        <v>1.5</v>
      </c>
      <c r="G102" s="56">
        <f>PRODUCT(C102:F102)</f>
        <v>33</v>
      </c>
      <c r="H102" s="2" t="s">
        <v>51</v>
      </c>
      <c r="I102" s="7"/>
      <c r="J102" s="27"/>
      <c r="K102" s="26"/>
    </row>
    <row r="103" spans="1:11" s="28" customFormat="1" x14ac:dyDescent="0.25">
      <c r="A103" s="7"/>
      <c r="B103" s="4" t="s">
        <v>108</v>
      </c>
      <c r="C103" s="2">
        <v>1</v>
      </c>
      <c r="D103" s="2">
        <v>11</v>
      </c>
      <c r="E103" s="2"/>
      <c r="F103" s="2">
        <f>2*0.75</f>
        <v>1.5</v>
      </c>
      <c r="G103" s="56">
        <f>PRODUCT(C103:F103)</f>
        <v>16.5</v>
      </c>
      <c r="H103" s="2" t="s">
        <v>51</v>
      </c>
      <c r="I103" s="7"/>
      <c r="J103" s="27"/>
      <c r="K103" s="26"/>
    </row>
    <row r="104" spans="1:11" s="28" customFormat="1" x14ac:dyDescent="0.25">
      <c r="A104" s="7"/>
      <c r="B104" s="4" t="s">
        <v>99</v>
      </c>
      <c r="C104" s="2">
        <v>2</v>
      </c>
      <c r="D104" s="2">
        <v>4</v>
      </c>
      <c r="E104" s="2"/>
      <c r="F104" s="2">
        <f>2*0.75</f>
        <v>1.5</v>
      </c>
      <c r="G104" s="56">
        <f>PRODUCT(C104:F104)</f>
        <v>12</v>
      </c>
      <c r="H104" s="2" t="s">
        <v>51</v>
      </c>
      <c r="I104" s="7"/>
      <c r="J104" s="27"/>
      <c r="K104" s="26"/>
    </row>
    <row r="105" spans="1:11" s="28" customFormat="1" x14ac:dyDescent="0.25">
      <c r="A105" s="7"/>
      <c r="B105" s="4" t="s">
        <v>98</v>
      </c>
      <c r="C105" s="2">
        <v>1</v>
      </c>
      <c r="D105" s="2">
        <v>4</v>
      </c>
      <c r="E105" s="2"/>
      <c r="F105" s="2">
        <f>2*0.75</f>
        <v>1.5</v>
      </c>
      <c r="G105" s="56">
        <f>PRODUCT(C105:F105)</f>
        <v>6</v>
      </c>
      <c r="H105" s="2" t="s">
        <v>51</v>
      </c>
      <c r="I105" s="7"/>
      <c r="J105" s="27"/>
      <c r="K105" s="26"/>
    </row>
    <row r="106" spans="1:11" s="28" customFormat="1" x14ac:dyDescent="0.25">
      <c r="A106" s="7"/>
      <c r="B106" s="41" t="s">
        <v>67</v>
      </c>
      <c r="C106" s="2"/>
      <c r="D106" s="2"/>
      <c r="E106" s="2"/>
      <c r="F106" s="2"/>
      <c r="G106" s="56"/>
      <c r="H106" s="2"/>
      <c r="I106" s="7"/>
      <c r="J106" s="27"/>
      <c r="K106" s="26"/>
    </row>
    <row r="107" spans="1:11" s="28" customFormat="1" x14ac:dyDescent="0.25">
      <c r="A107" s="7"/>
      <c r="B107" s="4" t="s">
        <v>109</v>
      </c>
      <c r="C107" s="2">
        <v>1</v>
      </c>
      <c r="D107" s="2">
        <v>22</v>
      </c>
      <c r="E107" s="2"/>
      <c r="F107" s="2">
        <f>2*0.75</f>
        <v>1.5</v>
      </c>
      <c r="G107" s="56">
        <f>PRODUCT(C107:F107)</f>
        <v>33</v>
      </c>
      <c r="H107" s="2" t="s">
        <v>51</v>
      </c>
      <c r="I107" s="7"/>
      <c r="J107" s="27"/>
      <c r="K107" s="26"/>
    </row>
    <row r="108" spans="1:11" s="28" customFormat="1" x14ac:dyDescent="0.25">
      <c r="A108" s="7"/>
      <c r="B108" s="4" t="s">
        <v>111</v>
      </c>
      <c r="C108" s="2">
        <v>1</v>
      </c>
      <c r="D108" s="2">
        <v>22</v>
      </c>
      <c r="E108" s="2"/>
      <c r="F108" s="2">
        <f>2*0.75</f>
        <v>1.5</v>
      </c>
      <c r="G108" s="56">
        <f>PRODUCT(C108:F108)</f>
        <v>33</v>
      </c>
      <c r="H108" s="2" t="s">
        <v>51</v>
      </c>
      <c r="I108" s="7"/>
      <c r="J108" s="27"/>
      <c r="K108" s="26"/>
    </row>
    <row r="109" spans="1:11" s="28" customFormat="1" x14ac:dyDescent="0.25">
      <c r="A109" s="7"/>
      <c r="B109" s="4" t="s">
        <v>110</v>
      </c>
      <c r="C109" s="2">
        <v>1</v>
      </c>
      <c r="D109" s="2">
        <v>22</v>
      </c>
      <c r="E109" s="2"/>
      <c r="F109" s="2">
        <f>2*0.75</f>
        <v>1.5</v>
      </c>
      <c r="G109" s="56">
        <f>PRODUCT(C109:F109)</f>
        <v>33</v>
      </c>
      <c r="H109" s="2" t="s">
        <v>51</v>
      </c>
      <c r="I109" s="7"/>
      <c r="J109" s="27"/>
      <c r="K109" s="26"/>
    </row>
    <row r="110" spans="1:11" s="28" customFormat="1" ht="30" x14ac:dyDescent="0.25">
      <c r="A110" s="7"/>
      <c r="B110" s="4" t="s">
        <v>72</v>
      </c>
      <c r="C110" s="2">
        <v>-24</v>
      </c>
      <c r="D110" s="2"/>
      <c r="E110" s="2">
        <v>0.75</v>
      </c>
      <c r="F110" s="2">
        <v>0.75</v>
      </c>
      <c r="G110" s="56">
        <f>PRODUCT(C110:F110)</f>
        <v>-13.5</v>
      </c>
      <c r="H110" s="2" t="s">
        <v>51</v>
      </c>
      <c r="I110" s="7"/>
      <c r="J110" s="27"/>
      <c r="K110" s="26"/>
    </row>
    <row r="111" spans="1:11" s="28" customFormat="1" x14ac:dyDescent="0.25">
      <c r="A111" s="7"/>
      <c r="B111" s="26"/>
      <c r="C111" s="2"/>
      <c r="D111" s="2"/>
      <c r="E111" s="2"/>
      <c r="F111" s="2"/>
      <c r="G111" s="56"/>
      <c r="H111" s="2"/>
      <c r="I111" s="7"/>
      <c r="J111" s="27"/>
      <c r="K111" s="26"/>
    </row>
    <row r="112" spans="1:11" s="28" customFormat="1" x14ac:dyDescent="0.25">
      <c r="A112" s="7"/>
      <c r="B112" s="26" t="s">
        <v>85</v>
      </c>
      <c r="C112" s="2">
        <v>1</v>
      </c>
      <c r="D112" s="2">
        <v>18</v>
      </c>
      <c r="E112" s="2">
        <v>25</v>
      </c>
      <c r="F112" s="2"/>
      <c r="G112" s="56">
        <f>PRODUCT(C112:F112)</f>
        <v>450</v>
      </c>
      <c r="H112" s="2" t="s">
        <v>51</v>
      </c>
      <c r="I112" s="7"/>
      <c r="J112" s="27"/>
      <c r="K112" s="26"/>
    </row>
    <row r="113" spans="1:11" s="28" customFormat="1" x14ac:dyDescent="0.25">
      <c r="A113" s="7"/>
      <c r="B113" s="26" t="s">
        <v>86</v>
      </c>
      <c r="C113" s="2">
        <v>1</v>
      </c>
      <c r="D113" s="2">
        <f>19.67*2+25</f>
        <v>64.34</v>
      </c>
      <c r="E113" s="2">
        <f>1.67</f>
        <v>1.67</v>
      </c>
      <c r="F113" s="2"/>
      <c r="G113" s="56">
        <f>PRODUCT(C113:F113)</f>
        <v>107.4478</v>
      </c>
      <c r="H113" s="2" t="s">
        <v>51</v>
      </c>
      <c r="I113" s="7"/>
      <c r="J113" s="27"/>
      <c r="K113" s="26"/>
    </row>
    <row r="114" spans="1:11" s="28" customFormat="1" x14ac:dyDescent="0.25">
      <c r="A114" s="7"/>
      <c r="B114" s="26" t="s">
        <v>86</v>
      </c>
      <c r="C114" s="2">
        <v>1</v>
      </c>
      <c r="D114" s="2">
        <f>28.33</f>
        <v>28.33</v>
      </c>
      <c r="E114" s="2">
        <v>2</v>
      </c>
      <c r="F114" s="2"/>
      <c r="G114" s="56">
        <f>PRODUCT(C114:F114)</f>
        <v>56.66</v>
      </c>
      <c r="H114" s="2" t="s">
        <v>51</v>
      </c>
      <c r="I114" s="7"/>
      <c r="J114" s="27"/>
      <c r="K114" s="26"/>
    </row>
    <row r="115" spans="1:11" s="28" customFormat="1" x14ac:dyDescent="0.25">
      <c r="A115" s="7"/>
      <c r="B115" s="26" t="s">
        <v>106</v>
      </c>
      <c r="C115" s="2">
        <v>1</v>
      </c>
      <c r="D115" s="2">
        <f>(28.33)*2+(23.33*2)</f>
        <v>103.32</v>
      </c>
      <c r="E115" s="2"/>
      <c r="F115" s="2">
        <v>0.42</v>
      </c>
      <c r="G115" s="56"/>
      <c r="H115" s="2"/>
      <c r="I115" s="7"/>
      <c r="J115" s="27"/>
      <c r="K115" s="26"/>
    </row>
    <row r="116" spans="1:11" s="28" customFormat="1" x14ac:dyDescent="0.25">
      <c r="A116" s="7"/>
      <c r="B116" s="38" t="s">
        <v>103</v>
      </c>
      <c r="C116" s="2">
        <v>-9</v>
      </c>
      <c r="D116" s="2">
        <v>1</v>
      </c>
      <c r="E116" s="2">
        <v>1</v>
      </c>
      <c r="F116" s="2"/>
      <c r="G116" s="56">
        <f>PRODUCT(C116:F116)</f>
        <v>-9</v>
      </c>
      <c r="H116" s="2" t="s">
        <v>51</v>
      </c>
      <c r="I116" s="7"/>
      <c r="J116" s="27"/>
      <c r="K116" s="26"/>
    </row>
    <row r="117" spans="1:11" s="28" customFormat="1" x14ac:dyDescent="0.25">
      <c r="A117" s="7"/>
      <c r="B117" s="38" t="s">
        <v>105</v>
      </c>
      <c r="C117" s="2">
        <v>-6</v>
      </c>
      <c r="D117" s="2">
        <v>11</v>
      </c>
      <c r="E117" s="2">
        <v>0.75</v>
      </c>
      <c r="F117" s="2"/>
      <c r="G117" s="56">
        <f>PRODUCT(C117:F117)</f>
        <v>-49.5</v>
      </c>
      <c r="H117" s="2" t="s">
        <v>51</v>
      </c>
      <c r="I117" s="7"/>
      <c r="J117" s="27"/>
      <c r="K117" s="26"/>
    </row>
    <row r="118" spans="1:11" s="28" customFormat="1" x14ac:dyDescent="0.25">
      <c r="A118" s="7"/>
      <c r="B118" s="38" t="s">
        <v>105</v>
      </c>
      <c r="C118" s="2">
        <v>-2</v>
      </c>
      <c r="D118" s="2">
        <v>4</v>
      </c>
      <c r="E118" s="2">
        <v>0.75</v>
      </c>
      <c r="F118" s="2"/>
      <c r="G118" s="56">
        <f>PRODUCT(C118:F118)</f>
        <v>-6</v>
      </c>
      <c r="H118" s="2" t="s">
        <v>51</v>
      </c>
      <c r="I118" s="7"/>
      <c r="J118" s="27"/>
      <c r="K118" s="26"/>
    </row>
    <row r="119" spans="1:11" s="28" customFormat="1" x14ac:dyDescent="0.25">
      <c r="A119" s="7"/>
      <c r="B119" s="26"/>
      <c r="C119" s="7"/>
      <c r="D119" s="7"/>
      <c r="E119" s="7"/>
      <c r="F119" s="7"/>
      <c r="G119" s="44"/>
      <c r="H119" s="7"/>
      <c r="I119" s="7"/>
      <c r="J119" s="27"/>
      <c r="K119" s="26"/>
    </row>
    <row r="120" spans="1:11" s="28" customFormat="1" x14ac:dyDescent="0.25">
      <c r="A120" s="7"/>
      <c r="B120" s="26"/>
      <c r="C120" s="7"/>
      <c r="D120" s="7"/>
      <c r="E120" s="7"/>
      <c r="F120" s="7"/>
      <c r="G120" s="44">
        <f>SUM(G11:G119)</f>
        <v>5365.242299999999</v>
      </c>
      <c r="H120" s="7" t="s">
        <v>51</v>
      </c>
      <c r="I120" s="7"/>
      <c r="J120" s="27"/>
      <c r="K120" s="26"/>
    </row>
    <row r="121" spans="1:11" s="28" customFormat="1" x14ac:dyDescent="0.25">
      <c r="A121" s="7"/>
      <c r="B121" s="26"/>
      <c r="C121" s="7"/>
      <c r="D121" s="7"/>
      <c r="E121" s="7"/>
      <c r="F121" s="7"/>
      <c r="G121" s="44">
        <f>CONVERT(CONVERT(G120,"ft","m"),"ft","m")</f>
        <v>498.44732000659189</v>
      </c>
      <c r="H121" s="7" t="s">
        <v>58</v>
      </c>
      <c r="I121" s="7"/>
      <c r="J121" s="27">
        <f>G121*I121</f>
        <v>0</v>
      </c>
      <c r="K121" s="26"/>
    </row>
    <row r="122" spans="1:11" x14ac:dyDescent="0.25">
      <c r="A122" s="7"/>
      <c r="B122" s="7"/>
      <c r="C122" s="2"/>
      <c r="D122" s="2"/>
      <c r="E122" s="2"/>
      <c r="F122" s="2"/>
      <c r="G122" s="45"/>
      <c r="H122" s="7"/>
      <c r="I122" s="37" t="s">
        <v>10</v>
      </c>
      <c r="J122" s="40">
        <f>SUM(J11:J121)</f>
        <v>0</v>
      </c>
      <c r="K122" s="2" t="s">
        <v>24</v>
      </c>
    </row>
    <row r="123" spans="1:11" x14ac:dyDescent="0.25">
      <c r="A123" s="28"/>
      <c r="B123" s="28"/>
      <c r="G123" s="46"/>
      <c r="H123" s="28"/>
      <c r="J123"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9"/>
  <sheetViews>
    <sheetView view="pageBreakPreview" topLeftCell="A40" zoomScaleSheetLayoutView="100" workbookViewId="0">
      <selection activeCell="F52" sqref="F52"/>
    </sheetView>
  </sheetViews>
  <sheetFormatPr defaultColWidth="9.140625" defaultRowHeight="15" x14ac:dyDescent="0.25"/>
  <cols>
    <col min="1" max="1" width="6.140625" style="20" customWidth="1"/>
    <col min="2" max="2" width="44.85546875" style="20" customWidth="1"/>
    <col min="3" max="3" width="4.7109375" style="20" bestFit="1" customWidth="1"/>
    <col min="4" max="4" width="7.7109375" style="20" bestFit="1" customWidth="1"/>
    <col min="5" max="5" width="8.5703125" style="20" bestFit="1" customWidth="1"/>
    <col min="6" max="6" width="7.42578125" style="20" bestFit="1" customWidth="1"/>
    <col min="7" max="7" width="9" style="32" bestFit="1" customWidth="1"/>
    <col min="8" max="8" width="5" style="20" bestFit="1" customWidth="1"/>
    <col min="9" max="9" width="11.7109375" style="20" customWidth="1"/>
    <col min="10" max="10" width="13.140625" style="21" customWidth="1"/>
    <col min="11" max="11" width="10.140625" style="20" customWidth="1"/>
    <col min="12" max="16384" width="9.140625" style="20"/>
  </cols>
  <sheetData>
    <row r="1" spans="1:11" x14ac:dyDescent="0.25">
      <c r="A1" s="186" t="s">
        <v>11</v>
      </c>
      <c r="B1" s="186"/>
      <c r="C1" s="186"/>
      <c r="D1" s="186"/>
      <c r="E1" s="186"/>
      <c r="F1" s="186"/>
      <c r="G1" s="186"/>
      <c r="H1" s="186"/>
      <c r="I1" s="186"/>
      <c r="J1" s="186"/>
      <c r="K1" s="186"/>
    </row>
    <row r="2" spans="1:11" ht="22.5" x14ac:dyDescent="0.25">
      <c r="A2" s="187" t="s">
        <v>12</v>
      </c>
      <c r="B2" s="187"/>
      <c r="C2" s="187"/>
      <c r="D2" s="187"/>
      <c r="E2" s="187"/>
      <c r="F2" s="187"/>
      <c r="G2" s="187"/>
      <c r="H2" s="187"/>
      <c r="I2" s="187"/>
      <c r="J2" s="187"/>
      <c r="K2" s="187"/>
    </row>
    <row r="3" spans="1:11" x14ac:dyDescent="0.25">
      <c r="A3" s="188" t="s">
        <v>23</v>
      </c>
      <c r="B3" s="188"/>
      <c r="C3" s="188"/>
      <c r="D3" s="188"/>
      <c r="E3" s="188"/>
      <c r="F3" s="188"/>
      <c r="G3" s="188"/>
      <c r="H3" s="188"/>
      <c r="I3" s="188"/>
      <c r="J3" s="188"/>
      <c r="K3" s="188"/>
    </row>
    <row r="4" spans="1:11" x14ac:dyDescent="0.25">
      <c r="A4" s="188" t="s">
        <v>13</v>
      </c>
      <c r="B4" s="188"/>
      <c r="C4" s="188"/>
      <c r="D4" s="188"/>
      <c r="E4" s="188"/>
      <c r="F4" s="188"/>
      <c r="G4" s="188"/>
      <c r="H4" s="188"/>
      <c r="I4" s="188"/>
      <c r="J4" s="188"/>
      <c r="K4" s="188"/>
    </row>
    <row r="5" spans="1:11" customFormat="1" ht="18.75" x14ac:dyDescent="0.3">
      <c r="A5" s="189" t="s">
        <v>43</v>
      </c>
      <c r="B5" s="189"/>
      <c r="C5" s="189"/>
      <c r="D5" s="189"/>
      <c r="E5" s="189"/>
      <c r="F5" s="189"/>
      <c r="G5" s="189"/>
      <c r="H5" s="189"/>
      <c r="I5" s="189"/>
      <c r="J5" s="189"/>
      <c r="K5" s="189"/>
    </row>
    <row r="6" spans="1:11" s="19" customFormat="1" x14ac:dyDescent="0.25">
      <c r="A6"/>
      <c r="B6"/>
      <c r="C6"/>
      <c r="D6"/>
      <c r="E6"/>
      <c r="F6"/>
      <c r="G6" s="42"/>
      <c r="H6"/>
      <c r="I6"/>
      <c r="J6" s="6"/>
      <c r="K6"/>
    </row>
    <row r="7" spans="1:11" x14ac:dyDescent="0.25">
      <c r="A7" t="s">
        <v>52</v>
      </c>
      <c r="B7"/>
      <c r="C7"/>
      <c r="D7"/>
      <c r="E7"/>
      <c r="F7"/>
      <c r="G7" s="42"/>
      <c r="H7"/>
      <c r="I7"/>
      <c r="J7" s="20"/>
      <c r="K7" s="18" t="s">
        <v>44</v>
      </c>
    </row>
    <row r="8" spans="1:11" customFormat="1" x14ac:dyDescent="0.25">
      <c r="A8" t="s">
        <v>28</v>
      </c>
      <c r="G8" s="42"/>
      <c r="J8" s="18"/>
      <c r="K8" s="22" t="s">
        <v>49</v>
      </c>
    </row>
    <row r="9" spans="1:11" customFormat="1" x14ac:dyDescent="0.25">
      <c r="A9" s="23" t="s">
        <v>0</v>
      </c>
      <c r="B9" s="23" t="s">
        <v>20</v>
      </c>
      <c r="C9" s="23" t="s">
        <v>1</v>
      </c>
      <c r="D9" s="23" t="s">
        <v>2</v>
      </c>
      <c r="E9" s="23" t="s">
        <v>3</v>
      </c>
      <c r="F9" s="23" t="s">
        <v>4</v>
      </c>
      <c r="G9" s="43" t="s">
        <v>6</v>
      </c>
      <c r="H9" s="23" t="s">
        <v>7</v>
      </c>
      <c r="I9" s="23" t="s">
        <v>8</v>
      </c>
      <c r="J9" s="24" t="s">
        <v>9</v>
      </c>
      <c r="K9" s="23" t="s">
        <v>5</v>
      </c>
    </row>
    <row r="10" spans="1:11" s="28" customFormat="1" x14ac:dyDescent="0.25">
      <c r="A10" s="7">
        <v>1</v>
      </c>
      <c r="B10" s="41" t="s">
        <v>53</v>
      </c>
      <c r="C10" s="7"/>
      <c r="D10" s="7"/>
      <c r="E10" s="7"/>
      <c r="F10" s="7"/>
      <c r="G10" s="44"/>
      <c r="H10" s="7"/>
      <c r="I10" s="7"/>
      <c r="J10" s="27"/>
      <c r="K10" s="26"/>
    </row>
    <row r="11" spans="1:11" s="28" customFormat="1" x14ac:dyDescent="0.25">
      <c r="A11" s="7"/>
      <c r="B11" s="4" t="s">
        <v>54</v>
      </c>
      <c r="C11" s="7"/>
      <c r="D11" s="7"/>
      <c r="E11" s="7"/>
      <c r="F11" s="7"/>
      <c r="G11" s="7"/>
      <c r="H11" s="7"/>
      <c r="I11" s="7"/>
      <c r="J11" s="27"/>
      <c r="K11" s="26"/>
    </row>
    <row r="12" spans="1:11" s="28" customFormat="1" x14ac:dyDescent="0.25">
      <c r="A12" s="7"/>
      <c r="B12" s="4" t="s">
        <v>70</v>
      </c>
      <c r="C12" s="2">
        <v>6</v>
      </c>
      <c r="D12" s="2">
        <v>5</v>
      </c>
      <c r="E12" s="2">
        <v>5</v>
      </c>
      <c r="F12" s="2">
        <f>ROUND(8/12,2)</f>
        <v>0.67</v>
      </c>
      <c r="G12" s="56">
        <f>PRODUCT(C12:F12)</f>
        <v>100.5</v>
      </c>
      <c r="H12" s="2" t="s">
        <v>48</v>
      </c>
      <c r="I12" s="7"/>
      <c r="J12" s="27"/>
      <c r="K12" s="26"/>
    </row>
    <row r="13" spans="1:11" s="28" customFormat="1" x14ac:dyDescent="0.25">
      <c r="A13" s="7"/>
      <c r="B13" s="4" t="s">
        <v>71</v>
      </c>
      <c r="C13" s="2"/>
      <c r="D13" s="2">
        <v>1.67</v>
      </c>
      <c r="E13" s="2">
        <v>1.67</v>
      </c>
      <c r="F13" s="2">
        <v>0.5</v>
      </c>
      <c r="G13" s="56">
        <f>C12*((F13/3)*((D12*E12)+(D13*E13)+SQRT((D12*E12)*(D13*E13))))</f>
        <v>36.138899999999992</v>
      </c>
      <c r="H13" s="2" t="s">
        <v>48</v>
      </c>
      <c r="I13" s="7"/>
      <c r="J13" s="27"/>
      <c r="K13" s="26"/>
    </row>
    <row r="14" spans="1:11" s="28" customFormat="1" x14ac:dyDescent="0.25">
      <c r="A14" s="7"/>
      <c r="B14" s="4" t="s">
        <v>55</v>
      </c>
      <c r="C14" s="2"/>
      <c r="D14" s="2"/>
      <c r="E14" s="2"/>
      <c r="F14" s="2"/>
      <c r="G14" s="2"/>
      <c r="H14" s="2"/>
      <c r="I14" s="7"/>
      <c r="J14" s="27"/>
      <c r="K14" s="26"/>
    </row>
    <row r="15" spans="1:11" s="28" customFormat="1" x14ac:dyDescent="0.25">
      <c r="A15" s="7"/>
      <c r="B15" s="4" t="s">
        <v>70</v>
      </c>
      <c r="C15" s="2">
        <v>6</v>
      </c>
      <c r="D15" s="2">
        <v>5</v>
      </c>
      <c r="E15" s="2">
        <v>5</v>
      </c>
      <c r="F15" s="2">
        <f>ROUND(8/12,2)</f>
        <v>0.67</v>
      </c>
      <c r="G15" s="56">
        <f>PRODUCT(C15:F15)</f>
        <v>100.5</v>
      </c>
      <c r="H15" s="2" t="s">
        <v>48</v>
      </c>
      <c r="I15" s="7"/>
      <c r="J15" s="27"/>
      <c r="K15" s="26"/>
    </row>
    <row r="16" spans="1:11" s="55" customFormat="1" x14ac:dyDescent="0.25">
      <c r="A16" s="51"/>
      <c r="B16" s="52" t="s">
        <v>71</v>
      </c>
      <c r="C16" s="57"/>
      <c r="D16" s="57">
        <v>1.67</v>
      </c>
      <c r="E16" s="57">
        <v>1.67</v>
      </c>
      <c r="F16" s="57">
        <v>0.5</v>
      </c>
      <c r="G16" s="58">
        <f>C15*((F16/3)*((D15*E15)+(D16*E16)+SQRT((D15*E15)*(D16*E16))))</f>
        <v>36.138899999999992</v>
      </c>
      <c r="H16" s="57" t="s">
        <v>48</v>
      </c>
      <c r="I16" s="51"/>
      <c r="J16" s="53"/>
      <c r="K16" s="54"/>
    </row>
    <row r="17" spans="1:11" s="28" customFormat="1" x14ac:dyDescent="0.25">
      <c r="A17" s="7"/>
      <c r="B17" s="4"/>
      <c r="C17" s="2"/>
      <c r="D17" s="2"/>
      <c r="E17" s="2"/>
      <c r="F17" s="2"/>
      <c r="G17" s="56"/>
      <c r="H17" s="2"/>
      <c r="I17" s="7"/>
      <c r="J17" s="27"/>
      <c r="K17" s="26"/>
    </row>
    <row r="18" spans="1:11" s="28" customFormat="1" x14ac:dyDescent="0.25">
      <c r="A18" s="7"/>
      <c r="B18" s="41" t="s">
        <v>57</v>
      </c>
      <c r="C18" s="2"/>
      <c r="D18" s="2"/>
      <c r="E18" s="2"/>
      <c r="F18" s="2"/>
      <c r="G18" s="56"/>
      <c r="H18" s="2"/>
      <c r="I18" s="7"/>
      <c r="J18" s="27"/>
      <c r="K18" s="26"/>
    </row>
    <row r="19" spans="1:11" s="28" customFormat="1" x14ac:dyDescent="0.25">
      <c r="A19" s="7"/>
      <c r="B19" s="41" t="s">
        <v>66</v>
      </c>
      <c r="C19" s="2"/>
      <c r="D19" s="2"/>
      <c r="E19" s="2"/>
      <c r="F19" s="2"/>
      <c r="G19" s="56"/>
      <c r="H19" s="2"/>
      <c r="I19" s="7"/>
      <c r="J19" s="27"/>
      <c r="K19" s="26"/>
    </row>
    <row r="20" spans="1:11" s="28" customFormat="1" ht="30" x14ac:dyDescent="0.25">
      <c r="A20" s="7"/>
      <c r="B20" s="4" t="s">
        <v>64</v>
      </c>
      <c r="C20" s="2">
        <f>6</f>
        <v>6</v>
      </c>
      <c r="D20" s="2">
        <v>11</v>
      </c>
      <c r="E20" s="2">
        <v>0.75</v>
      </c>
      <c r="F20" s="2">
        <v>1</v>
      </c>
      <c r="G20" s="56">
        <f>PRODUCT(C20:F20)</f>
        <v>49.5</v>
      </c>
      <c r="H20" s="2" t="s">
        <v>48</v>
      </c>
      <c r="I20" s="7"/>
      <c r="J20" s="27"/>
      <c r="K20" s="26"/>
    </row>
    <row r="21" spans="1:11" s="28" customFormat="1" x14ac:dyDescent="0.25">
      <c r="A21" s="7"/>
      <c r="B21" s="4" t="s">
        <v>61</v>
      </c>
      <c r="C21" s="2">
        <f>3</f>
        <v>3</v>
      </c>
      <c r="D21" s="2">
        <v>4</v>
      </c>
      <c r="E21" s="2">
        <v>0.75</v>
      </c>
      <c r="F21" s="2">
        <v>1</v>
      </c>
      <c r="G21" s="56">
        <f>PRODUCT(C21:F21)</f>
        <v>9</v>
      </c>
      <c r="H21" s="2" t="s">
        <v>48</v>
      </c>
      <c r="I21" s="7"/>
      <c r="J21" s="27"/>
      <c r="K21" s="26"/>
    </row>
    <row r="22" spans="1:11" s="28" customFormat="1" x14ac:dyDescent="0.25">
      <c r="A22" s="7"/>
      <c r="B22" s="41" t="s">
        <v>67</v>
      </c>
      <c r="C22" s="2"/>
      <c r="D22" s="2"/>
      <c r="E22" s="2"/>
      <c r="F22" s="2"/>
      <c r="G22" s="56"/>
      <c r="H22" s="2"/>
      <c r="I22" s="7"/>
      <c r="J22" s="27"/>
      <c r="K22" s="26"/>
    </row>
    <row r="23" spans="1:11" s="28" customFormat="1" x14ac:dyDescent="0.25">
      <c r="A23" s="7"/>
      <c r="B23" s="4" t="s">
        <v>65</v>
      </c>
      <c r="C23" s="2">
        <f>4</f>
        <v>4</v>
      </c>
      <c r="D23" s="2">
        <v>22</v>
      </c>
      <c r="E23" s="2">
        <v>0.75</v>
      </c>
      <c r="F23" s="2">
        <v>1</v>
      </c>
      <c r="G23" s="56">
        <f>PRODUCT(C23:F23)</f>
        <v>66</v>
      </c>
      <c r="H23" s="2" t="s">
        <v>48</v>
      </c>
      <c r="I23" s="7"/>
      <c r="J23" s="27"/>
      <c r="K23" s="26"/>
    </row>
    <row r="24" spans="1:11" s="28" customFormat="1" x14ac:dyDescent="0.25">
      <c r="A24" s="7"/>
      <c r="B24" s="26"/>
      <c r="C24" s="2"/>
      <c r="D24" s="2"/>
      <c r="E24" s="2"/>
      <c r="F24" s="2"/>
      <c r="G24" s="56"/>
      <c r="H24" s="2"/>
      <c r="I24" s="7"/>
      <c r="J24" s="27"/>
      <c r="K24" s="26"/>
    </row>
    <row r="25" spans="1:11" s="28" customFormat="1" x14ac:dyDescent="0.25">
      <c r="A25" s="7"/>
      <c r="B25" s="26" t="s">
        <v>74</v>
      </c>
      <c r="C25" s="2"/>
      <c r="D25" s="2"/>
      <c r="E25" s="2"/>
      <c r="F25" s="2"/>
      <c r="G25" s="56"/>
      <c r="H25" s="2"/>
      <c r="I25" s="7"/>
      <c r="J25" s="27"/>
      <c r="K25" s="26"/>
    </row>
    <row r="26" spans="1:11" s="28" customFormat="1" x14ac:dyDescent="0.25">
      <c r="A26" s="7"/>
      <c r="B26" s="4" t="s">
        <v>68</v>
      </c>
      <c r="C26" s="2">
        <v>12</v>
      </c>
      <c r="D26" s="2">
        <v>1</v>
      </c>
      <c r="E26" s="2">
        <v>1</v>
      </c>
      <c r="F26" s="2">
        <v>5.58</v>
      </c>
      <c r="G26" s="56">
        <f>PRODUCT(C26:F26)</f>
        <v>66.960000000000008</v>
      </c>
      <c r="H26" s="2" t="s">
        <v>48</v>
      </c>
      <c r="I26" s="7"/>
      <c r="J26" s="27"/>
      <c r="K26" s="26"/>
    </row>
    <row r="27" spans="1:11" s="28" customFormat="1" x14ac:dyDescent="0.25">
      <c r="A27" s="7"/>
      <c r="B27" s="26"/>
      <c r="C27" s="2"/>
      <c r="D27" s="2"/>
      <c r="E27" s="2"/>
      <c r="F27" s="2"/>
      <c r="G27" s="20"/>
      <c r="H27" s="20"/>
      <c r="I27" s="7"/>
      <c r="J27" s="27"/>
      <c r="K27" s="26"/>
    </row>
    <row r="28" spans="1:11" s="28" customFormat="1" x14ac:dyDescent="0.25">
      <c r="A28" s="7">
        <v>2</v>
      </c>
      <c r="B28" s="26" t="s">
        <v>73</v>
      </c>
      <c r="C28" s="2"/>
      <c r="D28" s="2"/>
      <c r="E28" s="2"/>
      <c r="F28" s="2"/>
      <c r="G28" s="56"/>
      <c r="H28" s="2"/>
      <c r="I28" s="7"/>
      <c r="J28" s="27"/>
      <c r="K28" s="26"/>
    </row>
    <row r="29" spans="1:11" s="28" customFormat="1" x14ac:dyDescent="0.25">
      <c r="A29" s="7"/>
      <c r="B29" s="26" t="s">
        <v>75</v>
      </c>
      <c r="C29" s="2"/>
      <c r="D29" s="2"/>
      <c r="E29" s="2"/>
      <c r="F29" s="2"/>
      <c r="G29" s="2"/>
      <c r="H29" s="2"/>
      <c r="I29" s="7"/>
      <c r="J29" s="27"/>
      <c r="K29" s="26"/>
    </row>
    <row r="30" spans="1:11" s="28" customFormat="1" ht="15" customHeight="1" x14ac:dyDescent="0.25">
      <c r="A30" s="7"/>
      <c r="B30" s="4" t="s">
        <v>76</v>
      </c>
      <c r="C30" s="2">
        <v>12</v>
      </c>
      <c r="D30" s="2">
        <v>1</v>
      </c>
      <c r="E30" s="2">
        <v>1</v>
      </c>
      <c r="F30" s="2">
        <f>9.33</f>
        <v>9.33</v>
      </c>
      <c r="G30" s="56">
        <f>PRODUCT(C30:F30)</f>
        <v>111.96000000000001</v>
      </c>
      <c r="H30" s="2" t="s">
        <v>48</v>
      </c>
      <c r="I30" s="7"/>
      <c r="J30" s="27"/>
      <c r="K30" s="26"/>
    </row>
    <row r="31" spans="1:11" s="28" customFormat="1" ht="15" customHeight="1" x14ac:dyDescent="0.25">
      <c r="A31" s="7"/>
      <c r="B31" s="4"/>
      <c r="C31" s="2"/>
      <c r="D31" s="2"/>
      <c r="E31" s="2"/>
      <c r="F31" s="2"/>
      <c r="G31" s="56"/>
      <c r="H31" s="2"/>
      <c r="I31" s="7"/>
      <c r="J31" s="27"/>
      <c r="K31" s="26"/>
    </row>
    <row r="32" spans="1:11" s="28" customFormat="1" x14ac:dyDescent="0.25">
      <c r="A32" s="7"/>
      <c r="B32" s="26" t="s">
        <v>78</v>
      </c>
      <c r="C32" s="2"/>
      <c r="D32" s="2"/>
      <c r="E32" s="2"/>
      <c r="F32" s="2"/>
      <c r="G32" s="56"/>
      <c r="H32" s="2"/>
      <c r="I32" s="7"/>
      <c r="J32" s="27"/>
      <c r="K32" s="26"/>
    </row>
    <row r="33" spans="1:11" s="28" customFormat="1" x14ac:dyDescent="0.25">
      <c r="A33" s="7"/>
      <c r="B33" s="41" t="s">
        <v>66</v>
      </c>
      <c r="C33" s="2"/>
      <c r="D33" s="2"/>
      <c r="E33" s="2"/>
      <c r="F33" s="2"/>
      <c r="G33" s="56"/>
      <c r="H33" s="2"/>
      <c r="I33" s="7"/>
      <c r="J33" s="27"/>
      <c r="K33" s="26"/>
    </row>
    <row r="34" spans="1:11" s="28" customFormat="1" ht="30" x14ac:dyDescent="0.25">
      <c r="A34" s="7"/>
      <c r="B34" s="4" t="s">
        <v>64</v>
      </c>
      <c r="C34" s="2">
        <f>6</f>
        <v>6</v>
      </c>
      <c r="D34" s="2">
        <v>11</v>
      </c>
      <c r="E34" s="2">
        <v>0.75</v>
      </c>
      <c r="F34" s="2">
        <v>1</v>
      </c>
      <c r="G34" s="56">
        <f>PRODUCT(C34:F34)</f>
        <v>49.5</v>
      </c>
      <c r="H34" s="2" t="s">
        <v>48</v>
      </c>
      <c r="I34" s="7"/>
      <c r="J34" s="27"/>
      <c r="K34" s="26"/>
    </row>
    <row r="35" spans="1:11" s="28" customFormat="1" x14ac:dyDescent="0.25">
      <c r="A35" s="7"/>
      <c r="B35" s="4" t="s">
        <v>61</v>
      </c>
      <c r="C35" s="2">
        <f>3</f>
        <v>3</v>
      </c>
      <c r="D35" s="2">
        <v>4</v>
      </c>
      <c r="E35" s="2">
        <v>0.75</v>
      </c>
      <c r="F35" s="2">
        <v>1</v>
      </c>
      <c r="G35" s="56">
        <f>PRODUCT(C35:F35)</f>
        <v>9</v>
      </c>
      <c r="H35" s="2" t="s">
        <v>48</v>
      </c>
      <c r="I35" s="7"/>
      <c r="J35" s="27"/>
      <c r="K35" s="26"/>
    </row>
    <row r="36" spans="1:11" s="28" customFormat="1" x14ac:dyDescent="0.25">
      <c r="A36" s="7"/>
      <c r="B36" s="41" t="s">
        <v>67</v>
      </c>
      <c r="C36" s="2"/>
      <c r="D36" s="2"/>
      <c r="E36" s="2"/>
      <c r="F36" s="2"/>
      <c r="G36" s="56"/>
      <c r="H36" s="2"/>
      <c r="I36" s="7"/>
      <c r="J36" s="27"/>
      <c r="K36" s="26"/>
    </row>
    <row r="37" spans="1:11" s="28" customFormat="1" x14ac:dyDescent="0.25">
      <c r="A37" s="7"/>
      <c r="B37" s="4" t="s">
        <v>65</v>
      </c>
      <c r="C37" s="2">
        <f>4</f>
        <v>4</v>
      </c>
      <c r="D37" s="2">
        <v>22</v>
      </c>
      <c r="E37" s="2">
        <v>0.75</v>
      </c>
      <c r="F37" s="2">
        <v>1</v>
      </c>
      <c r="G37" s="56">
        <f>PRODUCT(C37:F37)</f>
        <v>66</v>
      </c>
      <c r="H37" s="2" t="s">
        <v>48</v>
      </c>
      <c r="I37" s="7"/>
      <c r="J37" s="27"/>
      <c r="K37" s="26"/>
    </row>
    <row r="38" spans="1:11" s="28" customFormat="1" x14ac:dyDescent="0.25">
      <c r="A38" s="7"/>
      <c r="B38" s="26"/>
      <c r="C38" s="2"/>
      <c r="D38" s="2"/>
      <c r="E38" s="2"/>
      <c r="F38" s="2"/>
      <c r="G38" s="56"/>
      <c r="H38" s="2"/>
      <c r="I38" s="7"/>
      <c r="J38" s="27"/>
      <c r="K38" s="26"/>
    </row>
    <row r="39" spans="1:11" s="28" customFormat="1" x14ac:dyDescent="0.25">
      <c r="A39" s="7"/>
      <c r="B39" s="26" t="s">
        <v>79</v>
      </c>
      <c r="C39" s="2"/>
      <c r="D39" s="2"/>
      <c r="E39" s="2"/>
      <c r="F39" s="2"/>
      <c r="G39" s="56"/>
      <c r="H39" s="2"/>
      <c r="I39" s="7"/>
      <c r="J39" s="27"/>
      <c r="K39" s="26"/>
    </row>
    <row r="40" spans="1:11" s="28" customFormat="1" x14ac:dyDescent="0.25">
      <c r="A40" s="7"/>
      <c r="B40" s="38" t="s">
        <v>80</v>
      </c>
      <c r="C40" s="2">
        <f>0.5*14</f>
        <v>7</v>
      </c>
      <c r="D40" s="2">
        <v>3.5</v>
      </c>
      <c r="E40" s="2">
        <v>0.83</v>
      </c>
      <c r="F40" s="2">
        <v>0.57999999999999996</v>
      </c>
      <c r="G40" s="56">
        <f>PRODUCT(C40:F40)</f>
        <v>11.794299999999998</v>
      </c>
      <c r="H40" s="2" t="s">
        <v>48</v>
      </c>
      <c r="I40" s="7"/>
      <c r="J40" s="27"/>
      <c r="K40" s="26"/>
    </row>
    <row r="41" spans="1:11" s="28" customFormat="1" x14ac:dyDescent="0.25">
      <c r="A41" s="7"/>
      <c r="B41" s="38" t="s">
        <v>83</v>
      </c>
      <c r="C41" s="2">
        <v>2</v>
      </c>
      <c r="D41" s="2">
        <v>7.58</v>
      </c>
      <c r="E41" s="2">
        <v>3.5</v>
      </c>
      <c r="F41" s="2">
        <v>0.33</v>
      </c>
      <c r="G41" s="56">
        <f>PRODUCT(C41:F41)</f>
        <v>17.509800000000002</v>
      </c>
      <c r="H41" s="2" t="s">
        <v>48</v>
      </c>
      <c r="I41" s="7"/>
      <c r="J41" s="27"/>
      <c r="K41" s="26"/>
    </row>
    <row r="42" spans="1:11" s="28" customFormat="1" x14ac:dyDescent="0.25">
      <c r="A42" s="7"/>
      <c r="B42" s="38" t="s">
        <v>81</v>
      </c>
      <c r="C42" s="2">
        <v>1</v>
      </c>
      <c r="D42" s="2">
        <v>2.17</v>
      </c>
      <c r="E42" s="2">
        <v>3.5</v>
      </c>
      <c r="F42" s="2">
        <v>0.33</v>
      </c>
      <c r="G42" s="56">
        <f>PRODUCT(C42:F42)</f>
        <v>2.5063499999999999</v>
      </c>
      <c r="H42" s="2" t="s">
        <v>48</v>
      </c>
      <c r="I42" s="7"/>
      <c r="J42" s="27"/>
      <c r="K42" s="26"/>
    </row>
    <row r="43" spans="1:11" s="28" customFormat="1" x14ac:dyDescent="0.25">
      <c r="A43" s="7"/>
      <c r="B43" s="38" t="s">
        <v>82</v>
      </c>
      <c r="C43" s="2">
        <v>1</v>
      </c>
      <c r="D43" s="2">
        <v>9</v>
      </c>
      <c r="E43" s="2">
        <v>3.5</v>
      </c>
      <c r="F43" s="2">
        <v>0.33</v>
      </c>
      <c r="G43" s="56">
        <f>PRODUCT(C43:F43)</f>
        <v>10.395000000000001</v>
      </c>
      <c r="H43" s="2" t="s">
        <v>48</v>
      </c>
      <c r="I43" s="7"/>
      <c r="J43" s="27"/>
      <c r="K43" s="26"/>
    </row>
    <row r="44" spans="1:11" s="28" customFormat="1" x14ac:dyDescent="0.25">
      <c r="A44" s="7"/>
      <c r="B44" s="38"/>
      <c r="C44" s="2"/>
      <c r="D44" s="2"/>
      <c r="E44" s="2"/>
      <c r="F44" s="2"/>
      <c r="G44" s="56"/>
      <c r="H44" s="2"/>
      <c r="I44" s="7"/>
      <c r="J44" s="27"/>
      <c r="K44" s="26"/>
    </row>
    <row r="45" spans="1:11" s="28" customFormat="1" x14ac:dyDescent="0.25">
      <c r="A45" s="7">
        <v>3</v>
      </c>
      <c r="B45" s="26" t="s">
        <v>84</v>
      </c>
      <c r="C45" s="2"/>
      <c r="D45" s="2"/>
      <c r="E45" s="2"/>
      <c r="F45" s="2"/>
      <c r="G45" s="56"/>
      <c r="H45" s="2"/>
      <c r="I45" s="7"/>
      <c r="J45" s="27"/>
      <c r="K45" s="26"/>
    </row>
    <row r="46" spans="1:11" s="28" customFormat="1" x14ac:dyDescent="0.25">
      <c r="A46" s="7"/>
      <c r="B46" s="26" t="s">
        <v>75</v>
      </c>
      <c r="C46" s="2"/>
      <c r="D46" s="2"/>
      <c r="E46" s="2"/>
      <c r="F46" s="2"/>
      <c r="G46" s="2"/>
      <c r="H46" s="2"/>
      <c r="I46" s="7"/>
      <c r="J46" s="27"/>
      <c r="K46" s="26"/>
    </row>
    <row r="47" spans="1:11" s="28" customFormat="1" ht="15" customHeight="1" x14ac:dyDescent="0.25">
      <c r="A47" s="7"/>
      <c r="B47" s="4" t="s">
        <v>76</v>
      </c>
      <c r="C47" s="2">
        <v>12</v>
      </c>
      <c r="D47" s="2">
        <v>1</v>
      </c>
      <c r="E47" s="2">
        <v>1</v>
      </c>
      <c r="F47" s="2">
        <f>9.33</f>
        <v>9.33</v>
      </c>
      <c r="G47" s="56">
        <f>PRODUCT(C47:F47)</f>
        <v>111.96000000000001</v>
      </c>
      <c r="H47" s="2" t="s">
        <v>48</v>
      </c>
      <c r="I47" s="7"/>
      <c r="J47" s="27"/>
      <c r="K47" s="26"/>
    </row>
    <row r="48" spans="1:11" s="28" customFormat="1" x14ac:dyDescent="0.25">
      <c r="A48" s="7"/>
      <c r="B48" s="26"/>
      <c r="C48" s="2"/>
      <c r="D48" s="2"/>
      <c r="E48" s="2"/>
      <c r="F48" s="2"/>
      <c r="G48" s="56"/>
      <c r="H48" s="2"/>
      <c r="I48" s="7"/>
      <c r="J48" s="27"/>
      <c r="K48" s="26"/>
    </row>
    <row r="49" spans="1:11" s="28" customFormat="1" x14ac:dyDescent="0.25">
      <c r="A49" s="7"/>
      <c r="B49" s="26" t="s">
        <v>77</v>
      </c>
      <c r="C49" s="2"/>
      <c r="D49" s="2"/>
      <c r="E49" s="2"/>
      <c r="F49" s="2"/>
      <c r="G49" s="56"/>
      <c r="H49" s="2"/>
      <c r="I49" s="7"/>
      <c r="J49" s="27"/>
      <c r="K49" s="26"/>
    </row>
    <row r="50" spans="1:11" s="28" customFormat="1" x14ac:dyDescent="0.25">
      <c r="A50" s="7"/>
      <c r="B50" s="41" t="s">
        <v>66</v>
      </c>
      <c r="C50" s="2"/>
      <c r="D50" s="2"/>
      <c r="E50" s="2"/>
      <c r="F50" s="2"/>
      <c r="G50" s="56"/>
      <c r="H50" s="2"/>
      <c r="I50" s="7"/>
      <c r="J50" s="27"/>
      <c r="K50" s="26"/>
    </row>
    <row r="51" spans="1:11" s="28" customFormat="1" ht="30" x14ac:dyDescent="0.25">
      <c r="A51" s="7"/>
      <c r="B51" s="4" t="s">
        <v>64</v>
      </c>
      <c r="C51" s="2">
        <f>6</f>
        <v>6</v>
      </c>
      <c r="D51" s="2">
        <v>11</v>
      </c>
      <c r="E51" s="2">
        <v>0.75</v>
      </c>
      <c r="F51" s="2">
        <v>0.75</v>
      </c>
      <c r="G51" s="56">
        <f>PRODUCT(C51:F51)</f>
        <v>37.125</v>
      </c>
      <c r="H51" s="2" t="s">
        <v>48</v>
      </c>
      <c r="I51" s="7"/>
      <c r="J51" s="27"/>
      <c r="K51" s="26"/>
    </row>
    <row r="52" spans="1:11" s="28" customFormat="1" x14ac:dyDescent="0.25">
      <c r="A52" s="7"/>
      <c r="B52" s="4" t="s">
        <v>61</v>
      </c>
      <c r="C52" s="2">
        <f>3</f>
        <v>3</v>
      </c>
      <c r="D52" s="2">
        <v>4</v>
      </c>
      <c r="E52" s="2">
        <v>0.75</v>
      </c>
      <c r="F52" s="2">
        <v>0.75</v>
      </c>
      <c r="G52" s="56">
        <f>PRODUCT(C52:F52)</f>
        <v>6.75</v>
      </c>
      <c r="H52" s="2" t="s">
        <v>48</v>
      </c>
      <c r="I52" s="7"/>
      <c r="J52" s="27"/>
      <c r="K52" s="26"/>
    </row>
    <row r="53" spans="1:11" s="28" customFormat="1" x14ac:dyDescent="0.25">
      <c r="A53" s="7"/>
      <c r="B53" s="41" t="s">
        <v>67</v>
      </c>
      <c r="C53" s="2"/>
      <c r="D53" s="2"/>
      <c r="E53" s="2"/>
      <c r="F53" s="2"/>
      <c r="G53" s="56"/>
      <c r="H53" s="2"/>
      <c r="I53" s="7"/>
      <c r="J53" s="27"/>
      <c r="K53" s="26"/>
    </row>
    <row r="54" spans="1:11" s="28" customFormat="1" x14ac:dyDescent="0.25">
      <c r="A54" s="7"/>
      <c r="B54" s="4" t="s">
        <v>65</v>
      </c>
      <c r="C54" s="2">
        <f>4</f>
        <v>4</v>
      </c>
      <c r="D54" s="2">
        <v>22</v>
      </c>
      <c r="E54" s="2">
        <v>0.75</v>
      </c>
      <c r="F54" s="2">
        <v>0.75</v>
      </c>
      <c r="G54" s="56">
        <f>PRODUCT(C54:F54)</f>
        <v>49.5</v>
      </c>
      <c r="H54" s="2" t="s">
        <v>48</v>
      </c>
      <c r="I54" s="7"/>
      <c r="J54" s="27"/>
      <c r="K54" s="26"/>
    </row>
    <row r="55" spans="1:11" s="28" customFormat="1" x14ac:dyDescent="0.25">
      <c r="A55" s="7"/>
      <c r="B55" s="26"/>
      <c r="C55" s="2"/>
      <c r="D55" s="2"/>
      <c r="E55" s="2"/>
      <c r="F55" s="2"/>
      <c r="G55" s="56"/>
      <c r="H55" s="2"/>
      <c r="I55" s="7"/>
      <c r="J55" s="27"/>
      <c r="K55" s="26"/>
    </row>
    <row r="56" spans="1:11" s="28" customFormat="1" x14ac:dyDescent="0.25">
      <c r="A56" s="7"/>
      <c r="B56" s="26" t="s">
        <v>85</v>
      </c>
      <c r="C56" s="2">
        <v>1</v>
      </c>
      <c r="D56" s="2">
        <v>30</v>
      </c>
      <c r="E56" s="2">
        <v>25</v>
      </c>
      <c r="F56" s="2">
        <v>0.42</v>
      </c>
      <c r="G56" s="56">
        <f>PRODUCT(C56:F56)</f>
        <v>315</v>
      </c>
      <c r="H56" s="2" t="s">
        <v>48</v>
      </c>
      <c r="I56" s="7"/>
      <c r="J56" s="27"/>
      <c r="K56" s="26"/>
    </row>
    <row r="57" spans="1:11" s="55" customFormat="1" x14ac:dyDescent="0.25">
      <c r="A57" s="51"/>
      <c r="B57" s="54" t="s">
        <v>86</v>
      </c>
      <c r="C57" s="57">
        <v>1</v>
      </c>
      <c r="D57" s="57">
        <f>32.83*2+25*2</f>
        <v>115.66</v>
      </c>
      <c r="E57" s="57">
        <f>1.42</f>
        <v>1.42</v>
      </c>
      <c r="F57" s="57">
        <v>0.42</v>
      </c>
      <c r="G57" s="58">
        <f>PRODUCT(C57:F57)</f>
        <v>68.979623999999987</v>
      </c>
      <c r="H57" s="57" t="s">
        <v>48</v>
      </c>
      <c r="I57" s="51"/>
      <c r="J57" s="53"/>
      <c r="K57" s="54"/>
    </row>
    <row r="58" spans="1:11" s="28" customFormat="1" x14ac:dyDescent="0.25">
      <c r="A58" s="7"/>
      <c r="B58" s="38" t="s">
        <v>87</v>
      </c>
      <c r="C58" s="2">
        <v>-1</v>
      </c>
      <c r="D58" s="2">
        <v>9.33</v>
      </c>
      <c r="E58" s="2">
        <v>7.5</v>
      </c>
      <c r="F58" s="2">
        <v>0.42</v>
      </c>
      <c r="G58" s="56">
        <f>PRODUCT(C58:F58)</f>
        <v>-29.389499999999998</v>
      </c>
      <c r="H58" s="2" t="s">
        <v>48</v>
      </c>
      <c r="I58" s="7"/>
      <c r="J58" s="27"/>
      <c r="K58" s="26"/>
    </row>
    <row r="59" spans="1:11" s="28" customFormat="1" x14ac:dyDescent="0.25">
      <c r="A59" s="7"/>
      <c r="B59" s="26"/>
      <c r="C59" s="2"/>
      <c r="D59" s="2"/>
      <c r="E59" s="2"/>
      <c r="F59" s="2"/>
      <c r="G59" s="56"/>
      <c r="H59" s="2"/>
      <c r="I59" s="7"/>
      <c r="J59" s="27"/>
      <c r="K59" s="26"/>
    </row>
    <row r="60" spans="1:11" s="28" customFormat="1" x14ac:dyDescent="0.25">
      <c r="A60" s="7"/>
      <c r="B60" s="26" t="s">
        <v>79</v>
      </c>
      <c r="C60" s="2"/>
      <c r="D60" s="2"/>
      <c r="E60" s="2"/>
      <c r="F60" s="2"/>
      <c r="G60" s="56"/>
      <c r="H60" s="2"/>
      <c r="I60" s="7"/>
      <c r="J60" s="27"/>
      <c r="K60" s="26"/>
    </row>
    <row r="61" spans="1:11" s="28" customFormat="1" x14ac:dyDescent="0.25">
      <c r="A61" s="7"/>
      <c r="B61" s="38" t="s">
        <v>80</v>
      </c>
      <c r="C61" s="2">
        <f>0.5*14</f>
        <v>7</v>
      </c>
      <c r="D61" s="2">
        <v>3.5</v>
      </c>
      <c r="E61" s="2">
        <v>0.83</v>
      </c>
      <c r="F61" s="2">
        <v>0.57999999999999996</v>
      </c>
      <c r="G61" s="56">
        <f>PRODUCT(C61:F61)</f>
        <v>11.794299999999998</v>
      </c>
      <c r="H61" s="2" t="s">
        <v>48</v>
      </c>
      <c r="I61" s="7"/>
      <c r="J61" s="27"/>
      <c r="K61" s="26"/>
    </row>
    <row r="62" spans="1:11" s="28" customFormat="1" x14ac:dyDescent="0.25">
      <c r="A62" s="7"/>
      <c r="B62" s="38" t="s">
        <v>83</v>
      </c>
      <c r="C62" s="2">
        <v>2</v>
      </c>
      <c r="D62" s="2">
        <v>7.58</v>
      </c>
      <c r="E62" s="2">
        <v>3.5</v>
      </c>
      <c r="F62" s="2">
        <v>0.33</v>
      </c>
      <c r="G62" s="56">
        <f>PRODUCT(C62:F62)</f>
        <v>17.509800000000002</v>
      </c>
      <c r="H62" s="2" t="s">
        <v>48</v>
      </c>
      <c r="I62" s="7"/>
      <c r="J62" s="27"/>
      <c r="K62" s="26"/>
    </row>
    <row r="63" spans="1:11" s="28" customFormat="1" x14ac:dyDescent="0.25">
      <c r="A63" s="7"/>
      <c r="B63" s="38" t="s">
        <v>88</v>
      </c>
      <c r="C63" s="2">
        <v>1</v>
      </c>
      <c r="D63" s="2">
        <v>9</v>
      </c>
      <c r="E63" s="2">
        <v>3.5</v>
      </c>
      <c r="F63" s="2">
        <v>0.33</v>
      </c>
      <c r="G63" s="56">
        <f>PRODUCT(C63:F63)</f>
        <v>10.395000000000001</v>
      </c>
      <c r="H63" s="2" t="s">
        <v>48</v>
      </c>
      <c r="I63" s="7"/>
      <c r="J63" s="27"/>
      <c r="K63" s="26"/>
    </row>
    <row r="64" spans="1:11" s="28" customFormat="1" x14ac:dyDescent="0.25">
      <c r="A64" s="7"/>
      <c r="B64" s="38"/>
      <c r="C64" s="7"/>
      <c r="D64" s="7"/>
      <c r="E64" s="7"/>
      <c r="F64" s="7"/>
      <c r="G64" s="44"/>
      <c r="H64" s="7"/>
      <c r="I64" s="7"/>
      <c r="J64" s="27"/>
      <c r="K64" s="26"/>
    </row>
    <row r="65" spans="1:11" s="28" customFormat="1" x14ac:dyDescent="0.25">
      <c r="A65" s="7">
        <v>4</v>
      </c>
      <c r="B65" s="26" t="s">
        <v>89</v>
      </c>
      <c r="C65" s="2"/>
      <c r="D65" s="2"/>
      <c r="E65" s="2"/>
      <c r="F65" s="2"/>
      <c r="G65" s="56"/>
      <c r="H65" s="2"/>
      <c r="I65" s="7"/>
      <c r="J65" s="27"/>
      <c r="K65" s="26"/>
    </row>
    <row r="66" spans="1:11" s="28" customFormat="1" x14ac:dyDescent="0.25">
      <c r="A66" s="7"/>
      <c r="B66" s="26" t="s">
        <v>75</v>
      </c>
      <c r="C66" s="2"/>
      <c r="D66" s="2"/>
      <c r="E66" s="2"/>
      <c r="F66" s="2"/>
      <c r="G66" s="2"/>
      <c r="H66" s="2"/>
      <c r="I66" s="7"/>
      <c r="J66" s="27"/>
      <c r="K66" s="26"/>
    </row>
    <row r="67" spans="1:11" s="28" customFormat="1" ht="15" customHeight="1" x14ac:dyDescent="0.25">
      <c r="A67" s="7"/>
      <c r="B67" s="4" t="s">
        <v>92</v>
      </c>
      <c r="C67" s="2">
        <v>9</v>
      </c>
      <c r="D67" s="2">
        <v>1</v>
      </c>
      <c r="E67" s="2">
        <v>1</v>
      </c>
      <c r="F67" s="2">
        <f>9.33</f>
        <v>9.33</v>
      </c>
      <c r="G67" s="56">
        <f>PRODUCT(C67:F67)</f>
        <v>83.97</v>
      </c>
      <c r="H67" s="2" t="s">
        <v>48</v>
      </c>
      <c r="I67" s="7"/>
      <c r="J67" s="27"/>
      <c r="K67" s="26"/>
    </row>
    <row r="68" spans="1:11" s="28" customFormat="1" ht="15" customHeight="1" x14ac:dyDescent="0.25">
      <c r="A68" s="7"/>
      <c r="B68" s="4" t="s">
        <v>91</v>
      </c>
      <c r="C68" s="2">
        <v>3</v>
      </c>
      <c r="D68" s="2">
        <v>1</v>
      </c>
      <c r="E68" s="2">
        <v>1</v>
      </c>
      <c r="F68" s="2">
        <v>2.5</v>
      </c>
      <c r="G68" s="56">
        <f>PRODUCT(C68:F68)</f>
        <v>7.5</v>
      </c>
      <c r="H68" s="2" t="s">
        <v>48</v>
      </c>
      <c r="I68" s="7"/>
      <c r="J68" s="27"/>
      <c r="K68" s="26"/>
    </row>
    <row r="69" spans="1:11" s="28" customFormat="1" x14ac:dyDescent="0.25">
      <c r="A69" s="7"/>
      <c r="B69" s="26"/>
      <c r="C69" s="2"/>
      <c r="D69" s="2"/>
      <c r="E69" s="2"/>
      <c r="F69" s="2"/>
      <c r="G69" s="56"/>
      <c r="H69" s="2"/>
      <c r="I69" s="7"/>
      <c r="J69" s="27"/>
      <c r="K69" s="26"/>
    </row>
    <row r="70" spans="1:11" s="28" customFormat="1" x14ac:dyDescent="0.25">
      <c r="A70" s="7"/>
      <c r="B70" s="26" t="s">
        <v>77</v>
      </c>
      <c r="C70" s="2"/>
      <c r="D70" s="2"/>
      <c r="E70" s="2"/>
      <c r="F70" s="2"/>
      <c r="G70" s="56"/>
      <c r="H70" s="2"/>
      <c r="I70" s="7"/>
      <c r="J70" s="27"/>
      <c r="K70" s="26"/>
    </row>
    <row r="71" spans="1:11" s="28" customFormat="1" x14ac:dyDescent="0.25">
      <c r="A71" s="7"/>
      <c r="B71" s="41" t="s">
        <v>66</v>
      </c>
      <c r="C71" s="2"/>
      <c r="D71" s="2"/>
      <c r="E71" s="2"/>
      <c r="F71" s="2"/>
      <c r="G71" s="56"/>
      <c r="H71" s="2"/>
      <c r="I71" s="7"/>
      <c r="J71" s="27"/>
      <c r="K71" s="26"/>
    </row>
    <row r="72" spans="1:11" s="28" customFormat="1" ht="30" x14ac:dyDescent="0.25">
      <c r="A72" s="7"/>
      <c r="B72" s="4" t="s">
        <v>64</v>
      </c>
      <c r="C72" s="2">
        <f>6</f>
        <v>6</v>
      </c>
      <c r="D72" s="2">
        <v>11</v>
      </c>
      <c r="E72" s="2">
        <v>0.75</v>
      </c>
      <c r="F72" s="2">
        <v>0.75</v>
      </c>
      <c r="G72" s="56">
        <f>PRODUCT(C72:F72)</f>
        <v>37.125</v>
      </c>
      <c r="H72" s="2" t="s">
        <v>48</v>
      </c>
      <c r="I72" s="7"/>
      <c r="J72" s="27"/>
      <c r="K72" s="26"/>
    </row>
    <row r="73" spans="1:11" s="28" customFormat="1" x14ac:dyDescent="0.25">
      <c r="A73" s="7"/>
      <c r="B73" s="4" t="s">
        <v>61</v>
      </c>
      <c r="C73" s="2">
        <f>3</f>
        <v>3</v>
      </c>
      <c r="D73" s="2">
        <v>4</v>
      </c>
      <c r="E73" s="2">
        <v>0.75</v>
      </c>
      <c r="F73" s="2">
        <v>0.75</v>
      </c>
      <c r="G73" s="56">
        <f>PRODUCT(C73:F73)</f>
        <v>6.75</v>
      </c>
      <c r="H73" s="2" t="s">
        <v>48</v>
      </c>
      <c r="I73" s="7"/>
      <c r="J73" s="27"/>
      <c r="K73" s="26"/>
    </row>
    <row r="74" spans="1:11" s="28" customFormat="1" x14ac:dyDescent="0.25">
      <c r="A74" s="7"/>
      <c r="B74" s="41" t="s">
        <v>67</v>
      </c>
      <c r="C74" s="2"/>
      <c r="D74" s="2"/>
      <c r="E74" s="2"/>
      <c r="F74" s="2"/>
      <c r="G74" s="56"/>
      <c r="H74" s="2"/>
      <c r="I74" s="7"/>
      <c r="J74" s="27"/>
      <c r="K74" s="26"/>
    </row>
    <row r="75" spans="1:11" s="28" customFormat="1" x14ac:dyDescent="0.25">
      <c r="A75" s="7"/>
      <c r="B75" s="4" t="s">
        <v>65</v>
      </c>
      <c r="C75" s="2">
        <f>4</f>
        <v>4</v>
      </c>
      <c r="D75" s="2">
        <v>22</v>
      </c>
      <c r="E75" s="2">
        <v>0.75</v>
      </c>
      <c r="F75" s="2">
        <v>0.75</v>
      </c>
      <c r="G75" s="56">
        <f>PRODUCT(C75:F75)</f>
        <v>49.5</v>
      </c>
      <c r="H75" s="2" t="s">
        <v>48</v>
      </c>
      <c r="I75" s="7"/>
      <c r="J75" s="27"/>
      <c r="K75" s="26"/>
    </row>
    <row r="76" spans="1:11" s="28" customFormat="1" x14ac:dyDescent="0.25">
      <c r="A76" s="7"/>
      <c r="B76" s="26"/>
      <c r="C76" s="2"/>
      <c r="D76" s="2"/>
      <c r="E76" s="2"/>
      <c r="F76" s="2"/>
      <c r="G76" s="56"/>
      <c r="H76" s="2"/>
      <c r="I76" s="7"/>
      <c r="J76" s="27"/>
      <c r="K76" s="26"/>
    </row>
    <row r="77" spans="1:11" s="28" customFormat="1" x14ac:dyDescent="0.25">
      <c r="A77" s="7"/>
      <c r="B77" s="26" t="s">
        <v>85</v>
      </c>
      <c r="C77" s="2">
        <v>1</v>
      </c>
      <c r="D77" s="2">
        <v>30</v>
      </c>
      <c r="E77" s="2">
        <v>25</v>
      </c>
      <c r="F77" s="2">
        <v>0.42</v>
      </c>
      <c r="G77" s="56">
        <f>PRODUCT(C77:F77)</f>
        <v>315</v>
      </c>
      <c r="H77" s="2" t="s">
        <v>48</v>
      </c>
      <c r="I77" s="7"/>
      <c r="J77" s="27"/>
      <c r="K77" s="26"/>
    </row>
    <row r="78" spans="1:11" s="55" customFormat="1" x14ac:dyDescent="0.25">
      <c r="A78" s="51"/>
      <c r="B78" s="54" t="s">
        <v>86</v>
      </c>
      <c r="C78" s="57">
        <v>1</v>
      </c>
      <c r="D78" s="57">
        <f>32.83*2+25*2</f>
        <v>115.66</v>
      </c>
      <c r="E78" s="57">
        <f>1.42</f>
        <v>1.42</v>
      </c>
      <c r="F78" s="57">
        <v>0.42</v>
      </c>
      <c r="G78" s="58">
        <f>PRODUCT(C78:F78)</f>
        <v>68.979623999999987</v>
      </c>
      <c r="H78" s="57" t="s">
        <v>48</v>
      </c>
      <c r="I78" s="51"/>
      <c r="J78" s="53"/>
      <c r="K78" s="54"/>
    </row>
    <row r="79" spans="1:11" s="28" customFormat="1" x14ac:dyDescent="0.25">
      <c r="A79" s="7"/>
      <c r="B79" s="38" t="s">
        <v>87</v>
      </c>
      <c r="C79" s="2">
        <v>-1</v>
      </c>
      <c r="D79" s="2">
        <v>9.33</v>
      </c>
      <c r="E79" s="2">
        <v>7.5</v>
      </c>
      <c r="F79" s="2">
        <v>0.42</v>
      </c>
      <c r="G79" s="56">
        <f>PRODUCT(C79:F79)</f>
        <v>-29.389499999999998</v>
      </c>
      <c r="H79" s="2" t="s">
        <v>48</v>
      </c>
      <c r="I79" s="7"/>
      <c r="J79" s="27"/>
      <c r="K79" s="26"/>
    </row>
    <row r="80" spans="1:11" s="28" customFormat="1" x14ac:dyDescent="0.25">
      <c r="A80" s="7"/>
      <c r="B80" s="26"/>
      <c r="C80" s="2"/>
      <c r="D80" s="2"/>
      <c r="E80" s="2"/>
      <c r="F80" s="2"/>
      <c r="G80" s="56"/>
      <c r="H80" s="2"/>
      <c r="I80" s="7"/>
      <c r="J80" s="27"/>
      <c r="K80" s="26"/>
    </row>
    <row r="81" spans="1:11" s="28" customFormat="1" x14ac:dyDescent="0.25">
      <c r="A81" s="7"/>
      <c r="B81" s="26" t="s">
        <v>79</v>
      </c>
      <c r="C81" s="2"/>
      <c r="D81" s="2"/>
      <c r="E81" s="2"/>
      <c r="F81" s="2"/>
      <c r="G81" s="56"/>
      <c r="H81" s="2"/>
      <c r="I81" s="7"/>
      <c r="J81" s="27"/>
      <c r="K81" s="26"/>
    </row>
    <row r="82" spans="1:11" s="28" customFormat="1" x14ac:dyDescent="0.25">
      <c r="A82" s="7"/>
      <c r="B82" s="38" t="s">
        <v>80</v>
      </c>
      <c r="C82" s="2">
        <f>0.5*14</f>
        <v>7</v>
      </c>
      <c r="D82" s="2">
        <v>3.5</v>
      </c>
      <c r="E82" s="2">
        <v>0.83</v>
      </c>
      <c r="F82" s="2">
        <v>0.57999999999999996</v>
      </c>
      <c r="G82" s="56">
        <f>PRODUCT(C82:F82)</f>
        <v>11.794299999999998</v>
      </c>
      <c r="H82" s="2" t="s">
        <v>48</v>
      </c>
      <c r="I82" s="7"/>
      <c r="J82" s="27"/>
      <c r="K82" s="26"/>
    </row>
    <row r="83" spans="1:11" s="28" customFormat="1" x14ac:dyDescent="0.25">
      <c r="A83" s="7"/>
      <c r="B83" s="38" t="s">
        <v>83</v>
      </c>
      <c r="C83" s="2">
        <v>2</v>
      </c>
      <c r="D83" s="2">
        <v>7.58</v>
      </c>
      <c r="E83" s="2">
        <v>3.5</v>
      </c>
      <c r="F83" s="2">
        <v>0.33</v>
      </c>
      <c r="G83" s="56">
        <f>PRODUCT(C83:F83)</f>
        <v>17.509800000000002</v>
      </c>
      <c r="H83" s="2" t="s">
        <v>48</v>
      </c>
      <c r="I83" s="7"/>
      <c r="J83" s="27"/>
      <c r="K83" s="26"/>
    </row>
    <row r="84" spans="1:11" s="28" customFormat="1" x14ac:dyDescent="0.25">
      <c r="A84" s="7"/>
      <c r="B84" s="38" t="s">
        <v>88</v>
      </c>
      <c r="C84" s="2">
        <v>1</v>
      </c>
      <c r="D84" s="2">
        <v>9</v>
      </c>
      <c r="E84" s="2">
        <v>3.5</v>
      </c>
      <c r="F84" s="2">
        <v>0.33</v>
      </c>
      <c r="G84" s="56">
        <f>PRODUCT(C84:F84)</f>
        <v>10.395000000000001</v>
      </c>
      <c r="H84" s="2" t="s">
        <v>48</v>
      </c>
      <c r="I84" s="7"/>
      <c r="J84" s="27"/>
      <c r="K84" s="26"/>
    </row>
    <row r="85" spans="1:11" s="28" customFormat="1" x14ac:dyDescent="0.25">
      <c r="A85" s="7"/>
      <c r="B85" s="38"/>
      <c r="C85" s="7"/>
      <c r="D85" s="7"/>
      <c r="E85" s="7"/>
      <c r="F85" s="7"/>
      <c r="G85" s="44"/>
      <c r="H85" s="7"/>
      <c r="I85" s="7"/>
      <c r="J85" s="27"/>
      <c r="K85" s="26"/>
    </row>
    <row r="86" spans="1:11" s="28" customFormat="1" x14ac:dyDescent="0.25">
      <c r="A86" s="7">
        <v>5</v>
      </c>
      <c r="B86" s="26" t="s">
        <v>90</v>
      </c>
      <c r="C86" s="2"/>
      <c r="D86" s="2"/>
      <c r="E86" s="2"/>
      <c r="F86" s="2"/>
      <c r="G86" s="56"/>
      <c r="H86" s="2"/>
      <c r="I86" s="7"/>
      <c r="J86" s="27"/>
      <c r="K86" s="26"/>
    </row>
    <row r="87" spans="1:11" s="28" customFormat="1" x14ac:dyDescent="0.25">
      <c r="A87" s="7"/>
      <c r="B87" s="26" t="s">
        <v>77</v>
      </c>
      <c r="C87" s="2"/>
      <c r="D87" s="2"/>
      <c r="E87" s="2"/>
      <c r="F87" s="2"/>
      <c r="G87" s="56"/>
      <c r="H87" s="2"/>
      <c r="I87" s="7"/>
      <c r="J87" s="27"/>
      <c r="K87" s="26"/>
    </row>
    <row r="88" spans="1:11" s="28" customFormat="1" x14ac:dyDescent="0.25">
      <c r="A88" s="7"/>
      <c r="B88" s="41" t="s">
        <v>66</v>
      </c>
      <c r="C88" s="2"/>
      <c r="D88" s="2"/>
      <c r="E88" s="2"/>
      <c r="F88" s="2"/>
      <c r="G88" s="56"/>
      <c r="H88" s="2"/>
      <c r="I88" s="7"/>
      <c r="J88" s="27"/>
      <c r="K88" s="26"/>
    </row>
    <row r="89" spans="1:11" s="28" customFormat="1" x14ac:dyDescent="0.25">
      <c r="A89" s="7"/>
      <c r="B89" s="4" t="s">
        <v>61</v>
      </c>
      <c r="C89" s="2">
        <f>3</f>
        <v>3</v>
      </c>
      <c r="D89" s="2">
        <v>4</v>
      </c>
      <c r="E89" s="2">
        <v>0.75</v>
      </c>
      <c r="F89" s="2">
        <v>0.75</v>
      </c>
      <c r="G89" s="56">
        <f>PRODUCT(C89:F89)</f>
        <v>6.75</v>
      </c>
      <c r="H89" s="2" t="s">
        <v>48</v>
      </c>
      <c r="I89" s="7"/>
      <c r="J89" s="27"/>
      <c r="K89" s="26"/>
    </row>
    <row r="90" spans="1:11" s="28" customFormat="1" x14ac:dyDescent="0.25">
      <c r="A90" s="7"/>
      <c r="B90" s="4" t="s">
        <v>94</v>
      </c>
      <c r="C90" s="2">
        <v>3</v>
      </c>
      <c r="D90" s="2">
        <v>11</v>
      </c>
      <c r="E90" s="2">
        <v>0.75</v>
      </c>
      <c r="F90" s="2">
        <v>0.75</v>
      </c>
      <c r="G90" s="56">
        <f>PRODUCT(C90:F90)</f>
        <v>18.5625</v>
      </c>
      <c r="H90" s="2" t="s">
        <v>48</v>
      </c>
      <c r="I90" s="7"/>
      <c r="J90" s="27"/>
      <c r="K90" s="26"/>
    </row>
    <row r="91" spans="1:11" s="28" customFormat="1" x14ac:dyDescent="0.25">
      <c r="A91" s="7"/>
      <c r="B91" s="41" t="s">
        <v>67</v>
      </c>
      <c r="C91" s="2"/>
      <c r="D91" s="2"/>
      <c r="E91" s="2"/>
      <c r="F91" s="2"/>
      <c r="G91" s="56"/>
      <c r="H91" s="2"/>
      <c r="I91" s="7"/>
      <c r="J91" s="27"/>
      <c r="K91" s="26"/>
    </row>
    <row r="92" spans="1:11" s="28" customFormat="1" x14ac:dyDescent="0.25">
      <c r="A92" s="7"/>
      <c r="B92" s="4" t="s">
        <v>93</v>
      </c>
      <c r="C92" s="2">
        <v>3</v>
      </c>
      <c r="D92" s="2">
        <v>22</v>
      </c>
      <c r="E92" s="2">
        <v>0.75</v>
      </c>
      <c r="F92" s="2">
        <v>0.75</v>
      </c>
      <c r="G92" s="56">
        <f>PRODUCT(C92:F92)</f>
        <v>37.125</v>
      </c>
      <c r="H92" s="2" t="s">
        <v>48</v>
      </c>
      <c r="I92" s="7"/>
      <c r="J92" s="27"/>
      <c r="K92" s="26"/>
    </row>
    <row r="93" spans="1:11" s="28" customFormat="1" x14ac:dyDescent="0.25">
      <c r="A93" s="7"/>
      <c r="B93" s="26"/>
      <c r="C93" s="2"/>
      <c r="D93" s="2"/>
      <c r="E93" s="2"/>
      <c r="F93" s="2"/>
      <c r="G93" s="56"/>
      <c r="H93" s="2"/>
      <c r="I93" s="7"/>
      <c r="J93" s="27"/>
      <c r="K93" s="26"/>
    </row>
    <row r="94" spans="1:11" s="28" customFormat="1" x14ac:dyDescent="0.25">
      <c r="A94" s="7"/>
      <c r="B94" s="26" t="s">
        <v>85</v>
      </c>
      <c r="C94" s="2">
        <v>1</v>
      </c>
      <c r="D94" s="2">
        <v>18</v>
      </c>
      <c r="E94" s="2">
        <v>25</v>
      </c>
      <c r="F94" s="2">
        <v>0.42</v>
      </c>
      <c r="G94" s="56">
        <f>PRODUCT(C94:F94)</f>
        <v>189</v>
      </c>
      <c r="H94" s="2" t="s">
        <v>48</v>
      </c>
      <c r="I94" s="7"/>
      <c r="J94" s="27"/>
      <c r="K94" s="26"/>
    </row>
    <row r="95" spans="1:11" s="28" customFormat="1" x14ac:dyDescent="0.25">
      <c r="A95" s="7"/>
      <c r="B95" s="26" t="s">
        <v>86</v>
      </c>
      <c r="C95" s="2">
        <v>1</v>
      </c>
      <c r="D95" s="2">
        <f>19.67*2+25</f>
        <v>64.34</v>
      </c>
      <c r="E95" s="2">
        <f>1.67</f>
        <v>1.67</v>
      </c>
      <c r="F95" s="2">
        <v>0.42</v>
      </c>
      <c r="G95" s="56">
        <f>PRODUCT(C95:F95)</f>
        <v>45.128076</v>
      </c>
      <c r="H95" s="2" t="s">
        <v>48</v>
      </c>
      <c r="I95" s="7"/>
      <c r="J95" s="27"/>
      <c r="K95" s="26"/>
    </row>
    <row r="96" spans="1:11" s="28" customFormat="1" x14ac:dyDescent="0.25">
      <c r="A96" s="7"/>
      <c r="B96" s="26" t="s">
        <v>86</v>
      </c>
      <c r="C96" s="2">
        <v>1</v>
      </c>
      <c r="D96" s="2">
        <f>28.33</f>
        <v>28.33</v>
      </c>
      <c r="E96" s="2">
        <v>2</v>
      </c>
      <c r="F96" s="2">
        <v>0.42</v>
      </c>
      <c r="G96" s="56">
        <f>PRODUCT(C96:F96)</f>
        <v>23.797199999999997</v>
      </c>
      <c r="H96" s="2" t="s">
        <v>48</v>
      </c>
      <c r="I96" s="7"/>
      <c r="J96" s="27"/>
      <c r="K96" s="26"/>
    </row>
    <row r="97" spans="1:11" s="28" customFormat="1" x14ac:dyDescent="0.25">
      <c r="A97" s="7"/>
      <c r="B97" s="26"/>
      <c r="C97" s="2"/>
      <c r="D97" s="2"/>
      <c r="E97" s="2"/>
      <c r="F97" s="2"/>
      <c r="G97" s="56"/>
      <c r="H97" s="2"/>
      <c r="I97" s="7"/>
      <c r="J97" s="27"/>
      <c r="K97" s="26"/>
    </row>
    <row r="98" spans="1:11" s="28" customFormat="1" x14ac:dyDescent="0.25">
      <c r="A98" s="7"/>
      <c r="B98" s="26" t="s">
        <v>182</v>
      </c>
      <c r="C98" s="2"/>
      <c r="D98" s="2"/>
      <c r="E98" s="2"/>
      <c r="F98" s="2"/>
      <c r="G98" s="56"/>
      <c r="H98" s="2"/>
      <c r="I98" s="7"/>
      <c r="J98" s="27"/>
      <c r="K98" s="26"/>
    </row>
    <row r="99" spans="1:11" s="28" customFormat="1" x14ac:dyDescent="0.25">
      <c r="A99" s="7"/>
      <c r="B99" s="26" t="s">
        <v>158</v>
      </c>
      <c r="C99" s="2"/>
      <c r="D99" s="2"/>
      <c r="E99" s="2"/>
      <c r="F99" s="2"/>
      <c r="G99" s="56"/>
      <c r="H99" s="2"/>
      <c r="I99" s="7"/>
      <c r="J99" s="27"/>
      <c r="K99" s="26"/>
    </row>
    <row r="100" spans="1:11" s="28" customFormat="1" x14ac:dyDescent="0.25">
      <c r="A100" s="7"/>
      <c r="B100" s="26" t="s">
        <v>179</v>
      </c>
      <c r="C100" s="2"/>
      <c r="D100" s="2"/>
      <c r="E100" s="2"/>
      <c r="F100" s="2"/>
      <c r="G100" s="56"/>
      <c r="H100" s="2"/>
      <c r="I100" s="7"/>
      <c r="J100" s="27"/>
      <c r="K100" s="26"/>
    </row>
    <row r="101" spans="1:11" s="28" customFormat="1" x14ac:dyDescent="0.25">
      <c r="A101" s="7"/>
      <c r="B101" s="26" t="s">
        <v>152</v>
      </c>
      <c r="C101" s="2"/>
      <c r="D101" s="2"/>
      <c r="E101" s="2"/>
      <c r="F101" s="2"/>
      <c r="G101" s="56"/>
      <c r="H101" s="2"/>
      <c r="I101" s="7"/>
      <c r="J101" s="27"/>
      <c r="K101" s="26"/>
    </row>
    <row r="102" spans="1:11" s="28" customFormat="1" x14ac:dyDescent="0.25">
      <c r="A102" s="7"/>
      <c r="B102" s="4" t="s">
        <v>153</v>
      </c>
      <c r="C102" s="2"/>
      <c r="D102" s="2"/>
      <c r="E102" s="2"/>
      <c r="F102" s="2"/>
      <c r="G102" s="56"/>
      <c r="H102" s="2"/>
      <c r="I102" s="7"/>
      <c r="J102" s="27"/>
      <c r="K102" s="26"/>
    </row>
    <row r="103" spans="1:11" s="28" customFormat="1" x14ac:dyDescent="0.25">
      <c r="A103" s="7"/>
      <c r="B103" s="4" t="s">
        <v>180</v>
      </c>
      <c r="C103" s="2">
        <v>2</v>
      </c>
      <c r="D103" s="2">
        <v>22</v>
      </c>
      <c r="E103" s="2">
        <v>0.75</v>
      </c>
      <c r="F103" s="2">
        <v>0.33</v>
      </c>
      <c r="G103" s="56">
        <f>PRODUCT(C103:F103)</f>
        <v>10.89</v>
      </c>
      <c r="H103" s="2" t="s">
        <v>48</v>
      </c>
      <c r="I103" s="7"/>
      <c r="J103" s="27"/>
      <c r="K103" s="26"/>
    </row>
    <row r="104" spans="1:11" s="28" customFormat="1" x14ac:dyDescent="0.25">
      <c r="A104" s="7"/>
      <c r="B104" s="4" t="s">
        <v>181</v>
      </c>
      <c r="C104" s="2">
        <v>2</v>
      </c>
      <c r="D104" s="2">
        <v>26</v>
      </c>
      <c r="E104" s="2">
        <v>0.75</v>
      </c>
      <c r="F104" s="2">
        <v>0.33</v>
      </c>
      <c r="G104" s="56">
        <f>PRODUCT(C104:F104)</f>
        <v>12.870000000000001</v>
      </c>
      <c r="H104" s="2" t="s">
        <v>48</v>
      </c>
      <c r="I104" s="7"/>
      <c r="J104" s="27"/>
      <c r="K104" s="26"/>
    </row>
    <row r="105" spans="1:11" s="28" customFormat="1" x14ac:dyDescent="0.25">
      <c r="A105" s="7"/>
      <c r="B105" s="26" t="s">
        <v>160</v>
      </c>
      <c r="C105" s="2"/>
      <c r="D105" s="2"/>
      <c r="E105" s="2"/>
      <c r="F105" s="2"/>
      <c r="G105" s="56"/>
      <c r="H105" s="2"/>
      <c r="I105" s="7"/>
      <c r="J105" s="27"/>
      <c r="K105" s="26"/>
    </row>
    <row r="106" spans="1:11" s="28" customFormat="1" x14ac:dyDescent="0.25">
      <c r="A106" s="7"/>
      <c r="B106" s="4" t="s">
        <v>161</v>
      </c>
      <c r="C106" s="2"/>
      <c r="D106" s="2"/>
      <c r="E106" s="2"/>
      <c r="F106" s="2"/>
      <c r="G106" s="56"/>
      <c r="H106" s="2"/>
      <c r="I106" s="7"/>
      <c r="J106" s="27"/>
      <c r="K106" s="26"/>
    </row>
    <row r="107" spans="1:11" s="28" customFormat="1" x14ac:dyDescent="0.25">
      <c r="A107" s="7"/>
      <c r="B107" s="4" t="s">
        <v>180</v>
      </c>
      <c r="C107" s="2">
        <v>2</v>
      </c>
      <c r="D107" s="2">
        <v>22</v>
      </c>
      <c r="E107" s="2">
        <v>0.75</v>
      </c>
      <c r="F107" s="2">
        <v>0.33</v>
      </c>
      <c r="G107" s="56">
        <f>PRODUCT(C107:F107)</f>
        <v>10.89</v>
      </c>
      <c r="H107" s="2" t="s">
        <v>48</v>
      </c>
      <c r="I107" s="7"/>
      <c r="J107" s="27"/>
      <c r="K107" s="26"/>
    </row>
    <row r="108" spans="1:11" s="28" customFormat="1" x14ac:dyDescent="0.25">
      <c r="A108" s="7"/>
      <c r="B108" s="4" t="s">
        <v>181</v>
      </c>
      <c r="C108" s="2">
        <v>2</v>
      </c>
      <c r="D108" s="2">
        <v>22</v>
      </c>
      <c r="E108" s="2">
        <v>0.75</v>
      </c>
      <c r="F108" s="2">
        <v>0.33</v>
      </c>
      <c r="G108" s="56">
        <f>PRODUCT(C108:F108)</f>
        <v>10.89</v>
      </c>
      <c r="H108" s="2" t="s">
        <v>48</v>
      </c>
      <c r="I108" s="7"/>
      <c r="J108" s="27"/>
      <c r="K108" s="26"/>
    </row>
    <row r="109" spans="1:11" s="28" customFormat="1" x14ac:dyDescent="0.25">
      <c r="A109" s="7"/>
      <c r="B109" s="26" t="s">
        <v>178</v>
      </c>
      <c r="C109" s="2"/>
      <c r="D109" s="2"/>
      <c r="E109" s="2"/>
      <c r="F109" s="2"/>
      <c r="G109" s="56"/>
      <c r="H109" s="2"/>
      <c r="I109" s="7"/>
      <c r="J109" s="27"/>
      <c r="K109" s="26"/>
    </row>
    <row r="110" spans="1:11" s="28" customFormat="1" x14ac:dyDescent="0.25">
      <c r="A110" s="7"/>
      <c r="B110" s="26" t="s">
        <v>152</v>
      </c>
      <c r="C110" s="2"/>
      <c r="D110" s="2"/>
      <c r="E110" s="2"/>
      <c r="F110" s="2"/>
      <c r="G110" s="56"/>
      <c r="H110" s="2"/>
      <c r="I110" s="7"/>
      <c r="J110" s="27"/>
      <c r="K110" s="26"/>
    </row>
    <row r="111" spans="1:11" s="28" customFormat="1" x14ac:dyDescent="0.25">
      <c r="A111" s="7"/>
      <c r="B111" s="4" t="s">
        <v>170</v>
      </c>
      <c r="C111" s="2"/>
      <c r="D111" s="2"/>
      <c r="E111" s="2"/>
      <c r="F111" s="2"/>
      <c r="G111" s="56"/>
      <c r="H111" s="2"/>
      <c r="I111" s="7"/>
      <c r="J111" s="27"/>
      <c r="K111" s="26"/>
    </row>
    <row r="112" spans="1:11" s="28" customFormat="1" x14ac:dyDescent="0.25">
      <c r="A112" s="7"/>
      <c r="B112" s="4" t="s">
        <v>180</v>
      </c>
      <c r="C112" s="2">
        <v>1</v>
      </c>
      <c r="D112" s="2">
        <v>19.5</v>
      </c>
      <c r="E112" s="2">
        <v>0.375</v>
      </c>
      <c r="F112" s="2">
        <v>0.33</v>
      </c>
      <c r="G112" s="56">
        <f>PRODUCT(C112:F112)</f>
        <v>2.413125</v>
      </c>
      <c r="H112" s="2" t="s">
        <v>48</v>
      </c>
      <c r="I112" s="7"/>
      <c r="J112" s="27"/>
      <c r="K112" s="26"/>
    </row>
    <row r="113" spans="1:11" s="28" customFormat="1" x14ac:dyDescent="0.25">
      <c r="A113" s="7"/>
      <c r="B113" s="4" t="s">
        <v>181</v>
      </c>
      <c r="C113" s="2">
        <v>1</v>
      </c>
      <c r="D113" s="2">
        <v>22</v>
      </c>
      <c r="E113" s="2">
        <v>0.375</v>
      </c>
      <c r="F113" s="2">
        <v>0.33</v>
      </c>
      <c r="G113" s="56">
        <f>PRODUCT(C113:F113)</f>
        <v>2.7225000000000001</v>
      </c>
      <c r="H113" s="2" t="s">
        <v>48</v>
      </c>
      <c r="I113" s="7"/>
      <c r="J113" s="27"/>
      <c r="K113" s="26"/>
    </row>
    <row r="114" spans="1:11" s="28" customFormat="1" x14ac:dyDescent="0.25">
      <c r="A114" s="7"/>
      <c r="B114" s="4" t="s">
        <v>171</v>
      </c>
      <c r="C114" s="2"/>
      <c r="D114" s="2"/>
      <c r="E114" s="2"/>
      <c r="F114" s="2"/>
      <c r="G114" s="56"/>
      <c r="H114" s="2"/>
      <c r="I114" s="7"/>
      <c r="J114" s="27"/>
      <c r="K114" s="26"/>
    </row>
    <row r="115" spans="1:11" s="28" customFormat="1" x14ac:dyDescent="0.25">
      <c r="A115" s="7"/>
      <c r="B115" s="4" t="s">
        <v>180</v>
      </c>
      <c r="C115" s="2">
        <v>1</v>
      </c>
      <c r="D115" s="2">
        <v>11.83</v>
      </c>
      <c r="E115" s="2">
        <v>0.375</v>
      </c>
      <c r="F115" s="2">
        <v>0.33</v>
      </c>
      <c r="G115" s="56">
        <f>PRODUCT(C115:F115)</f>
        <v>1.4639625000000001</v>
      </c>
      <c r="H115" s="2" t="s">
        <v>48</v>
      </c>
      <c r="I115" s="7"/>
      <c r="J115" s="27"/>
      <c r="K115" s="26"/>
    </row>
    <row r="116" spans="1:11" s="28" customFormat="1" x14ac:dyDescent="0.25">
      <c r="A116" s="7"/>
      <c r="B116" s="4" t="s">
        <v>181</v>
      </c>
      <c r="C116" s="2">
        <v>1</v>
      </c>
      <c r="D116" s="2">
        <v>11.83</v>
      </c>
      <c r="E116" s="2">
        <v>0.375</v>
      </c>
      <c r="F116" s="2">
        <v>0.33</v>
      </c>
      <c r="G116" s="56">
        <f>PRODUCT(C116:F116)</f>
        <v>1.4639625000000001</v>
      </c>
      <c r="H116" s="2" t="s">
        <v>48</v>
      </c>
      <c r="I116" s="7"/>
      <c r="J116" s="27"/>
      <c r="K116" s="26"/>
    </row>
    <row r="117" spans="1:11" s="28" customFormat="1" x14ac:dyDescent="0.25">
      <c r="A117" s="7"/>
      <c r="B117" s="4" t="s">
        <v>172</v>
      </c>
      <c r="C117" s="2"/>
      <c r="D117" s="2"/>
      <c r="E117" s="2"/>
      <c r="F117" s="2"/>
      <c r="G117" s="56"/>
      <c r="H117" s="2"/>
      <c r="I117" s="7"/>
      <c r="J117" s="27"/>
      <c r="K117" s="26"/>
    </row>
    <row r="118" spans="1:11" s="28" customFormat="1" x14ac:dyDescent="0.25">
      <c r="A118" s="7"/>
      <c r="B118" s="4" t="s">
        <v>180</v>
      </c>
      <c r="C118" s="2">
        <v>1</v>
      </c>
      <c r="D118" s="2">
        <v>9.33</v>
      </c>
      <c r="E118" s="2">
        <v>0.375</v>
      </c>
      <c r="F118" s="2">
        <v>0.33</v>
      </c>
      <c r="G118" s="56">
        <f>PRODUCT(C118:F118)</f>
        <v>1.1545875000000001</v>
      </c>
      <c r="H118" s="2" t="s">
        <v>48</v>
      </c>
      <c r="I118" s="7"/>
      <c r="J118" s="27"/>
      <c r="K118" s="26"/>
    </row>
    <row r="119" spans="1:11" s="28" customFormat="1" x14ac:dyDescent="0.25">
      <c r="A119" s="7"/>
      <c r="B119" s="4" t="s">
        <v>181</v>
      </c>
      <c r="C119" s="2">
        <v>1</v>
      </c>
      <c r="D119" s="2">
        <v>9.33</v>
      </c>
      <c r="E119" s="2">
        <v>0.375</v>
      </c>
      <c r="F119" s="2">
        <v>0.33</v>
      </c>
      <c r="G119" s="56">
        <f>PRODUCT(C119:F119)</f>
        <v>1.1545875000000001</v>
      </c>
      <c r="H119" s="2" t="s">
        <v>48</v>
      </c>
      <c r="I119" s="7"/>
      <c r="J119" s="27"/>
      <c r="K119" s="26"/>
    </row>
    <row r="120" spans="1:11" s="28" customFormat="1" x14ac:dyDescent="0.25">
      <c r="A120" s="7"/>
      <c r="B120" s="26" t="s">
        <v>160</v>
      </c>
      <c r="C120" s="2"/>
      <c r="D120" s="2"/>
      <c r="E120" s="2"/>
      <c r="F120" s="2"/>
      <c r="G120" s="56"/>
      <c r="H120" s="2"/>
      <c r="I120" s="7"/>
      <c r="J120" s="27"/>
      <c r="K120" s="26"/>
    </row>
    <row r="121" spans="1:11" s="28" customFormat="1" x14ac:dyDescent="0.25">
      <c r="A121" s="7"/>
      <c r="B121" s="4" t="s">
        <v>173</v>
      </c>
      <c r="C121" s="2"/>
      <c r="D121" s="2"/>
      <c r="E121" s="2"/>
      <c r="F121" s="2"/>
      <c r="G121" s="56"/>
      <c r="H121" s="2"/>
      <c r="I121" s="7"/>
      <c r="J121" s="27"/>
      <c r="K121" s="26"/>
    </row>
    <row r="122" spans="1:11" s="28" customFormat="1" x14ac:dyDescent="0.25">
      <c r="A122" s="7"/>
      <c r="B122" s="4" t="s">
        <v>180</v>
      </c>
      <c r="C122" s="2">
        <v>1</v>
      </c>
      <c r="D122" s="2">
        <v>20.25</v>
      </c>
      <c r="E122" s="2">
        <v>0.375</v>
      </c>
      <c r="F122" s="2">
        <v>0.33</v>
      </c>
      <c r="G122" s="56">
        <f>PRODUCT(C122:F122)</f>
        <v>2.5059374999999999</v>
      </c>
      <c r="H122" s="2" t="s">
        <v>48</v>
      </c>
      <c r="I122" s="7"/>
      <c r="J122" s="27"/>
      <c r="K122" s="26"/>
    </row>
    <row r="123" spans="1:11" s="28" customFormat="1" x14ac:dyDescent="0.25">
      <c r="A123" s="7"/>
      <c r="B123" s="4" t="s">
        <v>181</v>
      </c>
      <c r="C123" s="2">
        <v>1</v>
      </c>
      <c r="D123" s="2">
        <v>26.25</v>
      </c>
      <c r="E123" s="2">
        <v>0.375</v>
      </c>
      <c r="F123" s="2">
        <v>0.33</v>
      </c>
      <c r="G123" s="56">
        <f>PRODUCT(C123:F123)</f>
        <v>3.2484375000000001</v>
      </c>
      <c r="H123" s="2" t="s">
        <v>48</v>
      </c>
      <c r="I123" s="7"/>
      <c r="J123" s="27"/>
      <c r="K123" s="26"/>
    </row>
    <row r="124" spans="1:11" s="28" customFormat="1" x14ac:dyDescent="0.25">
      <c r="A124" s="7"/>
      <c r="B124" s="4" t="s">
        <v>175</v>
      </c>
      <c r="C124" s="2"/>
      <c r="D124" s="2"/>
      <c r="E124" s="2"/>
      <c r="F124" s="2"/>
      <c r="G124" s="56"/>
      <c r="H124" s="2"/>
      <c r="I124" s="7"/>
      <c r="J124" s="27"/>
      <c r="K124" s="26"/>
    </row>
    <row r="125" spans="1:11" s="28" customFormat="1" x14ac:dyDescent="0.25">
      <c r="A125" s="7"/>
      <c r="B125" s="4" t="s">
        <v>180</v>
      </c>
      <c r="C125" s="2">
        <v>1</v>
      </c>
      <c r="D125" s="2">
        <v>2.75</v>
      </c>
      <c r="E125" s="2">
        <v>0.375</v>
      </c>
      <c r="F125" s="2">
        <v>0.33</v>
      </c>
      <c r="G125" s="56">
        <f>PRODUCT(C125:F125)</f>
        <v>0.34031250000000002</v>
      </c>
      <c r="H125" s="2" t="s">
        <v>48</v>
      </c>
      <c r="I125" s="7"/>
      <c r="J125" s="27"/>
      <c r="K125" s="26"/>
    </row>
    <row r="126" spans="1:11" s="28" customFormat="1" x14ac:dyDescent="0.25">
      <c r="A126" s="7"/>
      <c r="B126" s="4" t="s">
        <v>181</v>
      </c>
      <c r="C126" s="2">
        <v>1</v>
      </c>
      <c r="D126" s="2">
        <v>7.75</v>
      </c>
      <c r="E126" s="2">
        <v>0.375</v>
      </c>
      <c r="F126" s="2">
        <v>0.33</v>
      </c>
      <c r="G126" s="56">
        <f>PRODUCT(C126:F126)</f>
        <v>0.95906250000000004</v>
      </c>
      <c r="H126" s="2" t="s">
        <v>48</v>
      </c>
      <c r="I126" s="7"/>
      <c r="J126" s="27"/>
      <c r="K126" s="26"/>
    </row>
    <row r="127" spans="1:11" s="28" customFormat="1" x14ac:dyDescent="0.25">
      <c r="A127" s="7"/>
      <c r="B127" s="4"/>
      <c r="C127" s="2"/>
      <c r="D127" s="2"/>
      <c r="E127" s="2"/>
      <c r="F127" s="2"/>
      <c r="G127" s="56"/>
      <c r="H127" s="2"/>
      <c r="I127" s="7"/>
      <c r="J127" s="27"/>
      <c r="K127" s="26"/>
    </row>
    <row r="128" spans="1:11" s="28" customFormat="1" x14ac:dyDescent="0.25">
      <c r="A128" s="7"/>
      <c r="B128" s="26" t="s">
        <v>159</v>
      </c>
      <c r="C128" s="2"/>
      <c r="D128" s="2"/>
      <c r="E128" s="2"/>
      <c r="F128" s="2"/>
      <c r="G128" s="56"/>
      <c r="H128" s="2"/>
      <c r="I128" s="7"/>
      <c r="J128" s="27"/>
      <c r="K128" s="26"/>
    </row>
    <row r="129" spans="1:11" s="28" customFormat="1" x14ac:dyDescent="0.25">
      <c r="A129" s="7"/>
      <c r="B129" s="26" t="s">
        <v>179</v>
      </c>
      <c r="C129" s="2"/>
      <c r="D129" s="2"/>
      <c r="E129" s="2"/>
      <c r="F129" s="2"/>
      <c r="G129" s="56"/>
      <c r="H129" s="2"/>
      <c r="I129" s="7"/>
      <c r="J129" s="27"/>
      <c r="K129" s="26"/>
    </row>
    <row r="130" spans="1:11" s="28" customFormat="1" x14ac:dyDescent="0.25">
      <c r="A130" s="7"/>
      <c r="B130" s="26" t="s">
        <v>152</v>
      </c>
      <c r="C130" s="2"/>
      <c r="D130" s="2"/>
      <c r="E130" s="2"/>
      <c r="F130" s="2"/>
      <c r="G130" s="56"/>
      <c r="H130" s="2"/>
      <c r="I130" s="7"/>
      <c r="J130" s="27"/>
      <c r="K130" s="26"/>
    </row>
    <row r="131" spans="1:11" s="28" customFormat="1" x14ac:dyDescent="0.25">
      <c r="A131" s="7"/>
      <c r="B131" s="4" t="s">
        <v>153</v>
      </c>
      <c r="C131" s="2"/>
      <c r="D131" s="2"/>
      <c r="E131" s="2"/>
      <c r="F131" s="2"/>
      <c r="G131" s="56"/>
      <c r="H131" s="2"/>
      <c r="I131" s="7"/>
      <c r="J131" s="27"/>
      <c r="K131" s="26"/>
    </row>
    <row r="132" spans="1:11" s="28" customFormat="1" x14ac:dyDescent="0.25">
      <c r="A132" s="7"/>
      <c r="B132" s="4" t="s">
        <v>180</v>
      </c>
      <c r="C132" s="2">
        <v>2</v>
      </c>
      <c r="D132" s="2">
        <v>26</v>
      </c>
      <c r="E132" s="2">
        <v>0.75</v>
      </c>
      <c r="F132" s="2">
        <v>0.33</v>
      </c>
      <c r="G132" s="56">
        <f>PRODUCT(C132:F132)</f>
        <v>12.870000000000001</v>
      </c>
      <c r="H132" s="2" t="s">
        <v>48</v>
      </c>
      <c r="I132" s="7"/>
      <c r="J132" s="27"/>
      <c r="K132" s="26"/>
    </row>
    <row r="133" spans="1:11" s="28" customFormat="1" x14ac:dyDescent="0.25">
      <c r="A133" s="7"/>
      <c r="B133" s="4" t="s">
        <v>181</v>
      </c>
      <c r="C133" s="2">
        <v>2</v>
      </c>
      <c r="D133" s="2">
        <v>26</v>
      </c>
      <c r="E133" s="2">
        <v>0.75</v>
      </c>
      <c r="F133" s="2">
        <v>0.33</v>
      </c>
      <c r="G133" s="56">
        <f>PRODUCT(C133:F133)</f>
        <v>12.870000000000001</v>
      </c>
      <c r="H133" s="2" t="s">
        <v>48</v>
      </c>
      <c r="I133" s="7"/>
      <c r="J133" s="27"/>
      <c r="K133" s="26"/>
    </row>
    <row r="134" spans="1:11" s="28" customFormat="1" x14ac:dyDescent="0.25">
      <c r="A134" s="7"/>
      <c r="B134" s="26" t="s">
        <v>160</v>
      </c>
      <c r="C134" s="2"/>
      <c r="D134" s="2"/>
      <c r="E134" s="2"/>
      <c r="F134" s="2"/>
      <c r="G134" s="56"/>
      <c r="H134" s="2"/>
      <c r="I134" s="7"/>
      <c r="J134" s="27"/>
      <c r="K134" s="26"/>
    </row>
    <row r="135" spans="1:11" s="28" customFormat="1" x14ac:dyDescent="0.25">
      <c r="A135" s="7"/>
      <c r="B135" s="4" t="s">
        <v>161</v>
      </c>
      <c r="C135" s="2"/>
      <c r="D135" s="2"/>
      <c r="E135" s="2"/>
      <c r="F135" s="2"/>
      <c r="G135" s="56"/>
      <c r="H135" s="2"/>
      <c r="I135" s="7"/>
      <c r="J135" s="27"/>
      <c r="K135" s="26"/>
    </row>
    <row r="136" spans="1:11" s="28" customFormat="1" x14ac:dyDescent="0.25">
      <c r="A136" s="7"/>
      <c r="B136" s="4" t="s">
        <v>180</v>
      </c>
      <c r="C136" s="2">
        <v>2</v>
      </c>
      <c r="D136" s="2">
        <v>22</v>
      </c>
      <c r="E136" s="2">
        <v>0.75</v>
      </c>
      <c r="F136" s="2">
        <v>0.33</v>
      </c>
      <c r="G136" s="56">
        <f>PRODUCT(C136:F136)</f>
        <v>10.89</v>
      </c>
      <c r="H136" s="2" t="s">
        <v>48</v>
      </c>
      <c r="I136" s="7"/>
      <c r="J136" s="27"/>
      <c r="K136" s="26"/>
    </row>
    <row r="137" spans="1:11" s="28" customFormat="1" x14ac:dyDescent="0.25">
      <c r="A137" s="7"/>
      <c r="B137" s="4" t="s">
        <v>181</v>
      </c>
      <c r="C137" s="2">
        <v>2</v>
      </c>
      <c r="D137" s="2">
        <v>22</v>
      </c>
      <c r="E137" s="2">
        <v>0.75</v>
      </c>
      <c r="F137" s="2">
        <v>0.33</v>
      </c>
      <c r="G137" s="56">
        <f>PRODUCT(C137:F137)</f>
        <v>10.89</v>
      </c>
      <c r="H137" s="2" t="s">
        <v>48</v>
      </c>
      <c r="I137" s="7"/>
      <c r="J137" s="27"/>
      <c r="K137" s="26"/>
    </row>
    <row r="138" spans="1:11" s="28" customFormat="1" x14ac:dyDescent="0.25">
      <c r="A138" s="7"/>
      <c r="B138" s="26" t="s">
        <v>178</v>
      </c>
      <c r="C138" s="2"/>
      <c r="D138" s="2"/>
      <c r="E138" s="2"/>
      <c r="F138" s="2"/>
      <c r="G138" s="56"/>
      <c r="H138" s="2"/>
      <c r="I138" s="7"/>
      <c r="J138" s="27"/>
      <c r="K138" s="26"/>
    </row>
    <row r="139" spans="1:11" s="28" customFormat="1" x14ac:dyDescent="0.25">
      <c r="A139" s="7"/>
      <c r="B139" s="26" t="s">
        <v>152</v>
      </c>
      <c r="C139" s="2"/>
      <c r="D139" s="2"/>
      <c r="E139" s="2"/>
      <c r="F139" s="2"/>
      <c r="G139" s="56"/>
      <c r="H139" s="2"/>
      <c r="I139" s="7"/>
      <c r="J139" s="27"/>
      <c r="K139" s="26"/>
    </row>
    <row r="140" spans="1:11" s="28" customFormat="1" x14ac:dyDescent="0.25">
      <c r="A140" s="7"/>
      <c r="B140" s="4" t="s">
        <v>170</v>
      </c>
      <c r="C140" s="2"/>
      <c r="D140" s="2"/>
      <c r="E140" s="2"/>
      <c r="F140" s="2"/>
      <c r="G140" s="56"/>
      <c r="H140" s="2"/>
      <c r="I140" s="7"/>
      <c r="J140" s="27"/>
      <c r="K140" s="26"/>
    </row>
    <row r="141" spans="1:11" s="28" customFormat="1" x14ac:dyDescent="0.25">
      <c r="A141" s="7"/>
      <c r="B141" s="4" t="s">
        <v>180</v>
      </c>
      <c r="C141" s="2">
        <v>1</v>
      </c>
      <c r="D141" s="2">
        <v>20</v>
      </c>
      <c r="E141" s="2">
        <v>0.375</v>
      </c>
      <c r="F141" s="2">
        <v>0.33</v>
      </c>
      <c r="G141" s="56">
        <f>PRODUCT(C141:F141)</f>
        <v>2.4750000000000001</v>
      </c>
      <c r="H141" s="2" t="s">
        <v>48</v>
      </c>
      <c r="I141" s="7"/>
      <c r="J141" s="27"/>
      <c r="K141" s="26"/>
    </row>
    <row r="142" spans="1:11" s="28" customFormat="1" x14ac:dyDescent="0.25">
      <c r="A142" s="7"/>
      <c r="B142" s="4" t="s">
        <v>181</v>
      </c>
      <c r="C142" s="2">
        <v>1</v>
      </c>
      <c r="D142" s="2">
        <v>26</v>
      </c>
      <c r="E142" s="2">
        <v>0.375</v>
      </c>
      <c r="F142" s="2">
        <v>0.33</v>
      </c>
      <c r="G142" s="56">
        <f>PRODUCT(C142:F142)</f>
        <v>3.2175000000000002</v>
      </c>
      <c r="H142" s="2" t="s">
        <v>48</v>
      </c>
      <c r="I142" s="7"/>
      <c r="J142" s="27"/>
      <c r="K142" s="26"/>
    </row>
    <row r="143" spans="1:11" s="28" customFormat="1" x14ac:dyDescent="0.25">
      <c r="A143" s="7"/>
      <c r="B143" s="4" t="s">
        <v>172</v>
      </c>
      <c r="C143" s="2"/>
      <c r="D143" s="2"/>
      <c r="E143" s="2"/>
      <c r="F143" s="2"/>
      <c r="G143" s="56"/>
      <c r="H143" s="2"/>
      <c r="I143" s="7"/>
      <c r="J143" s="27"/>
      <c r="K143" s="26"/>
    </row>
    <row r="144" spans="1:11" s="28" customFormat="1" x14ac:dyDescent="0.25">
      <c r="A144" s="7"/>
      <c r="B144" s="4" t="s">
        <v>180</v>
      </c>
      <c r="C144" s="2">
        <v>1</v>
      </c>
      <c r="D144" s="2">
        <v>9.33</v>
      </c>
      <c r="E144" s="2">
        <v>0.375</v>
      </c>
      <c r="F144" s="2">
        <v>0.33</v>
      </c>
      <c r="G144" s="56">
        <f>PRODUCT(C144:F144)</f>
        <v>1.1545875000000001</v>
      </c>
      <c r="H144" s="2" t="s">
        <v>48</v>
      </c>
      <c r="I144" s="7"/>
      <c r="J144" s="27"/>
      <c r="K144" s="26"/>
    </row>
    <row r="145" spans="1:11" s="28" customFormat="1" x14ac:dyDescent="0.25">
      <c r="A145" s="7"/>
      <c r="B145" s="4" t="s">
        <v>181</v>
      </c>
      <c r="C145" s="2">
        <v>1</v>
      </c>
      <c r="D145" s="2">
        <v>9.33</v>
      </c>
      <c r="E145" s="2">
        <v>0.375</v>
      </c>
      <c r="F145" s="2">
        <v>0.33</v>
      </c>
      <c r="G145" s="56">
        <f>PRODUCT(C145:F145)</f>
        <v>1.1545875000000001</v>
      </c>
      <c r="H145" s="2" t="s">
        <v>48</v>
      </c>
      <c r="I145" s="7"/>
      <c r="J145" s="27"/>
      <c r="K145" s="26"/>
    </row>
    <row r="146" spans="1:11" s="28" customFormat="1" x14ac:dyDescent="0.25">
      <c r="A146" s="7"/>
      <c r="B146" s="26" t="s">
        <v>160</v>
      </c>
      <c r="C146" s="2"/>
      <c r="D146" s="2"/>
      <c r="E146" s="2"/>
      <c r="F146" s="2"/>
      <c r="G146" s="56"/>
      <c r="H146" s="2"/>
      <c r="I146" s="7"/>
      <c r="J146" s="27"/>
      <c r="K146" s="26"/>
    </row>
    <row r="147" spans="1:11" s="28" customFormat="1" x14ac:dyDescent="0.25">
      <c r="A147" s="7"/>
      <c r="B147" s="4" t="s">
        <v>176</v>
      </c>
      <c r="C147" s="2"/>
      <c r="D147" s="2"/>
      <c r="E147" s="2"/>
      <c r="F147" s="2"/>
      <c r="G147" s="56"/>
      <c r="H147" s="2"/>
      <c r="I147" s="7"/>
      <c r="J147" s="27"/>
      <c r="K147" s="26"/>
    </row>
    <row r="148" spans="1:11" s="28" customFormat="1" x14ac:dyDescent="0.25">
      <c r="A148" s="7"/>
      <c r="B148" s="4" t="s">
        <v>180</v>
      </c>
      <c r="C148" s="2">
        <v>1</v>
      </c>
      <c r="D148" s="2">
        <v>19</v>
      </c>
      <c r="E148" s="2">
        <v>0.375</v>
      </c>
      <c r="F148" s="2">
        <v>0.33</v>
      </c>
      <c r="G148" s="56">
        <f>PRODUCT(C148:F148)</f>
        <v>2.3512500000000003</v>
      </c>
      <c r="H148" s="2" t="s">
        <v>48</v>
      </c>
      <c r="I148" s="7"/>
      <c r="J148" s="27"/>
      <c r="K148" s="26"/>
    </row>
    <row r="149" spans="1:11" s="28" customFormat="1" x14ac:dyDescent="0.25">
      <c r="A149" s="7"/>
      <c r="B149" s="4" t="s">
        <v>181</v>
      </c>
      <c r="C149" s="2">
        <v>1</v>
      </c>
      <c r="D149" s="2">
        <v>22</v>
      </c>
      <c r="E149" s="2">
        <v>0.375</v>
      </c>
      <c r="F149" s="2">
        <v>0.33</v>
      </c>
      <c r="G149" s="56">
        <f>PRODUCT(C149:F149)</f>
        <v>2.7225000000000001</v>
      </c>
      <c r="H149" s="2" t="s">
        <v>48</v>
      </c>
      <c r="I149" s="7"/>
      <c r="J149" s="27"/>
      <c r="K149" s="26"/>
    </row>
    <row r="150" spans="1:11" s="28" customFormat="1" x14ac:dyDescent="0.25">
      <c r="A150" s="7"/>
      <c r="B150" s="4" t="s">
        <v>172</v>
      </c>
      <c r="C150" s="2"/>
      <c r="D150" s="2"/>
      <c r="E150" s="2"/>
      <c r="F150" s="2"/>
      <c r="G150" s="56"/>
      <c r="H150" s="2"/>
      <c r="I150" s="7"/>
      <c r="J150" s="27"/>
      <c r="K150" s="26"/>
    </row>
    <row r="151" spans="1:11" s="28" customFormat="1" x14ac:dyDescent="0.25">
      <c r="A151" s="7"/>
      <c r="B151" s="4" t="s">
        <v>180</v>
      </c>
      <c r="C151" s="2">
        <v>1</v>
      </c>
      <c r="D151" s="2">
        <v>1.42</v>
      </c>
      <c r="E151" s="2">
        <v>0.375</v>
      </c>
      <c r="F151" s="2">
        <v>0.33</v>
      </c>
      <c r="G151" s="56">
        <f>PRODUCT(C151:F151)</f>
        <v>0.17572499999999999</v>
      </c>
      <c r="H151" s="2" t="s">
        <v>48</v>
      </c>
      <c r="I151" s="7"/>
      <c r="J151" s="27"/>
      <c r="K151" s="26"/>
    </row>
    <row r="152" spans="1:11" s="28" customFormat="1" x14ac:dyDescent="0.25">
      <c r="A152" s="7"/>
      <c r="B152" s="4" t="s">
        <v>181</v>
      </c>
      <c r="C152" s="2">
        <v>1</v>
      </c>
      <c r="D152" s="2">
        <v>3.92</v>
      </c>
      <c r="E152" s="2">
        <v>0.375</v>
      </c>
      <c r="F152" s="2">
        <v>0.33</v>
      </c>
      <c r="G152" s="56">
        <f>PRODUCT(C152:F152)</f>
        <v>0.48510000000000003</v>
      </c>
      <c r="H152" s="2" t="s">
        <v>48</v>
      </c>
      <c r="I152" s="7"/>
      <c r="J152" s="27"/>
      <c r="K152" s="26"/>
    </row>
    <row r="153" spans="1:11" s="28" customFormat="1" x14ac:dyDescent="0.25">
      <c r="A153" s="7"/>
      <c r="B153" s="4"/>
      <c r="C153" s="2"/>
      <c r="D153" s="2"/>
      <c r="E153" s="2"/>
      <c r="F153" s="2"/>
      <c r="G153" s="56"/>
      <c r="H153" s="2"/>
      <c r="I153" s="7"/>
      <c r="J153" s="27"/>
      <c r="K153" s="26"/>
    </row>
    <row r="154" spans="1:11" s="28" customFormat="1" x14ac:dyDescent="0.25">
      <c r="A154" s="7"/>
      <c r="B154" s="26" t="s">
        <v>164</v>
      </c>
      <c r="C154" s="2"/>
      <c r="D154" s="2"/>
      <c r="E154" s="2"/>
      <c r="F154" s="2"/>
      <c r="G154" s="56"/>
      <c r="H154" s="2"/>
      <c r="I154" s="7"/>
      <c r="J154" s="27"/>
      <c r="K154" s="26"/>
    </row>
    <row r="155" spans="1:11" s="28" customFormat="1" x14ac:dyDescent="0.25">
      <c r="A155" s="7"/>
      <c r="B155" s="26" t="s">
        <v>179</v>
      </c>
      <c r="C155" s="2"/>
      <c r="D155" s="2"/>
      <c r="E155" s="2"/>
      <c r="F155" s="2"/>
      <c r="G155" s="56"/>
      <c r="H155" s="2"/>
      <c r="I155" s="7"/>
      <c r="J155" s="27"/>
      <c r="K155" s="26"/>
    </row>
    <row r="156" spans="1:11" s="28" customFormat="1" x14ac:dyDescent="0.25">
      <c r="A156" s="7"/>
      <c r="B156" s="26" t="s">
        <v>152</v>
      </c>
      <c r="C156" s="2"/>
      <c r="D156" s="2"/>
      <c r="E156" s="2"/>
      <c r="F156" s="2"/>
      <c r="G156" s="56"/>
      <c r="H156" s="2"/>
      <c r="I156" s="7"/>
      <c r="J156" s="27"/>
      <c r="K156" s="26"/>
    </row>
    <row r="157" spans="1:11" s="28" customFormat="1" x14ac:dyDescent="0.25">
      <c r="A157" s="7"/>
      <c r="B157" s="4" t="s">
        <v>165</v>
      </c>
      <c r="C157" s="2"/>
      <c r="D157" s="2"/>
      <c r="E157" s="2"/>
      <c r="F157" s="2"/>
      <c r="G157" s="56"/>
      <c r="H157" s="2"/>
      <c r="I157" s="7"/>
      <c r="J157" s="27"/>
      <c r="K157" s="26"/>
    </row>
    <row r="158" spans="1:11" s="28" customFormat="1" x14ac:dyDescent="0.25">
      <c r="A158" s="7"/>
      <c r="B158" s="4" t="s">
        <v>180</v>
      </c>
      <c r="C158" s="2">
        <v>2</v>
      </c>
      <c r="D158" s="2">
        <v>15</v>
      </c>
      <c r="E158" s="2">
        <v>0.75</v>
      </c>
      <c r="F158" s="2">
        <v>0.33</v>
      </c>
      <c r="G158" s="56">
        <f>PRODUCT(C158:F158)</f>
        <v>7.4250000000000007</v>
      </c>
      <c r="H158" s="2" t="s">
        <v>48</v>
      </c>
      <c r="I158" s="7"/>
      <c r="J158" s="27"/>
      <c r="K158" s="26"/>
    </row>
    <row r="159" spans="1:11" s="28" customFormat="1" x14ac:dyDescent="0.25">
      <c r="A159" s="7"/>
      <c r="B159" s="4" t="s">
        <v>181</v>
      </c>
      <c r="C159" s="2">
        <v>2</v>
      </c>
      <c r="D159" s="2">
        <v>15</v>
      </c>
      <c r="E159" s="2">
        <v>0.75</v>
      </c>
      <c r="F159" s="2">
        <v>0.33</v>
      </c>
      <c r="G159" s="56">
        <f>PRODUCT(C159:F159)</f>
        <v>7.4250000000000007</v>
      </c>
      <c r="H159" s="2" t="s">
        <v>48</v>
      </c>
      <c r="I159" s="7"/>
      <c r="J159" s="27"/>
      <c r="K159" s="26"/>
    </row>
    <row r="160" spans="1:11" s="28" customFormat="1" x14ac:dyDescent="0.25">
      <c r="A160" s="7"/>
      <c r="B160" s="26" t="s">
        <v>160</v>
      </c>
      <c r="C160" s="2"/>
      <c r="D160" s="2"/>
      <c r="E160" s="2"/>
      <c r="F160" s="2"/>
      <c r="G160" s="56"/>
      <c r="H160" s="2"/>
      <c r="I160" s="7"/>
      <c r="J160" s="27"/>
      <c r="K160" s="26"/>
    </row>
    <row r="161" spans="1:11" s="28" customFormat="1" x14ac:dyDescent="0.25">
      <c r="A161" s="7"/>
      <c r="B161" s="4" t="s">
        <v>166</v>
      </c>
      <c r="C161" s="2"/>
      <c r="D161" s="2"/>
      <c r="E161" s="2"/>
      <c r="F161" s="2"/>
      <c r="G161" s="56"/>
      <c r="H161" s="2"/>
      <c r="I161" s="7"/>
      <c r="J161" s="27"/>
      <c r="K161" s="26"/>
    </row>
    <row r="162" spans="1:11" s="28" customFormat="1" x14ac:dyDescent="0.25">
      <c r="A162" s="7"/>
      <c r="B162" s="4" t="s">
        <v>180</v>
      </c>
      <c r="C162" s="2">
        <v>2</v>
      </c>
      <c r="D162" s="2">
        <v>19</v>
      </c>
      <c r="E162" s="2">
        <v>0.75</v>
      </c>
      <c r="F162" s="2">
        <v>0.33</v>
      </c>
      <c r="G162" s="56">
        <f>PRODUCT(C162:F162)</f>
        <v>9.4050000000000011</v>
      </c>
      <c r="H162" s="2" t="s">
        <v>48</v>
      </c>
      <c r="I162" s="7"/>
      <c r="J162" s="27"/>
      <c r="K162" s="26"/>
    </row>
    <row r="163" spans="1:11" s="28" customFormat="1" x14ac:dyDescent="0.25">
      <c r="A163" s="7"/>
      <c r="B163" s="4" t="s">
        <v>181</v>
      </c>
      <c r="C163" s="2">
        <v>2</v>
      </c>
      <c r="D163" s="2">
        <v>22</v>
      </c>
      <c r="E163" s="2">
        <v>0.75</v>
      </c>
      <c r="F163" s="2">
        <v>0.33</v>
      </c>
      <c r="G163" s="56">
        <f>PRODUCT(C163:F163)</f>
        <v>10.89</v>
      </c>
      <c r="H163" s="2" t="s">
        <v>48</v>
      </c>
      <c r="I163" s="7"/>
      <c r="J163" s="27"/>
      <c r="K163" s="26"/>
    </row>
    <row r="164" spans="1:11" s="28" customFormat="1" x14ac:dyDescent="0.25">
      <c r="A164" s="7"/>
      <c r="B164" s="26" t="s">
        <v>178</v>
      </c>
      <c r="C164" s="2"/>
      <c r="D164" s="2"/>
      <c r="E164" s="2"/>
      <c r="F164" s="2"/>
      <c r="G164" s="56"/>
      <c r="H164" s="2"/>
      <c r="I164" s="7"/>
      <c r="J164" s="27"/>
      <c r="K164" s="26"/>
    </row>
    <row r="165" spans="1:11" s="28" customFormat="1" x14ac:dyDescent="0.25">
      <c r="A165" s="7"/>
      <c r="B165" s="26" t="s">
        <v>152</v>
      </c>
      <c r="C165" s="2"/>
      <c r="D165" s="2"/>
      <c r="E165" s="2"/>
      <c r="F165" s="2"/>
      <c r="G165" s="56"/>
      <c r="H165" s="2"/>
      <c r="I165" s="7"/>
      <c r="J165" s="27"/>
      <c r="K165" s="26"/>
    </row>
    <row r="166" spans="1:11" s="28" customFormat="1" x14ac:dyDescent="0.25">
      <c r="A166" s="7"/>
      <c r="B166" s="4" t="s">
        <v>177</v>
      </c>
      <c r="C166" s="2"/>
      <c r="D166" s="2"/>
      <c r="E166" s="2"/>
      <c r="F166" s="2"/>
      <c r="G166" s="56"/>
      <c r="H166" s="2"/>
      <c r="I166" s="7"/>
      <c r="J166" s="27"/>
      <c r="K166" s="26"/>
    </row>
    <row r="167" spans="1:11" s="28" customFormat="1" x14ac:dyDescent="0.25">
      <c r="A167" s="7"/>
      <c r="B167" s="4" t="s">
        <v>180</v>
      </c>
      <c r="C167" s="2">
        <v>1</v>
      </c>
      <c r="D167" s="2">
        <v>12</v>
      </c>
      <c r="E167" s="2">
        <v>0.375</v>
      </c>
      <c r="F167" s="2">
        <v>0.33</v>
      </c>
      <c r="G167" s="56">
        <f>PRODUCT(C167:F167)</f>
        <v>1.4850000000000001</v>
      </c>
      <c r="H167" s="2" t="s">
        <v>48</v>
      </c>
      <c r="I167" s="7"/>
      <c r="J167" s="27"/>
      <c r="K167" s="26"/>
    </row>
    <row r="168" spans="1:11" s="28" customFormat="1" x14ac:dyDescent="0.25">
      <c r="A168" s="7"/>
      <c r="B168" s="4" t="s">
        <v>181</v>
      </c>
      <c r="C168" s="2">
        <v>1</v>
      </c>
      <c r="D168" s="2">
        <v>15</v>
      </c>
      <c r="E168" s="2">
        <v>0.375</v>
      </c>
      <c r="F168" s="2">
        <v>0.33</v>
      </c>
      <c r="G168" s="56">
        <f>PRODUCT(C168:F168)</f>
        <v>1.8562500000000002</v>
      </c>
      <c r="H168" s="2" t="s">
        <v>48</v>
      </c>
      <c r="I168" s="7"/>
      <c r="J168" s="27"/>
      <c r="K168" s="26"/>
    </row>
    <row r="169" spans="1:11" s="28" customFormat="1" x14ac:dyDescent="0.25">
      <c r="A169" s="7"/>
      <c r="B169" s="4" t="s">
        <v>172</v>
      </c>
      <c r="C169" s="2"/>
      <c r="D169" s="2"/>
      <c r="E169" s="2"/>
      <c r="F169" s="2"/>
      <c r="G169" s="56"/>
      <c r="H169" s="2"/>
      <c r="I169" s="7"/>
      <c r="J169" s="27"/>
      <c r="K169" s="26"/>
    </row>
    <row r="170" spans="1:11" s="28" customFormat="1" x14ac:dyDescent="0.25">
      <c r="A170" s="7"/>
      <c r="B170" s="4" t="s">
        <v>180</v>
      </c>
      <c r="C170" s="2">
        <v>1</v>
      </c>
      <c r="D170" s="2">
        <v>9.33</v>
      </c>
      <c r="E170" s="2">
        <v>0.375</v>
      </c>
      <c r="F170" s="2">
        <v>0.33</v>
      </c>
      <c r="G170" s="56">
        <f>PRODUCT(C170:F170)</f>
        <v>1.1545875000000001</v>
      </c>
      <c r="H170" s="2" t="s">
        <v>48</v>
      </c>
      <c r="I170" s="7"/>
      <c r="J170" s="27"/>
      <c r="K170" s="26"/>
    </row>
    <row r="171" spans="1:11" s="28" customFormat="1" x14ac:dyDescent="0.25">
      <c r="A171" s="7"/>
      <c r="B171" s="4" t="s">
        <v>181</v>
      </c>
      <c r="C171" s="2">
        <v>1</v>
      </c>
      <c r="D171" s="2">
        <v>9.33</v>
      </c>
      <c r="E171" s="2">
        <v>0.375</v>
      </c>
      <c r="F171" s="2">
        <v>0.33</v>
      </c>
      <c r="G171" s="56">
        <f>PRODUCT(C171:F171)</f>
        <v>1.1545875000000001</v>
      </c>
      <c r="H171" s="2" t="s">
        <v>48</v>
      </c>
      <c r="I171" s="7"/>
      <c r="J171" s="27"/>
      <c r="K171" s="26"/>
    </row>
    <row r="172" spans="1:11" s="28" customFormat="1" x14ac:dyDescent="0.25">
      <c r="A172" s="7"/>
      <c r="B172" s="26" t="s">
        <v>160</v>
      </c>
      <c r="C172" s="2"/>
      <c r="D172" s="2"/>
      <c r="E172" s="2"/>
      <c r="F172" s="2"/>
      <c r="G172" s="56"/>
      <c r="H172" s="2"/>
      <c r="I172" s="7"/>
      <c r="J172" s="27"/>
      <c r="K172" s="26"/>
    </row>
    <row r="173" spans="1:11" s="28" customFormat="1" x14ac:dyDescent="0.25">
      <c r="A173" s="7"/>
      <c r="B173" s="4" t="s">
        <v>172</v>
      </c>
      <c r="C173" s="2"/>
      <c r="D173" s="2"/>
      <c r="E173" s="2"/>
      <c r="F173" s="2"/>
      <c r="G173" s="56"/>
      <c r="H173" s="2"/>
      <c r="I173" s="7"/>
      <c r="J173" s="27"/>
      <c r="K173" s="26"/>
    </row>
    <row r="174" spans="1:11" s="28" customFormat="1" x14ac:dyDescent="0.25">
      <c r="A174" s="7"/>
      <c r="B174" s="4" t="s">
        <v>180</v>
      </c>
      <c r="C174" s="2">
        <v>1</v>
      </c>
      <c r="D174" s="2">
        <v>1.42</v>
      </c>
      <c r="E174" s="2">
        <v>0.375</v>
      </c>
      <c r="F174" s="2">
        <v>0.33</v>
      </c>
      <c r="G174" s="56">
        <f>PRODUCT(C174:F174)</f>
        <v>0.17572499999999999</v>
      </c>
      <c r="H174" s="2" t="s">
        <v>48</v>
      </c>
      <c r="I174" s="7"/>
      <c r="J174" s="27"/>
      <c r="K174" s="26"/>
    </row>
    <row r="175" spans="1:11" s="28" customFormat="1" x14ac:dyDescent="0.25">
      <c r="A175" s="7"/>
      <c r="B175" s="4" t="s">
        <v>181</v>
      </c>
      <c r="C175" s="2">
        <v>1</v>
      </c>
      <c r="D175" s="2">
        <v>3.92</v>
      </c>
      <c r="E175" s="2">
        <v>0.375</v>
      </c>
      <c r="F175" s="2">
        <v>0.33</v>
      </c>
      <c r="G175" s="56">
        <f>PRODUCT(C175:F175)</f>
        <v>0.48510000000000003</v>
      </c>
      <c r="H175" s="2" t="s">
        <v>48</v>
      </c>
      <c r="I175" s="7"/>
      <c r="J175" s="27"/>
      <c r="K175" s="26"/>
    </row>
    <row r="176" spans="1:11" s="28" customFormat="1" x14ac:dyDescent="0.25">
      <c r="A176" s="7"/>
      <c r="B176" s="26"/>
      <c r="C176" s="2"/>
      <c r="D176" s="2"/>
      <c r="E176" s="2"/>
      <c r="F176" s="2"/>
      <c r="G176" s="44">
        <f>SUM(G11:G175)</f>
        <v>2408.2034490000005</v>
      </c>
      <c r="H176" s="7" t="s">
        <v>48</v>
      </c>
      <c r="I176" s="7"/>
      <c r="J176" s="27"/>
      <c r="K176" s="26"/>
    </row>
    <row r="177" spans="1:11" s="28" customFormat="1" x14ac:dyDescent="0.25">
      <c r="A177" s="7"/>
      <c r="B177" s="26"/>
      <c r="C177" s="7"/>
      <c r="D177" s="7"/>
      <c r="E177" s="7"/>
      <c r="F177" s="7"/>
      <c r="G177" s="44">
        <f>CONVERT(CONVERT(CONVERT(G176,"ft","m"),"ft","m"),"ft","m")</f>
        <v>68.192727627658314</v>
      </c>
      <c r="H177" s="7" t="s">
        <v>56</v>
      </c>
      <c r="I177" s="7"/>
      <c r="J177" s="27">
        <f>G177*I177</f>
        <v>0</v>
      </c>
      <c r="K177" s="26"/>
    </row>
    <row r="178" spans="1:11" x14ac:dyDescent="0.25">
      <c r="A178" s="7"/>
      <c r="B178" s="7"/>
      <c r="C178" s="2"/>
      <c r="D178" s="2"/>
      <c r="E178" s="2"/>
      <c r="F178" s="2"/>
      <c r="G178" s="45"/>
      <c r="H178" s="7"/>
      <c r="I178" s="37" t="s">
        <v>10</v>
      </c>
      <c r="J178" s="40">
        <f>SUM(J11:J177)</f>
        <v>0</v>
      </c>
      <c r="K178" s="2" t="s">
        <v>24</v>
      </c>
    </row>
    <row r="179" spans="1:11" x14ac:dyDescent="0.25">
      <c r="A179" s="28"/>
      <c r="B179" s="28"/>
      <c r="G179" s="46"/>
      <c r="H179" s="28"/>
      <c r="J179" s="30"/>
    </row>
  </sheetData>
  <mergeCells count="5">
    <mergeCell ref="A1:K1"/>
    <mergeCell ref="A2:K2"/>
    <mergeCell ref="A3:K3"/>
    <mergeCell ref="A4:K4"/>
    <mergeCell ref="A5:K5"/>
  </mergeCells>
  <pageMargins left="0.7" right="0.7" top="0.75" bottom="0.75" header="0.3" footer="0.3"/>
  <pageSetup paperSize="9"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5"/>
  <sheetViews>
    <sheetView view="pageBreakPreview" zoomScale="60" workbookViewId="0">
      <pane ySplit="9" topLeftCell="A166" activePane="bottomLeft" state="frozen"/>
      <selection pane="bottomLeft" activeCell="Q12" sqref="Q12"/>
    </sheetView>
  </sheetViews>
  <sheetFormatPr defaultRowHeight="15" x14ac:dyDescent="0.25"/>
  <cols>
    <col min="1" max="1" width="4.85546875" bestFit="1" customWidth="1"/>
    <col min="2" max="2" width="28" customWidth="1"/>
    <col min="3" max="3" width="37.140625" customWidth="1"/>
    <col min="4" max="4" width="4.7109375" customWidth="1"/>
    <col min="5" max="6" width="7.7109375" bestFit="1" customWidth="1"/>
    <col min="7" max="7" width="4.7109375" bestFit="1" customWidth="1"/>
    <col min="8" max="8" width="4.28515625" bestFit="1" customWidth="1"/>
    <col min="9" max="9" width="7.7109375" bestFit="1" customWidth="1"/>
    <col min="10" max="10" width="8" bestFit="1" customWidth="1"/>
    <col min="11" max="11" width="7.140625" bestFit="1" customWidth="1"/>
    <col min="12" max="12" width="9.85546875" customWidth="1"/>
  </cols>
  <sheetData>
    <row r="1" spans="1:12" s="20" customFormat="1" x14ac:dyDescent="0.25">
      <c r="A1" s="186" t="s">
        <v>11</v>
      </c>
      <c r="B1" s="186"/>
      <c r="C1" s="186"/>
      <c r="D1" s="186"/>
      <c r="E1" s="186"/>
      <c r="F1" s="186"/>
      <c r="G1" s="186"/>
      <c r="H1" s="186"/>
      <c r="I1" s="186"/>
      <c r="J1" s="186"/>
      <c r="K1" s="186"/>
    </row>
    <row r="2" spans="1:12" s="20" customFormat="1" ht="22.5" x14ac:dyDescent="0.25">
      <c r="A2" s="187" t="s">
        <v>12</v>
      </c>
      <c r="B2" s="187"/>
      <c r="C2" s="187"/>
      <c r="D2" s="187"/>
      <c r="E2" s="187"/>
      <c r="F2" s="187"/>
      <c r="G2" s="187"/>
      <c r="H2" s="187"/>
      <c r="I2" s="187"/>
      <c r="J2" s="187"/>
      <c r="K2" s="187"/>
    </row>
    <row r="3" spans="1:12" s="20" customFormat="1" x14ac:dyDescent="0.25">
      <c r="A3" s="188" t="s">
        <v>23</v>
      </c>
      <c r="B3" s="188"/>
      <c r="C3" s="188"/>
      <c r="D3" s="188"/>
      <c r="E3" s="188"/>
      <c r="F3" s="188"/>
      <c r="G3" s="188"/>
      <c r="H3" s="188"/>
      <c r="I3" s="188"/>
      <c r="J3" s="188"/>
      <c r="K3" s="188"/>
    </row>
    <row r="4" spans="1:12" s="20" customFormat="1" x14ac:dyDescent="0.25">
      <c r="A4" s="188" t="s">
        <v>13</v>
      </c>
      <c r="B4" s="188"/>
      <c r="C4" s="188"/>
      <c r="D4" s="188"/>
      <c r="E4" s="188"/>
      <c r="F4" s="188"/>
      <c r="G4" s="188"/>
      <c r="H4" s="188"/>
      <c r="I4" s="188"/>
      <c r="J4" s="188"/>
      <c r="K4" s="188"/>
    </row>
    <row r="5" spans="1:12" ht="18.75" x14ac:dyDescent="0.3">
      <c r="A5" s="189" t="s">
        <v>43</v>
      </c>
      <c r="B5" s="189"/>
      <c r="C5" s="189"/>
      <c r="D5" s="189"/>
      <c r="E5" s="189"/>
      <c r="F5" s="189"/>
      <c r="G5" s="189"/>
      <c r="H5" s="189"/>
      <c r="I5" s="189"/>
      <c r="J5" s="189"/>
      <c r="K5" s="189"/>
    </row>
    <row r="6" spans="1:12" s="19" customFormat="1" x14ac:dyDescent="0.25">
      <c r="A6"/>
      <c r="B6"/>
      <c r="C6"/>
      <c r="D6"/>
      <c r="E6"/>
      <c r="F6"/>
      <c r="G6" s="42"/>
      <c r="H6"/>
      <c r="I6"/>
      <c r="J6" s="6"/>
      <c r="K6"/>
    </row>
    <row r="7" spans="1:12" s="20" customFormat="1" x14ac:dyDescent="0.25">
      <c r="A7" t="s">
        <v>52</v>
      </c>
      <c r="B7"/>
      <c r="C7"/>
      <c r="D7"/>
      <c r="E7"/>
      <c r="F7"/>
      <c r="G7" s="42"/>
      <c r="H7"/>
      <c r="I7"/>
      <c r="K7" s="18" t="s">
        <v>44</v>
      </c>
    </row>
    <row r="8" spans="1:12" x14ac:dyDescent="0.25">
      <c r="A8" t="s">
        <v>28</v>
      </c>
      <c r="G8" s="42"/>
      <c r="J8" s="18"/>
      <c r="K8" s="22" t="s">
        <v>49</v>
      </c>
    </row>
    <row r="9" spans="1:12" s="63" customFormat="1" ht="42.75" x14ac:dyDescent="0.25">
      <c r="A9" s="61" t="s">
        <v>112</v>
      </c>
      <c r="B9" s="62" t="s">
        <v>14</v>
      </c>
      <c r="C9" s="62" t="s">
        <v>113</v>
      </c>
      <c r="D9" s="62" t="s">
        <v>114</v>
      </c>
      <c r="E9" s="62" t="s">
        <v>131</v>
      </c>
      <c r="F9" s="62" t="s">
        <v>115</v>
      </c>
      <c r="G9" s="62" t="s">
        <v>1</v>
      </c>
      <c r="H9" s="62" t="s">
        <v>116</v>
      </c>
      <c r="I9" s="62" t="s">
        <v>117</v>
      </c>
      <c r="J9" s="62" t="s">
        <v>118</v>
      </c>
      <c r="K9" s="62" t="s">
        <v>119</v>
      </c>
      <c r="L9" s="62" t="s">
        <v>5</v>
      </c>
    </row>
    <row r="10" spans="1:12" x14ac:dyDescent="0.25">
      <c r="B10" s="65" t="s">
        <v>120</v>
      </c>
    </row>
    <row r="11" spans="1:12" s="20" customFormat="1" ht="50.1" customHeight="1" x14ac:dyDescent="0.25">
      <c r="B11" s="64" t="s">
        <v>121</v>
      </c>
      <c r="D11" s="20">
        <v>12</v>
      </c>
      <c r="E11" s="20">
        <f>2/12*2+(4+8/12)</f>
        <v>5</v>
      </c>
      <c r="F11" s="20">
        <f>ROUND(CONVERT(E11,"ft","m"),2)</f>
        <v>1.52</v>
      </c>
      <c r="G11" s="20">
        <f>(9+1)*2</f>
        <v>20</v>
      </c>
      <c r="H11" s="20">
        <v>12</v>
      </c>
      <c r="I11" s="20">
        <f>ROUND(F11*G11*H11,2)</f>
        <v>364.8</v>
      </c>
      <c r="J11" s="20">
        <f>+ROUND(D11*D11/162,2)</f>
        <v>0.89</v>
      </c>
      <c r="K11" s="20">
        <f>ROUND(I11*J11,2)</f>
        <v>324.67</v>
      </c>
    </row>
    <row r="12" spans="1:12" s="20" customFormat="1" x14ac:dyDescent="0.25"/>
    <row r="13" spans="1:12" s="20" customFormat="1" x14ac:dyDescent="0.25">
      <c r="B13" s="28" t="s">
        <v>122</v>
      </c>
    </row>
    <row r="14" spans="1:12" s="20" customFormat="1" x14ac:dyDescent="0.25">
      <c r="B14" s="28" t="s">
        <v>125</v>
      </c>
    </row>
    <row r="15" spans="1:12" s="20" customFormat="1" x14ac:dyDescent="0.25">
      <c r="B15" s="28" t="s">
        <v>126</v>
      </c>
    </row>
    <row r="16" spans="1:12" s="20" customFormat="1" ht="50.1" customHeight="1" x14ac:dyDescent="0.25">
      <c r="B16" s="20" t="s">
        <v>123</v>
      </c>
      <c r="D16" s="20">
        <v>16</v>
      </c>
      <c r="E16" s="20">
        <f>29.75+2.33*2</f>
        <v>34.409999999999997</v>
      </c>
      <c r="F16" s="20">
        <f>ROUND(CONVERT(E16,"ft","m"),2)</f>
        <v>10.49</v>
      </c>
      <c r="G16" s="20">
        <f>2*1</f>
        <v>2</v>
      </c>
      <c r="H16" s="20">
        <v>3</v>
      </c>
      <c r="I16" s="20">
        <f>ROUND(F16*G16*H16,2)</f>
        <v>62.94</v>
      </c>
      <c r="J16" s="20">
        <f>+ROUND(D16*D16/162,2)</f>
        <v>1.58</v>
      </c>
      <c r="K16" s="20">
        <f>ROUND(I16*J16,2)</f>
        <v>99.45</v>
      </c>
    </row>
    <row r="17" spans="2:11" s="20" customFormat="1" ht="50.1" customHeight="1" x14ac:dyDescent="0.25">
      <c r="B17" s="20" t="s">
        <v>123</v>
      </c>
      <c r="D17" s="20">
        <v>12</v>
      </c>
      <c r="E17" s="20">
        <f>29.75+1.5*2</f>
        <v>32.75</v>
      </c>
      <c r="F17" s="20">
        <f>ROUND(CONVERT(E17,"ft","m"),2)</f>
        <v>9.98</v>
      </c>
      <c r="G17" s="20">
        <f>1*1</f>
        <v>1</v>
      </c>
      <c r="H17" s="20">
        <v>3</v>
      </c>
      <c r="I17" s="20">
        <f>ROUND(F17*G17*H17,2)</f>
        <v>29.94</v>
      </c>
      <c r="J17" s="20">
        <f>+ROUND(D17*D17/162,2)</f>
        <v>0.89</v>
      </c>
      <c r="K17" s="20">
        <f>ROUND(I17*J17,2)</f>
        <v>26.65</v>
      </c>
    </row>
    <row r="18" spans="2:11" s="20" customFormat="1" ht="50.1" customHeight="1" x14ac:dyDescent="0.25">
      <c r="B18" s="20" t="s">
        <v>124</v>
      </c>
      <c r="D18" s="20">
        <v>16</v>
      </c>
      <c r="E18" s="20">
        <f>29.75+0.83*2</f>
        <v>31.41</v>
      </c>
      <c r="F18" s="20">
        <f>ROUND(CONVERT(E18,"ft","m"),2)</f>
        <v>9.57</v>
      </c>
      <c r="G18" s="20">
        <f>1*2</f>
        <v>2</v>
      </c>
      <c r="H18" s="20">
        <v>3</v>
      </c>
      <c r="I18" s="20">
        <f>ROUND(F18*G18*H18,2)</f>
        <v>57.42</v>
      </c>
      <c r="J18" s="20">
        <f>+ROUND(D18*D18/162,2)</f>
        <v>1.58</v>
      </c>
      <c r="K18" s="20">
        <f>ROUND(I18*J18,2)</f>
        <v>90.72</v>
      </c>
    </row>
    <row r="19" spans="2:11" s="20" customFormat="1" ht="50.1" customHeight="1" x14ac:dyDescent="0.25">
      <c r="B19" s="20" t="s">
        <v>124</v>
      </c>
      <c r="D19" s="20">
        <v>12</v>
      </c>
      <c r="E19" s="20">
        <f>29.75+2*0.83</f>
        <v>31.41</v>
      </c>
      <c r="F19" s="20">
        <f>ROUND(CONVERT(E19,"ft","m"),2)</f>
        <v>9.57</v>
      </c>
      <c r="G19" s="20">
        <v>1</v>
      </c>
      <c r="H19" s="20">
        <v>3</v>
      </c>
      <c r="I19" s="20">
        <f>ROUND(F19*G19*H19,2)</f>
        <v>28.71</v>
      </c>
      <c r="J19" s="20">
        <f>+ROUND(D19*D19/162,2)</f>
        <v>0.89</v>
      </c>
      <c r="K19" s="20">
        <f>ROUND(I19*J19,2)</f>
        <v>25.55</v>
      </c>
    </row>
    <row r="20" spans="2:11" s="20" customFormat="1" ht="15" customHeight="1" x14ac:dyDescent="0.25"/>
    <row r="21" spans="2:11" s="20" customFormat="1" x14ac:dyDescent="0.25">
      <c r="B21" s="28" t="s">
        <v>67</v>
      </c>
    </row>
    <row r="22" spans="2:11" s="20" customFormat="1" x14ac:dyDescent="0.25">
      <c r="B22" s="28" t="s">
        <v>127</v>
      </c>
    </row>
    <row r="23" spans="2:11" s="20" customFormat="1" ht="50.1" customHeight="1" x14ac:dyDescent="0.25">
      <c r="B23" s="20" t="s">
        <v>123</v>
      </c>
      <c r="D23" s="20">
        <v>16</v>
      </c>
      <c r="E23" s="20">
        <f>24.75+2.33*2</f>
        <v>29.41</v>
      </c>
      <c r="F23" s="20">
        <f>ROUND(CONVERT(E23,"ft","m"),2)</f>
        <v>8.9600000000000009</v>
      </c>
      <c r="G23" s="20">
        <f>2*1</f>
        <v>2</v>
      </c>
      <c r="H23" s="20">
        <v>4</v>
      </c>
      <c r="I23" s="20">
        <f>ROUND(F23*G23*H23,2)</f>
        <v>71.680000000000007</v>
      </c>
      <c r="J23" s="20">
        <f>+ROUND(D23*D23/162,2)</f>
        <v>1.58</v>
      </c>
      <c r="K23" s="20">
        <f>ROUND(I23*J23,2)</f>
        <v>113.25</v>
      </c>
    </row>
    <row r="24" spans="2:11" s="20" customFormat="1" ht="50.1" customHeight="1" x14ac:dyDescent="0.25">
      <c r="B24" s="20" t="s">
        <v>123</v>
      </c>
      <c r="D24" s="20">
        <v>12</v>
      </c>
      <c r="E24" s="20">
        <f>24.75+1.5*2</f>
        <v>27.75</v>
      </c>
      <c r="F24" s="20">
        <f>ROUND(CONVERT(E24,"ft","m"),2)</f>
        <v>8.4600000000000009</v>
      </c>
      <c r="G24" s="20">
        <f>1*1</f>
        <v>1</v>
      </c>
      <c r="H24" s="20">
        <v>4</v>
      </c>
      <c r="I24" s="20">
        <f>ROUND(F24*G24*H24,2)</f>
        <v>33.840000000000003</v>
      </c>
      <c r="J24" s="20">
        <f>+ROUND(D24*D24/162,2)</f>
        <v>0.89</v>
      </c>
      <c r="K24" s="20">
        <f>ROUND(I24*J24,2)</f>
        <v>30.12</v>
      </c>
    </row>
    <row r="25" spans="2:11" s="20" customFormat="1" ht="50.1" customHeight="1" x14ac:dyDescent="0.25">
      <c r="B25" s="20" t="s">
        <v>124</v>
      </c>
      <c r="D25" s="20">
        <v>16</v>
      </c>
      <c r="E25" s="20">
        <f>24.75+0.83*2</f>
        <v>26.41</v>
      </c>
      <c r="F25" s="20">
        <f>ROUND(CONVERT(E25,"ft","m"),2)</f>
        <v>8.0500000000000007</v>
      </c>
      <c r="G25" s="20">
        <f>1*2</f>
        <v>2</v>
      </c>
      <c r="H25" s="20">
        <v>4</v>
      </c>
      <c r="I25" s="20">
        <f>ROUND(F25*G25*H25,2)</f>
        <v>64.400000000000006</v>
      </c>
      <c r="J25" s="20">
        <f>+ROUND(D25*D25/162,2)</f>
        <v>1.58</v>
      </c>
      <c r="K25" s="20">
        <f>ROUND(I25*J25,2)</f>
        <v>101.75</v>
      </c>
    </row>
    <row r="26" spans="2:11" s="20" customFormat="1" ht="50.1" customHeight="1" x14ac:dyDescent="0.25">
      <c r="B26" s="20" t="s">
        <v>124</v>
      </c>
      <c r="D26" s="20">
        <v>12</v>
      </c>
      <c r="E26" s="20">
        <f>24.75+2*0.83</f>
        <v>26.41</v>
      </c>
      <c r="F26" s="20">
        <f>ROUND(CONVERT(E26,"ft","m"),2)</f>
        <v>8.0500000000000007</v>
      </c>
      <c r="G26" s="20">
        <v>1</v>
      </c>
      <c r="H26" s="20">
        <v>4</v>
      </c>
      <c r="I26" s="20">
        <f>ROUND(F26*G26*H26,2)</f>
        <v>32.200000000000003</v>
      </c>
      <c r="J26" s="20">
        <f>+ROUND(D26*D26/162,2)</f>
        <v>0.89</v>
      </c>
      <c r="K26" s="20">
        <f>ROUND(I26*J26,2)</f>
        <v>28.66</v>
      </c>
    </row>
    <row r="27" spans="2:11" s="20" customFormat="1" ht="50.1" customHeight="1" x14ac:dyDescent="0.25">
      <c r="B27" s="20" t="s">
        <v>132</v>
      </c>
      <c r="D27" s="20">
        <v>8</v>
      </c>
      <c r="E27" s="20">
        <f>0.83*2+0.58*2+0.25*2</f>
        <v>3.32</v>
      </c>
      <c r="F27" s="20">
        <f>ROUND(CONVERT(E27,"ft","m"),2)</f>
        <v>1.01</v>
      </c>
      <c r="G27" s="20">
        <f>25*14+9*3</f>
        <v>377</v>
      </c>
      <c r="H27" s="20">
        <v>1</v>
      </c>
      <c r="I27" s="20">
        <f>ROUND(F27*G27*H27,2)</f>
        <v>380.77</v>
      </c>
      <c r="J27" s="20">
        <f>+ROUND(D27*D27/162,2)</f>
        <v>0.4</v>
      </c>
      <c r="K27" s="20">
        <f>ROUND(I27*J27,2)</f>
        <v>152.31</v>
      </c>
    </row>
    <row r="28" spans="2:11" s="20" customFormat="1" x14ac:dyDescent="0.25"/>
    <row r="29" spans="2:11" s="20" customFormat="1" x14ac:dyDescent="0.25">
      <c r="B29" s="28" t="s">
        <v>129</v>
      </c>
    </row>
    <row r="30" spans="2:11" s="20" customFormat="1" ht="50.1" customHeight="1" x14ac:dyDescent="0.25">
      <c r="B30" s="64" t="s">
        <v>68</v>
      </c>
      <c r="D30" s="20">
        <v>16</v>
      </c>
      <c r="E30" s="20">
        <f>6.58+2.17</f>
        <v>8.75</v>
      </c>
      <c r="F30" s="20">
        <f>ROUND(CONVERT(E30,"ft","m"),2)</f>
        <v>2.67</v>
      </c>
      <c r="G30" s="20">
        <v>4</v>
      </c>
      <c r="H30" s="20">
        <v>12</v>
      </c>
      <c r="I30" s="20">
        <f>ROUND(F30*G30*H30,2)</f>
        <v>128.16</v>
      </c>
      <c r="J30" s="20">
        <f>+ROUND(D30*D30/162,2)</f>
        <v>1.58</v>
      </c>
      <c r="K30" s="20">
        <f>ROUND(I30*J30,2)</f>
        <v>202.49</v>
      </c>
    </row>
    <row r="31" spans="2:11" s="20" customFormat="1" ht="50.1" customHeight="1" x14ac:dyDescent="0.25">
      <c r="B31" s="64" t="s">
        <v>68</v>
      </c>
      <c r="D31" s="20">
        <v>12</v>
      </c>
      <c r="E31" s="20">
        <f>6.58+1.33</f>
        <v>7.91</v>
      </c>
      <c r="F31" s="20">
        <f>ROUND(CONVERT(E31,"ft","m"),2)</f>
        <v>2.41</v>
      </c>
      <c r="G31" s="20">
        <v>4</v>
      </c>
      <c r="H31" s="20">
        <v>12</v>
      </c>
      <c r="I31" s="20">
        <f>ROUND(F31*G31*H31,2)</f>
        <v>115.68</v>
      </c>
      <c r="J31" s="20">
        <f>+ROUND(D31*D31/162,2)</f>
        <v>0.89</v>
      </c>
      <c r="K31" s="20">
        <f>ROUND(I31*J31,2)</f>
        <v>102.96</v>
      </c>
    </row>
    <row r="32" spans="2:11" s="20" customFormat="1" ht="50.1" customHeight="1" x14ac:dyDescent="0.25">
      <c r="B32" s="20" t="s">
        <v>130</v>
      </c>
      <c r="D32" s="20">
        <v>8</v>
      </c>
      <c r="E32" s="20">
        <f>0.75*4+0.25*2</f>
        <v>3.5</v>
      </c>
      <c r="F32" s="20">
        <f>ROUND(CONVERT(E32,"ft","m"),2)</f>
        <v>1.07</v>
      </c>
      <c r="G32" s="20">
        <f>20</f>
        <v>20</v>
      </c>
      <c r="H32" s="20">
        <v>12</v>
      </c>
      <c r="I32" s="20">
        <f>ROUND(F32*G32*H32,2)</f>
        <v>256.8</v>
      </c>
      <c r="J32" s="20">
        <f>+ROUND(D32*D32/162,2)</f>
        <v>0.4</v>
      </c>
      <c r="K32" s="20">
        <f>ROUND(I32*J32,2)</f>
        <v>102.72</v>
      </c>
    </row>
    <row r="33" spans="2:11" s="20" customFormat="1" ht="50.1" customHeight="1" x14ac:dyDescent="0.25">
      <c r="B33" s="20" t="s">
        <v>130</v>
      </c>
      <c r="D33" s="20">
        <v>8</v>
      </c>
      <c r="E33" s="20">
        <f>0.58*4+0.25*2</f>
        <v>2.82</v>
      </c>
      <c r="F33" s="20">
        <f>ROUND(CONVERT(E33,"ft","m"),2)</f>
        <v>0.86</v>
      </c>
      <c r="G33" s="20">
        <f>20</f>
        <v>20</v>
      </c>
      <c r="H33" s="20">
        <v>12</v>
      </c>
      <c r="I33" s="20">
        <f>ROUND(F33*G33*H33,2)</f>
        <v>206.4</v>
      </c>
      <c r="J33" s="20">
        <f>+ROUND(D33*D33/162,2)</f>
        <v>0.4</v>
      </c>
      <c r="K33" s="20">
        <f>ROUND(I33*J33,2)</f>
        <v>82.56</v>
      </c>
    </row>
    <row r="34" spans="2:11" s="20" customFormat="1" ht="15" customHeight="1" x14ac:dyDescent="0.25">
      <c r="B34" s="64"/>
    </row>
    <row r="35" spans="2:11" s="20" customFormat="1" x14ac:dyDescent="0.25">
      <c r="B35" s="28" t="s">
        <v>73</v>
      </c>
    </row>
    <row r="36" spans="2:11" s="20" customFormat="1" x14ac:dyDescent="0.25">
      <c r="B36" s="28" t="s">
        <v>75</v>
      </c>
    </row>
    <row r="37" spans="2:11" s="20" customFormat="1" ht="50.1" customHeight="1" x14ac:dyDescent="0.25">
      <c r="B37" s="64" t="s">
        <v>68</v>
      </c>
      <c r="D37" s="20">
        <v>16</v>
      </c>
      <c r="E37" s="20">
        <f>9.33</f>
        <v>9.33</v>
      </c>
      <c r="F37" s="20">
        <f>ROUND(CONVERT(E37,"ft","m"),2)</f>
        <v>2.84</v>
      </c>
      <c r="G37" s="20">
        <v>4</v>
      </c>
      <c r="H37" s="20">
        <v>12</v>
      </c>
      <c r="I37" s="20">
        <f>ROUND(F37*G37*H37,2)</f>
        <v>136.32</v>
      </c>
      <c r="J37" s="20">
        <f>+ROUND(D37*D37/162,2)</f>
        <v>1.58</v>
      </c>
      <c r="K37" s="20">
        <f>ROUND(I37*J37,2)</f>
        <v>215.39</v>
      </c>
    </row>
    <row r="38" spans="2:11" s="20" customFormat="1" ht="50.1" customHeight="1" x14ac:dyDescent="0.25">
      <c r="B38" s="64" t="s">
        <v>68</v>
      </c>
      <c r="D38" s="20">
        <v>12</v>
      </c>
      <c r="E38" s="20">
        <v>9.33</v>
      </c>
      <c r="F38" s="20">
        <f>ROUND(CONVERT(E38,"ft","m"),2)</f>
        <v>2.84</v>
      </c>
      <c r="G38" s="20">
        <v>4</v>
      </c>
      <c r="H38" s="20">
        <v>12</v>
      </c>
      <c r="I38" s="20">
        <f>ROUND(F38*G38*H38,2)</f>
        <v>136.32</v>
      </c>
      <c r="J38" s="20">
        <f>+ROUND(D38*D38/162,2)</f>
        <v>0.89</v>
      </c>
      <c r="K38" s="20">
        <f>ROUND(I38*J38,2)</f>
        <v>121.32</v>
      </c>
    </row>
    <row r="39" spans="2:11" s="20" customFormat="1" ht="50.1" customHeight="1" x14ac:dyDescent="0.25">
      <c r="B39" s="20" t="s">
        <v>130</v>
      </c>
      <c r="D39" s="20">
        <v>8</v>
      </c>
      <c r="E39" s="20">
        <f>0.75*4+0.25*2</f>
        <v>3.5</v>
      </c>
      <c r="F39" s="20">
        <f>ROUND(CONVERT(E39,"ft","m"),2)</f>
        <v>1.07</v>
      </c>
      <c r="G39" s="20">
        <f>23</f>
        <v>23</v>
      </c>
      <c r="H39" s="20">
        <v>12</v>
      </c>
      <c r="I39" s="20">
        <f>ROUND(F39*G39*H39,2)</f>
        <v>295.32</v>
      </c>
      <c r="J39" s="20">
        <f>+ROUND(D39*D39/162,2)</f>
        <v>0.4</v>
      </c>
      <c r="K39" s="20">
        <f>ROUND(I39*J39,2)</f>
        <v>118.13</v>
      </c>
    </row>
    <row r="40" spans="2:11" s="20" customFormat="1" ht="50.1" customHeight="1" x14ac:dyDescent="0.25">
      <c r="B40" s="20" t="s">
        <v>130</v>
      </c>
      <c r="D40" s="20">
        <v>8</v>
      </c>
      <c r="E40" s="20">
        <f>0.58*4+0.25*2</f>
        <v>2.82</v>
      </c>
      <c r="F40" s="20">
        <f>ROUND(CONVERT(E40,"ft","m"),2)</f>
        <v>0.86</v>
      </c>
      <c r="G40" s="20">
        <f>23</f>
        <v>23</v>
      </c>
      <c r="H40" s="20">
        <v>12</v>
      </c>
      <c r="I40" s="20">
        <f>ROUND(F40*G40*H40,2)</f>
        <v>237.36</v>
      </c>
      <c r="J40" s="20">
        <f>+ROUND(D40*D40/162,2)</f>
        <v>0.4</v>
      </c>
      <c r="K40" s="20">
        <f>ROUND(I40*J40,2)</f>
        <v>94.94</v>
      </c>
    </row>
    <row r="41" spans="2:11" s="20" customFormat="1" ht="15" customHeight="1" x14ac:dyDescent="0.25">
      <c r="B41" s="64"/>
    </row>
    <row r="42" spans="2:11" s="20" customFormat="1" x14ac:dyDescent="0.25">
      <c r="B42" s="28" t="s">
        <v>128</v>
      </c>
    </row>
    <row r="43" spans="2:11" s="20" customFormat="1" x14ac:dyDescent="0.25">
      <c r="B43" s="28" t="s">
        <v>125</v>
      </c>
    </row>
    <row r="44" spans="2:11" s="20" customFormat="1" x14ac:dyDescent="0.25">
      <c r="B44" s="28" t="s">
        <v>126</v>
      </c>
    </row>
    <row r="45" spans="2:11" s="20" customFormat="1" ht="50.1" customHeight="1" x14ac:dyDescent="0.25">
      <c r="B45" s="20" t="s">
        <v>123</v>
      </c>
      <c r="D45" s="20">
        <v>16</v>
      </c>
      <c r="E45" s="20">
        <f>29.75+2.33*2</f>
        <v>34.409999999999997</v>
      </c>
      <c r="F45" s="20">
        <f>ROUND(CONVERT(E45,"ft","m"),2)</f>
        <v>10.49</v>
      </c>
      <c r="G45" s="20">
        <f>2*1</f>
        <v>2</v>
      </c>
      <c r="H45" s="20">
        <v>3</v>
      </c>
      <c r="I45" s="20">
        <f>ROUND(F45*G45*H45,2)</f>
        <v>62.94</v>
      </c>
      <c r="J45" s="20">
        <f>+ROUND(D45*D45/162,2)</f>
        <v>1.58</v>
      </c>
      <c r="K45" s="20">
        <f>ROUND(I45*J45,2)</f>
        <v>99.45</v>
      </c>
    </row>
    <row r="46" spans="2:11" s="20" customFormat="1" ht="50.1" customHeight="1" x14ac:dyDescent="0.25">
      <c r="B46" s="20" t="s">
        <v>123</v>
      </c>
      <c r="D46" s="20">
        <v>12</v>
      </c>
      <c r="E46" s="20">
        <f>29.75+1.5*2</f>
        <v>32.75</v>
      </c>
      <c r="F46" s="20">
        <f>ROUND(CONVERT(E46,"ft","m"),2)</f>
        <v>9.98</v>
      </c>
      <c r="G46" s="20">
        <f>1*1</f>
        <v>1</v>
      </c>
      <c r="H46" s="20">
        <v>3</v>
      </c>
      <c r="I46" s="20">
        <f>ROUND(F46*G46*H46,2)</f>
        <v>29.94</v>
      </c>
      <c r="J46" s="20">
        <f>+ROUND(D46*D46/162,2)</f>
        <v>0.89</v>
      </c>
      <c r="K46" s="20">
        <f>ROUND(I46*J46,2)</f>
        <v>26.65</v>
      </c>
    </row>
    <row r="47" spans="2:11" s="20" customFormat="1" ht="50.1" customHeight="1" x14ac:dyDescent="0.25">
      <c r="B47" s="20" t="s">
        <v>124</v>
      </c>
      <c r="D47" s="20">
        <v>16</v>
      </c>
      <c r="E47" s="20">
        <f>29.75+2.33*2</f>
        <v>34.409999999999997</v>
      </c>
      <c r="F47" s="20">
        <f>ROUND(CONVERT(E47,"ft","m"),2)</f>
        <v>10.49</v>
      </c>
      <c r="G47" s="20">
        <f>1*2</f>
        <v>2</v>
      </c>
      <c r="H47" s="20">
        <v>3</v>
      </c>
      <c r="I47" s="20">
        <f>ROUND(F47*G47*H47,2)</f>
        <v>62.94</v>
      </c>
      <c r="J47" s="20">
        <f>+ROUND(D47*D47/162,2)</f>
        <v>1.58</v>
      </c>
      <c r="K47" s="20">
        <f>ROUND(I47*J47,2)</f>
        <v>99.45</v>
      </c>
    </row>
    <row r="48" spans="2:11" s="20" customFormat="1" ht="50.1" customHeight="1" x14ac:dyDescent="0.25">
      <c r="B48" s="20" t="s">
        <v>124</v>
      </c>
      <c r="D48" s="20">
        <v>12</v>
      </c>
      <c r="E48" s="20">
        <f>29.75+2*1.5</f>
        <v>32.75</v>
      </c>
      <c r="F48" s="20">
        <f>ROUND(CONVERT(E48,"ft","m"),2)</f>
        <v>9.98</v>
      </c>
      <c r="G48" s="20">
        <v>1</v>
      </c>
      <c r="H48" s="20">
        <v>3</v>
      </c>
      <c r="I48" s="20">
        <f>ROUND(F48*G48*H48,2)</f>
        <v>29.94</v>
      </c>
      <c r="J48" s="20">
        <f>+ROUND(D48*D48/162,2)</f>
        <v>0.89</v>
      </c>
      <c r="K48" s="20">
        <f>ROUND(I48*J48,2)</f>
        <v>26.65</v>
      </c>
    </row>
    <row r="49" spans="2:11" s="20" customFormat="1" ht="15" customHeight="1" x14ac:dyDescent="0.25"/>
    <row r="50" spans="2:11" s="20" customFormat="1" x14ac:dyDescent="0.25">
      <c r="B50" s="28" t="s">
        <v>67</v>
      </c>
    </row>
    <row r="51" spans="2:11" s="20" customFormat="1" x14ac:dyDescent="0.25">
      <c r="B51" s="28" t="s">
        <v>127</v>
      </c>
    </row>
    <row r="52" spans="2:11" s="20" customFormat="1" ht="50.1" customHeight="1" x14ac:dyDescent="0.25">
      <c r="B52" s="20" t="s">
        <v>123</v>
      </c>
      <c r="D52" s="20">
        <v>16</v>
      </c>
      <c r="E52" s="20">
        <f>24.75+2.33*2</f>
        <v>29.41</v>
      </c>
      <c r="F52" s="20">
        <f>ROUND(CONVERT(E52,"ft","m"),2)</f>
        <v>8.9600000000000009</v>
      </c>
      <c r="G52" s="20">
        <f>2*1</f>
        <v>2</v>
      </c>
      <c r="H52" s="20">
        <v>4</v>
      </c>
      <c r="I52" s="20">
        <f>ROUND(F52*G52*H52,2)</f>
        <v>71.680000000000007</v>
      </c>
      <c r="J52" s="20">
        <f>+ROUND(D52*D52/162,2)</f>
        <v>1.58</v>
      </c>
      <c r="K52" s="20">
        <f>ROUND(I52*J52,2)</f>
        <v>113.25</v>
      </c>
    </row>
    <row r="53" spans="2:11" s="20" customFormat="1" ht="50.1" customHeight="1" x14ac:dyDescent="0.25">
      <c r="B53" s="20" t="s">
        <v>123</v>
      </c>
      <c r="D53" s="20">
        <v>12</v>
      </c>
      <c r="E53" s="20">
        <f>24.75+1.5*2</f>
        <v>27.75</v>
      </c>
      <c r="F53" s="20">
        <f>ROUND(CONVERT(E53,"ft","m"),2)</f>
        <v>8.4600000000000009</v>
      </c>
      <c r="G53" s="20">
        <f>1*1</f>
        <v>1</v>
      </c>
      <c r="H53" s="20">
        <v>4</v>
      </c>
      <c r="I53" s="20">
        <f>ROUND(F53*G53*H53,2)</f>
        <v>33.840000000000003</v>
      </c>
      <c r="J53" s="20">
        <f>+ROUND(D53*D53/162,2)</f>
        <v>0.89</v>
      </c>
      <c r="K53" s="20">
        <f>ROUND(I53*J53,2)</f>
        <v>30.12</v>
      </c>
    </row>
    <row r="54" spans="2:11" s="20" customFormat="1" ht="50.1" customHeight="1" x14ac:dyDescent="0.25">
      <c r="B54" s="20" t="s">
        <v>124</v>
      </c>
      <c r="D54" s="20">
        <v>16</v>
      </c>
      <c r="E54" s="20">
        <f>24.75+2.33*2</f>
        <v>29.41</v>
      </c>
      <c r="F54" s="20">
        <f>ROUND(CONVERT(E54,"ft","m"),2)</f>
        <v>8.9600000000000009</v>
      </c>
      <c r="G54" s="20">
        <f>1*2</f>
        <v>2</v>
      </c>
      <c r="H54" s="20">
        <v>4</v>
      </c>
      <c r="I54" s="20">
        <f>ROUND(F54*G54*H54,2)</f>
        <v>71.680000000000007</v>
      </c>
      <c r="J54" s="20">
        <f>+ROUND(D54*D54/162,2)</f>
        <v>1.58</v>
      </c>
      <c r="K54" s="20">
        <f>ROUND(I54*J54,2)</f>
        <v>113.25</v>
      </c>
    </row>
    <row r="55" spans="2:11" s="20" customFormat="1" ht="50.1" customHeight="1" x14ac:dyDescent="0.25">
      <c r="B55" s="20" t="s">
        <v>124</v>
      </c>
      <c r="D55" s="20">
        <v>12</v>
      </c>
      <c r="E55" s="20">
        <f>24.75+2*1.5</f>
        <v>27.75</v>
      </c>
      <c r="F55" s="20">
        <f>ROUND(CONVERT(E55,"ft","m"),2)</f>
        <v>8.4600000000000009</v>
      </c>
      <c r="G55" s="20">
        <v>1</v>
      </c>
      <c r="H55" s="20">
        <v>4</v>
      </c>
      <c r="I55" s="20">
        <f>ROUND(F55*G55*H55,2)</f>
        <v>33.840000000000003</v>
      </c>
      <c r="J55" s="20">
        <f>+ROUND(D55*D55/162,2)</f>
        <v>0.89</v>
      </c>
      <c r="K55" s="20">
        <f>ROUND(I55*J55,2)</f>
        <v>30.12</v>
      </c>
    </row>
    <row r="56" spans="2:11" s="20" customFormat="1" ht="50.1" customHeight="1" x14ac:dyDescent="0.25">
      <c r="B56" s="20" t="s">
        <v>132</v>
      </c>
      <c r="D56" s="20">
        <v>8</v>
      </c>
      <c r="E56" s="20">
        <f>0.83*2+0.58*2+0.25*2</f>
        <v>3.32</v>
      </c>
      <c r="F56" s="20">
        <f>ROUND(CONVERT(E56,"ft","m"),2)</f>
        <v>1.01</v>
      </c>
      <c r="G56" s="20">
        <f>25*14+9*3</f>
        <v>377</v>
      </c>
      <c r="H56" s="20">
        <v>1</v>
      </c>
      <c r="I56" s="20">
        <f>ROUND(F56*G56*H56,2)</f>
        <v>380.77</v>
      </c>
      <c r="J56" s="20">
        <f>+ROUND(D56*D56/162,2)</f>
        <v>0.4</v>
      </c>
      <c r="K56" s="20">
        <f>ROUND(I56*J56,2)</f>
        <v>152.31</v>
      </c>
    </row>
    <row r="57" spans="2:11" s="20" customFormat="1" x14ac:dyDescent="0.25"/>
    <row r="58" spans="2:11" s="20" customFormat="1" x14ac:dyDescent="0.25">
      <c r="B58" s="28" t="s">
        <v>84</v>
      </c>
    </row>
    <row r="59" spans="2:11" s="20" customFormat="1" x14ac:dyDescent="0.25">
      <c r="B59" s="28" t="s">
        <v>75</v>
      </c>
    </row>
    <row r="60" spans="2:11" s="20" customFormat="1" ht="50.1" customHeight="1" x14ac:dyDescent="0.25">
      <c r="B60" s="64" t="s">
        <v>68</v>
      </c>
      <c r="D60" s="20">
        <v>16</v>
      </c>
      <c r="E60" s="20">
        <f>9.33</f>
        <v>9.33</v>
      </c>
      <c r="F60" s="20">
        <f>ROUND(CONVERT(E60,"ft","m"),2)</f>
        <v>2.84</v>
      </c>
      <c r="G60" s="20">
        <v>4</v>
      </c>
      <c r="H60" s="20">
        <v>12</v>
      </c>
      <c r="I60" s="20">
        <f>ROUND(F60*G60*H60,2)</f>
        <v>136.32</v>
      </c>
      <c r="J60" s="20">
        <f>+ROUND(D60*D60/162,2)</f>
        <v>1.58</v>
      </c>
      <c r="K60" s="20">
        <f>ROUND(I60*J60,2)</f>
        <v>215.39</v>
      </c>
    </row>
    <row r="61" spans="2:11" s="20" customFormat="1" ht="50.1" customHeight="1" x14ac:dyDescent="0.25">
      <c r="B61" s="64" t="s">
        <v>68</v>
      </c>
      <c r="D61" s="20">
        <v>12</v>
      </c>
      <c r="E61" s="20">
        <f>9.33+2.33</f>
        <v>11.66</v>
      </c>
      <c r="F61" s="20">
        <f>ROUND(CONVERT(E61,"ft","m"),2)</f>
        <v>3.55</v>
      </c>
      <c r="G61" s="20">
        <v>4</v>
      </c>
      <c r="H61" s="20">
        <v>12</v>
      </c>
      <c r="I61" s="20">
        <f>ROUND(F61*G61*H61,2)</f>
        <v>170.4</v>
      </c>
      <c r="J61" s="20">
        <f>+ROUND(D61*D61/162,2)</f>
        <v>0.89</v>
      </c>
      <c r="K61" s="20">
        <f>ROUND(I61*J61,2)</f>
        <v>151.66</v>
      </c>
    </row>
    <row r="62" spans="2:11" s="20" customFormat="1" ht="50.1" customHeight="1" x14ac:dyDescent="0.25">
      <c r="B62" s="20" t="s">
        <v>130</v>
      </c>
      <c r="D62" s="20">
        <v>8</v>
      </c>
      <c r="E62" s="20">
        <f>0.75*4+0.25*2</f>
        <v>3.5</v>
      </c>
      <c r="F62" s="20">
        <f>ROUND(CONVERT(E62,"ft","m"),2)</f>
        <v>1.07</v>
      </c>
      <c r="G62" s="20">
        <f>23</f>
        <v>23</v>
      </c>
      <c r="H62" s="20">
        <v>12</v>
      </c>
      <c r="I62" s="20">
        <f>ROUND(F62*G62*H62,2)</f>
        <v>295.32</v>
      </c>
      <c r="J62" s="20">
        <f>+ROUND(D62*D62/162,2)</f>
        <v>0.4</v>
      </c>
      <c r="K62" s="20">
        <f>ROUND(I62*J62,2)</f>
        <v>118.13</v>
      </c>
    </row>
    <row r="63" spans="2:11" s="20" customFormat="1" ht="50.1" customHeight="1" x14ac:dyDescent="0.25">
      <c r="B63" s="20" t="s">
        <v>130</v>
      </c>
      <c r="D63" s="20">
        <v>8</v>
      </c>
      <c r="E63" s="20">
        <f>0.58*4+0.25*2</f>
        <v>2.82</v>
      </c>
      <c r="F63" s="20">
        <f>ROUND(CONVERT(E63,"ft","m"),2)</f>
        <v>0.86</v>
      </c>
      <c r="G63" s="20">
        <f>23</f>
        <v>23</v>
      </c>
      <c r="H63" s="20">
        <v>12</v>
      </c>
      <c r="I63" s="20">
        <f>ROUND(F63*G63*H63,2)</f>
        <v>237.36</v>
      </c>
      <c r="J63" s="20">
        <f>+ROUND(D63*D63/162,2)</f>
        <v>0.4</v>
      </c>
      <c r="K63" s="20">
        <f>ROUND(I63*J63,2)</f>
        <v>94.94</v>
      </c>
    </row>
    <row r="64" spans="2:11" s="20" customFormat="1" ht="15" customHeight="1" x14ac:dyDescent="0.25">
      <c r="B64" s="64"/>
    </row>
    <row r="65" spans="2:11" s="20" customFormat="1" x14ac:dyDescent="0.25">
      <c r="B65" s="28" t="s">
        <v>77</v>
      </c>
    </row>
    <row r="66" spans="2:11" s="20" customFormat="1" x14ac:dyDescent="0.25">
      <c r="B66" s="28" t="s">
        <v>125</v>
      </c>
    </row>
    <row r="67" spans="2:11" s="20" customFormat="1" x14ac:dyDescent="0.25">
      <c r="B67" s="28" t="s">
        <v>126</v>
      </c>
    </row>
    <row r="68" spans="2:11" s="20" customFormat="1" ht="50.1" customHeight="1" x14ac:dyDescent="0.25">
      <c r="B68" s="20" t="s">
        <v>123</v>
      </c>
      <c r="D68" s="20">
        <v>16</v>
      </c>
      <c r="E68" s="20">
        <f>29.75+2.33*2</f>
        <v>34.409999999999997</v>
      </c>
      <c r="F68" s="20">
        <f>ROUND(CONVERT(E68,"ft","m"),2)</f>
        <v>10.49</v>
      </c>
      <c r="G68" s="20">
        <f>2*1</f>
        <v>2</v>
      </c>
      <c r="H68" s="20">
        <v>3</v>
      </c>
      <c r="I68" s="20">
        <f>ROUND(F68*G68*H68,2)</f>
        <v>62.94</v>
      </c>
      <c r="J68" s="20">
        <f>+ROUND(D68*D68/162,2)</f>
        <v>1.58</v>
      </c>
      <c r="K68" s="20">
        <f>ROUND(I68*J68,2)</f>
        <v>99.45</v>
      </c>
    </row>
    <row r="69" spans="2:11" s="20" customFormat="1" ht="50.1" customHeight="1" x14ac:dyDescent="0.25">
      <c r="B69" s="20" t="s">
        <v>123</v>
      </c>
      <c r="D69" s="20">
        <v>12</v>
      </c>
      <c r="E69" s="20">
        <f>29.75+1.5*2</f>
        <v>32.75</v>
      </c>
      <c r="F69" s="20">
        <f>ROUND(CONVERT(E69,"ft","m"),2)</f>
        <v>9.98</v>
      </c>
      <c r="G69" s="20">
        <f>1*1</f>
        <v>1</v>
      </c>
      <c r="H69" s="20">
        <v>3</v>
      </c>
      <c r="I69" s="20">
        <f>ROUND(F69*G69*H69,2)</f>
        <v>29.94</v>
      </c>
      <c r="J69" s="20">
        <f>+ROUND(D69*D69/162,2)</f>
        <v>0.89</v>
      </c>
      <c r="K69" s="20">
        <f>ROUND(I69*J69,2)</f>
        <v>26.65</v>
      </c>
    </row>
    <row r="70" spans="2:11" s="20" customFormat="1" ht="50.1" customHeight="1" x14ac:dyDescent="0.25">
      <c r="B70" s="20" t="s">
        <v>124</v>
      </c>
      <c r="D70" s="20">
        <v>16</v>
      </c>
      <c r="E70" s="20">
        <f>29.75+2.33*2</f>
        <v>34.409999999999997</v>
      </c>
      <c r="F70" s="20">
        <f>ROUND(CONVERT(E70,"ft","m"),2)</f>
        <v>10.49</v>
      </c>
      <c r="G70" s="20">
        <f>1*2</f>
        <v>2</v>
      </c>
      <c r="H70" s="20">
        <v>3</v>
      </c>
      <c r="I70" s="20">
        <f>ROUND(F70*G70*H70,2)</f>
        <v>62.94</v>
      </c>
      <c r="J70" s="20">
        <f>+ROUND(D70*D70/162,2)</f>
        <v>1.58</v>
      </c>
      <c r="K70" s="20">
        <f>ROUND(I70*J70,2)</f>
        <v>99.45</v>
      </c>
    </row>
    <row r="71" spans="2:11" s="20" customFormat="1" ht="50.1" customHeight="1" x14ac:dyDescent="0.25">
      <c r="B71" s="20" t="s">
        <v>124</v>
      </c>
      <c r="D71" s="20">
        <v>12</v>
      </c>
      <c r="E71" s="20">
        <f>29.75+2*1.5</f>
        <v>32.75</v>
      </c>
      <c r="F71" s="20">
        <f>ROUND(CONVERT(E71,"ft","m"),2)</f>
        <v>9.98</v>
      </c>
      <c r="G71" s="20">
        <v>1</v>
      </c>
      <c r="H71" s="20">
        <v>3</v>
      </c>
      <c r="I71" s="20">
        <f>ROUND(F71*G71*H71,2)</f>
        <v>29.94</v>
      </c>
      <c r="J71" s="20">
        <f>+ROUND(D71*D71/162,2)</f>
        <v>0.89</v>
      </c>
      <c r="K71" s="20">
        <f>ROUND(I71*J71,2)</f>
        <v>26.65</v>
      </c>
    </row>
    <row r="72" spans="2:11" s="20" customFormat="1" ht="15" customHeight="1" x14ac:dyDescent="0.25"/>
    <row r="73" spans="2:11" s="20" customFormat="1" x14ac:dyDescent="0.25">
      <c r="B73" s="28" t="s">
        <v>67</v>
      </c>
    </row>
    <row r="74" spans="2:11" s="20" customFormat="1" x14ac:dyDescent="0.25">
      <c r="B74" s="28" t="s">
        <v>127</v>
      </c>
    </row>
    <row r="75" spans="2:11" s="20" customFormat="1" ht="50.1" customHeight="1" x14ac:dyDescent="0.25">
      <c r="B75" s="20" t="s">
        <v>123</v>
      </c>
      <c r="D75" s="20">
        <v>16</v>
      </c>
      <c r="E75" s="20">
        <f>24.75+2.33*2</f>
        <v>29.41</v>
      </c>
      <c r="F75" s="20">
        <f>ROUND(CONVERT(E75,"ft","m"),2)</f>
        <v>8.9600000000000009</v>
      </c>
      <c r="G75" s="20">
        <f>2*1</f>
        <v>2</v>
      </c>
      <c r="H75" s="20">
        <v>4</v>
      </c>
      <c r="I75" s="20">
        <f>ROUND(F75*G75*H75,2)</f>
        <v>71.680000000000007</v>
      </c>
      <c r="J75" s="20">
        <f>+ROUND(D75*D75/162,2)</f>
        <v>1.58</v>
      </c>
      <c r="K75" s="20">
        <f>ROUND(I75*J75,2)</f>
        <v>113.25</v>
      </c>
    </row>
    <row r="76" spans="2:11" s="20" customFormat="1" ht="50.1" customHeight="1" x14ac:dyDescent="0.25">
      <c r="B76" s="20" t="s">
        <v>123</v>
      </c>
      <c r="D76" s="20">
        <v>12</v>
      </c>
      <c r="E76" s="20">
        <f>24.75+1.5*2</f>
        <v>27.75</v>
      </c>
      <c r="F76" s="20">
        <f>ROUND(CONVERT(E76,"ft","m"),2)</f>
        <v>8.4600000000000009</v>
      </c>
      <c r="G76" s="20">
        <f>1*1</f>
        <v>1</v>
      </c>
      <c r="H76" s="20">
        <v>4</v>
      </c>
      <c r="I76" s="20">
        <f>ROUND(F76*G76*H76,2)</f>
        <v>33.840000000000003</v>
      </c>
      <c r="J76" s="20">
        <f>+ROUND(D76*D76/162,2)</f>
        <v>0.89</v>
      </c>
      <c r="K76" s="20">
        <f>ROUND(I76*J76,2)</f>
        <v>30.12</v>
      </c>
    </row>
    <row r="77" spans="2:11" s="20" customFormat="1" ht="50.1" customHeight="1" x14ac:dyDescent="0.25">
      <c r="B77" s="20" t="s">
        <v>124</v>
      </c>
      <c r="D77" s="20">
        <v>16</v>
      </c>
      <c r="E77" s="20">
        <f>24.75+2.33*2</f>
        <v>29.41</v>
      </c>
      <c r="F77" s="20">
        <f>ROUND(CONVERT(E77,"ft","m"),2)</f>
        <v>8.9600000000000009</v>
      </c>
      <c r="G77" s="20">
        <f>1*2</f>
        <v>2</v>
      </c>
      <c r="H77" s="20">
        <v>4</v>
      </c>
      <c r="I77" s="20">
        <f>ROUND(F77*G77*H77,2)</f>
        <v>71.680000000000007</v>
      </c>
      <c r="J77" s="20">
        <f>+ROUND(D77*D77/162,2)</f>
        <v>1.58</v>
      </c>
      <c r="K77" s="20">
        <f>ROUND(I77*J77,2)</f>
        <v>113.25</v>
      </c>
    </row>
    <row r="78" spans="2:11" s="20" customFormat="1" ht="50.1" customHeight="1" x14ac:dyDescent="0.25">
      <c r="B78" s="20" t="s">
        <v>124</v>
      </c>
      <c r="D78" s="20">
        <v>12</v>
      </c>
      <c r="E78" s="20">
        <f>24.75+2*1.5</f>
        <v>27.75</v>
      </c>
      <c r="F78" s="20">
        <f>ROUND(CONVERT(E78,"ft","m"),2)</f>
        <v>8.4600000000000009</v>
      </c>
      <c r="G78" s="20">
        <v>1</v>
      </c>
      <c r="H78" s="20">
        <v>4</v>
      </c>
      <c r="I78" s="20">
        <f>ROUND(F78*G78*H78,2)</f>
        <v>33.840000000000003</v>
      </c>
      <c r="J78" s="20">
        <f>+ROUND(D78*D78/162,2)</f>
        <v>0.89</v>
      </c>
      <c r="K78" s="20">
        <f>ROUND(I78*J78,2)</f>
        <v>30.12</v>
      </c>
    </row>
    <row r="79" spans="2:11" s="20" customFormat="1" ht="50.1" customHeight="1" x14ac:dyDescent="0.25">
      <c r="B79" s="20" t="s">
        <v>132</v>
      </c>
      <c r="D79" s="20">
        <v>8</v>
      </c>
      <c r="E79" s="20">
        <f>1*2+0.58*2+0.25*2</f>
        <v>3.66</v>
      </c>
      <c r="F79" s="20">
        <f>ROUND(CONVERT(E79,"ft","m"),2)</f>
        <v>1.1200000000000001</v>
      </c>
      <c r="G79" s="20">
        <f>25*14+9*3</f>
        <v>377</v>
      </c>
      <c r="H79" s="20">
        <v>1</v>
      </c>
      <c r="I79" s="20">
        <f>ROUND(F79*G79*H79,2)</f>
        <v>422.24</v>
      </c>
      <c r="J79" s="20">
        <f>+ROUND(D79*D79/162,2)</f>
        <v>0.4</v>
      </c>
      <c r="K79" s="20">
        <f>ROUND(I79*J79,2)</f>
        <v>168.9</v>
      </c>
    </row>
    <row r="80" spans="2:11" s="20" customFormat="1" x14ac:dyDescent="0.25"/>
    <row r="81" spans="2:11" s="20" customFormat="1" x14ac:dyDescent="0.25">
      <c r="B81" s="28" t="s">
        <v>85</v>
      </c>
    </row>
    <row r="82" spans="2:11" s="20" customFormat="1" x14ac:dyDescent="0.25">
      <c r="B82" s="28" t="s">
        <v>133</v>
      </c>
    </row>
    <row r="83" spans="2:11" s="20" customFormat="1" ht="30" customHeight="1" x14ac:dyDescent="0.25">
      <c r="B83" s="20" t="s">
        <v>66</v>
      </c>
      <c r="D83" s="20">
        <v>8</v>
      </c>
      <c r="E83" s="20">
        <v>32.5</v>
      </c>
      <c r="F83" s="20">
        <f>ROUND(CONVERT(E83,"ft","m"),2)</f>
        <v>9.91</v>
      </c>
      <c r="G83" s="20">
        <f>31+3+3</f>
        <v>37</v>
      </c>
      <c r="H83" s="20">
        <v>1</v>
      </c>
      <c r="I83" s="20">
        <f>ROUND(F83*G83*H83,2)</f>
        <v>366.67</v>
      </c>
      <c r="J83" s="20">
        <f>+ROUND(D83*D83/162,2)</f>
        <v>0.4</v>
      </c>
      <c r="K83" s="20">
        <f>ROUND(I83*J83,2)</f>
        <v>146.66999999999999</v>
      </c>
    </row>
    <row r="84" spans="2:11" s="20" customFormat="1" ht="30" customHeight="1" x14ac:dyDescent="0.25">
      <c r="D84" s="20">
        <v>8</v>
      </c>
      <c r="E84" s="20">
        <v>21</v>
      </c>
      <c r="F84" s="20">
        <f>ROUND(CONVERT(E84,"ft","m"),2)</f>
        <v>6.4</v>
      </c>
      <c r="G84" s="20">
        <v>15</v>
      </c>
      <c r="H84" s="20">
        <v>1</v>
      </c>
      <c r="I84" s="20">
        <f>ROUND(F84*G84*H84,2)</f>
        <v>96</v>
      </c>
      <c r="J84" s="20">
        <f>+ROUND(D84*D84/162,2)</f>
        <v>0.4</v>
      </c>
      <c r="K84" s="20">
        <f>ROUND(I84*J84,2)</f>
        <v>38.4</v>
      </c>
    </row>
    <row r="85" spans="2:11" s="20" customFormat="1" x14ac:dyDescent="0.25"/>
    <row r="86" spans="2:11" s="20" customFormat="1" ht="30" customHeight="1" x14ac:dyDescent="0.25">
      <c r="B86" s="20" t="s">
        <v>67</v>
      </c>
      <c r="D86" s="20">
        <v>8</v>
      </c>
      <c r="E86" s="20">
        <v>27.5</v>
      </c>
      <c r="F86" s="20">
        <f>ROUND(CONVERT(E86,"ft","m"),2)</f>
        <v>8.3800000000000008</v>
      </c>
      <c r="G86" s="20">
        <f>36+3+3</f>
        <v>42</v>
      </c>
      <c r="H86" s="20">
        <v>1</v>
      </c>
      <c r="I86" s="20">
        <f>ROUND(F86*G86*H86,2)</f>
        <v>351.96</v>
      </c>
      <c r="J86" s="20">
        <f>+ROUND(D86*D86/162,2)</f>
        <v>0.4</v>
      </c>
      <c r="K86" s="20">
        <f>ROUND(I86*J86,2)</f>
        <v>140.78</v>
      </c>
    </row>
    <row r="87" spans="2:11" s="20" customFormat="1" ht="30" customHeight="1" x14ac:dyDescent="0.25">
      <c r="D87" s="20">
        <v>8</v>
      </c>
      <c r="E87" s="20">
        <v>17.829999999999998</v>
      </c>
      <c r="F87" s="20">
        <f>ROUND(CONVERT(E87,"ft","m"),2)</f>
        <v>5.43</v>
      </c>
      <c r="G87" s="20">
        <v>19</v>
      </c>
      <c r="H87" s="20">
        <v>1</v>
      </c>
      <c r="I87" s="20">
        <f>ROUND(F87*G87*H87,2)</f>
        <v>103.17</v>
      </c>
      <c r="J87" s="20">
        <f>+ROUND(D87*D87/162,2)</f>
        <v>0.4</v>
      </c>
      <c r="K87" s="20">
        <f>ROUND(I87*J87,2)</f>
        <v>41.27</v>
      </c>
    </row>
    <row r="88" spans="2:11" s="20" customFormat="1" x14ac:dyDescent="0.25"/>
    <row r="89" spans="2:11" s="20" customFormat="1" x14ac:dyDescent="0.25">
      <c r="B89" s="28" t="s">
        <v>134</v>
      </c>
    </row>
    <row r="90" spans="2:11" s="20" customFormat="1" ht="30" customHeight="1" x14ac:dyDescent="0.25">
      <c r="B90" s="20" t="s">
        <v>66</v>
      </c>
      <c r="D90" s="20">
        <v>8</v>
      </c>
      <c r="E90" s="20">
        <v>32.5</v>
      </c>
      <c r="F90" s="20">
        <f>ROUND(CONVERT(E90,"ft","m"),2)</f>
        <v>9.91</v>
      </c>
      <c r="G90" s="20">
        <f>31+3+3</f>
        <v>37</v>
      </c>
      <c r="H90" s="20">
        <v>1</v>
      </c>
      <c r="I90" s="20">
        <f>ROUND(F90*G90*H90,2)</f>
        <v>366.67</v>
      </c>
      <c r="J90" s="20">
        <f>+ROUND(D90*D90/162,2)</f>
        <v>0.4</v>
      </c>
      <c r="K90" s="20">
        <f>ROUND(I90*J90,2)</f>
        <v>146.66999999999999</v>
      </c>
    </row>
    <row r="91" spans="2:11" s="20" customFormat="1" ht="30" customHeight="1" x14ac:dyDescent="0.25">
      <c r="D91" s="20">
        <v>8</v>
      </c>
      <c r="E91" s="20">
        <v>21</v>
      </c>
      <c r="F91" s="20">
        <f>ROUND(CONVERT(E91,"ft","m"),2)</f>
        <v>6.4</v>
      </c>
      <c r="G91" s="20">
        <v>15</v>
      </c>
      <c r="H91" s="20">
        <v>1</v>
      </c>
      <c r="I91" s="20">
        <f>ROUND(F91*G91*H91,2)</f>
        <v>96</v>
      </c>
      <c r="J91" s="20">
        <f>+ROUND(D91*D91/162,2)</f>
        <v>0.4</v>
      </c>
      <c r="K91" s="20">
        <f>ROUND(I91*J91,2)</f>
        <v>38.4</v>
      </c>
    </row>
    <row r="92" spans="2:11" s="20" customFormat="1" x14ac:dyDescent="0.25"/>
    <row r="93" spans="2:11" s="20" customFormat="1" x14ac:dyDescent="0.25">
      <c r="B93" s="28"/>
    </row>
    <row r="94" spans="2:11" s="20" customFormat="1" ht="30" customHeight="1" x14ac:dyDescent="0.25">
      <c r="B94" s="20" t="s">
        <v>67</v>
      </c>
      <c r="D94" s="20">
        <v>8</v>
      </c>
      <c r="E94" s="20">
        <v>27.5</v>
      </c>
      <c r="F94" s="20">
        <f>ROUND(CONVERT(E94,"ft","m"),2)</f>
        <v>8.3800000000000008</v>
      </c>
      <c r="G94" s="20">
        <f>36+3+3</f>
        <v>42</v>
      </c>
      <c r="H94" s="20">
        <v>1</v>
      </c>
      <c r="I94" s="20">
        <f>ROUND(F94*G94*H94,2)</f>
        <v>351.96</v>
      </c>
      <c r="J94" s="20">
        <f>+ROUND(D94*D94/162,2)</f>
        <v>0.4</v>
      </c>
      <c r="K94" s="20">
        <f>ROUND(I94*J94,2)</f>
        <v>140.78</v>
      </c>
    </row>
    <row r="95" spans="2:11" s="20" customFormat="1" ht="30" customHeight="1" x14ac:dyDescent="0.25">
      <c r="D95" s="20">
        <v>8</v>
      </c>
      <c r="E95" s="20">
        <v>17.829999999999998</v>
      </c>
      <c r="F95" s="20">
        <f>ROUND(CONVERT(E95,"ft","m"),2)</f>
        <v>5.43</v>
      </c>
      <c r="G95" s="20">
        <v>19</v>
      </c>
      <c r="H95" s="20">
        <v>1</v>
      </c>
      <c r="I95" s="20">
        <f>ROUND(F95*G95*H95,2)</f>
        <v>103.17</v>
      </c>
      <c r="J95" s="20">
        <f>+ROUND(D95*D95/162,2)</f>
        <v>0.4</v>
      </c>
      <c r="K95" s="20">
        <f>ROUND(I95*J95,2)</f>
        <v>41.27</v>
      </c>
    </row>
    <row r="96" spans="2:11" s="20" customFormat="1" x14ac:dyDescent="0.25"/>
    <row r="97" spans="2:11" s="20" customFormat="1" x14ac:dyDescent="0.25">
      <c r="B97" s="28" t="s">
        <v>89</v>
      </c>
    </row>
    <row r="98" spans="2:11" s="20" customFormat="1" x14ac:dyDescent="0.25">
      <c r="B98" s="28" t="s">
        <v>75</v>
      </c>
    </row>
    <row r="99" spans="2:11" s="20" customFormat="1" ht="50.1" customHeight="1" x14ac:dyDescent="0.25">
      <c r="B99" s="64" t="s">
        <v>135</v>
      </c>
      <c r="D99" s="20">
        <v>12</v>
      </c>
      <c r="E99" s="20">
        <f>9.33</f>
        <v>9.33</v>
      </c>
      <c r="F99" s="20">
        <f t="shared" ref="F99:F106" si="0">ROUND(CONVERT(E99,"ft","m"),2)</f>
        <v>2.84</v>
      </c>
      <c r="G99" s="20">
        <v>4</v>
      </c>
      <c r="H99" s="20">
        <v>9</v>
      </c>
      <c r="I99" s="20">
        <f t="shared" ref="I99:I106" si="1">ROUND(F99*G99*H99,2)</f>
        <v>102.24</v>
      </c>
      <c r="J99" s="20">
        <f t="shared" ref="J99:J106" si="2">+ROUND(D99*D99/162,2)</f>
        <v>0.89</v>
      </c>
      <c r="K99" s="20">
        <f t="shared" ref="K99:K106" si="3">ROUND(I99*J99,2)</f>
        <v>90.99</v>
      </c>
    </row>
    <row r="100" spans="2:11" s="20" customFormat="1" ht="50.1" customHeight="1" x14ac:dyDescent="0.25">
      <c r="B100" s="64" t="s">
        <v>135</v>
      </c>
      <c r="D100" s="20">
        <v>16</v>
      </c>
      <c r="E100" s="20">
        <f>9.33+3.17</f>
        <v>12.5</v>
      </c>
      <c r="F100" s="20">
        <f t="shared" si="0"/>
        <v>3.81</v>
      </c>
      <c r="G100" s="20">
        <v>4</v>
      </c>
      <c r="H100" s="20">
        <v>9</v>
      </c>
      <c r="I100" s="20">
        <f t="shared" si="1"/>
        <v>137.16</v>
      </c>
      <c r="J100" s="20">
        <f t="shared" si="2"/>
        <v>1.58</v>
      </c>
      <c r="K100" s="20">
        <f t="shared" si="3"/>
        <v>216.71</v>
      </c>
    </row>
    <row r="101" spans="2:11" s="20" customFormat="1" ht="50.1" customHeight="1" x14ac:dyDescent="0.25">
      <c r="B101" s="20" t="s">
        <v>130</v>
      </c>
      <c r="D101" s="20">
        <v>8</v>
      </c>
      <c r="E101" s="20">
        <f>0.75*4+0.25*2</f>
        <v>3.5</v>
      </c>
      <c r="F101" s="20">
        <f t="shared" si="0"/>
        <v>1.07</v>
      </c>
      <c r="G101" s="20">
        <f>23</f>
        <v>23</v>
      </c>
      <c r="H101" s="20">
        <v>12</v>
      </c>
      <c r="I101" s="20">
        <f t="shared" si="1"/>
        <v>295.32</v>
      </c>
      <c r="J101" s="20">
        <f t="shared" si="2"/>
        <v>0.4</v>
      </c>
      <c r="K101" s="20">
        <f t="shared" si="3"/>
        <v>118.13</v>
      </c>
    </row>
    <row r="102" spans="2:11" s="20" customFormat="1" ht="50.1" customHeight="1" x14ac:dyDescent="0.25">
      <c r="B102" s="20" t="s">
        <v>130</v>
      </c>
      <c r="D102" s="20">
        <v>8</v>
      </c>
      <c r="E102" s="20">
        <f>0.58*4+0.25*2</f>
        <v>2.82</v>
      </c>
      <c r="F102" s="20">
        <f t="shared" si="0"/>
        <v>0.86</v>
      </c>
      <c r="G102" s="20">
        <f>23</f>
        <v>23</v>
      </c>
      <c r="H102" s="20">
        <v>12</v>
      </c>
      <c r="I102" s="20">
        <f t="shared" si="1"/>
        <v>237.36</v>
      </c>
      <c r="J102" s="20">
        <f t="shared" si="2"/>
        <v>0.4</v>
      </c>
      <c r="K102" s="20">
        <f t="shared" si="3"/>
        <v>94.94</v>
      </c>
    </row>
    <row r="103" spans="2:11" s="20" customFormat="1" ht="50.1" customHeight="1" x14ac:dyDescent="0.25">
      <c r="B103" s="64" t="s">
        <v>136</v>
      </c>
      <c r="D103" s="20">
        <v>12</v>
      </c>
      <c r="E103" s="20">
        <v>2</v>
      </c>
      <c r="F103" s="20">
        <f t="shared" si="0"/>
        <v>0.61</v>
      </c>
      <c r="G103" s="20">
        <v>4</v>
      </c>
      <c r="H103" s="20">
        <v>3</v>
      </c>
      <c r="I103" s="20">
        <f t="shared" si="1"/>
        <v>7.32</v>
      </c>
      <c r="J103" s="20">
        <f t="shared" si="2"/>
        <v>0.89</v>
      </c>
      <c r="K103" s="20">
        <f t="shared" si="3"/>
        <v>6.51</v>
      </c>
    </row>
    <row r="104" spans="2:11" s="20" customFormat="1" ht="50.1" customHeight="1" x14ac:dyDescent="0.25">
      <c r="B104" s="64" t="s">
        <v>136</v>
      </c>
      <c r="D104" s="20">
        <v>16</v>
      </c>
      <c r="E104" s="20">
        <f>2</f>
        <v>2</v>
      </c>
      <c r="F104" s="20">
        <f t="shared" si="0"/>
        <v>0.61</v>
      </c>
      <c r="G104" s="20">
        <v>4</v>
      </c>
      <c r="H104" s="20">
        <v>3</v>
      </c>
      <c r="I104" s="20">
        <f t="shared" si="1"/>
        <v>7.32</v>
      </c>
      <c r="J104" s="20">
        <f t="shared" si="2"/>
        <v>1.58</v>
      </c>
      <c r="K104" s="20">
        <f t="shared" si="3"/>
        <v>11.57</v>
      </c>
    </row>
    <row r="105" spans="2:11" s="20" customFormat="1" ht="50.1" customHeight="1" x14ac:dyDescent="0.25">
      <c r="B105" s="20" t="s">
        <v>130</v>
      </c>
      <c r="D105" s="20">
        <v>8</v>
      </c>
      <c r="E105" s="20">
        <f>0.75*4+0.25*2</f>
        <v>3.5</v>
      </c>
      <c r="F105" s="20">
        <f t="shared" si="0"/>
        <v>1.07</v>
      </c>
      <c r="G105" s="20">
        <v>6</v>
      </c>
      <c r="H105" s="20">
        <v>12</v>
      </c>
      <c r="I105" s="20">
        <f t="shared" si="1"/>
        <v>77.040000000000006</v>
      </c>
      <c r="J105" s="20">
        <f t="shared" si="2"/>
        <v>0.4</v>
      </c>
      <c r="K105" s="20">
        <f t="shared" si="3"/>
        <v>30.82</v>
      </c>
    </row>
    <row r="106" spans="2:11" s="20" customFormat="1" ht="50.1" customHeight="1" x14ac:dyDescent="0.25">
      <c r="B106" s="20" t="s">
        <v>130</v>
      </c>
      <c r="D106" s="20">
        <v>8</v>
      </c>
      <c r="E106" s="20">
        <f>0.58*4+0.25*2</f>
        <v>2.82</v>
      </c>
      <c r="F106" s="20">
        <f t="shared" si="0"/>
        <v>0.86</v>
      </c>
      <c r="G106" s="20">
        <v>6</v>
      </c>
      <c r="H106" s="20">
        <v>12</v>
      </c>
      <c r="I106" s="20">
        <f t="shared" si="1"/>
        <v>61.92</v>
      </c>
      <c r="J106" s="20">
        <f t="shared" si="2"/>
        <v>0.4</v>
      </c>
      <c r="K106" s="20">
        <f t="shared" si="3"/>
        <v>24.77</v>
      </c>
    </row>
    <row r="107" spans="2:11" s="20" customFormat="1" ht="15" customHeight="1" x14ac:dyDescent="0.25">
      <c r="B107" s="64"/>
    </row>
    <row r="108" spans="2:11" s="20" customFormat="1" x14ac:dyDescent="0.25">
      <c r="B108" s="28" t="s">
        <v>77</v>
      </c>
    </row>
    <row r="109" spans="2:11" s="20" customFormat="1" x14ac:dyDescent="0.25">
      <c r="B109" s="28" t="s">
        <v>125</v>
      </c>
    </row>
    <row r="110" spans="2:11" s="20" customFormat="1" x14ac:dyDescent="0.25">
      <c r="B110" s="28" t="s">
        <v>126</v>
      </c>
    </row>
    <row r="111" spans="2:11" s="20" customFormat="1" ht="50.1" customHeight="1" x14ac:dyDescent="0.25">
      <c r="B111" s="20" t="s">
        <v>123</v>
      </c>
      <c r="D111" s="20">
        <v>16</v>
      </c>
      <c r="E111" s="20">
        <f>29.75+2.33*2</f>
        <v>34.409999999999997</v>
      </c>
      <c r="F111" s="20">
        <f>ROUND(CONVERT(E111,"ft","m"),2)</f>
        <v>10.49</v>
      </c>
      <c r="G111" s="20">
        <f>2*1</f>
        <v>2</v>
      </c>
      <c r="H111" s="20">
        <v>3</v>
      </c>
      <c r="I111" s="20">
        <f>ROUND(F111*G111*H111,2)</f>
        <v>62.94</v>
      </c>
      <c r="J111" s="20">
        <f>+ROUND(D111*D111/162,2)</f>
        <v>1.58</v>
      </c>
      <c r="K111" s="20">
        <f>ROUND(I111*J111,2)</f>
        <v>99.45</v>
      </c>
    </row>
    <row r="112" spans="2:11" s="20" customFormat="1" ht="50.1" customHeight="1" x14ac:dyDescent="0.25">
      <c r="B112" s="20" t="s">
        <v>123</v>
      </c>
      <c r="D112" s="20">
        <v>12</v>
      </c>
      <c r="E112" s="20">
        <f>29.75+1.5*2</f>
        <v>32.75</v>
      </c>
      <c r="F112" s="20">
        <f>ROUND(CONVERT(E112,"ft","m"),2)</f>
        <v>9.98</v>
      </c>
      <c r="G112" s="20">
        <f>1*1</f>
        <v>1</v>
      </c>
      <c r="H112" s="20">
        <v>3</v>
      </c>
      <c r="I112" s="20">
        <f>ROUND(F112*G112*H112,2)</f>
        <v>29.94</v>
      </c>
      <c r="J112" s="20">
        <f>+ROUND(D112*D112/162,2)</f>
        <v>0.89</v>
      </c>
      <c r="K112" s="20">
        <f>ROUND(I112*J112,2)</f>
        <v>26.65</v>
      </c>
    </row>
    <row r="113" spans="2:11" s="20" customFormat="1" ht="50.1" customHeight="1" x14ac:dyDescent="0.25">
      <c r="B113" s="20" t="s">
        <v>124</v>
      </c>
      <c r="D113" s="20">
        <v>16</v>
      </c>
      <c r="E113" s="20">
        <f>29.75+2.33*2</f>
        <v>34.409999999999997</v>
      </c>
      <c r="F113" s="20">
        <f>ROUND(CONVERT(E113,"ft","m"),2)</f>
        <v>10.49</v>
      </c>
      <c r="G113" s="20">
        <f>1*2</f>
        <v>2</v>
      </c>
      <c r="H113" s="20">
        <v>3</v>
      </c>
      <c r="I113" s="20">
        <f>ROUND(F113*G113*H113,2)</f>
        <v>62.94</v>
      </c>
      <c r="J113" s="20">
        <f>+ROUND(D113*D113/162,2)</f>
        <v>1.58</v>
      </c>
      <c r="K113" s="20">
        <f>ROUND(I113*J113,2)</f>
        <v>99.45</v>
      </c>
    </row>
    <row r="114" spans="2:11" s="20" customFormat="1" ht="50.1" customHeight="1" x14ac:dyDescent="0.25">
      <c r="B114" s="20" t="s">
        <v>124</v>
      </c>
      <c r="D114" s="20">
        <v>12</v>
      </c>
      <c r="E114" s="20">
        <f>29.75+2*1.5</f>
        <v>32.75</v>
      </c>
      <c r="F114" s="20">
        <f>ROUND(CONVERT(E114,"ft","m"),2)</f>
        <v>9.98</v>
      </c>
      <c r="G114" s="20">
        <v>1</v>
      </c>
      <c r="H114" s="20">
        <v>3</v>
      </c>
      <c r="I114" s="20">
        <f>ROUND(F114*G114*H114,2)</f>
        <v>29.94</v>
      </c>
      <c r="J114" s="20">
        <f>+ROUND(D114*D114/162,2)</f>
        <v>0.89</v>
      </c>
      <c r="K114" s="20">
        <f>ROUND(I114*J114,2)</f>
        <v>26.65</v>
      </c>
    </row>
    <row r="115" spans="2:11" s="20" customFormat="1" ht="15" customHeight="1" x14ac:dyDescent="0.25"/>
    <row r="116" spans="2:11" s="20" customFormat="1" x14ac:dyDescent="0.25">
      <c r="B116" s="28" t="s">
        <v>67</v>
      </c>
    </row>
    <row r="117" spans="2:11" s="20" customFormat="1" x14ac:dyDescent="0.25">
      <c r="B117" s="28" t="s">
        <v>127</v>
      </c>
    </row>
    <row r="118" spans="2:11" s="20" customFormat="1" ht="50.1" customHeight="1" x14ac:dyDescent="0.25">
      <c r="B118" s="20" t="s">
        <v>123</v>
      </c>
      <c r="D118" s="20">
        <v>16</v>
      </c>
      <c r="E118" s="20">
        <f>24.75+2.33*2</f>
        <v>29.41</v>
      </c>
      <c r="F118" s="20">
        <f>ROUND(CONVERT(E118,"ft","m"),2)</f>
        <v>8.9600000000000009</v>
      </c>
      <c r="G118" s="20">
        <f>2*1</f>
        <v>2</v>
      </c>
      <c r="H118" s="20">
        <v>4</v>
      </c>
      <c r="I118" s="20">
        <f>ROUND(F118*G118*H118,2)</f>
        <v>71.680000000000007</v>
      </c>
      <c r="J118" s="20">
        <f>+ROUND(D118*D118/162,2)</f>
        <v>1.58</v>
      </c>
      <c r="K118" s="20">
        <f>ROUND(I118*J118,2)</f>
        <v>113.25</v>
      </c>
    </row>
    <row r="119" spans="2:11" s="20" customFormat="1" ht="50.1" customHeight="1" x14ac:dyDescent="0.25">
      <c r="B119" s="20" t="s">
        <v>123</v>
      </c>
      <c r="D119" s="20">
        <v>12</v>
      </c>
      <c r="E119" s="20">
        <f>24.75+1.5*2</f>
        <v>27.75</v>
      </c>
      <c r="F119" s="20">
        <f>ROUND(CONVERT(E119,"ft","m"),2)</f>
        <v>8.4600000000000009</v>
      </c>
      <c r="G119" s="20">
        <f>1*1</f>
        <v>1</v>
      </c>
      <c r="H119" s="20">
        <v>4</v>
      </c>
      <c r="I119" s="20">
        <f>ROUND(F119*G119*H119,2)</f>
        <v>33.840000000000003</v>
      </c>
      <c r="J119" s="20">
        <f>+ROUND(D119*D119/162,2)</f>
        <v>0.89</v>
      </c>
      <c r="K119" s="20">
        <f>ROUND(I119*J119,2)</f>
        <v>30.12</v>
      </c>
    </row>
    <row r="120" spans="2:11" s="20" customFormat="1" ht="50.1" customHeight="1" x14ac:dyDescent="0.25">
      <c r="B120" s="20" t="s">
        <v>124</v>
      </c>
      <c r="D120" s="20">
        <v>16</v>
      </c>
      <c r="E120" s="20">
        <f>24.75+2.33*2</f>
        <v>29.41</v>
      </c>
      <c r="F120" s="20">
        <f>ROUND(CONVERT(E120,"ft","m"),2)</f>
        <v>8.9600000000000009</v>
      </c>
      <c r="G120" s="20">
        <f>1*2</f>
        <v>2</v>
      </c>
      <c r="H120" s="20">
        <v>4</v>
      </c>
      <c r="I120" s="20">
        <f>ROUND(F120*G120*H120,2)</f>
        <v>71.680000000000007</v>
      </c>
      <c r="J120" s="20">
        <f>+ROUND(D120*D120/162,2)</f>
        <v>1.58</v>
      </c>
      <c r="K120" s="20">
        <f>ROUND(I120*J120,2)</f>
        <v>113.25</v>
      </c>
    </row>
    <row r="121" spans="2:11" s="20" customFormat="1" ht="50.1" customHeight="1" x14ac:dyDescent="0.25">
      <c r="B121" s="20" t="s">
        <v>124</v>
      </c>
      <c r="D121" s="20">
        <v>12</v>
      </c>
      <c r="E121" s="20">
        <f>24.75+2*1.5</f>
        <v>27.75</v>
      </c>
      <c r="F121" s="20">
        <f>ROUND(CONVERT(E121,"ft","m"),2)</f>
        <v>8.4600000000000009</v>
      </c>
      <c r="G121" s="20">
        <v>1</v>
      </c>
      <c r="H121" s="20">
        <v>4</v>
      </c>
      <c r="I121" s="20">
        <f>ROUND(F121*G121*H121,2)</f>
        <v>33.840000000000003</v>
      </c>
      <c r="J121" s="20">
        <f>+ROUND(D121*D121/162,2)</f>
        <v>0.89</v>
      </c>
      <c r="K121" s="20">
        <f>ROUND(I121*J121,2)</f>
        <v>30.12</v>
      </c>
    </row>
    <row r="122" spans="2:11" s="20" customFormat="1" ht="50.1" customHeight="1" x14ac:dyDescent="0.25">
      <c r="B122" s="20" t="s">
        <v>132</v>
      </c>
      <c r="D122" s="20">
        <v>8</v>
      </c>
      <c r="E122" s="20">
        <f>1*2+0.58*2+0.25*2</f>
        <v>3.66</v>
      </c>
      <c r="F122" s="20">
        <f>ROUND(CONVERT(E122,"ft","m"),2)</f>
        <v>1.1200000000000001</v>
      </c>
      <c r="G122" s="20">
        <f>25*14+9*3</f>
        <v>377</v>
      </c>
      <c r="H122" s="20">
        <v>1</v>
      </c>
      <c r="I122" s="20">
        <f>ROUND(F122*G122*H122,2)</f>
        <v>422.24</v>
      </c>
      <c r="J122" s="20">
        <f>+ROUND(D122*D122/162,2)</f>
        <v>0.4</v>
      </c>
      <c r="K122" s="20">
        <f>ROUND(I122*J122,2)</f>
        <v>168.9</v>
      </c>
    </row>
    <row r="123" spans="2:11" s="20" customFormat="1" x14ac:dyDescent="0.25"/>
    <row r="124" spans="2:11" s="20" customFormat="1" x14ac:dyDescent="0.25">
      <c r="B124" s="28" t="s">
        <v>85</v>
      </c>
    </row>
    <row r="125" spans="2:11" s="20" customFormat="1" x14ac:dyDescent="0.25">
      <c r="B125" s="28" t="s">
        <v>133</v>
      </c>
    </row>
    <row r="126" spans="2:11" s="20" customFormat="1" ht="30" customHeight="1" x14ac:dyDescent="0.25">
      <c r="B126" s="20" t="s">
        <v>66</v>
      </c>
      <c r="D126" s="20">
        <v>8</v>
      </c>
      <c r="E126" s="20">
        <v>32.5</v>
      </c>
      <c r="F126" s="20">
        <f>ROUND(CONVERT(E126,"ft","m"),2)</f>
        <v>9.91</v>
      </c>
      <c r="G126" s="20">
        <f>31+3+3</f>
        <v>37</v>
      </c>
      <c r="H126" s="20">
        <v>1</v>
      </c>
      <c r="I126" s="20">
        <f>ROUND(F126*G126*H126,2)</f>
        <v>366.67</v>
      </c>
      <c r="J126" s="20">
        <f>+ROUND(D126*D126/162,2)</f>
        <v>0.4</v>
      </c>
      <c r="K126" s="20">
        <f>ROUND(I126*J126,2)</f>
        <v>146.66999999999999</v>
      </c>
    </row>
    <row r="127" spans="2:11" s="20" customFormat="1" ht="30" customHeight="1" x14ac:dyDescent="0.25">
      <c r="B127" s="28"/>
      <c r="D127" s="20">
        <v>8</v>
      </c>
      <c r="E127" s="20">
        <v>21</v>
      </c>
      <c r="F127" s="20">
        <f>ROUND(CONVERT(E127,"ft","m"),2)</f>
        <v>6.4</v>
      </c>
      <c r="G127" s="20">
        <v>15</v>
      </c>
      <c r="H127" s="20">
        <v>1</v>
      </c>
      <c r="I127" s="20">
        <f>ROUND(F127*G127*H127,2)</f>
        <v>96</v>
      </c>
      <c r="J127" s="20">
        <f>+ROUND(D127*D127/162,2)</f>
        <v>0.4</v>
      </c>
      <c r="K127" s="20">
        <f>ROUND(I127*J127,2)</f>
        <v>38.4</v>
      </c>
    </row>
    <row r="128" spans="2:11" s="20" customFormat="1" x14ac:dyDescent="0.25"/>
    <row r="129" spans="2:11" s="20" customFormat="1" ht="30" customHeight="1" x14ac:dyDescent="0.25">
      <c r="B129" s="20" t="s">
        <v>67</v>
      </c>
      <c r="D129" s="20">
        <v>8</v>
      </c>
      <c r="E129" s="20">
        <v>27.5</v>
      </c>
      <c r="F129" s="20">
        <f>ROUND(CONVERT(E129,"ft","m"),2)</f>
        <v>8.3800000000000008</v>
      </c>
      <c r="G129" s="20">
        <f>36+3+3</f>
        <v>42</v>
      </c>
      <c r="H129" s="20">
        <v>1</v>
      </c>
      <c r="I129" s="20">
        <f>ROUND(F129*G129*H129,2)</f>
        <v>351.96</v>
      </c>
      <c r="J129" s="20">
        <f>+ROUND(D129*D129/162,2)</f>
        <v>0.4</v>
      </c>
      <c r="K129" s="20">
        <f>ROUND(I129*J129,2)</f>
        <v>140.78</v>
      </c>
    </row>
    <row r="130" spans="2:11" s="20" customFormat="1" ht="30" customHeight="1" x14ac:dyDescent="0.25">
      <c r="D130" s="20">
        <v>8</v>
      </c>
      <c r="E130" s="20">
        <v>17.829999999999998</v>
      </c>
      <c r="F130" s="20">
        <f>ROUND(CONVERT(E130,"ft","m"),2)</f>
        <v>5.43</v>
      </c>
      <c r="G130" s="20">
        <v>19</v>
      </c>
      <c r="H130" s="20">
        <v>1</v>
      </c>
      <c r="I130" s="20">
        <f>ROUND(F130*G130*H130,2)</f>
        <v>103.17</v>
      </c>
      <c r="J130" s="20">
        <f>+ROUND(D130*D130/162,2)</f>
        <v>0.4</v>
      </c>
      <c r="K130" s="20">
        <f>ROUND(I130*J130,2)</f>
        <v>41.27</v>
      </c>
    </row>
    <row r="131" spans="2:11" s="20" customFormat="1" x14ac:dyDescent="0.25"/>
    <row r="132" spans="2:11" s="20" customFormat="1" x14ac:dyDescent="0.25">
      <c r="B132" s="28" t="s">
        <v>134</v>
      </c>
    </row>
    <row r="133" spans="2:11" s="20" customFormat="1" ht="30" customHeight="1" x14ac:dyDescent="0.25">
      <c r="B133" s="20" t="s">
        <v>66</v>
      </c>
      <c r="D133" s="20">
        <v>8</v>
      </c>
      <c r="E133" s="20">
        <v>32.5</v>
      </c>
      <c r="F133" s="20">
        <f>ROUND(CONVERT(E133,"ft","m"),2)</f>
        <v>9.91</v>
      </c>
      <c r="G133" s="20">
        <f>31+3+3</f>
        <v>37</v>
      </c>
      <c r="H133" s="20">
        <v>1</v>
      </c>
      <c r="I133" s="20">
        <f>ROUND(F133*G133*H133,2)</f>
        <v>366.67</v>
      </c>
      <c r="J133" s="20">
        <f>+ROUND(D133*D133/162,2)</f>
        <v>0.4</v>
      </c>
      <c r="K133" s="20">
        <f>ROUND(I133*J133,2)</f>
        <v>146.66999999999999</v>
      </c>
    </row>
    <row r="134" spans="2:11" s="20" customFormat="1" ht="30" customHeight="1" x14ac:dyDescent="0.25">
      <c r="D134" s="20">
        <v>8</v>
      </c>
      <c r="E134" s="20">
        <v>21</v>
      </c>
      <c r="F134" s="20">
        <f>ROUND(CONVERT(E134,"ft","m"),2)</f>
        <v>6.4</v>
      </c>
      <c r="G134" s="20">
        <v>15</v>
      </c>
      <c r="H134" s="20">
        <v>1</v>
      </c>
      <c r="I134" s="20">
        <f>ROUND(F134*G134*H134,2)</f>
        <v>96</v>
      </c>
      <c r="J134" s="20">
        <f>+ROUND(D134*D134/162,2)</f>
        <v>0.4</v>
      </c>
      <c r="K134" s="20">
        <f>ROUND(I134*J134,2)</f>
        <v>38.4</v>
      </c>
    </row>
    <row r="135" spans="2:11" s="20" customFormat="1" x14ac:dyDescent="0.25"/>
    <row r="136" spans="2:11" s="20" customFormat="1" x14ac:dyDescent="0.25">
      <c r="B136" s="28"/>
    </row>
    <row r="137" spans="2:11" s="20" customFormat="1" ht="30" customHeight="1" x14ac:dyDescent="0.25">
      <c r="B137" s="20" t="s">
        <v>67</v>
      </c>
      <c r="D137" s="20">
        <v>8</v>
      </c>
      <c r="E137" s="20">
        <v>27.5</v>
      </c>
      <c r="F137" s="20">
        <f>ROUND(CONVERT(E137,"ft","m"),2)</f>
        <v>8.3800000000000008</v>
      </c>
      <c r="G137" s="20">
        <f>36+3+3</f>
        <v>42</v>
      </c>
      <c r="H137" s="20">
        <v>1</v>
      </c>
      <c r="I137" s="20">
        <f>ROUND(F137*G137*H137,2)</f>
        <v>351.96</v>
      </c>
      <c r="J137" s="20">
        <f>+ROUND(D137*D137/162,2)</f>
        <v>0.4</v>
      </c>
      <c r="K137" s="20">
        <f>ROUND(I137*J137,2)</f>
        <v>140.78</v>
      </c>
    </row>
    <row r="138" spans="2:11" s="20" customFormat="1" ht="30" customHeight="1" x14ac:dyDescent="0.25">
      <c r="D138" s="20">
        <v>8</v>
      </c>
      <c r="E138" s="20">
        <v>17.829999999999998</v>
      </c>
      <c r="F138" s="20">
        <f>ROUND(CONVERT(E138,"ft","m"),2)</f>
        <v>5.43</v>
      </c>
      <c r="G138" s="20">
        <v>19</v>
      </c>
      <c r="H138" s="20">
        <v>1</v>
      </c>
      <c r="I138" s="20">
        <f>ROUND(F138*G138*H138,2)</f>
        <v>103.17</v>
      </c>
      <c r="J138" s="20">
        <f>+ROUND(D138*D138/162,2)</f>
        <v>0.4</v>
      </c>
      <c r="K138" s="20">
        <f>ROUND(I138*J138,2)</f>
        <v>41.27</v>
      </c>
    </row>
    <row r="139" spans="2:11" s="20" customFormat="1" x14ac:dyDescent="0.25"/>
    <row r="140" spans="2:11" s="20" customFormat="1" x14ac:dyDescent="0.25">
      <c r="B140" s="28" t="s">
        <v>90</v>
      </c>
    </row>
    <row r="141" spans="2:11" s="20" customFormat="1" x14ac:dyDescent="0.25">
      <c r="B141" s="28" t="s">
        <v>77</v>
      </c>
    </row>
    <row r="142" spans="2:11" s="20" customFormat="1" x14ac:dyDescent="0.25">
      <c r="B142" s="28" t="s">
        <v>125</v>
      </c>
    </row>
    <row r="143" spans="2:11" s="20" customFormat="1" x14ac:dyDescent="0.25">
      <c r="B143" s="28" t="s">
        <v>126</v>
      </c>
    </row>
    <row r="144" spans="2:11" s="20" customFormat="1" ht="50.1" customHeight="1" x14ac:dyDescent="0.25">
      <c r="B144" s="20" t="s">
        <v>123</v>
      </c>
      <c r="D144" s="20">
        <v>16</v>
      </c>
      <c r="E144" s="20">
        <f>17.75+1.5*2</f>
        <v>20.75</v>
      </c>
      <c r="F144" s="20">
        <f>ROUND(CONVERT(E144,"ft","m"),2)</f>
        <v>6.32</v>
      </c>
      <c r="G144" s="20">
        <f>2*1</f>
        <v>2</v>
      </c>
      <c r="H144" s="20">
        <v>3</v>
      </c>
      <c r="I144" s="20">
        <f>ROUND(F144*G144*H144,2)</f>
        <v>37.92</v>
      </c>
      <c r="J144" s="20">
        <f>+ROUND(D144*D144/162,2)</f>
        <v>1.58</v>
      </c>
      <c r="K144" s="20">
        <f>ROUND(I144*J144,2)</f>
        <v>59.91</v>
      </c>
    </row>
    <row r="145" spans="2:11" s="20" customFormat="1" ht="50.1" customHeight="1" x14ac:dyDescent="0.25">
      <c r="B145" s="20" t="s">
        <v>123</v>
      </c>
      <c r="D145" s="20">
        <v>12</v>
      </c>
      <c r="E145" s="20">
        <f>17.75+1.5*2</f>
        <v>20.75</v>
      </c>
      <c r="F145" s="20">
        <f>ROUND(CONVERT(E145,"ft","m"),2)</f>
        <v>6.32</v>
      </c>
      <c r="G145" s="20">
        <f>1*1</f>
        <v>1</v>
      </c>
      <c r="H145" s="20">
        <v>3</v>
      </c>
      <c r="I145" s="20">
        <f>ROUND(F145*G145*H145,2)</f>
        <v>18.96</v>
      </c>
      <c r="J145" s="20">
        <f>+ROUND(D145*D145/162,2)</f>
        <v>0.89</v>
      </c>
      <c r="K145" s="20">
        <f>ROUND(I145*J145,2)</f>
        <v>16.87</v>
      </c>
    </row>
    <row r="146" spans="2:11" s="20" customFormat="1" ht="50.1" customHeight="1" x14ac:dyDescent="0.25">
      <c r="B146" s="20" t="s">
        <v>124</v>
      </c>
      <c r="D146" s="20">
        <v>16</v>
      </c>
      <c r="E146" s="20">
        <f>17.75+1.5*2</f>
        <v>20.75</v>
      </c>
      <c r="F146" s="20">
        <f>ROUND(CONVERT(E146,"ft","m"),2)</f>
        <v>6.32</v>
      </c>
      <c r="G146" s="20">
        <f>1*2</f>
        <v>2</v>
      </c>
      <c r="H146" s="20">
        <v>3</v>
      </c>
      <c r="I146" s="20">
        <f>ROUND(F146*G146*H146,2)</f>
        <v>37.92</v>
      </c>
      <c r="J146" s="20">
        <f>+ROUND(D146*D146/162,2)</f>
        <v>1.58</v>
      </c>
      <c r="K146" s="20">
        <f>ROUND(I146*J146,2)</f>
        <v>59.91</v>
      </c>
    </row>
    <row r="147" spans="2:11" s="20" customFormat="1" ht="50.1" customHeight="1" x14ac:dyDescent="0.25">
      <c r="B147" s="20" t="s">
        <v>124</v>
      </c>
      <c r="D147" s="20">
        <v>12</v>
      </c>
      <c r="E147" s="20">
        <f>17.75+2*1.5</f>
        <v>20.75</v>
      </c>
      <c r="F147" s="20">
        <f>ROUND(CONVERT(E147,"ft","m"),2)</f>
        <v>6.32</v>
      </c>
      <c r="G147" s="20">
        <v>1</v>
      </c>
      <c r="H147" s="20">
        <v>3</v>
      </c>
      <c r="I147" s="20">
        <f>ROUND(F147*G147*H147,2)</f>
        <v>18.96</v>
      </c>
      <c r="J147" s="20">
        <f>+ROUND(D147*D147/162,2)</f>
        <v>0.89</v>
      </c>
      <c r="K147" s="20">
        <f>ROUND(I147*J147,2)</f>
        <v>16.87</v>
      </c>
    </row>
    <row r="148" spans="2:11" s="20" customFormat="1" ht="15" customHeight="1" x14ac:dyDescent="0.25"/>
    <row r="149" spans="2:11" s="20" customFormat="1" x14ac:dyDescent="0.25">
      <c r="B149" s="28" t="s">
        <v>67</v>
      </c>
    </row>
    <row r="150" spans="2:11" s="20" customFormat="1" x14ac:dyDescent="0.25">
      <c r="B150" s="28" t="s">
        <v>127</v>
      </c>
    </row>
    <row r="151" spans="2:11" s="20" customFormat="1" ht="50.1" customHeight="1" x14ac:dyDescent="0.25">
      <c r="B151" s="20" t="s">
        <v>123</v>
      </c>
      <c r="D151" s="20">
        <v>16</v>
      </c>
      <c r="E151" s="20">
        <f>24.75+2.33*2</f>
        <v>29.41</v>
      </c>
      <c r="F151" s="20">
        <f>ROUND(CONVERT(E151,"ft","m"),2)</f>
        <v>8.9600000000000009</v>
      </c>
      <c r="G151" s="20">
        <f>2*1</f>
        <v>2</v>
      </c>
      <c r="H151" s="20">
        <v>4</v>
      </c>
      <c r="I151" s="20">
        <f>ROUND(F151*G151*H151,2)</f>
        <v>71.680000000000007</v>
      </c>
      <c r="J151" s="20">
        <f>+ROUND(D151*D151/162,2)</f>
        <v>1.58</v>
      </c>
      <c r="K151" s="20">
        <f>ROUND(I151*J151,2)</f>
        <v>113.25</v>
      </c>
    </row>
    <row r="152" spans="2:11" s="20" customFormat="1" ht="50.1" customHeight="1" x14ac:dyDescent="0.25">
      <c r="B152" s="20" t="s">
        <v>123</v>
      </c>
      <c r="D152" s="20">
        <v>12</v>
      </c>
      <c r="E152" s="20">
        <f>24.75+1.5*2</f>
        <v>27.75</v>
      </c>
      <c r="F152" s="20">
        <f>ROUND(CONVERT(E152,"ft","m"),2)</f>
        <v>8.4600000000000009</v>
      </c>
      <c r="G152" s="20">
        <f>1*1</f>
        <v>1</v>
      </c>
      <c r="H152" s="20">
        <v>4</v>
      </c>
      <c r="I152" s="20">
        <f>ROUND(F152*G152*H152,2)</f>
        <v>33.840000000000003</v>
      </c>
      <c r="J152" s="20">
        <f>+ROUND(D152*D152/162,2)</f>
        <v>0.89</v>
      </c>
      <c r="K152" s="20">
        <f>ROUND(I152*J152,2)</f>
        <v>30.12</v>
      </c>
    </row>
    <row r="153" spans="2:11" s="20" customFormat="1" ht="50.1" customHeight="1" x14ac:dyDescent="0.25">
      <c r="B153" s="20" t="s">
        <v>124</v>
      </c>
      <c r="D153" s="20">
        <v>16</v>
      </c>
      <c r="E153" s="20">
        <f>24.75+1.5*2</f>
        <v>27.75</v>
      </c>
      <c r="F153" s="20">
        <f>ROUND(CONVERT(E153,"ft","m"),2)</f>
        <v>8.4600000000000009</v>
      </c>
      <c r="G153" s="20">
        <f>1*2</f>
        <v>2</v>
      </c>
      <c r="H153" s="20">
        <v>4</v>
      </c>
      <c r="I153" s="20">
        <f>ROUND(F153*G153*H153,2)</f>
        <v>67.680000000000007</v>
      </c>
      <c r="J153" s="20">
        <f>+ROUND(D153*D153/162,2)</f>
        <v>1.58</v>
      </c>
      <c r="K153" s="20">
        <f>ROUND(I153*J153,2)</f>
        <v>106.93</v>
      </c>
    </row>
    <row r="154" spans="2:11" s="20" customFormat="1" ht="50.1" customHeight="1" x14ac:dyDescent="0.25">
      <c r="B154" s="20" t="s">
        <v>124</v>
      </c>
      <c r="D154" s="20">
        <v>12</v>
      </c>
      <c r="E154" s="20">
        <f>24.75+2*1.5</f>
        <v>27.75</v>
      </c>
      <c r="F154" s="20">
        <f>ROUND(CONVERT(E154,"ft","m"),2)</f>
        <v>8.4600000000000009</v>
      </c>
      <c r="G154" s="20">
        <v>1</v>
      </c>
      <c r="H154" s="20">
        <v>4</v>
      </c>
      <c r="I154" s="20">
        <f>ROUND(F154*G154*H154,2)</f>
        <v>33.840000000000003</v>
      </c>
      <c r="J154" s="20">
        <f>+ROUND(D154*D154/162,2)</f>
        <v>0.89</v>
      </c>
      <c r="K154" s="20">
        <f>ROUND(I154*J154,2)</f>
        <v>30.12</v>
      </c>
    </row>
    <row r="155" spans="2:11" s="20" customFormat="1" ht="50.1" customHeight="1" x14ac:dyDescent="0.25">
      <c r="B155" s="20" t="s">
        <v>132</v>
      </c>
      <c r="D155" s="20">
        <v>8</v>
      </c>
      <c r="E155" s="20">
        <f>1*2+0.58*2+0.25*2</f>
        <v>3.66</v>
      </c>
      <c r="F155" s="20">
        <f>ROUND(CONVERT(E155,"ft","m"),2)</f>
        <v>1.1200000000000001</v>
      </c>
      <c r="G155" s="20">
        <f>25*9+9*3</f>
        <v>252</v>
      </c>
      <c r="H155" s="20">
        <v>1</v>
      </c>
      <c r="I155" s="20">
        <f>ROUND(F155*G155*H155,2)</f>
        <v>282.24</v>
      </c>
      <c r="J155" s="20">
        <f>+ROUND(D155*D155/162,2)</f>
        <v>0.4</v>
      </c>
      <c r="K155" s="20">
        <f>ROUND(I155*J155,2)</f>
        <v>112.9</v>
      </c>
    </row>
    <row r="156" spans="2:11" s="20" customFormat="1" x14ac:dyDescent="0.25"/>
    <row r="157" spans="2:11" s="20" customFormat="1" x14ac:dyDescent="0.25">
      <c r="B157" s="28" t="s">
        <v>85</v>
      </c>
    </row>
    <row r="158" spans="2:11" s="20" customFormat="1" x14ac:dyDescent="0.25">
      <c r="B158" s="28" t="s">
        <v>133</v>
      </c>
    </row>
    <row r="159" spans="2:11" s="20" customFormat="1" ht="30" customHeight="1" x14ac:dyDescent="0.25">
      <c r="B159" s="20" t="s">
        <v>66</v>
      </c>
      <c r="D159" s="20">
        <v>8</v>
      </c>
      <c r="E159" s="20">
        <v>21.33</v>
      </c>
      <c r="F159" s="20">
        <f>ROUND(CONVERT(E159,"ft","m"),2)</f>
        <v>6.5</v>
      </c>
      <c r="G159" s="20">
        <f>32+3+3</f>
        <v>38</v>
      </c>
      <c r="H159" s="20">
        <v>1</v>
      </c>
      <c r="I159" s="20">
        <f>ROUND(F159*G159*H159,2)</f>
        <v>247</v>
      </c>
      <c r="J159" s="20">
        <f>+ROUND(D159*D159/162,2)</f>
        <v>0.4</v>
      </c>
      <c r="K159" s="20">
        <f>ROUND(I159*J159,2)</f>
        <v>98.8</v>
      </c>
    </row>
    <row r="160" spans="2:11" s="20" customFormat="1" x14ac:dyDescent="0.25"/>
    <row r="161" spans="2:11" s="20" customFormat="1" ht="30" customHeight="1" x14ac:dyDescent="0.25">
      <c r="B161" s="20" t="s">
        <v>67</v>
      </c>
      <c r="D161" s="20">
        <v>8</v>
      </c>
      <c r="E161" s="20">
        <v>28</v>
      </c>
      <c r="F161" s="20">
        <f>ROUND(CONVERT(E161,"ft","m"),2)</f>
        <v>8.5299999999999994</v>
      </c>
      <c r="G161" s="20">
        <f>16+7+3+2</f>
        <v>28</v>
      </c>
      <c r="H161" s="20">
        <v>1</v>
      </c>
      <c r="I161" s="20">
        <f>ROUND(F161*G161*H161,2)</f>
        <v>238.84</v>
      </c>
      <c r="J161" s="20">
        <f>+ROUND(D161*D161/162,2)</f>
        <v>0.4</v>
      </c>
      <c r="K161" s="20">
        <f>ROUND(I161*J161,2)</f>
        <v>95.54</v>
      </c>
    </row>
    <row r="162" spans="2:11" s="20" customFormat="1" x14ac:dyDescent="0.25"/>
    <row r="163" spans="2:11" s="20" customFormat="1" x14ac:dyDescent="0.25">
      <c r="B163" s="28" t="s">
        <v>134</v>
      </c>
    </row>
    <row r="164" spans="2:11" s="20" customFormat="1" ht="30" customHeight="1" x14ac:dyDescent="0.25">
      <c r="B164" s="20" t="s">
        <v>66</v>
      </c>
      <c r="D164" s="20">
        <v>8</v>
      </c>
      <c r="E164" s="20">
        <v>21.33</v>
      </c>
      <c r="F164" s="20">
        <f>ROUND(CONVERT(E164,"ft","m"),2)</f>
        <v>6.5</v>
      </c>
      <c r="G164" s="20">
        <v>34</v>
      </c>
      <c r="H164" s="20">
        <v>1</v>
      </c>
      <c r="I164" s="20">
        <f>ROUND(F164*G164*H164,2)</f>
        <v>221</v>
      </c>
      <c r="J164" s="20">
        <f>+ROUND(D164*D164/162,2)</f>
        <v>0.4</v>
      </c>
      <c r="K164" s="20">
        <f>ROUND(I164*J164,2)</f>
        <v>88.4</v>
      </c>
    </row>
    <row r="165" spans="2:11" s="20" customFormat="1" x14ac:dyDescent="0.25"/>
    <row r="166" spans="2:11" s="20" customFormat="1" ht="30" customHeight="1" x14ac:dyDescent="0.25">
      <c r="B166" s="20" t="s">
        <v>67</v>
      </c>
      <c r="D166" s="20">
        <v>8</v>
      </c>
      <c r="E166" s="20">
        <v>28</v>
      </c>
      <c r="F166" s="20">
        <f>ROUND(CONVERT(E166,"ft","m"),2)</f>
        <v>8.5299999999999994</v>
      </c>
      <c r="G166" s="20">
        <v>27</v>
      </c>
      <c r="H166" s="20">
        <v>1</v>
      </c>
      <c r="I166" s="20">
        <f>ROUND(F166*G166*H166,2)</f>
        <v>230.31</v>
      </c>
      <c r="J166" s="20">
        <f>+ROUND(D166*D166/162,2)</f>
        <v>0.4</v>
      </c>
      <c r="K166" s="20">
        <f>ROUND(I166*J166,2)</f>
        <v>92.12</v>
      </c>
    </row>
    <row r="167" spans="2:11" s="20" customFormat="1" x14ac:dyDescent="0.25"/>
    <row r="168" spans="2:11" s="20" customFormat="1" x14ac:dyDescent="0.25">
      <c r="B168" s="28" t="s">
        <v>79</v>
      </c>
    </row>
    <row r="169" spans="2:11" s="20" customFormat="1" x14ac:dyDescent="0.25">
      <c r="B169" s="20" t="s">
        <v>137</v>
      </c>
    </row>
    <row r="170" spans="2:11" s="20" customFormat="1" ht="50.1" customHeight="1" x14ac:dyDescent="0.25">
      <c r="B170" s="20" t="s">
        <v>138</v>
      </c>
      <c r="D170" s="20">
        <v>12</v>
      </c>
      <c r="E170" s="20">
        <f>3.75+8.17+2.58</f>
        <v>14.5</v>
      </c>
      <c r="F170" s="20">
        <f t="shared" ref="F170:F178" si="4">ROUND(CONVERT(E170,"ft","m"),2)</f>
        <v>4.42</v>
      </c>
      <c r="G170" s="20">
        <v>6</v>
      </c>
      <c r="H170" s="20">
        <v>2</v>
      </c>
      <c r="I170" s="20">
        <f t="shared" ref="I170:I178" si="5">ROUND(F170*G170*H170,2)</f>
        <v>53.04</v>
      </c>
      <c r="J170" s="20">
        <f t="shared" ref="J170:J178" si="6">+ROUND(D170*D170/162,2)</f>
        <v>0.89</v>
      </c>
      <c r="K170" s="20">
        <f t="shared" ref="K170:K178" si="7">ROUND(I170*J170,2)</f>
        <v>47.21</v>
      </c>
    </row>
    <row r="171" spans="2:11" s="20" customFormat="1" ht="30" customHeight="1" x14ac:dyDescent="0.25">
      <c r="B171" s="20" t="s">
        <v>140</v>
      </c>
      <c r="D171" s="20">
        <v>8</v>
      </c>
      <c r="E171" s="20">
        <v>3.17</v>
      </c>
      <c r="F171" s="20">
        <f t="shared" si="4"/>
        <v>0.97</v>
      </c>
      <c r="G171" s="20">
        <v>9</v>
      </c>
      <c r="H171" s="20">
        <v>2</v>
      </c>
      <c r="I171" s="20">
        <f t="shared" si="5"/>
        <v>17.46</v>
      </c>
      <c r="J171" s="20">
        <f t="shared" si="6"/>
        <v>0.4</v>
      </c>
      <c r="K171" s="20">
        <f t="shared" si="7"/>
        <v>6.98</v>
      </c>
    </row>
    <row r="172" spans="2:11" s="20" customFormat="1" ht="50.1" customHeight="1" x14ac:dyDescent="0.25">
      <c r="B172" s="20" t="s">
        <v>138</v>
      </c>
      <c r="D172" s="20">
        <v>12</v>
      </c>
      <c r="E172" s="20">
        <f>4.33+8.25+2.5</f>
        <v>15.08</v>
      </c>
      <c r="F172" s="20">
        <f t="shared" si="4"/>
        <v>4.5999999999999996</v>
      </c>
      <c r="G172" s="20">
        <v>6</v>
      </c>
      <c r="H172" s="20">
        <v>2</v>
      </c>
      <c r="I172" s="20">
        <f t="shared" si="5"/>
        <v>55.2</v>
      </c>
      <c r="J172" s="20">
        <f t="shared" si="6"/>
        <v>0.89</v>
      </c>
      <c r="K172" s="20">
        <f t="shared" si="7"/>
        <v>49.13</v>
      </c>
    </row>
    <row r="173" spans="2:11" s="20" customFormat="1" ht="30" customHeight="1" x14ac:dyDescent="0.25">
      <c r="B173" s="20" t="s">
        <v>140</v>
      </c>
      <c r="D173" s="20">
        <v>8</v>
      </c>
      <c r="E173" s="20">
        <v>3.17</v>
      </c>
      <c r="F173" s="20">
        <f t="shared" si="4"/>
        <v>0.97</v>
      </c>
      <c r="G173" s="20">
        <v>9</v>
      </c>
      <c r="H173" s="20">
        <v>2</v>
      </c>
      <c r="I173" s="20">
        <f t="shared" si="5"/>
        <v>17.46</v>
      </c>
      <c r="J173" s="20">
        <f t="shared" si="6"/>
        <v>0.4</v>
      </c>
      <c r="K173" s="20">
        <f t="shared" si="7"/>
        <v>6.98</v>
      </c>
    </row>
    <row r="174" spans="2:11" s="20" customFormat="1" ht="50.1" customHeight="1" x14ac:dyDescent="0.25">
      <c r="B174" s="20" t="s">
        <v>138</v>
      </c>
      <c r="D174" s="20">
        <v>12</v>
      </c>
      <c r="E174" s="20">
        <f>3.42+8.25+2.83</f>
        <v>14.5</v>
      </c>
      <c r="F174" s="20">
        <f t="shared" si="4"/>
        <v>4.42</v>
      </c>
      <c r="G174" s="20">
        <v>6</v>
      </c>
      <c r="H174" s="20">
        <v>2</v>
      </c>
      <c r="I174" s="20">
        <f t="shared" si="5"/>
        <v>53.04</v>
      </c>
      <c r="J174" s="20">
        <f t="shared" si="6"/>
        <v>0.89</v>
      </c>
      <c r="K174" s="20">
        <f t="shared" si="7"/>
        <v>47.21</v>
      </c>
    </row>
    <row r="175" spans="2:11" s="20" customFormat="1" ht="30" customHeight="1" x14ac:dyDescent="0.25">
      <c r="B175" s="20" t="s">
        <v>140</v>
      </c>
      <c r="D175" s="20">
        <v>8</v>
      </c>
      <c r="E175" s="20">
        <v>3.17</v>
      </c>
      <c r="F175" s="20">
        <f t="shared" si="4"/>
        <v>0.97</v>
      </c>
      <c r="G175" s="20">
        <v>9</v>
      </c>
      <c r="H175" s="20">
        <v>2</v>
      </c>
      <c r="I175" s="20">
        <f t="shared" si="5"/>
        <v>17.46</v>
      </c>
      <c r="J175" s="20">
        <f t="shared" si="6"/>
        <v>0.4</v>
      </c>
      <c r="K175" s="20">
        <f t="shared" si="7"/>
        <v>6.98</v>
      </c>
    </row>
    <row r="176" spans="2:11" s="20" customFormat="1" ht="50.1" customHeight="1" x14ac:dyDescent="0.25">
      <c r="B176" s="20" t="s">
        <v>138</v>
      </c>
      <c r="D176" s="20">
        <v>12</v>
      </c>
      <c r="E176" s="20">
        <f>3.5+8.17+2.83</f>
        <v>14.5</v>
      </c>
      <c r="F176" s="20">
        <f t="shared" si="4"/>
        <v>4.42</v>
      </c>
      <c r="G176" s="20">
        <v>6</v>
      </c>
      <c r="H176" s="20">
        <v>2</v>
      </c>
      <c r="I176" s="20">
        <f t="shared" si="5"/>
        <v>53.04</v>
      </c>
      <c r="J176" s="20">
        <f t="shared" si="6"/>
        <v>0.89</v>
      </c>
      <c r="K176" s="20">
        <f t="shared" si="7"/>
        <v>47.21</v>
      </c>
    </row>
    <row r="177" spans="2:12" s="20" customFormat="1" ht="30" customHeight="1" x14ac:dyDescent="0.25">
      <c r="B177" s="20" t="s">
        <v>140</v>
      </c>
      <c r="D177" s="20">
        <v>8</v>
      </c>
      <c r="E177" s="20">
        <v>3.17</v>
      </c>
      <c r="F177" s="20">
        <f t="shared" si="4"/>
        <v>0.97</v>
      </c>
      <c r="G177" s="20">
        <v>9</v>
      </c>
      <c r="H177" s="20">
        <v>2</v>
      </c>
      <c r="I177" s="20">
        <f t="shared" si="5"/>
        <v>17.46</v>
      </c>
      <c r="J177" s="20">
        <f t="shared" si="6"/>
        <v>0.4</v>
      </c>
      <c r="K177" s="20">
        <f t="shared" si="7"/>
        <v>6.98</v>
      </c>
    </row>
    <row r="178" spans="2:12" s="20" customFormat="1" ht="30" customHeight="1" x14ac:dyDescent="0.25">
      <c r="B178" s="20" t="s">
        <v>139</v>
      </c>
      <c r="D178" s="20">
        <v>8</v>
      </c>
      <c r="E178" s="20">
        <v>8.67</v>
      </c>
      <c r="F178" s="20">
        <f t="shared" si="4"/>
        <v>2.64</v>
      </c>
      <c r="G178" s="20">
        <v>6</v>
      </c>
      <c r="H178" s="20">
        <v>2</v>
      </c>
      <c r="I178" s="20">
        <f t="shared" si="5"/>
        <v>31.68</v>
      </c>
      <c r="J178" s="20">
        <f t="shared" si="6"/>
        <v>0.4</v>
      </c>
      <c r="K178" s="20">
        <f t="shared" si="7"/>
        <v>12.67</v>
      </c>
    </row>
    <row r="179" spans="2:12" s="20" customFormat="1" x14ac:dyDescent="0.25"/>
    <row r="180" spans="2:12" s="20" customFormat="1" x14ac:dyDescent="0.25">
      <c r="I180" s="28" t="s">
        <v>141</v>
      </c>
      <c r="J180" s="28"/>
      <c r="K180" s="28">
        <f>SUM(K11:K178)</f>
        <v>7936.6999999999935</v>
      </c>
      <c r="L180" s="28" t="s">
        <v>142</v>
      </c>
    </row>
    <row r="181" spans="2:12" s="20" customFormat="1" x14ac:dyDescent="0.25"/>
    <row r="182" spans="2:12" s="20" customFormat="1" x14ac:dyDescent="0.25"/>
    <row r="183" spans="2:12" s="20" customFormat="1" x14ac:dyDescent="0.25"/>
    <row r="184" spans="2:12" s="20" customFormat="1" x14ac:dyDescent="0.25"/>
    <row r="185" spans="2:12" s="20" customFormat="1" x14ac:dyDescent="0.25"/>
    <row r="186" spans="2:12" s="20" customFormat="1" x14ac:dyDescent="0.25"/>
    <row r="187" spans="2:12" s="20" customFormat="1" x14ac:dyDescent="0.25"/>
    <row r="188" spans="2:12" s="20" customFormat="1" x14ac:dyDescent="0.25"/>
    <row r="189" spans="2:12" s="20" customFormat="1" x14ac:dyDescent="0.25"/>
    <row r="190" spans="2:12" s="20" customFormat="1" x14ac:dyDescent="0.25"/>
    <row r="191" spans="2:12" s="20" customFormat="1" x14ac:dyDescent="0.25"/>
    <row r="192" spans="2:12" s="20" customFormat="1" x14ac:dyDescent="0.25"/>
    <row r="193" s="20" customFormat="1" x14ac:dyDescent="0.25"/>
    <row r="194" s="20" customFormat="1" x14ac:dyDescent="0.25"/>
    <row r="195" s="20" customFormat="1" x14ac:dyDescent="0.25"/>
    <row r="196" s="20" customFormat="1" x14ac:dyDescent="0.25"/>
    <row r="197" s="20" customFormat="1" x14ac:dyDescent="0.25"/>
    <row r="198" s="20" customFormat="1" x14ac:dyDescent="0.25"/>
    <row r="199" s="20" customFormat="1" x14ac:dyDescent="0.25"/>
    <row r="200" s="20" customFormat="1" x14ac:dyDescent="0.25"/>
    <row r="201" s="20" customFormat="1" x14ac:dyDescent="0.25"/>
    <row r="202" s="20" customFormat="1" x14ac:dyDescent="0.25"/>
    <row r="203" s="20" customFormat="1" x14ac:dyDescent="0.25"/>
    <row r="204" s="20" customFormat="1" x14ac:dyDescent="0.25"/>
    <row r="205" s="20" customFormat="1" x14ac:dyDescent="0.25"/>
    <row r="206" s="20" customFormat="1" x14ac:dyDescent="0.25"/>
    <row r="207" s="20" customFormat="1" x14ac:dyDescent="0.25"/>
    <row r="208" s="20" customFormat="1" x14ac:dyDescent="0.25"/>
    <row r="209" s="20" customFormat="1" x14ac:dyDescent="0.25"/>
    <row r="210" s="20" customFormat="1" x14ac:dyDescent="0.25"/>
    <row r="211" s="20" customFormat="1" x14ac:dyDescent="0.25"/>
    <row r="212" s="20" customFormat="1" x14ac:dyDescent="0.25"/>
    <row r="213" s="20" customFormat="1" x14ac:dyDescent="0.25"/>
    <row r="214" s="20" customFormat="1" x14ac:dyDescent="0.25"/>
    <row r="215" s="20" customFormat="1" x14ac:dyDescent="0.25"/>
    <row r="216" s="20" customFormat="1" x14ac:dyDescent="0.25"/>
    <row r="217" s="20" customFormat="1" x14ac:dyDescent="0.25"/>
    <row r="218" s="20" customFormat="1" x14ac:dyDescent="0.25"/>
    <row r="219" s="20" customFormat="1" x14ac:dyDescent="0.25"/>
    <row r="220" s="20" customFormat="1" x14ac:dyDescent="0.25"/>
    <row r="221" s="20" customFormat="1" x14ac:dyDescent="0.25"/>
    <row r="222" s="20" customFormat="1" x14ac:dyDescent="0.25"/>
    <row r="223" s="20" customFormat="1" x14ac:dyDescent="0.25"/>
    <row r="224" s="20" customFormat="1" x14ac:dyDescent="0.25"/>
    <row r="225" s="20" customFormat="1" x14ac:dyDescent="0.25"/>
    <row r="226" s="20" customFormat="1" x14ac:dyDescent="0.25"/>
    <row r="227" s="20" customFormat="1" x14ac:dyDescent="0.25"/>
    <row r="228" s="20" customFormat="1" x14ac:dyDescent="0.25"/>
    <row r="229" s="20" customFormat="1" x14ac:dyDescent="0.25"/>
    <row r="230" s="20" customFormat="1" x14ac:dyDescent="0.25"/>
    <row r="231" s="20" customFormat="1" x14ac:dyDescent="0.25"/>
    <row r="232" s="20" customFormat="1" x14ac:dyDescent="0.25"/>
    <row r="233" s="20" customFormat="1" x14ac:dyDescent="0.25"/>
    <row r="234" s="20" customFormat="1" x14ac:dyDescent="0.25"/>
    <row r="235" s="20" customFormat="1" x14ac:dyDescent="0.25"/>
    <row r="236" s="20" customFormat="1" x14ac:dyDescent="0.25"/>
    <row r="237" s="20" customFormat="1" x14ac:dyDescent="0.25"/>
    <row r="238" s="20" customFormat="1" x14ac:dyDescent="0.25"/>
    <row r="239" s="20" customFormat="1" x14ac:dyDescent="0.25"/>
    <row r="240" s="20" customFormat="1" x14ac:dyDescent="0.25"/>
    <row r="241" s="20" customFormat="1" x14ac:dyDescent="0.25"/>
    <row r="242" s="20" customFormat="1" x14ac:dyDescent="0.25"/>
    <row r="243" s="20" customFormat="1" x14ac:dyDescent="0.25"/>
    <row r="244" s="20" customFormat="1" x14ac:dyDescent="0.25"/>
    <row r="245" s="20" customFormat="1" x14ac:dyDescent="0.25"/>
    <row r="246" s="20" customFormat="1" x14ac:dyDescent="0.25"/>
    <row r="247" s="20" customFormat="1" x14ac:dyDescent="0.25"/>
    <row r="248" s="20" customFormat="1" x14ac:dyDescent="0.25"/>
    <row r="249" s="20" customFormat="1" x14ac:dyDescent="0.25"/>
    <row r="250" s="20" customFormat="1" x14ac:dyDescent="0.25"/>
    <row r="251" s="20" customFormat="1" x14ac:dyDescent="0.25"/>
    <row r="252" s="20" customFormat="1" x14ac:dyDescent="0.25"/>
    <row r="253" s="20" customFormat="1" x14ac:dyDescent="0.25"/>
    <row r="254" s="20" customFormat="1" x14ac:dyDescent="0.25"/>
    <row r="255" s="20" customFormat="1" x14ac:dyDescent="0.25"/>
    <row r="256" s="20" customFormat="1" x14ac:dyDescent="0.25"/>
    <row r="257" s="20" customFormat="1" x14ac:dyDescent="0.25"/>
    <row r="258" s="20" customFormat="1" x14ac:dyDescent="0.25"/>
    <row r="259" s="20" customFormat="1" x14ac:dyDescent="0.25"/>
    <row r="260" s="20" customFormat="1" x14ac:dyDescent="0.25"/>
    <row r="261" s="20" customFormat="1" x14ac:dyDescent="0.25"/>
    <row r="262" s="20" customFormat="1" x14ac:dyDescent="0.25"/>
    <row r="263" s="20" customFormat="1" x14ac:dyDescent="0.25"/>
    <row r="264" s="20" customFormat="1" x14ac:dyDescent="0.25"/>
    <row r="265" s="20" customFormat="1" x14ac:dyDescent="0.25"/>
    <row r="266" s="20" customFormat="1" x14ac:dyDescent="0.25"/>
    <row r="267" s="20" customFormat="1" x14ac:dyDescent="0.25"/>
    <row r="268" s="20" customFormat="1" x14ac:dyDescent="0.25"/>
    <row r="269" s="20" customFormat="1" x14ac:dyDescent="0.25"/>
    <row r="270" s="20" customFormat="1" x14ac:dyDescent="0.25"/>
    <row r="271" s="20" customFormat="1" x14ac:dyDescent="0.25"/>
    <row r="272" s="20" customFormat="1" x14ac:dyDescent="0.25"/>
    <row r="273" s="20" customFormat="1" x14ac:dyDescent="0.25"/>
    <row r="274" s="20" customFormat="1" x14ac:dyDescent="0.25"/>
    <row r="275" s="20" customFormat="1" x14ac:dyDescent="0.25"/>
    <row r="276" s="20" customFormat="1" x14ac:dyDescent="0.25"/>
    <row r="277" s="20" customFormat="1" x14ac:dyDescent="0.25"/>
    <row r="278" s="20" customFormat="1" x14ac:dyDescent="0.25"/>
    <row r="279" s="20" customFormat="1" x14ac:dyDescent="0.25"/>
    <row r="280" s="20" customFormat="1" x14ac:dyDescent="0.25"/>
    <row r="281" s="20" customFormat="1" x14ac:dyDescent="0.25"/>
    <row r="282" s="20" customFormat="1" x14ac:dyDescent="0.25"/>
    <row r="283" s="20" customFormat="1" x14ac:dyDescent="0.25"/>
    <row r="284" s="20" customFormat="1" x14ac:dyDescent="0.25"/>
    <row r="285" s="20" customFormat="1" x14ac:dyDescent="0.25"/>
    <row r="286" s="20" customFormat="1" x14ac:dyDescent="0.25"/>
    <row r="287" s="20" customFormat="1" x14ac:dyDescent="0.25"/>
    <row r="288" s="20" customFormat="1" x14ac:dyDescent="0.25"/>
    <row r="289" s="20" customFormat="1" x14ac:dyDescent="0.25"/>
    <row r="290" s="20" customFormat="1" x14ac:dyDescent="0.25"/>
    <row r="291" s="20" customFormat="1" x14ac:dyDescent="0.25"/>
    <row r="292" s="20" customFormat="1" x14ac:dyDescent="0.25"/>
    <row r="293" s="20" customFormat="1" x14ac:dyDescent="0.25"/>
    <row r="294" s="20" customFormat="1" x14ac:dyDescent="0.25"/>
    <row r="295" s="20" customFormat="1" x14ac:dyDescent="0.25"/>
    <row r="296" s="20" customFormat="1" x14ac:dyDescent="0.25"/>
    <row r="297" s="20" customFormat="1" x14ac:dyDescent="0.25"/>
    <row r="298" s="20" customFormat="1" x14ac:dyDescent="0.25"/>
    <row r="299" s="20" customFormat="1" x14ac:dyDescent="0.25"/>
    <row r="300" s="20" customFormat="1" x14ac:dyDescent="0.25"/>
    <row r="301" s="20" customFormat="1" x14ac:dyDescent="0.25"/>
    <row r="302" s="20" customFormat="1" x14ac:dyDescent="0.25"/>
    <row r="303" s="20" customFormat="1" x14ac:dyDescent="0.25"/>
    <row r="304" s="20" customFormat="1" x14ac:dyDescent="0.25"/>
    <row r="305" s="20" customFormat="1" x14ac:dyDescent="0.25"/>
  </sheetData>
  <mergeCells count="5">
    <mergeCell ref="A1:K1"/>
    <mergeCell ref="A2:K2"/>
    <mergeCell ref="A3:K3"/>
    <mergeCell ref="A4:K4"/>
    <mergeCell ref="A5:K5"/>
  </mergeCells>
  <pageMargins left="0.7" right="0.7" top="0.75" bottom="0.75" header="0.3" footer="0.3"/>
  <pageSetup paperSize="9"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वडा नं. ३</vt:lpstr>
      <vt:lpstr>valuated sheet</vt:lpstr>
      <vt:lpstr>WCR</vt:lpstr>
      <vt:lpstr>Excavation</vt:lpstr>
      <vt:lpstr>Soiling</vt:lpstr>
      <vt:lpstr>PCC</vt:lpstr>
      <vt:lpstr>Formwork</vt:lpstr>
      <vt:lpstr>RCC</vt:lpstr>
      <vt:lpstr>Reinforcement</vt:lpstr>
      <vt:lpstr>Sill &amp; lintel</vt:lpstr>
      <vt:lpstr>Brick wall 9"</vt:lpstr>
      <vt:lpstr>Brick wall 4"</vt:lpstr>
      <vt:lpstr>Woodwork</vt:lpstr>
      <vt:lpstr>window fitting</vt:lpstr>
      <vt:lpstr>Abstract</vt:lpstr>
      <vt:lpstr>NYASUDA DHUNGEDHARA</vt:lpstr>
      <vt:lpstr>Sheet1</vt:lpstr>
      <vt:lpstr>Quantity (2)</vt:lpstr>
      <vt:lpstr>'NYASUDA DHUNGEDHARA'!Print_Area</vt:lpstr>
      <vt:lpstr>'valuated sheet'!Print_Area</vt:lpstr>
      <vt:lpstr>'वडा नं. ३'!Print_Area</vt:lpstr>
      <vt:lpstr>'NYASUDA DHUNGEDHARA'!Print_Titles</vt:lpstr>
      <vt:lpstr>'valuated sheet'!Print_Titles</vt:lpstr>
      <vt:lpstr>WCR!Print_Titles</vt:lpstr>
      <vt:lpstr>'वडा नं. ३'!Print_Titles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2025-05-19T08:37:03Z</dcterms:modified>
</cp:coreProperties>
</file>