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drawings\traces scanned\2025-04-08 korea\part\traces and doc\"/>
    </mc:Choice>
  </mc:AlternateContent>
  <bookViews>
    <workbookView xWindow="-120" yWindow="-120" windowWidth="20730" windowHeight="11160"/>
  </bookViews>
  <sheets>
    <sheet name="Estimate" sheetId="17" r:id="rId1"/>
  </sheets>
  <externalReferences>
    <externalReference r:id="rId2"/>
    <externalReference r:id="rId3"/>
    <externalReference r:id="rId4"/>
    <externalReference r:id="rId5"/>
  </externalReferences>
  <definedNames>
    <definedName name="description_103">[1]Abstract!$B$16</definedName>
    <definedName name="description_124" localSheetId="0">#REF!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Estimate!$A$1:$I$139</definedName>
    <definedName name="_xlnm.Print_Titles" localSheetId="0">Estimate!$1:$2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36" i="17" l="1"/>
  <c r="G136" i="17" s="1"/>
  <c r="D135" i="17"/>
  <c r="G135" i="17" s="1"/>
  <c r="D134" i="17"/>
  <c r="G134" i="17" s="1"/>
  <c r="D137" i="17"/>
  <c r="G137" i="17" s="1"/>
  <c r="D133" i="17"/>
  <c r="G133" i="17" s="1"/>
  <c r="D132" i="17"/>
  <c r="G132" i="17" s="1"/>
  <c r="G127" i="17"/>
  <c r="G131" i="17"/>
  <c r="D131" i="17"/>
  <c r="D130" i="17"/>
  <c r="G130" i="17" s="1"/>
  <c r="F128" i="17"/>
  <c r="F129" i="17"/>
  <c r="D129" i="17"/>
  <c r="G129" i="17" s="1"/>
  <c r="E129" i="17"/>
  <c r="D128" i="17"/>
  <c r="G128" i="17" s="1"/>
  <c r="E128" i="17"/>
  <c r="F127" i="17"/>
  <c r="D127" i="17"/>
  <c r="D126" i="17"/>
  <c r="G126" i="17" s="1"/>
  <c r="E126" i="17"/>
  <c r="E124" i="17"/>
  <c r="D124" i="17"/>
  <c r="E122" i="17"/>
  <c r="D122" i="17"/>
  <c r="E118" i="17"/>
  <c r="D118" i="17"/>
  <c r="E116" i="17"/>
  <c r="D116" i="17"/>
  <c r="F116" i="17"/>
  <c r="D117" i="17"/>
  <c r="E117" i="17"/>
  <c r="F117" i="17"/>
  <c r="F118" i="17"/>
  <c r="D119" i="17"/>
  <c r="E119" i="17"/>
  <c r="F119" i="17"/>
  <c r="D120" i="17"/>
  <c r="F120" i="17"/>
  <c r="D121" i="17"/>
  <c r="E121" i="17"/>
  <c r="F121" i="17"/>
  <c r="F122" i="17"/>
  <c r="D123" i="17"/>
  <c r="E123" i="17"/>
  <c r="F123" i="17"/>
  <c r="F124" i="17"/>
  <c r="D125" i="17"/>
  <c r="E125" i="17"/>
  <c r="F125" i="17"/>
  <c r="E115" i="17"/>
  <c r="D115" i="17"/>
  <c r="F115" i="17"/>
  <c r="F114" i="17"/>
  <c r="D114" i="17"/>
  <c r="G118" i="17" l="1"/>
  <c r="G116" i="17"/>
  <c r="G123" i="17"/>
  <c r="G114" i="17"/>
  <c r="G124" i="17"/>
  <c r="G121" i="17"/>
  <c r="G120" i="17"/>
  <c r="G117" i="17"/>
  <c r="G125" i="17"/>
  <c r="G122" i="17"/>
  <c r="G119" i="17"/>
  <c r="G115" i="17"/>
  <c r="G138" i="17" l="1"/>
  <c r="G140" i="17" s="1"/>
  <c r="C110" i="17" l="1"/>
  <c r="C109" i="17"/>
  <c r="C108" i="17"/>
  <c r="C107" i="17"/>
  <c r="E110" i="17"/>
  <c r="D109" i="17"/>
  <c r="D110" i="17"/>
  <c r="D108" i="17"/>
  <c r="D107" i="17"/>
  <c r="E108" i="17"/>
  <c r="E107" i="17"/>
  <c r="E109" i="17"/>
  <c r="C106" i="17"/>
  <c r="E106" i="17"/>
  <c r="E105" i="17"/>
  <c r="D105" i="17"/>
  <c r="C105" i="17"/>
  <c r="C100" i="17"/>
  <c r="C101" i="17"/>
  <c r="C102" i="17"/>
  <c r="C103" i="17"/>
  <c r="C104" i="17"/>
  <c r="C99" i="17"/>
  <c r="D104" i="17"/>
  <c r="D103" i="17"/>
  <c r="D102" i="17"/>
  <c r="E102" i="17"/>
  <c r="E103" i="17"/>
  <c r="E104" i="17"/>
  <c r="D101" i="17"/>
  <c r="D100" i="17"/>
  <c r="D99" i="17"/>
  <c r="E100" i="17"/>
  <c r="E101" i="17"/>
  <c r="E99" i="17"/>
  <c r="D97" i="17"/>
  <c r="E97" i="17"/>
  <c r="D94" i="17"/>
  <c r="D91" i="17"/>
  <c r="D88" i="17"/>
  <c r="D85" i="17"/>
  <c r="D82" i="17"/>
  <c r="D79" i="17"/>
  <c r="D76" i="17"/>
  <c r="D73" i="17"/>
  <c r="C93" i="17"/>
  <c r="C90" i="17"/>
  <c r="C87" i="17"/>
  <c r="C84" i="17"/>
  <c r="C81" i="17"/>
  <c r="C78" i="17"/>
  <c r="C75" i="17"/>
  <c r="C72" i="17"/>
  <c r="E94" i="17"/>
  <c r="F94" i="17" s="1"/>
  <c r="G94" i="17" s="1"/>
  <c r="E91" i="17"/>
  <c r="E88" i="17"/>
  <c r="F88" i="17" s="1"/>
  <c r="G88" i="17" s="1"/>
  <c r="E85" i="17"/>
  <c r="E82" i="17"/>
  <c r="E79" i="17"/>
  <c r="F79" i="17" s="1"/>
  <c r="G79" i="17" s="1"/>
  <c r="E76" i="17"/>
  <c r="E73" i="17"/>
  <c r="E70" i="17"/>
  <c r="D70" i="17"/>
  <c r="C69" i="17"/>
  <c r="E96" i="17"/>
  <c r="D96" i="17"/>
  <c r="E95" i="17"/>
  <c r="D95" i="17"/>
  <c r="E93" i="17"/>
  <c r="D93" i="17"/>
  <c r="C95" i="17" s="1"/>
  <c r="E92" i="17"/>
  <c r="D92" i="17"/>
  <c r="E90" i="17"/>
  <c r="D90" i="17"/>
  <c r="C92" i="17" s="1"/>
  <c r="E89" i="17"/>
  <c r="D89" i="17"/>
  <c r="E87" i="17"/>
  <c r="D87" i="17"/>
  <c r="C89" i="17" s="1"/>
  <c r="E86" i="17"/>
  <c r="D86" i="17"/>
  <c r="E84" i="17"/>
  <c r="D84" i="17"/>
  <c r="C86" i="17" s="1"/>
  <c r="E83" i="17"/>
  <c r="D83" i="17"/>
  <c r="E81" i="17"/>
  <c r="D81" i="17"/>
  <c r="C83" i="17" s="1"/>
  <c r="E80" i="17"/>
  <c r="D80" i="17"/>
  <c r="E78" i="17"/>
  <c r="D78" i="17"/>
  <c r="C80" i="17" s="1"/>
  <c r="E77" i="17"/>
  <c r="D77" i="17"/>
  <c r="E75" i="17"/>
  <c r="D75" i="17"/>
  <c r="C77" i="17" s="1"/>
  <c r="E74" i="17"/>
  <c r="D74" i="17"/>
  <c r="E72" i="17"/>
  <c r="D72" i="17"/>
  <c r="C74" i="17" s="1"/>
  <c r="E71" i="17"/>
  <c r="D71" i="17"/>
  <c r="E69" i="17"/>
  <c r="D69" i="17"/>
  <c r="C71" i="17" s="1"/>
  <c r="D67" i="17"/>
  <c r="E67" i="17"/>
  <c r="E65" i="17"/>
  <c r="E63" i="17"/>
  <c r="E61" i="17"/>
  <c r="E59" i="17"/>
  <c r="E57" i="17"/>
  <c r="E55" i="17"/>
  <c r="E53" i="17"/>
  <c r="E51" i="17"/>
  <c r="E49" i="17"/>
  <c r="C67" i="17"/>
  <c r="C65" i="17"/>
  <c r="C63" i="17"/>
  <c r="C61" i="17"/>
  <c r="C59" i="17"/>
  <c r="C57" i="17"/>
  <c r="C55" i="17"/>
  <c r="C53" i="17"/>
  <c r="C51" i="17"/>
  <c r="C49" i="17"/>
  <c r="D55" i="17"/>
  <c r="C56" i="17" s="1"/>
  <c r="E66" i="17"/>
  <c r="D66" i="17"/>
  <c r="D65" i="17"/>
  <c r="C66" i="17" s="1"/>
  <c r="E64" i="17"/>
  <c r="D64" i="17"/>
  <c r="D63" i="17"/>
  <c r="C64" i="17" s="1"/>
  <c r="E62" i="17"/>
  <c r="D62" i="17"/>
  <c r="D61" i="17"/>
  <c r="C62" i="17" s="1"/>
  <c r="E60" i="17"/>
  <c r="D60" i="17"/>
  <c r="D59" i="17"/>
  <c r="C60" i="17" s="1"/>
  <c r="E58" i="17"/>
  <c r="D58" i="17"/>
  <c r="D57" i="17"/>
  <c r="C58" i="17" s="1"/>
  <c r="E56" i="17"/>
  <c r="D56" i="17"/>
  <c r="E54" i="17"/>
  <c r="D54" i="17"/>
  <c r="D53" i="17"/>
  <c r="C54" i="17" s="1"/>
  <c r="E52" i="17"/>
  <c r="D52" i="17"/>
  <c r="D51" i="17"/>
  <c r="C52" i="17" s="1"/>
  <c r="E50" i="17"/>
  <c r="D50" i="17"/>
  <c r="D49" i="17"/>
  <c r="C50" i="17" s="1"/>
  <c r="C47" i="17"/>
  <c r="C45" i="17"/>
  <c r="C43" i="17"/>
  <c r="C41" i="17"/>
  <c r="C39" i="17"/>
  <c r="C37" i="17"/>
  <c r="C35" i="17"/>
  <c r="C33" i="17"/>
  <c r="C31" i="17"/>
  <c r="C29" i="17"/>
  <c r="E47" i="17"/>
  <c r="D45" i="17"/>
  <c r="C46" i="17" s="1"/>
  <c r="E45" i="17"/>
  <c r="D46" i="17"/>
  <c r="E46" i="17"/>
  <c r="D43" i="17"/>
  <c r="C44" i="17" s="1"/>
  <c r="E43" i="17"/>
  <c r="D44" i="17"/>
  <c r="E44" i="17"/>
  <c r="D41" i="17"/>
  <c r="C42" i="17" s="1"/>
  <c r="E41" i="17"/>
  <c r="D42" i="17"/>
  <c r="E42" i="17"/>
  <c r="D39" i="17"/>
  <c r="C40" i="17" s="1"/>
  <c r="E39" i="17"/>
  <c r="D40" i="17"/>
  <c r="E40" i="17"/>
  <c r="D37" i="17"/>
  <c r="C38" i="17" s="1"/>
  <c r="E37" i="17"/>
  <c r="D38" i="17"/>
  <c r="E38" i="17"/>
  <c r="D35" i="17"/>
  <c r="C36" i="17" s="1"/>
  <c r="E35" i="17"/>
  <c r="D36" i="17"/>
  <c r="E36" i="17"/>
  <c r="D33" i="17"/>
  <c r="C34" i="17" s="1"/>
  <c r="E33" i="17"/>
  <c r="D34" i="17"/>
  <c r="E34" i="17"/>
  <c r="D31" i="17"/>
  <c r="C32" i="17" s="1"/>
  <c r="D29" i="17"/>
  <c r="C30" i="17" s="1"/>
  <c r="E31" i="17"/>
  <c r="D32" i="17"/>
  <c r="E32" i="17"/>
  <c r="D30" i="17"/>
  <c r="E30" i="17"/>
  <c r="E29" i="17"/>
  <c r="D26" i="17"/>
  <c r="C27" i="17" s="1"/>
  <c r="C26" i="17"/>
  <c r="E26" i="17"/>
  <c r="D27" i="17"/>
  <c r="E27" i="17"/>
  <c r="D24" i="17"/>
  <c r="C25" i="17" s="1"/>
  <c r="C24" i="17"/>
  <c r="E24" i="17"/>
  <c r="D25" i="17"/>
  <c r="E25" i="17"/>
  <c r="D22" i="17"/>
  <c r="C23" i="17" s="1"/>
  <c r="C22" i="17"/>
  <c r="E22" i="17"/>
  <c r="D23" i="17"/>
  <c r="E23" i="17"/>
  <c r="D20" i="17"/>
  <c r="C21" i="17" s="1"/>
  <c r="C20" i="17"/>
  <c r="E20" i="17"/>
  <c r="D21" i="17"/>
  <c r="E21" i="17"/>
  <c r="D18" i="17"/>
  <c r="C19" i="17" s="1"/>
  <c r="C18" i="17"/>
  <c r="E18" i="17"/>
  <c r="D19" i="17"/>
  <c r="E19" i="17"/>
  <c r="C16" i="17"/>
  <c r="D16" i="17"/>
  <c r="C17" i="17" s="1"/>
  <c r="E16" i="17"/>
  <c r="D17" i="17"/>
  <c r="E17" i="17"/>
  <c r="D14" i="17"/>
  <c r="C15" i="17" s="1"/>
  <c r="C14" i="17"/>
  <c r="E14" i="17"/>
  <c r="D15" i="17"/>
  <c r="E15" i="17"/>
  <c r="E13" i="17"/>
  <c r="D13" i="17"/>
  <c r="E12" i="17"/>
  <c r="D12" i="17"/>
  <c r="C13" i="17" s="1"/>
  <c r="C12" i="17"/>
  <c r="D10" i="17"/>
  <c r="C9" i="17" s="1"/>
  <c r="D9" i="17"/>
  <c r="C10" i="17" s="1"/>
  <c r="E10" i="17"/>
  <c r="E9" i="17"/>
  <c r="D8" i="17"/>
  <c r="C8" i="17" s="1"/>
  <c r="E8" i="17"/>
  <c r="D7" i="17"/>
  <c r="C7" i="17" s="1"/>
  <c r="E7" i="17"/>
  <c r="D6" i="17"/>
  <c r="C6" i="17" s="1"/>
  <c r="E6" i="17"/>
  <c r="E5" i="17"/>
  <c r="D5" i="17"/>
  <c r="C5" i="17" s="1"/>
  <c r="F70" i="17" l="1"/>
  <c r="G70" i="17" s="1"/>
  <c r="F97" i="17"/>
  <c r="G97" i="17" s="1"/>
  <c r="F91" i="17"/>
  <c r="G91" i="17" s="1"/>
  <c r="F102" i="17"/>
  <c r="G102" i="17" s="1"/>
  <c r="F47" i="17"/>
  <c r="G47" i="17" s="1"/>
  <c r="F65" i="17"/>
  <c r="G65" i="17" s="1"/>
  <c r="F105" i="17"/>
  <c r="G105" i="17" s="1"/>
  <c r="F87" i="17"/>
  <c r="G87" i="17" s="1"/>
  <c r="F93" i="17"/>
  <c r="G93" i="17" s="1"/>
  <c r="F39" i="17"/>
  <c r="G39" i="17" s="1"/>
  <c r="F75" i="17"/>
  <c r="G75" i="17" s="1"/>
  <c r="F76" i="17"/>
  <c r="G76" i="17" s="1"/>
  <c r="F104" i="17"/>
  <c r="G104" i="17" s="1"/>
  <c r="F38" i="17"/>
  <c r="G38" i="17" s="1"/>
  <c r="F82" i="17"/>
  <c r="G82" i="17" s="1"/>
  <c r="F85" i="17"/>
  <c r="G85" i="17" s="1"/>
  <c r="F71" i="17"/>
  <c r="G71" i="17" s="1"/>
  <c r="F83" i="17"/>
  <c r="G83" i="17" s="1"/>
  <c r="F95" i="17"/>
  <c r="G95" i="17" s="1"/>
  <c r="F69" i="17"/>
  <c r="G69" i="17" s="1"/>
  <c r="F78" i="17"/>
  <c r="G78" i="17" s="1"/>
  <c r="F106" i="17"/>
  <c r="G106" i="17" s="1"/>
  <c r="F74" i="17"/>
  <c r="G74" i="17" s="1"/>
  <c r="F86" i="17"/>
  <c r="G86" i="17" s="1"/>
  <c r="F103" i="17"/>
  <c r="G103" i="17" s="1"/>
  <c r="F73" i="17"/>
  <c r="G73" i="17" s="1"/>
  <c r="F110" i="17"/>
  <c r="G110" i="17" s="1"/>
  <c r="F108" i="17"/>
  <c r="G108" i="17" s="1"/>
  <c r="F109" i="17"/>
  <c r="G109" i="17" s="1"/>
  <c r="F107" i="17"/>
  <c r="G107" i="17" s="1"/>
  <c r="F100" i="17"/>
  <c r="G100" i="17" s="1"/>
  <c r="F101" i="17"/>
  <c r="G101" i="17" s="1"/>
  <c r="F99" i="17"/>
  <c r="G99" i="17" s="1"/>
  <c r="F37" i="17"/>
  <c r="G37" i="17" s="1"/>
  <c r="F84" i="17"/>
  <c r="G84" i="17" s="1"/>
  <c r="F57" i="17"/>
  <c r="G57" i="17" s="1"/>
  <c r="F72" i="17"/>
  <c r="G72" i="17" s="1"/>
  <c r="F29" i="17"/>
  <c r="G29" i="17" s="1"/>
  <c r="F77" i="17"/>
  <c r="G77" i="17" s="1"/>
  <c r="F90" i="17"/>
  <c r="G90" i="17" s="1"/>
  <c r="F43" i="17"/>
  <c r="G43" i="17" s="1"/>
  <c r="F81" i="17"/>
  <c r="G81" i="17" s="1"/>
  <c r="F15" i="17"/>
  <c r="G15" i="17" s="1"/>
  <c r="F96" i="17"/>
  <c r="G96" i="17" s="1"/>
  <c r="F92" i="17"/>
  <c r="G92" i="17" s="1"/>
  <c r="F89" i="17"/>
  <c r="G89" i="17" s="1"/>
  <c r="F80" i="17"/>
  <c r="G80" i="17" s="1"/>
  <c r="F49" i="17"/>
  <c r="G49" i="17" s="1"/>
  <c r="F55" i="17"/>
  <c r="G55" i="17" s="1"/>
  <c r="F66" i="17"/>
  <c r="G66" i="17" s="1"/>
  <c r="F64" i="17"/>
  <c r="G64" i="17" s="1"/>
  <c r="F60" i="17"/>
  <c r="G60" i="17" s="1"/>
  <c r="F54" i="17"/>
  <c r="G54" i="17" s="1"/>
  <c r="F52" i="17"/>
  <c r="G52" i="17" s="1"/>
  <c r="F31" i="17"/>
  <c r="G31" i="17" s="1"/>
  <c r="F16" i="17"/>
  <c r="G16" i="17" s="1"/>
  <c r="F17" i="17"/>
  <c r="G17" i="17" s="1"/>
  <c r="F41" i="17"/>
  <c r="G41" i="17" s="1"/>
  <c r="F23" i="17"/>
  <c r="G23" i="17" s="1"/>
  <c r="F63" i="17"/>
  <c r="G63" i="17" s="1"/>
  <c r="F12" i="17"/>
  <c r="G12" i="17" s="1"/>
  <c r="F58" i="17"/>
  <c r="G58" i="17" s="1"/>
  <c r="F61" i="17"/>
  <c r="G61" i="17" s="1"/>
  <c r="F50" i="17"/>
  <c r="G50" i="17" s="1"/>
  <c r="F53" i="17"/>
  <c r="G53" i="17" s="1"/>
  <c r="F56" i="17"/>
  <c r="G56" i="17" s="1"/>
  <c r="F62" i="17"/>
  <c r="G62" i="17" s="1"/>
  <c r="F40" i="17"/>
  <c r="G40" i="17" s="1"/>
  <c r="F67" i="17"/>
  <c r="G67" i="17" s="1"/>
  <c r="F51" i="17"/>
  <c r="G51" i="17" s="1"/>
  <c r="F59" i="17"/>
  <c r="G59" i="17" s="1"/>
  <c r="F34" i="17"/>
  <c r="G34" i="17" s="1"/>
  <c r="F45" i="17"/>
  <c r="G45" i="17" s="1"/>
  <c r="F46" i="17"/>
  <c r="G46" i="17" s="1"/>
  <c r="F42" i="17"/>
  <c r="G42" i="17" s="1"/>
  <c r="F44" i="17"/>
  <c r="G44" i="17" s="1"/>
  <c r="F21" i="17"/>
  <c r="G21" i="17" s="1"/>
  <c r="F27" i="17"/>
  <c r="G27" i="17" s="1"/>
  <c r="F35" i="17"/>
  <c r="G35" i="17" s="1"/>
  <c r="F18" i="17"/>
  <c r="G18" i="17" s="1"/>
  <c r="F19" i="17"/>
  <c r="G19" i="17" s="1"/>
  <c r="F33" i="17"/>
  <c r="G33" i="17" s="1"/>
  <c r="F36" i="17"/>
  <c r="G36" i="17" s="1"/>
  <c r="F30" i="17"/>
  <c r="G30" i="17" s="1"/>
  <c r="F32" i="17"/>
  <c r="G32" i="17" s="1"/>
  <c r="F26" i="17"/>
  <c r="G26" i="17" s="1"/>
  <c r="F24" i="17"/>
  <c r="G24" i="17" s="1"/>
  <c r="F25" i="17"/>
  <c r="G25" i="17" s="1"/>
  <c r="F14" i="17"/>
  <c r="G14" i="17" s="1"/>
  <c r="F22" i="17"/>
  <c r="G22" i="17" s="1"/>
  <c r="F13" i="17"/>
  <c r="G13" i="17" s="1"/>
  <c r="F20" i="17"/>
  <c r="G20" i="17" s="1"/>
  <c r="F10" i="17"/>
  <c r="G10" i="17" s="1"/>
  <c r="F9" i="17"/>
  <c r="G9" i="17" s="1"/>
  <c r="F8" i="17"/>
  <c r="G8" i="17" s="1"/>
  <c r="F5" i="17"/>
  <c r="G5" i="17" s="1"/>
  <c r="F7" i="17"/>
  <c r="G7" i="17" s="1"/>
  <c r="F6" i="17"/>
  <c r="G6" i="17" s="1"/>
  <c r="G111" i="17" l="1"/>
</calcChain>
</file>

<file path=xl/sharedStrings.xml><?xml version="1.0" encoding="utf-8"?>
<sst xmlns="http://schemas.openxmlformats.org/spreadsheetml/2006/main" count="68" uniqueCount="45">
  <si>
    <t>Detail Estimated Sheet</t>
  </si>
  <si>
    <t>S.N.</t>
  </si>
  <si>
    <t>Description of work</t>
  </si>
  <si>
    <t>No.</t>
  </si>
  <si>
    <t>Length</t>
  </si>
  <si>
    <t>Breadth</t>
  </si>
  <si>
    <t>Height</t>
  </si>
  <si>
    <t>Quantity</t>
  </si>
  <si>
    <t>Unit</t>
  </si>
  <si>
    <t>Remarks</t>
  </si>
  <si>
    <t>Grand Total</t>
  </si>
  <si>
    <t>Sub-total</t>
  </si>
  <si>
    <t>cf/=;L=;L= nflu kmnfd] 808L sf6\g], df]8\g] #) dL6/ ;Dd</t>
  </si>
  <si>
    <t>-footing</t>
  </si>
  <si>
    <t>Length (m)</t>
  </si>
  <si>
    <t>Unit Weight (kg/m)</t>
  </si>
  <si>
    <t>Weight (kg)</t>
  </si>
  <si>
    <t>-CF1</t>
  </si>
  <si>
    <t>-F2</t>
  </si>
  <si>
    <t>-F3</t>
  </si>
  <si>
    <t>-F1, F4</t>
  </si>
  <si>
    <t>-F5</t>
  </si>
  <si>
    <t>-Strap beam</t>
  </si>
  <si>
    <t xml:space="preserve">-base beam and tie beam </t>
  </si>
  <si>
    <t>-Grid 4-4</t>
  </si>
  <si>
    <t>-Grid 1-1</t>
  </si>
  <si>
    <t>-Grid 3-3</t>
  </si>
  <si>
    <t>-Grid 2-2</t>
  </si>
  <si>
    <t>-Grid A-A</t>
  </si>
  <si>
    <t>-Grid B-B</t>
  </si>
  <si>
    <t>-Grid C-C</t>
  </si>
  <si>
    <t>-Grid D-D</t>
  </si>
  <si>
    <t>-hooks at end</t>
  </si>
  <si>
    <t xml:space="preserve">-Ground &amp; 1st floor beam </t>
  </si>
  <si>
    <t xml:space="preserve">-2nd floor beam </t>
  </si>
  <si>
    <t>-Column</t>
  </si>
  <si>
    <t>-Ld</t>
  </si>
  <si>
    <t>-Stirrups</t>
  </si>
  <si>
    <t>MT</t>
  </si>
  <si>
    <t>PCC Dhalaan</t>
  </si>
  <si>
    <t>-strap beam</t>
  </si>
  <si>
    <t>-base and tie beam</t>
  </si>
  <si>
    <t>-column</t>
  </si>
  <si>
    <t>-beam</t>
  </si>
  <si>
    <t>-slab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</si>
</sst>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0" x14ac:knownFonts="1">
    <font>
      <sz val="11"/>
      <color theme="1"/>
      <name val="Calibri"/>
      <family val="2"/>
      <scheme val="minor"/>
    </font>
    <font>
      <sz val="11"/>
      <color theme="1"/>
      <name val="Calibri"/>
      <family val="2"/>
      <scheme val="minor"/>
    </font>
    <font>
      <b/>
      <sz val="11"/>
      <color theme="1"/>
      <name val="Times New Roman"/>
      <family val="1"/>
    </font>
    <font>
      <b/>
      <sz val="14"/>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b/>
      <sz val="12"/>
      <name val="Preeti"/>
    </font>
    <font>
      <sz val="1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36">
    <xf numFmtId="0" fontId="0" fillId="0" borderId="0" xfId="0"/>
    <xf numFmtId="0" fontId="4" fillId="0" borderId="1" xfId="0" applyFont="1" applyBorder="1" applyAlignment="1">
      <alignment horizontal="center"/>
    </xf>
    <xf numFmtId="0" fontId="4" fillId="0" borderId="1" xfId="0" applyFont="1" applyBorder="1" applyAlignment="1">
      <alignment horizontal="center" vertical="top" wrapText="1"/>
    </xf>
    <xf numFmtId="43" fontId="4" fillId="0" borderId="1" xfId="1" applyFont="1" applyBorder="1" applyAlignment="1">
      <alignment horizontal="center"/>
    </xf>
    <xf numFmtId="0" fontId="4" fillId="0" borderId="1" xfId="0" applyFont="1" applyBorder="1" applyAlignment="1">
      <alignment horizontal="center" wrapText="1"/>
    </xf>
    <xf numFmtId="1" fontId="5" fillId="0" borderId="1" xfId="0" applyNumberFormat="1" applyFont="1" applyFill="1" applyBorder="1" applyAlignment="1">
      <alignment vertical="center"/>
    </xf>
    <xf numFmtId="164" fontId="6" fillId="0" borderId="1" xfId="0" applyNumberFormat="1" applyFont="1" applyFill="1" applyBorder="1" applyAlignment="1">
      <alignment vertical="center"/>
    </xf>
    <xf numFmtId="2" fontId="6" fillId="0" borderId="1" xfId="0" applyNumberFormat="1" applyFont="1" applyFill="1" applyBorder="1" applyAlignment="1">
      <alignment vertical="center"/>
    </xf>
    <xf numFmtId="2" fontId="5" fillId="0" borderId="1" xfId="0" applyNumberFormat="1" applyFont="1" applyFill="1" applyBorder="1" applyAlignment="1">
      <alignment vertical="center"/>
    </xf>
    <xf numFmtId="2" fontId="5" fillId="0" borderId="1" xfId="1" applyNumberFormat="1" applyFont="1" applyFill="1" applyBorder="1" applyAlignment="1">
      <alignment vertical="center"/>
    </xf>
    <xf numFmtId="2" fontId="2" fillId="0" borderId="1" xfId="0" applyNumberFormat="1" applyFont="1" applyBorder="1" applyAlignment="1"/>
    <xf numFmtId="0" fontId="0" fillId="0" borderId="0" xfId="0" applyBorder="1"/>
    <xf numFmtId="0" fontId="7" fillId="0" borderId="1" xfId="0" applyFont="1" applyBorder="1"/>
    <xf numFmtId="0" fontId="7" fillId="0" borderId="1" xfId="0" quotePrefix="1" applyFont="1" applyBorder="1" applyAlignment="1">
      <alignment horizontal="right" wrapText="1"/>
    </xf>
    <xf numFmtId="2" fontId="7" fillId="0" borderId="1" xfId="0" applyNumberFormat="1" applyFont="1" applyBorder="1"/>
    <xf numFmtId="2" fontId="7" fillId="0" borderId="1" xfId="0" applyNumberFormat="1" applyFont="1" applyBorder="1" applyAlignment="1">
      <alignment vertical="center"/>
    </xf>
    <xf numFmtId="0" fontId="2" fillId="0" borderId="1" xfId="0" applyFont="1" applyBorder="1"/>
    <xf numFmtId="2" fontId="2" fillId="0" borderId="1" xfId="0" applyNumberFormat="1" applyFont="1" applyBorder="1"/>
    <xf numFmtId="164" fontId="7" fillId="0" borderId="1" xfId="0" applyNumberFormat="1" applyFont="1" applyBorder="1" applyAlignment="1"/>
    <xf numFmtId="2" fontId="7" fillId="0" borderId="1" xfId="0" applyNumberFormat="1" applyFont="1" applyBorder="1" applyAlignment="1"/>
    <xf numFmtId="0" fontId="2" fillId="0" borderId="1" xfId="0" applyFont="1" applyBorder="1" applyAlignment="1">
      <alignment horizontal="right" wrapText="1"/>
    </xf>
    <xf numFmtId="164" fontId="7" fillId="0" borderId="1" xfId="0" applyNumberFormat="1" applyFont="1" applyBorder="1"/>
    <xf numFmtId="0" fontId="7" fillId="0" borderId="0" xfId="0" applyFont="1" applyBorder="1"/>
    <xf numFmtId="0" fontId="2" fillId="0" borderId="0" xfId="0" applyFont="1" applyBorder="1"/>
    <xf numFmtId="2" fontId="7" fillId="0" borderId="0" xfId="0" applyNumberFormat="1" applyFont="1" applyBorder="1"/>
    <xf numFmtId="2" fontId="2" fillId="0" borderId="0" xfId="0" applyNumberFormat="1" applyFont="1" applyBorder="1"/>
    <xf numFmtId="0" fontId="2" fillId="0" borderId="0" xfId="0" applyFont="1" applyBorder="1" applyAlignment="1">
      <alignment horizontal="right" wrapText="1"/>
    </xf>
    <xf numFmtId="164" fontId="7" fillId="0" borderId="0" xfId="0" applyNumberFormat="1" applyFont="1" applyBorder="1"/>
    <xf numFmtId="0" fontId="8" fillId="2" borderId="1" xfId="0" applyFont="1" applyFill="1" applyBorder="1" applyAlignment="1">
      <alignment wrapText="1"/>
    </xf>
    <xf numFmtId="2" fontId="6" fillId="0" borderId="1" xfId="1" applyNumberFormat="1" applyFont="1" applyFill="1" applyBorder="1" applyAlignment="1">
      <alignment vertical="center" wrapText="1"/>
    </xf>
    <xf numFmtId="2" fontId="6" fillId="0" borderId="1" xfId="0" applyNumberFormat="1" applyFont="1" applyFill="1" applyBorder="1" applyAlignment="1">
      <alignment vertical="center" wrapText="1"/>
    </xf>
    <xf numFmtId="0" fontId="7" fillId="0" borderId="1" xfId="0" quotePrefix="1" applyFont="1" applyBorder="1" applyAlignment="1">
      <alignment horizontal="center" wrapText="1"/>
    </xf>
    <xf numFmtId="0" fontId="3" fillId="0" borderId="0" xfId="0" applyFont="1" applyAlignment="1">
      <alignment horizontal="center"/>
    </xf>
    <xf numFmtId="0" fontId="7" fillId="0" borderId="1" xfId="0" quotePrefix="1" applyFont="1" applyBorder="1" applyAlignment="1">
      <alignment wrapText="1"/>
    </xf>
    <xf numFmtId="2" fontId="6" fillId="0" borderId="1" xfId="1" applyNumberFormat="1" applyFont="1" applyFill="1" applyBorder="1" applyAlignment="1">
      <alignment vertical="center"/>
    </xf>
    <xf numFmtId="2" fontId="9" fillId="0" borderId="1" xfId="0" applyNumberFormat="1" applyFont="1" applyBorder="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6"/>
  <sheetViews>
    <sheetView tabSelected="1" topLeftCell="A123" zoomScaleNormal="100" workbookViewId="0">
      <selection activeCell="G138" sqref="G138"/>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s>
  <sheetData>
    <row r="1" spans="1:9" ht="18.75" x14ac:dyDescent="0.3">
      <c r="A1" s="32" t="s">
        <v>0</v>
      </c>
      <c r="B1" s="32"/>
      <c r="C1" s="32"/>
      <c r="D1" s="32"/>
      <c r="E1" s="32"/>
      <c r="F1" s="32"/>
      <c r="G1" s="32"/>
      <c r="H1" s="32"/>
      <c r="I1" s="32"/>
    </row>
    <row r="2" spans="1:9" ht="15" customHeight="1" x14ac:dyDescent="0.25">
      <c r="A2" s="1" t="s">
        <v>1</v>
      </c>
      <c r="B2" s="2" t="s">
        <v>2</v>
      </c>
      <c r="C2" s="1" t="s">
        <v>3</v>
      </c>
      <c r="D2" s="3" t="s">
        <v>4</v>
      </c>
      <c r="E2" s="3" t="s">
        <v>5</v>
      </c>
      <c r="F2" s="3" t="s">
        <v>6</v>
      </c>
      <c r="G2" s="3" t="s">
        <v>7</v>
      </c>
      <c r="H2" s="1" t="s">
        <v>8</v>
      </c>
      <c r="I2" s="4" t="s">
        <v>9</v>
      </c>
    </row>
    <row r="3" spans="1:9" ht="45" x14ac:dyDescent="0.25">
      <c r="A3" s="5">
        <v>1</v>
      </c>
      <c r="B3" s="28" t="s">
        <v>12</v>
      </c>
      <c r="C3" s="6" t="s">
        <v>3</v>
      </c>
      <c r="D3" s="29" t="s">
        <v>14</v>
      </c>
      <c r="E3" s="30" t="s">
        <v>15</v>
      </c>
      <c r="F3" s="30" t="s">
        <v>16</v>
      </c>
      <c r="G3" s="9"/>
      <c r="H3" s="8"/>
      <c r="I3" s="7"/>
    </row>
    <row r="4" spans="1:9" ht="15" customHeight="1" x14ac:dyDescent="0.25">
      <c r="A4" s="5"/>
      <c r="B4" s="31" t="s">
        <v>13</v>
      </c>
      <c r="C4" s="12"/>
      <c r="D4" s="14"/>
      <c r="E4" s="14"/>
      <c r="F4" s="14"/>
      <c r="G4" s="15"/>
      <c r="H4" s="16"/>
      <c r="I4" s="7"/>
    </row>
    <row r="5" spans="1:9" ht="15" customHeight="1" x14ac:dyDescent="0.25">
      <c r="A5" s="5"/>
      <c r="B5" s="13" t="s">
        <v>20</v>
      </c>
      <c r="C5" s="12">
        <f>2*4*(TRUNC(((D5-0.1)/0.127),0)+1)</f>
        <v>96</v>
      </c>
      <c r="D5" s="14">
        <f>5/3.281</f>
        <v>1.5239256324291375</v>
      </c>
      <c r="E5" s="14">
        <f t="shared" ref="E5:E10" si="0">12*12/162</f>
        <v>0.88888888888888884</v>
      </c>
      <c r="F5" s="14">
        <f t="shared" ref="F5:F10" si="1">PRODUCT(C5:E5)</f>
        <v>130.04165396728638</v>
      </c>
      <c r="G5" s="15">
        <f>F5/1000</f>
        <v>0.13004165396728637</v>
      </c>
      <c r="H5" s="16"/>
      <c r="I5" s="7"/>
    </row>
    <row r="6" spans="1:9" ht="15" customHeight="1" x14ac:dyDescent="0.25">
      <c r="A6" s="5"/>
      <c r="B6" s="13" t="s">
        <v>18</v>
      </c>
      <c r="C6" s="12">
        <f>2*2*(TRUNC(((D6-0.1)/0.127),0)+1)</f>
        <v>60</v>
      </c>
      <c r="D6" s="14">
        <f>6.25/3.281</f>
        <v>1.9049070405364217</v>
      </c>
      <c r="E6" s="14">
        <f t="shared" si="0"/>
        <v>0.88888888888888884</v>
      </c>
      <c r="F6" s="14">
        <f t="shared" si="1"/>
        <v>101.59504216194249</v>
      </c>
      <c r="G6" s="15">
        <f t="shared" ref="G6:G47" si="2">F6/1000</f>
        <v>0.10159504216194248</v>
      </c>
      <c r="H6" s="16"/>
      <c r="I6" s="7"/>
    </row>
    <row r="7" spans="1:9" ht="15" customHeight="1" x14ac:dyDescent="0.25">
      <c r="A7" s="5"/>
      <c r="B7" s="13" t="s">
        <v>19</v>
      </c>
      <c r="C7" s="12">
        <f>2*2*(TRUNC(((D7-0.1)/0.127),0)+1)</f>
        <v>72</v>
      </c>
      <c r="D7" s="14">
        <f>7.5/3.281</f>
        <v>2.2858884486437061</v>
      </c>
      <c r="E7" s="14">
        <f t="shared" si="0"/>
        <v>0.88888888888888884</v>
      </c>
      <c r="F7" s="14">
        <f t="shared" si="1"/>
        <v>146.29686071319719</v>
      </c>
      <c r="G7" s="15">
        <f t="shared" si="2"/>
        <v>0.1462968607131972</v>
      </c>
      <c r="H7" s="16"/>
      <c r="I7" s="7"/>
    </row>
    <row r="8" spans="1:9" ht="15" customHeight="1" x14ac:dyDescent="0.25">
      <c r="A8" s="5"/>
      <c r="B8" s="13" t="s">
        <v>21</v>
      </c>
      <c r="C8" s="12">
        <f>2*2*(TRUNC(((D8-0.1)/0.127),0)+1)</f>
        <v>52</v>
      </c>
      <c r="D8" s="14">
        <f>5.5/3.281</f>
        <v>1.6763181956720512</v>
      </c>
      <c r="E8" s="14">
        <f t="shared" si="0"/>
        <v>0.88888888888888884</v>
      </c>
      <c r="F8" s="14">
        <f t="shared" si="1"/>
        <v>77.483152155508151</v>
      </c>
      <c r="G8" s="15">
        <f t="shared" si="2"/>
        <v>7.7483152155508148E-2</v>
      </c>
      <c r="H8" s="16"/>
      <c r="I8" s="7"/>
    </row>
    <row r="9" spans="1:9" ht="15" customHeight="1" x14ac:dyDescent="0.25">
      <c r="A9" s="5"/>
      <c r="B9" s="13" t="s">
        <v>17</v>
      </c>
      <c r="C9" s="12">
        <f>(TRUNC(((D10-0.1)/0.127),0)+1)</f>
        <v>25</v>
      </c>
      <c r="D9" s="14">
        <f>5/3.281</f>
        <v>1.5239256324291375</v>
      </c>
      <c r="E9" s="14">
        <f t="shared" si="0"/>
        <v>0.88888888888888884</v>
      </c>
      <c r="F9" s="14">
        <f t="shared" si="1"/>
        <v>33.865014053980829</v>
      </c>
      <c r="G9" s="15">
        <f t="shared" si="2"/>
        <v>3.3865014053980833E-2</v>
      </c>
      <c r="H9" s="16"/>
      <c r="I9" s="7"/>
    </row>
    <row r="10" spans="1:9" ht="15" customHeight="1" x14ac:dyDescent="0.25">
      <c r="A10" s="5"/>
      <c r="B10" s="13"/>
      <c r="C10" s="12">
        <f>(TRUNC(((D9-0.1)/0.127),0)+1)</f>
        <v>12</v>
      </c>
      <c r="D10" s="14">
        <f>10.5/3.281</f>
        <v>3.2002438281011885</v>
      </c>
      <c r="E10" s="14">
        <f t="shared" si="0"/>
        <v>0.88888888888888884</v>
      </c>
      <c r="F10" s="14">
        <f t="shared" si="1"/>
        <v>34.135934166412675</v>
      </c>
      <c r="G10" s="15">
        <f t="shared" si="2"/>
        <v>3.4135934166412675E-2</v>
      </c>
      <c r="H10" s="16"/>
      <c r="I10" s="7"/>
    </row>
    <row r="11" spans="1:9" ht="15" customHeight="1" x14ac:dyDescent="0.25">
      <c r="A11" s="5"/>
      <c r="B11" s="31" t="s">
        <v>22</v>
      </c>
      <c r="C11" s="12"/>
      <c r="D11" s="14"/>
      <c r="E11" s="14"/>
      <c r="F11" s="14"/>
      <c r="G11" s="15"/>
      <c r="H11" s="16"/>
      <c r="I11" s="7"/>
    </row>
    <row r="12" spans="1:9" ht="15" customHeight="1" x14ac:dyDescent="0.25">
      <c r="A12" s="5"/>
      <c r="B12" s="13"/>
      <c r="C12" s="12">
        <f>4*2</f>
        <v>8</v>
      </c>
      <c r="D12" s="14">
        <f>(20.42-0.333)/3.281</f>
        <v>6.1222188357208172</v>
      </c>
      <c r="E12" s="14">
        <f>16*16/162</f>
        <v>1.5802469135802468</v>
      </c>
      <c r="F12" s="14">
        <f t="shared" ref="F12:F27" si="3">PRODUCT(C12:E12)</f>
        <v>77.396939355285383</v>
      </c>
      <c r="G12" s="15">
        <f t="shared" si="2"/>
        <v>7.7396939355285382E-2</v>
      </c>
      <c r="H12" s="16"/>
      <c r="I12" s="7"/>
    </row>
    <row r="13" spans="1:9" ht="15" customHeight="1" x14ac:dyDescent="0.25">
      <c r="A13" s="5"/>
      <c r="B13" s="13"/>
      <c r="C13" s="12">
        <f>TRUNC((D12-0.41*3-0.1*3)/0.1,0)+1</f>
        <v>46</v>
      </c>
      <c r="D13" s="14">
        <f>((1.833+1.17)*2+0.15)/3.281</f>
        <v>1.8762572386467542</v>
      </c>
      <c r="E13" s="14">
        <f>8*8/162</f>
        <v>0.39506172839506171</v>
      </c>
      <c r="F13" s="14">
        <f t="shared" si="3"/>
        <v>34.096921670222493</v>
      </c>
      <c r="G13" s="15">
        <f t="shared" si="2"/>
        <v>3.4096921670222491E-2</v>
      </c>
      <c r="H13" s="16"/>
      <c r="I13" s="7"/>
    </row>
    <row r="14" spans="1:9" ht="15" customHeight="1" x14ac:dyDescent="0.25">
      <c r="A14" s="5"/>
      <c r="B14" s="13"/>
      <c r="C14" s="12">
        <f>4*2</f>
        <v>8</v>
      </c>
      <c r="D14" s="14">
        <f>(14.75-0.333)/3.281</f>
        <v>4.3940871685461751</v>
      </c>
      <c r="E14" s="14">
        <f>16*16/162</f>
        <v>1.5802469135802468</v>
      </c>
      <c r="F14" s="14">
        <f t="shared" si="3"/>
        <v>55.549941488781272</v>
      </c>
      <c r="G14" s="15">
        <f t="shared" si="2"/>
        <v>5.5549941488781271E-2</v>
      </c>
      <c r="H14" s="16"/>
      <c r="I14" s="7"/>
    </row>
    <row r="15" spans="1:9" ht="15" customHeight="1" x14ac:dyDescent="0.25">
      <c r="A15" s="5"/>
      <c r="B15" s="13"/>
      <c r="C15" s="12">
        <f>TRUNC((D14-0.41*2-0.1*2)/0.1,0)+1</f>
        <v>34</v>
      </c>
      <c r="D15" s="14">
        <f>((1.833+1.17)*2+0.15)/3.281</f>
        <v>1.8762572386467542</v>
      </c>
      <c r="E15" s="14">
        <f>8*8/162</f>
        <v>0.39506172839506171</v>
      </c>
      <c r="F15" s="14">
        <f t="shared" si="3"/>
        <v>25.202072538860104</v>
      </c>
      <c r="G15" s="15">
        <f t="shared" si="2"/>
        <v>2.5202072538860105E-2</v>
      </c>
      <c r="H15" s="16"/>
      <c r="I15" s="7"/>
    </row>
    <row r="16" spans="1:9" ht="15" customHeight="1" x14ac:dyDescent="0.25">
      <c r="A16" s="5"/>
      <c r="B16" s="13"/>
      <c r="C16" s="12">
        <f>2*(4*2)</f>
        <v>16</v>
      </c>
      <c r="D16" s="14">
        <f>(15.5-0.333)/3.281</f>
        <v>4.6226760134105449</v>
      </c>
      <c r="E16" s="14">
        <f>16*16/162</f>
        <v>1.5802469135802468</v>
      </c>
      <c r="F16" s="14">
        <f t="shared" si="3"/>
        <v>116.87951204277525</v>
      </c>
      <c r="G16" s="15">
        <f t="shared" si="2"/>
        <v>0.11687951204277525</v>
      </c>
      <c r="H16" s="16"/>
      <c r="I16" s="7"/>
    </row>
    <row r="17" spans="1:9" ht="15" customHeight="1" x14ac:dyDescent="0.25">
      <c r="A17" s="5"/>
      <c r="B17" s="13"/>
      <c r="C17" s="12">
        <f>2*(TRUNC((D16-0.41*2-0.1*2)/0.1,0)+1)</f>
        <v>74</v>
      </c>
      <c r="D17" s="14">
        <f>((1.833+1.17)*2+0.15)/3.281</f>
        <v>1.8762572386467542</v>
      </c>
      <c r="E17" s="14">
        <f>8*8/162</f>
        <v>0.39506172839506171</v>
      </c>
      <c r="F17" s="14">
        <f t="shared" si="3"/>
        <v>54.851569643401412</v>
      </c>
      <c r="G17" s="15">
        <f t="shared" si="2"/>
        <v>5.4851569643401411E-2</v>
      </c>
      <c r="H17" s="16"/>
      <c r="I17" s="7"/>
    </row>
    <row r="18" spans="1:9" ht="15" customHeight="1" x14ac:dyDescent="0.25">
      <c r="A18" s="5"/>
      <c r="B18" s="13"/>
      <c r="C18" s="12">
        <f>4*2</f>
        <v>8</v>
      </c>
      <c r="D18" s="14">
        <f>(14.42-0.333)/3.281</f>
        <v>4.2935080768058516</v>
      </c>
      <c r="E18" s="14">
        <f>16*16/162</f>
        <v>1.5802469135802468</v>
      </c>
      <c r="F18" s="14">
        <f t="shared" si="3"/>
        <v>54.278423094434466</v>
      </c>
      <c r="G18" s="15">
        <f t="shared" si="2"/>
        <v>5.4278423094434466E-2</v>
      </c>
      <c r="H18" s="16"/>
      <c r="I18" s="7"/>
    </row>
    <row r="19" spans="1:9" ht="15" customHeight="1" x14ac:dyDescent="0.25">
      <c r="A19" s="5"/>
      <c r="B19" s="13"/>
      <c r="C19" s="12">
        <f>TRUNC((D18-0.41*2-0.1*2)/0.1,0)+1</f>
        <v>33</v>
      </c>
      <c r="D19" s="14">
        <f>((1.833+1.17)*2+0.15)/3.281</f>
        <v>1.8762572386467542</v>
      </c>
      <c r="E19" s="14">
        <f>8*8/162</f>
        <v>0.39506172839506171</v>
      </c>
      <c r="F19" s="14">
        <f t="shared" si="3"/>
        <v>24.460835111246571</v>
      </c>
      <c r="G19" s="15">
        <f t="shared" si="2"/>
        <v>2.4460835111246571E-2</v>
      </c>
      <c r="H19" s="16"/>
      <c r="I19" s="7"/>
    </row>
    <row r="20" spans="1:9" ht="15" customHeight="1" x14ac:dyDescent="0.25">
      <c r="A20" s="5"/>
      <c r="B20" s="13"/>
      <c r="C20" s="12">
        <f>4*2</f>
        <v>8</v>
      </c>
      <c r="D20" s="14">
        <f>(15.083-0.333)/3.281</f>
        <v>4.495580615665955</v>
      </c>
      <c r="E20" s="14">
        <f>16*16/162</f>
        <v>1.5802469135802468</v>
      </c>
      <c r="F20" s="14">
        <f t="shared" si="3"/>
        <v>56.83301914125849</v>
      </c>
      <c r="G20" s="15">
        <f t="shared" si="2"/>
        <v>5.683301914125849E-2</v>
      </c>
      <c r="H20" s="16"/>
      <c r="I20" s="7"/>
    </row>
    <row r="21" spans="1:9" ht="15" customHeight="1" x14ac:dyDescent="0.25">
      <c r="A21" s="5"/>
      <c r="B21" s="13"/>
      <c r="C21" s="12">
        <f>TRUNC((D20-0.41*2-0.1*2)/0.1,0)+1</f>
        <v>35</v>
      </c>
      <c r="D21" s="14">
        <f>((1.833+1.17)*2+0.15)/3.281</f>
        <v>1.8762572386467542</v>
      </c>
      <c r="E21" s="14">
        <f>8*8/162</f>
        <v>0.39506172839506171</v>
      </c>
      <c r="F21" s="14">
        <f t="shared" si="3"/>
        <v>25.943309966473635</v>
      </c>
      <c r="G21" s="15">
        <f t="shared" si="2"/>
        <v>2.5943309966473635E-2</v>
      </c>
      <c r="H21" s="16"/>
      <c r="I21" s="7"/>
    </row>
    <row r="22" spans="1:9" ht="15" customHeight="1" x14ac:dyDescent="0.25">
      <c r="A22" s="5"/>
      <c r="B22" s="13"/>
      <c r="C22" s="12">
        <f>4*2</f>
        <v>8</v>
      </c>
      <c r="D22" s="14">
        <f>(14.083-0.333)/3.281</f>
        <v>4.190795489180128</v>
      </c>
      <c r="E22" s="14">
        <f>16*16/162</f>
        <v>1.5802469135802468</v>
      </c>
      <c r="F22" s="14">
        <f t="shared" si="3"/>
        <v>52.979933097783345</v>
      </c>
      <c r="G22" s="15">
        <f t="shared" si="2"/>
        <v>5.2979933097783344E-2</v>
      </c>
      <c r="H22" s="16"/>
      <c r="I22" s="7"/>
    </row>
    <row r="23" spans="1:9" ht="15" customHeight="1" x14ac:dyDescent="0.25">
      <c r="A23" s="5"/>
      <c r="B23" s="13"/>
      <c r="C23" s="12">
        <f>TRUNC((D22-0.41*2-0.1*2)/0.1,0)+1</f>
        <v>32</v>
      </c>
      <c r="D23" s="14">
        <f>((1.833+1.17)*2+0.15)/3.281</f>
        <v>1.8762572386467542</v>
      </c>
      <c r="E23" s="14">
        <f>8*8/162</f>
        <v>0.39506172839506171</v>
      </c>
      <c r="F23" s="14">
        <f t="shared" si="3"/>
        <v>23.71959768363304</v>
      </c>
      <c r="G23" s="15">
        <f t="shared" si="2"/>
        <v>2.3719597683633041E-2</v>
      </c>
      <c r="H23" s="16"/>
      <c r="I23" s="7"/>
    </row>
    <row r="24" spans="1:9" ht="15" customHeight="1" x14ac:dyDescent="0.25">
      <c r="A24" s="5"/>
      <c r="B24" s="13"/>
      <c r="C24" s="12">
        <f>4*2</f>
        <v>8</v>
      </c>
      <c r="D24" s="14">
        <f>(15-0.333)/3.281</f>
        <v>4.4702834501676314</v>
      </c>
      <c r="E24" s="14">
        <f>16*16/162</f>
        <v>1.5802469135802468</v>
      </c>
      <c r="F24" s="14">
        <f t="shared" si="3"/>
        <v>56.513212999650051</v>
      </c>
      <c r="G24" s="15">
        <f t="shared" si="2"/>
        <v>5.651321299965005E-2</v>
      </c>
      <c r="H24" s="16"/>
      <c r="I24" s="7"/>
    </row>
    <row r="25" spans="1:9" ht="15" customHeight="1" x14ac:dyDescent="0.25">
      <c r="A25" s="5"/>
      <c r="B25" s="13"/>
      <c r="C25" s="12">
        <f>TRUNC((D24-0.41*2-0.1*2)/0.1,0)+1</f>
        <v>35</v>
      </c>
      <c r="D25" s="14">
        <f>((1.833+1.17)*2+0.15)/3.281</f>
        <v>1.8762572386467542</v>
      </c>
      <c r="E25" s="14">
        <f>8*8/162</f>
        <v>0.39506172839506171</v>
      </c>
      <c r="F25" s="14">
        <f t="shared" si="3"/>
        <v>25.943309966473635</v>
      </c>
      <c r="G25" s="15">
        <f t="shared" si="2"/>
        <v>2.5943309966473635E-2</v>
      </c>
      <c r="H25" s="16"/>
      <c r="I25" s="7"/>
    </row>
    <row r="26" spans="1:9" ht="15" customHeight="1" x14ac:dyDescent="0.25">
      <c r="A26" s="5"/>
      <c r="B26" s="13"/>
      <c r="C26" s="12">
        <f>4*2</f>
        <v>8</v>
      </c>
      <c r="D26" s="14">
        <f>(13.17-0.333)/3.281</f>
        <v>3.9125266686985674</v>
      </c>
      <c r="E26" s="14">
        <f>16*16/162</f>
        <v>1.5802469135802468</v>
      </c>
      <c r="F26" s="14">
        <f t="shared" si="3"/>
        <v>49.462065540090528</v>
      </c>
      <c r="G26" s="15">
        <f t="shared" si="2"/>
        <v>4.9462065540090527E-2</v>
      </c>
      <c r="H26" s="16"/>
      <c r="I26" s="7"/>
    </row>
    <row r="27" spans="1:9" ht="15" customHeight="1" x14ac:dyDescent="0.25">
      <c r="A27" s="5"/>
      <c r="B27" s="13"/>
      <c r="C27" s="12">
        <f>TRUNC((D26-0.41*2-0.1*2)/0.1,0)+1</f>
        <v>29</v>
      </c>
      <c r="D27" s="14">
        <f>((1.833+1.17)*2+0.15)/3.281</f>
        <v>1.8762572386467542</v>
      </c>
      <c r="E27" s="14">
        <f>8*8/162</f>
        <v>0.39506172839506171</v>
      </c>
      <c r="F27" s="14">
        <f t="shared" si="3"/>
        <v>21.495885400792442</v>
      </c>
      <c r="G27" s="15">
        <f t="shared" si="2"/>
        <v>2.1495885400792444E-2</v>
      </c>
      <c r="H27" s="16"/>
      <c r="I27" s="7"/>
    </row>
    <row r="28" spans="1:9" ht="15" customHeight="1" x14ac:dyDescent="0.25">
      <c r="A28" s="5"/>
      <c r="B28" s="31" t="s">
        <v>23</v>
      </c>
      <c r="C28" s="12"/>
      <c r="D28" s="14"/>
      <c r="E28" s="14"/>
      <c r="F28" s="14"/>
      <c r="G28" s="15"/>
      <c r="H28" s="16"/>
      <c r="I28" s="7"/>
    </row>
    <row r="29" spans="1:9" ht="15" customHeight="1" x14ac:dyDescent="0.25">
      <c r="A29" s="5"/>
      <c r="B29" s="13" t="s">
        <v>24</v>
      </c>
      <c r="C29" s="12">
        <f>2*3*2</f>
        <v>12</v>
      </c>
      <c r="D29" s="14">
        <f>(18.5-0.5)/3.281</f>
        <v>5.486132276744895</v>
      </c>
      <c r="E29" s="14">
        <f>12*12/162</f>
        <v>0.88888888888888884</v>
      </c>
      <c r="F29" s="14">
        <f t="shared" ref="F29:F47" si="4">PRODUCT(C29:E29)</f>
        <v>58.518744285278871</v>
      </c>
      <c r="G29" s="15">
        <f t="shared" si="2"/>
        <v>5.8518744285278868E-2</v>
      </c>
      <c r="H29" s="16"/>
      <c r="I29" s="7"/>
    </row>
    <row r="30" spans="1:9" ht="15" customHeight="1" x14ac:dyDescent="0.25">
      <c r="A30" s="5"/>
      <c r="B30" s="13"/>
      <c r="C30" s="12">
        <f>2*(TRUNC((D29-0.41*3-3*0.05)/0.1,0)+1)</f>
        <v>84</v>
      </c>
      <c r="D30" s="14">
        <f>((0.583+1.17)*2+0.15)/3.281</f>
        <v>1.1142944224321851</v>
      </c>
      <c r="E30" s="14">
        <f>8*8/162</f>
        <v>0.39506172839506171</v>
      </c>
      <c r="F30" s="14">
        <f t="shared" si="4"/>
        <v>36.978066759231034</v>
      </c>
      <c r="G30" s="15">
        <f t="shared" si="2"/>
        <v>3.6978066759231036E-2</v>
      </c>
      <c r="H30" s="16"/>
      <c r="I30" s="7"/>
    </row>
    <row r="31" spans="1:9" ht="15" customHeight="1" x14ac:dyDescent="0.25">
      <c r="A31" s="5"/>
      <c r="B31" s="13" t="s">
        <v>26</v>
      </c>
      <c r="C31" s="12">
        <f>2*(3*2)</f>
        <v>12</v>
      </c>
      <c r="D31" s="14">
        <f>(22.5-0.5)/3.281</f>
        <v>6.7052727826882048</v>
      </c>
      <c r="E31" s="14">
        <f>12*12/162</f>
        <v>0.88888888888888884</v>
      </c>
      <c r="F31" s="14">
        <f t="shared" si="4"/>
        <v>71.522909682007509</v>
      </c>
      <c r="G31" s="15">
        <f t="shared" si="2"/>
        <v>7.1522909682007502E-2</v>
      </c>
      <c r="H31" s="16"/>
      <c r="I31" s="7"/>
    </row>
    <row r="32" spans="1:9" ht="15" customHeight="1" x14ac:dyDescent="0.25">
      <c r="A32" s="5"/>
      <c r="B32" s="13"/>
      <c r="C32" s="12">
        <f>2*(TRUNC((D31-0.41*3-3*0.05)/0.1,0)+1)</f>
        <v>108</v>
      </c>
      <c r="D32" s="14">
        <f>((0.583+1.17)*2+0.15)/3.281</f>
        <v>1.1142944224321851</v>
      </c>
      <c r="E32" s="14">
        <f>8*8/162</f>
        <v>0.39506172839506171</v>
      </c>
      <c r="F32" s="14">
        <f t="shared" si="4"/>
        <v>47.543228690439896</v>
      </c>
      <c r="G32" s="15">
        <f t="shared" si="2"/>
        <v>4.75432286904399E-2</v>
      </c>
      <c r="H32" s="16"/>
      <c r="I32" s="7"/>
    </row>
    <row r="33" spans="1:9" ht="15" customHeight="1" x14ac:dyDescent="0.25">
      <c r="A33" s="5"/>
      <c r="B33" s="13" t="s">
        <v>27</v>
      </c>
      <c r="C33" s="12">
        <f>2*(3*2)</f>
        <v>12</v>
      </c>
      <c r="D33" s="14">
        <f>(26.42-0.5)/3.281</f>
        <v>7.9000304785126492</v>
      </c>
      <c r="E33" s="14">
        <f>12*12/162</f>
        <v>0.88888888888888884</v>
      </c>
      <c r="F33" s="14">
        <f t="shared" si="4"/>
        <v>84.266991770801596</v>
      </c>
      <c r="G33" s="15">
        <f t="shared" si="2"/>
        <v>8.4266991770801603E-2</v>
      </c>
      <c r="H33" s="16"/>
      <c r="I33" s="7"/>
    </row>
    <row r="34" spans="1:9" ht="15" customHeight="1" x14ac:dyDescent="0.25">
      <c r="A34" s="5"/>
      <c r="B34" s="13"/>
      <c r="C34" s="12">
        <f>2*(TRUNC((D33-0.41*3-3*0.05)/0.1,0)+1)</f>
        <v>132</v>
      </c>
      <c r="D34" s="14">
        <f>((0.583+1.17)*2+0.15)/3.281</f>
        <v>1.1142944224321851</v>
      </c>
      <c r="E34" s="14">
        <f>8*8/162</f>
        <v>0.39506172839506171</v>
      </c>
      <c r="F34" s="14">
        <f t="shared" si="4"/>
        <v>58.108390621648766</v>
      </c>
      <c r="G34" s="15">
        <f t="shared" si="2"/>
        <v>5.8108390621648763E-2</v>
      </c>
      <c r="H34" s="16"/>
      <c r="I34" s="7"/>
    </row>
    <row r="35" spans="1:9" ht="15" customHeight="1" x14ac:dyDescent="0.25">
      <c r="A35" s="5"/>
      <c r="B35" s="13" t="s">
        <v>25</v>
      </c>
      <c r="C35" s="12">
        <f>2*(3*2)</f>
        <v>12</v>
      </c>
      <c r="D35" s="14">
        <f>(25.917-0.5)/3.281</f>
        <v>7.7467235598902775</v>
      </c>
      <c r="E35" s="14">
        <f>12*12/162</f>
        <v>0.88888888888888884</v>
      </c>
      <c r="F35" s="14">
        <f t="shared" si="4"/>
        <v>82.63171797216296</v>
      </c>
      <c r="G35" s="15">
        <f t="shared" si="2"/>
        <v>8.2631717972162955E-2</v>
      </c>
      <c r="H35" s="16"/>
      <c r="I35" s="7"/>
    </row>
    <row r="36" spans="1:9" ht="15" customHeight="1" x14ac:dyDescent="0.25">
      <c r="A36" s="5"/>
      <c r="B36" s="13"/>
      <c r="C36" s="12">
        <f>2*(TRUNC((D35-0.41*3-3*0.05)/0.1,0)+1)</f>
        <v>128</v>
      </c>
      <c r="D36" s="14">
        <f>((0.583+1.17)*2+0.15)/3.281</f>
        <v>1.1142944224321851</v>
      </c>
      <c r="E36" s="14">
        <f>8*8/162</f>
        <v>0.39506172839506171</v>
      </c>
      <c r="F36" s="14">
        <f t="shared" si="4"/>
        <v>56.347530299780615</v>
      </c>
      <c r="G36" s="15">
        <f t="shared" si="2"/>
        <v>5.6347530299780617E-2</v>
      </c>
      <c r="H36" s="16"/>
      <c r="I36" s="7"/>
    </row>
    <row r="37" spans="1:9" ht="15" customHeight="1" x14ac:dyDescent="0.25">
      <c r="A37" s="5"/>
      <c r="B37" s="13" t="s">
        <v>28</v>
      </c>
      <c r="C37" s="12">
        <f>2*(3*2)</f>
        <v>12</v>
      </c>
      <c r="D37" s="14">
        <f>(33.833-0.5)/3.281</f>
        <v>10.159402621152086</v>
      </c>
      <c r="E37" s="14">
        <f>12*12/162</f>
        <v>0.88888888888888884</v>
      </c>
      <c r="F37" s="14">
        <f t="shared" si="4"/>
        <v>108.36696129228892</v>
      </c>
      <c r="G37" s="15">
        <f t="shared" si="2"/>
        <v>0.10836696129228893</v>
      </c>
      <c r="H37" s="16"/>
      <c r="I37" s="7"/>
    </row>
    <row r="38" spans="1:9" ht="15" customHeight="1" x14ac:dyDescent="0.25">
      <c r="A38" s="5"/>
      <c r="B38" s="13"/>
      <c r="C38" s="12">
        <f>2*(TRUNC((D37-0.41*4-6*0.05)/0.1,0)+1)</f>
        <v>166</v>
      </c>
      <c r="D38" s="14">
        <f>((0.583+1.17)*2+0.15)/3.281</f>
        <v>1.1142944224321851</v>
      </c>
      <c r="E38" s="14">
        <f>8*8/162</f>
        <v>0.39506172839506171</v>
      </c>
      <c r="F38" s="14">
        <f t="shared" si="4"/>
        <v>73.075703357527999</v>
      </c>
      <c r="G38" s="15">
        <f t="shared" si="2"/>
        <v>7.3075703357527999E-2</v>
      </c>
      <c r="H38" s="16"/>
      <c r="I38" s="7"/>
    </row>
    <row r="39" spans="1:9" ht="15" customHeight="1" x14ac:dyDescent="0.25">
      <c r="A39" s="5"/>
      <c r="B39" s="13" t="s">
        <v>29</v>
      </c>
      <c r="C39" s="12">
        <f>2*(3*2)</f>
        <v>12</v>
      </c>
      <c r="D39" s="14">
        <f>(33.917-0.5)/3.281</f>
        <v>10.185004571776897</v>
      </c>
      <c r="E39" s="14">
        <f>12*12/162</f>
        <v>0.88888888888888884</v>
      </c>
      <c r="F39" s="14">
        <f t="shared" si="4"/>
        <v>108.64004876562024</v>
      </c>
      <c r="G39" s="15">
        <f t="shared" si="2"/>
        <v>0.10864004876562024</v>
      </c>
      <c r="H39" s="16"/>
      <c r="I39" s="7"/>
    </row>
    <row r="40" spans="1:9" ht="15" customHeight="1" x14ac:dyDescent="0.25">
      <c r="A40" s="5"/>
      <c r="B40" s="13"/>
      <c r="C40" s="12">
        <f>2*(TRUNC((D39-0.41*4-6*0.05)/0.1,0)+1)</f>
        <v>166</v>
      </c>
      <c r="D40" s="14">
        <f>((0.583+1.17)*2+0.15)/3.281</f>
        <v>1.1142944224321851</v>
      </c>
      <c r="E40" s="14">
        <f>8*8/162</f>
        <v>0.39506172839506171</v>
      </c>
      <c r="F40" s="14">
        <f t="shared" si="4"/>
        <v>73.075703357527999</v>
      </c>
      <c r="G40" s="15">
        <f t="shared" si="2"/>
        <v>7.3075703357527999E-2</v>
      </c>
      <c r="H40" s="16"/>
      <c r="I40" s="7"/>
    </row>
    <row r="41" spans="1:9" ht="15" customHeight="1" x14ac:dyDescent="0.25">
      <c r="A41" s="5"/>
      <c r="B41" s="13" t="s">
        <v>30</v>
      </c>
      <c r="C41" s="12">
        <f>2*(3*2)</f>
        <v>12</v>
      </c>
      <c r="D41" s="14">
        <f>(12-0.333)/3.281</f>
        <v>3.555928070710149</v>
      </c>
      <c r="E41" s="14">
        <f>12*12/162</f>
        <v>0.88888888888888884</v>
      </c>
      <c r="F41" s="14">
        <f t="shared" si="4"/>
        <v>37.929899420908257</v>
      </c>
      <c r="G41" s="15">
        <f t="shared" si="2"/>
        <v>3.7929899420908256E-2</v>
      </c>
      <c r="H41" s="16"/>
      <c r="I41" s="7"/>
    </row>
    <row r="42" spans="1:9" ht="15" customHeight="1" x14ac:dyDescent="0.25">
      <c r="A42" s="5"/>
      <c r="B42" s="13"/>
      <c r="C42" s="12">
        <f>2*(TRUNC((D41-0.41-0.23-2*0.05)/0.1,0)+1)</f>
        <v>58</v>
      </c>
      <c r="D42" s="14">
        <f>((0.583+1.17)*2+0.15)/3.281</f>
        <v>1.1142944224321851</v>
      </c>
      <c r="E42" s="14">
        <f>8*8/162</f>
        <v>0.39506172839506171</v>
      </c>
      <c r="F42" s="14">
        <f t="shared" si="4"/>
        <v>25.532474667088092</v>
      </c>
      <c r="G42" s="15">
        <f t="shared" si="2"/>
        <v>2.5532474667088093E-2</v>
      </c>
      <c r="H42" s="16"/>
      <c r="I42" s="7"/>
    </row>
    <row r="43" spans="1:9" ht="15" customHeight="1" x14ac:dyDescent="0.25">
      <c r="A43" s="5"/>
      <c r="B43" s="13" t="s">
        <v>31</v>
      </c>
      <c r="C43" s="12">
        <f>2*(3*2)</f>
        <v>12</v>
      </c>
      <c r="D43" s="14">
        <f>(12-0.333)/3.281</f>
        <v>3.555928070710149</v>
      </c>
      <c r="E43" s="14">
        <f>12*12/162</f>
        <v>0.88888888888888884</v>
      </c>
      <c r="F43" s="14">
        <f t="shared" si="4"/>
        <v>37.929899420908257</v>
      </c>
      <c r="G43" s="15">
        <f t="shared" si="2"/>
        <v>3.7929899420908256E-2</v>
      </c>
      <c r="H43" s="16"/>
      <c r="I43" s="7"/>
    </row>
    <row r="44" spans="1:9" ht="15" customHeight="1" x14ac:dyDescent="0.25">
      <c r="A44" s="5"/>
      <c r="B44" s="13"/>
      <c r="C44" s="12">
        <f>2*(TRUNC((D43-0.41-0.23-2*0.05)/0.1,0)+1)</f>
        <v>58</v>
      </c>
      <c r="D44" s="14">
        <f>((0.583+1.17)*2+0.15)/3.281</f>
        <v>1.1142944224321851</v>
      </c>
      <c r="E44" s="14">
        <f>8*8/162</f>
        <v>0.39506172839506171</v>
      </c>
      <c r="F44" s="14">
        <f t="shared" si="4"/>
        <v>25.532474667088092</v>
      </c>
      <c r="G44" s="15">
        <f t="shared" si="2"/>
        <v>2.5532474667088093E-2</v>
      </c>
      <c r="H44" s="16"/>
      <c r="I44" s="7"/>
    </row>
    <row r="45" spans="1:9" ht="15" customHeight="1" x14ac:dyDescent="0.25">
      <c r="A45" s="5"/>
      <c r="B45" s="13" t="s">
        <v>31</v>
      </c>
      <c r="C45" s="12">
        <f>2*(3*2)</f>
        <v>12</v>
      </c>
      <c r="D45" s="14">
        <f>(11.917-0.5)/3.281</f>
        <v>3.4797317890886923</v>
      </c>
      <c r="E45" s="14">
        <f>12*12/162</f>
        <v>0.88888888888888884</v>
      </c>
      <c r="F45" s="14">
        <f t="shared" si="4"/>
        <v>37.117139083612713</v>
      </c>
      <c r="G45" s="15">
        <f t="shared" si="2"/>
        <v>3.7117139083612714E-2</v>
      </c>
      <c r="H45" s="16"/>
      <c r="I45" s="7"/>
    </row>
    <row r="46" spans="1:9" ht="15" customHeight="1" x14ac:dyDescent="0.25">
      <c r="A46" s="5"/>
      <c r="B46" s="13"/>
      <c r="C46" s="12">
        <f>2*(TRUNC((D45-0.41*2-2*0.05)/0.1,0)+1)</f>
        <v>52</v>
      </c>
      <c r="D46" s="14">
        <f>((0.583+1.17)*2+0.15)/3.281</f>
        <v>1.1142944224321851</v>
      </c>
      <c r="E46" s="14">
        <f>8*8/162</f>
        <v>0.39506172839506171</v>
      </c>
      <c r="F46" s="14">
        <f t="shared" si="4"/>
        <v>22.891184184285876</v>
      </c>
      <c r="G46" s="15">
        <f t="shared" si="2"/>
        <v>2.2891184184285877E-2</v>
      </c>
      <c r="H46" s="16"/>
      <c r="I46" s="7"/>
    </row>
    <row r="47" spans="1:9" ht="15" customHeight="1" x14ac:dyDescent="0.25">
      <c r="A47" s="5"/>
      <c r="B47" s="13" t="s">
        <v>32</v>
      </c>
      <c r="C47" s="12">
        <f>2*(54)</f>
        <v>108</v>
      </c>
      <c r="D47" s="14">
        <v>0.23</v>
      </c>
      <c r="E47" s="14">
        <f>12*12/162</f>
        <v>0.88888888888888884</v>
      </c>
      <c r="F47" s="14">
        <f t="shared" si="4"/>
        <v>22.08</v>
      </c>
      <c r="G47" s="15">
        <f t="shared" si="2"/>
        <v>2.2079999999999999E-2</v>
      </c>
      <c r="H47" s="16"/>
      <c r="I47" s="7"/>
    </row>
    <row r="48" spans="1:9" ht="15" customHeight="1" x14ac:dyDescent="0.25">
      <c r="A48" s="5"/>
      <c r="B48" s="31" t="s">
        <v>33</v>
      </c>
      <c r="C48" s="12"/>
      <c r="D48" s="14"/>
      <c r="E48" s="14"/>
      <c r="F48" s="14"/>
      <c r="G48" s="15"/>
      <c r="H48" s="16"/>
      <c r="I48" s="7"/>
    </row>
    <row r="49" spans="1:9" ht="15" customHeight="1" x14ac:dyDescent="0.25">
      <c r="A49" s="5"/>
      <c r="B49" s="13" t="s">
        <v>24</v>
      </c>
      <c r="C49" s="12">
        <f>2*(3*2)</f>
        <v>12</v>
      </c>
      <c r="D49" s="14">
        <f>(18.5-0.5)/3.281</f>
        <v>5.486132276744895</v>
      </c>
      <c r="E49" s="14">
        <f>16*16/162</f>
        <v>1.5802469135802468</v>
      </c>
      <c r="F49" s="14">
        <f t="shared" ref="F49:F67" si="5">PRODUCT(C49:E49)</f>
        <v>104.0333231738291</v>
      </c>
      <c r="G49" s="15">
        <f t="shared" ref="G49:G110" si="6">F49/1000</f>
        <v>0.1040333231738291</v>
      </c>
      <c r="H49" s="16"/>
      <c r="I49" s="7"/>
    </row>
    <row r="50" spans="1:9" ht="15" customHeight="1" x14ac:dyDescent="0.25">
      <c r="A50" s="5"/>
      <c r="B50" s="13"/>
      <c r="C50" s="12">
        <f>2*(TRUNC((D49-0.41*3-3*0.05)/0.1,0)+1)</f>
        <v>84</v>
      </c>
      <c r="D50" s="14">
        <f>((0.583+1.17)*2+0.15)/3.281</f>
        <v>1.1142944224321851</v>
      </c>
      <c r="E50" s="14">
        <f>8*8/162</f>
        <v>0.39506172839506171</v>
      </c>
      <c r="F50" s="14">
        <f t="shared" si="5"/>
        <v>36.978066759231034</v>
      </c>
      <c r="G50" s="15">
        <f t="shared" si="6"/>
        <v>3.6978066759231036E-2</v>
      </c>
      <c r="H50" s="16"/>
      <c r="I50" s="7"/>
    </row>
    <row r="51" spans="1:9" ht="15" customHeight="1" x14ac:dyDescent="0.25">
      <c r="A51" s="5"/>
      <c r="B51" s="13" t="s">
        <v>26</v>
      </c>
      <c r="C51" s="12">
        <f>2*(3*2)</f>
        <v>12</v>
      </c>
      <c r="D51" s="14">
        <f>(22.5-0.5)/3.281</f>
        <v>6.7052727826882048</v>
      </c>
      <c r="E51" s="14">
        <f>16*16/162</f>
        <v>1.5802469135802468</v>
      </c>
      <c r="F51" s="14">
        <f t="shared" si="5"/>
        <v>127.15183943468003</v>
      </c>
      <c r="G51" s="15">
        <f t="shared" si="6"/>
        <v>0.12715183943468003</v>
      </c>
      <c r="H51" s="16"/>
      <c r="I51" s="7"/>
    </row>
    <row r="52" spans="1:9" ht="15" customHeight="1" x14ac:dyDescent="0.25">
      <c r="A52" s="5"/>
      <c r="B52" s="13"/>
      <c r="C52" s="12">
        <f>2*(TRUNC((D51-0.41*3-3*0.05)/0.1,0)+1)</f>
        <v>108</v>
      </c>
      <c r="D52" s="14">
        <f>((0.583+1.17)*2+0.15)/3.281</f>
        <v>1.1142944224321851</v>
      </c>
      <c r="E52" s="14">
        <f>8*8/162</f>
        <v>0.39506172839506171</v>
      </c>
      <c r="F52" s="14">
        <f t="shared" si="5"/>
        <v>47.543228690439896</v>
      </c>
      <c r="G52" s="15">
        <f t="shared" si="6"/>
        <v>4.75432286904399E-2</v>
      </c>
      <c r="H52" s="16"/>
      <c r="I52" s="7"/>
    </row>
    <row r="53" spans="1:9" ht="15" customHeight="1" x14ac:dyDescent="0.25">
      <c r="A53" s="5"/>
      <c r="B53" s="13" t="s">
        <v>27</v>
      </c>
      <c r="C53" s="12">
        <f>2*(3*2)</f>
        <v>12</v>
      </c>
      <c r="D53" s="14">
        <f>(26.42-0.5)/3.281</f>
        <v>7.9000304785126492</v>
      </c>
      <c r="E53" s="14">
        <f>16*16/162</f>
        <v>1.5802469135802468</v>
      </c>
      <c r="F53" s="14">
        <f t="shared" si="5"/>
        <v>149.80798537031393</v>
      </c>
      <c r="G53" s="15">
        <f t="shared" si="6"/>
        <v>0.14980798537031392</v>
      </c>
      <c r="H53" s="16"/>
      <c r="I53" s="7"/>
    </row>
    <row r="54" spans="1:9" ht="15" customHeight="1" x14ac:dyDescent="0.25">
      <c r="A54" s="5"/>
      <c r="B54" s="13"/>
      <c r="C54" s="12">
        <f>2*(TRUNC((D53-0.41*3-3*0.05)/0.1,0)+1)</f>
        <v>132</v>
      </c>
      <c r="D54" s="14">
        <f>((0.583+1.17)*2+0.15)/3.281</f>
        <v>1.1142944224321851</v>
      </c>
      <c r="E54" s="14">
        <f>8*8/162</f>
        <v>0.39506172839506171</v>
      </c>
      <c r="F54" s="14">
        <f t="shared" si="5"/>
        <v>58.108390621648766</v>
      </c>
      <c r="G54" s="15">
        <f t="shared" si="6"/>
        <v>5.8108390621648763E-2</v>
      </c>
      <c r="H54" s="16"/>
      <c r="I54" s="7"/>
    </row>
    <row r="55" spans="1:9" ht="15" customHeight="1" x14ac:dyDescent="0.25">
      <c r="A55" s="5"/>
      <c r="B55" s="13" t="s">
        <v>25</v>
      </c>
      <c r="C55" s="12">
        <f>2*(3*2)</f>
        <v>12</v>
      </c>
      <c r="D55" s="14">
        <f>(30.75-0.5)/3.281</f>
        <v>9.2197500761962807</v>
      </c>
      <c r="E55" s="14">
        <f>16*16/162</f>
        <v>1.5802469135802468</v>
      </c>
      <c r="F55" s="14">
        <f t="shared" si="5"/>
        <v>174.83377922268502</v>
      </c>
      <c r="G55" s="15">
        <f t="shared" si="6"/>
        <v>0.17483377922268503</v>
      </c>
      <c r="H55" s="16"/>
      <c r="I55" s="7"/>
    </row>
    <row r="56" spans="1:9" ht="15" customHeight="1" x14ac:dyDescent="0.25">
      <c r="A56" s="5"/>
      <c r="B56" s="13"/>
      <c r="C56" s="12">
        <f>2*(TRUNC((D55-0.41*3-3*0.05)/0.1,0)+1)</f>
        <v>158</v>
      </c>
      <c r="D56" s="14">
        <f>((0.583+1.17)*2+0.15)/3.281</f>
        <v>1.1142944224321851</v>
      </c>
      <c r="E56" s="14">
        <f>8*8/162</f>
        <v>0.39506172839506171</v>
      </c>
      <c r="F56" s="14">
        <f t="shared" si="5"/>
        <v>69.553982713791697</v>
      </c>
      <c r="G56" s="15">
        <f t="shared" si="6"/>
        <v>6.9553982713791693E-2</v>
      </c>
      <c r="H56" s="16"/>
      <c r="I56" s="7"/>
    </row>
    <row r="57" spans="1:9" ht="15" customHeight="1" x14ac:dyDescent="0.25">
      <c r="A57" s="5"/>
      <c r="B57" s="13" t="s">
        <v>28</v>
      </c>
      <c r="C57" s="12">
        <f>2*(3*2)</f>
        <v>12</v>
      </c>
      <c r="D57" s="14">
        <f>(33.833-0.5)/3.281</f>
        <v>10.159402621152086</v>
      </c>
      <c r="E57" s="14">
        <f>16*16/162</f>
        <v>1.5802469135802468</v>
      </c>
      <c r="F57" s="14">
        <f t="shared" si="5"/>
        <v>192.65237563073586</v>
      </c>
      <c r="G57" s="15">
        <f t="shared" si="6"/>
        <v>0.19265237563073587</v>
      </c>
      <c r="H57" s="16"/>
      <c r="I57" s="7"/>
    </row>
    <row r="58" spans="1:9" ht="15" customHeight="1" x14ac:dyDescent="0.25">
      <c r="A58" s="5"/>
      <c r="B58" s="13"/>
      <c r="C58" s="12">
        <f>2*(TRUNC((D57-0.41*4-6*0.05)/0.1,0)+1)</f>
        <v>166</v>
      </c>
      <c r="D58" s="14">
        <f>((0.583+1.17)*2+0.15)/3.281</f>
        <v>1.1142944224321851</v>
      </c>
      <c r="E58" s="14">
        <f>8*8/162</f>
        <v>0.39506172839506171</v>
      </c>
      <c r="F58" s="14">
        <f t="shared" si="5"/>
        <v>73.075703357527999</v>
      </c>
      <c r="G58" s="15">
        <f t="shared" si="6"/>
        <v>7.3075703357527999E-2</v>
      </c>
      <c r="H58" s="16"/>
      <c r="I58" s="7"/>
    </row>
    <row r="59" spans="1:9" ht="15" customHeight="1" x14ac:dyDescent="0.25">
      <c r="A59" s="5"/>
      <c r="B59" s="13" t="s">
        <v>29</v>
      </c>
      <c r="C59" s="12">
        <f>2*(3*2)</f>
        <v>12</v>
      </c>
      <c r="D59" s="14">
        <f>(33.917-0.5)/3.281</f>
        <v>10.185004571776897</v>
      </c>
      <c r="E59" s="14">
        <f>16*16/162</f>
        <v>1.5802469135802468</v>
      </c>
      <c r="F59" s="14">
        <f t="shared" si="5"/>
        <v>193.13786447221375</v>
      </c>
      <c r="G59" s="15">
        <f t="shared" si="6"/>
        <v>0.19313786447221376</v>
      </c>
      <c r="H59" s="16"/>
      <c r="I59" s="7"/>
    </row>
    <row r="60" spans="1:9" ht="15" customHeight="1" x14ac:dyDescent="0.25">
      <c r="A60" s="5"/>
      <c r="B60" s="13"/>
      <c r="C60" s="12">
        <f>2*(TRUNC((D59-0.41*4-6*0.05)/0.1,0)+1)</f>
        <v>166</v>
      </c>
      <c r="D60" s="14">
        <f>((0.583+1.17)*2+0.15)/3.281</f>
        <v>1.1142944224321851</v>
      </c>
      <c r="E60" s="14">
        <f>8*8/162</f>
        <v>0.39506172839506171</v>
      </c>
      <c r="F60" s="14">
        <f t="shared" si="5"/>
        <v>73.075703357527999</v>
      </c>
      <c r="G60" s="15">
        <f t="shared" si="6"/>
        <v>7.3075703357527999E-2</v>
      </c>
      <c r="H60" s="16"/>
      <c r="I60" s="7"/>
    </row>
    <row r="61" spans="1:9" ht="15" customHeight="1" x14ac:dyDescent="0.25">
      <c r="A61" s="5"/>
      <c r="B61" s="13" t="s">
        <v>30</v>
      </c>
      <c r="C61" s="12">
        <f>2*(3*2)</f>
        <v>12</v>
      </c>
      <c r="D61" s="14">
        <f>(12-0.333)/3.281</f>
        <v>3.555928070710149</v>
      </c>
      <c r="E61" s="14">
        <f>16*16/162</f>
        <v>1.5802469135802468</v>
      </c>
      <c r="F61" s="14">
        <f t="shared" si="5"/>
        <v>67.430932303836897</v>
      </c>
      <c r="G61" s="15">
        <f t="shared" si="6"/>
        <v>6.7430932303836899E-2</v>
      </c>
      <c r="H61" s="16"/>
      <c r="I61" s="7"/>
    </row>
    <row r="62" spans="1:9" ht="15" customHeight="1" x14ac:dyDescent="0.25">
      <c r="A62" s="5"/>
      <c r="B62" s="13"/>
      <c r="C62" s="12">
        <f>2*(TRUNC((D61-0.41-0.23-2*0.05)/0.1,0)+1)</f>
        <v>58</v>
      </c>
      <c r="D62" s="14">
        <f>((0.583+1.17)*2+0.15)/3.281</f>
        <v>1.1142944224321851</v>
      </c>
      <c r="E62" s="14">
        <f>8*8/162</f>
        <v>0.39506172839506171</v>
      </c>
      <c r="F62" s="14">
        <f t="shared" si="5"/>
        <v>25.532474667088092</v>
      </c>
      <c r="G62" s="15">
        <f t="shared" si="6"/>
        <v>2.5532474667088093E-2</v>
      </c>
      <c r="H62" s="16"/>
      <c r="I62" s="7"/>
    </row>
    <row r="63" spans="1:9" ht="15" customHeight="1" x14ac:dyDescent="0.25">
      <c r="A63" s="5"/>
      <c r="B63" s="13" t="s">
        <v>31</v>
      </c>
      <c r="C63" s="12">
        <f>2*(3*2)</f>
        <v>12</v>
      </c>
      <c r="D63" s="14">
        <f>(12-0.333)/3.281</f>
        <v>3.555928070710149</v>
      </c>
      <c r="E63" s="14">
        <f>16*16/162</f>
        <v>1.5802469135802468</v>
      </c>
      <c r="F63" s="14">
        <f t="shared" si="5"/>
        <v>67.430932303836897</v>
      </c>
      <c r="G63" s="15">
        <f t="shared" si="6"/>
        <v>6.7430932303836899E-2</v>
      </c>
      <c r="H63" s="16"/>
      <c r="I63" s="7"/>
    </row>
    <row r="64" spans="1:9" ht="15" customHeight="1" x14ac:dyDescent="0.25">
      <c r="A64" s="5"/>
      <c r="B64" s="13"/>
      <c r="C64" s="12">
        <f>2*(TRUNC((D63-0.41-0.23-2*0.05)/0.1,0)+1)</f>
        <v>58</v>
      </c>
      <c r="D64" s="14">
        <f>((0.583+1.17)*2+0.15)/3.281</f>
        <v>1.1142944224321851</v>
      </c>
      <c r="E64" s="14">
        <f>8*8/162</f>
        <v>0.39506172839506171</v>
      </c>
      <c r="F64" s="14">
        <f t="shared" si="5"/>
        <v>25.532474667088092</v>
      </c>
      <c r="G64" s="15">
        <f t="shared" si="6"/>
        <v>2.5532474667088093E-2</v>
      </c>
      <c r="H64" s="16"/>
      <c r="I64" s="7"/>
    </row>
    <row r="65" spans="1:9" ht="15" customHeight="1" x14ac:dyDescent="0.25">
      <c r="A65" s="5"/>
      <c r="B65" s="13" t="s">
        <v>31</v>
      </c>
      <c r="C65" s="12">
        <f>2*(3*2)</f>
        <v>12</v>
      </c>
      <c r="D65" s="14">
        <f>(11.917-0.5)/3.281</f>
        <v>3.4797317890886923</v>
      </c>
      <c r="E65" s="14">
        <f>16*16/162</f>
        <v>1.5802469135802468</v>
      </c>
      <c r="F65" s="14">
        <f t="shared" si="5"/>
        <v>65.986025037533722</v>
      </c>
      <c r="G65" s="15">
        <f t="shared" si="6"/>
        <v>6.5986025037533716E-2</v>
      </c>
      <c r="H65" s="16"/>
      <c r="I65" s="7"/>
    </row>
    <row r="66" spans="1:9" ht="15" customHeight="1" x14ac:dyDescent="0.25">
      <c r="A66" s="5"/>
      <c r="B66" s="13"/>
      <c r="C66" s="12">
        <f>2*(TRUNC((D65-0.41*2-2*0.05)/0.1,0)+1)</f>
        <v>52</v>
      </c>
      <c r="D66" s="14">
        <f>((0.583+1.17)*2+0.15)/3.281</f>
        <v>1.1142944224321851</v>
      </c>
      <c r="E66" s="14">
        <f>8*8/162</f>
        <v>0.39506172839506171</v>
      </c>
      <c r="F66" s="14">
        <f t="shared" si="5"/>
        <v>22.891184184285876</v>
      </c>
      <c r="G66" s="15">
        <f t="shared" si="6"/>
        <v>2.2891184184285877E-2</v>
      </c>
      <c r="H66" s="16"/>
      <c r="I66" s="7"/>
    </row>
    <row r="67" spans="1:9" ht="15" customHeight="1" x14ac:dyDescent="0.25">
      <c r="A67" s="5"/>
      <c r="B67" s="13" t="s">
        <v>32</v>
      </c>
      <c r="C67" s="12">
        <f>2*(54)</f>
        <v>108</v>
      </c>
      <c r="D67" s="14">
        <f>(16*60/1000)-0.1</f>
        <v>0.86</v>
      </c>
      <c r="E67" s="14">
        <f>16*16/162</f>
        <v>1.5802469135802468</v>
      </c>
      <c r="F67" s="14">
        <f t="shared" si="5"/>
        <v>146.77333333333331</v>
      </c>
      <c r="G67" s="15">
        <f t="shared" si="6"/>
        <v>0.14677333333333331</v>
      </c>
      <c r="H67" s="16"/>
      <c r="I67" s="7"/>
    </row>
    <row r="68" spans="1:9" ht="15" customHeight="1" x14ac:dyDescent="0.25">
      <c r="A68" s="5"/>
      <c r="B68" s="31" t="s">
        <v>34</v>
      </c>
      <c r="C68" s="12"/>
      <c r="D68" s="14"/>
      <c r="E68" s="14"/>
      <c r="F68" s="14"/>
      <c r="G68" s="15"/>
      <c r="H68" s="16"/>
      <c r="I68" s="7"/>
    </row>
    <row r="69" spans="1:9" ht="15" customHeight="1" x14ac:dyDescent="0.25">
      <c r="A69" s="5"/>
      <c r="B69" s="13" t="s">
        <v>24</v>
      </c>
      <c r="C69" s="12">
        <f>(2*2)</f>
        <v>4</v>
      </c>
      <c r="D69" s="14">
        <f>(18.5-0.5)/3.281</f>
        <v>5.486132276744895</v>
      </c>
      <c r="E69" s="14">
        <f>16*16/162</f>
        <v>1.5802469135802468</v>
      </c>
      <c r="F69" s="14">
        <f t="shared" ref="F69:F97" si="7">PRODUCT(C69:E69)</f>
        <v>34.677774391276373</v>
      </c>
      <c r="G69" s="15">
        <f t="shared" si="6"/>
        <v>3.4677774391276374E-2</v>
      </c>
      <c r="H69" s="16"/>
      <c r="I69" s="7"/>
    </row>
    <row r="70" spans="1:9" ht="15" customHeight="1" x14ac:dyDescent="0.25">
      <c r="A70" s="5"/>
      <c r="B70" s="13"/>
      <c r="C70" s="12">
        <v>2</v>
      </c>
      <c r="D70" s="14">
        <f>(18.5-0.5)/3.281</f>
        <v>5.486132276744895</v>
      </c>
      <c r="E70" s="14">
        <f>12*12/162</f>
        <v>0.88888888888888884</v>
      </c>
      <c r="F70" s="14">
        <f t="shared" si="7"/>
        <v>9.7531240475464802</v>
      </c>
      <c r="G70" s="15">
        <f t="shared" si="6"/>
        <v>9.7531240475464808E-3</v>
      </c>
      <c r="H70" s="16"/>
      <c r="I70" s="7"/>
    </row>
    <row r="71" spans="1:9" ht="15" customHeight="1" x14ac:dyDescent="0.25">
      <c r="A71" s="5"/>
      <c r="B71" s="13"/>
      <c r="C71" s="12">
        <f>(TRUNC((D69-0.41*3-3*0.05)/0.1,0)+1)</f>
        <v>42</v>
      </c>
      <c r="D71" s="14">
        <f>((0.583+1.17)*2+0.15)/3.281</f>
        <v>1.1142944224321851</v>
      </c>
      <c r="E71" s="14">
        <f>8*8/162</f>
        <v>0.39506172839506171</v>
      </c>
      <c r="F71" s="14">
        <f t="shared" si="7"/>
        <v>18.489033379615517</v>
      </c>
      <c r="G71" s="15">
        <f t="shared" si="6"/>
        <v>1.8489033379615518E-2</v>
      </c>
      <c r="H71" s="16"/>
      <c r="I71" s="7"/>
    </row>
    <row r="72" spans="1:9" ht="15" customHeight="1" x14ac:dyDescent="0.25">
      <c r="A72" s="5"/>
      <c r="B72" s="13" t="s">
        <v>26</v>
      </c>
      <c r="C72" s="12">
        <f>(2*2)</f>
        <v>4</v>
      </c>
      <c r="D72" s="14">
        <f>(22.5-0.5)/3.281</f>
        <v>6.7052727826882048</v>
      </c>
      <c r="E72" s="14">
        <f>16*16/162</f>
        <v>1.5802469135802468</v>
      </c>
      <c r="F72" s="14">
        <f t="shared" si="7"/>
        <v>42.383946478226676</v>
      </c>
      <c r="G72" s="15">
        <f t="shared" si="6"/>
        <v>4.2383946478226679E-2</v>
      </c>
      <c r="H72" s="16"/>
      <c r="I72" s="7"/>
    </row>
    <row r="73" spans="1:9" ht="15" customHeight="1" x14ac:dyDescent="0.25">
      <c r="A73" s="5"/>
      <c r="B73" s="13"/>
      <c r="C73" s="12">
        <v>2</v>
      </c>
      <c r="D73" s="14">
        <f>(22.5-0.5)/3.281</f>
        <v>6.7052727826882048</v>
      </c>
      <c r="E73" s="14">
        <f>12*12/162</f>
        <v>0.88888888888888884</v>
      </c>
      <c r="F73" s="14">
        <f t="shared" si="7"/>
        <v>11.920484947001253</v>
      </c>
      <c r="G73" s="15">
        <f t="shared" si="6"/>
        <v>1.1920484947001252E-2</v>
      </c>
      <c r="H73" s="16"/>
      <c r="I73" s="7"/>
    </row>
    <row r="74" spans="1:9" ht="15" customHeight="1" x14ac:dyDescent="0.25">
      <c r="A74" s="5"/>
      <c r="B74" s="13"/>
      <c r="C74" s="12">
        <f>(TRUNC((D72-0.41*3-3*0.05)/0.1,0)+1)</f>
        <v>54</v>
      </c>
      <c r="D74" s="14">
        <f>((0.583+1.17)*2+0.15)/3.281</f>
        <v>1.1142944224321851</v>
      </c>
      <c r="E74" s="14">
        <f>8*8/162</f>
        <v>0.39506172839506171</v>
      </c>
      <c r="F74" s="14">
        <f t="shared" si="7"/>
        <v>23.771614345219948</v>
      </c>
      <c r="G74" s="15">
        <f t="shared" si="6"/>
        <v>2.377161434521995E-2</v>
      </c>
      <c r="H74" s="16"/>
      <c r="I74" s="7"/>
    </row>
    <row r="75" spans="1:9" ht="15" customHeight="1" x14ac:dyDescent="0.25">
      <c r="A75" s="5"/>
      <c r="B75" s="13" t="s">
        <v>27</v>
      </c>
      <c r="C75" s="12">
        <f>(2*2)</f>
        <v>4</v>
      </c>
      <c r="D75" s="14">
        <f>(26.42-0.5)/3.281</f>
        <v>7.9000304785126492</v>
      </c>
      <c r="E75" s="14">
        <f>16*16/162</f>
        <v>1.5802469135802468</v>
      </c>
      <c r="F75" s="14">
        <f t="shared" si="7"/>
        <v>49.935995123437976</v>
      </c>
      <c r="G75" s="15">
        <f t="shared" si="6"/>
        <v>4.9935995123437979E-2</v>
      </c>
      <c r="H75" s="16"/>
      <c r="I75" s="7"/>
    </row>
    <row r="76" spans="1:9" ht="15" customHeight="1" x14ac:dyDescent="0.25">
      <c r="A76" s="5"/>
      <c r="B76" s="13"/>
      <c r="C76" s="12">
        <v>2</v>
      </c>
      <c r="D76" s="14">
        <f>(26.42-0.5)/3.281</f>
        <v>7.9000304785126492</v>
      </c>
      <c r="E76" s="14">
        <f>12*12/162</f>
        <v>0.88888888888888884</v>
      </c>
      <c r="F76" s="14">
        <f t="shared" si="7"/>
        <v>14.044498628466931</v>
      </c>
      <c r="G76" s="15">
        <f t="shared" si="6"/>
        <v>1.404449862846693E-2</v>
      </c>
      <c r="H76" s="16"/>
      <c r="I76" s="7"/>
    </row>
    <row r="77" spans="1:9" ht="15" customHeight="1" x14ac:dyDescent="0.25">
      <c r="A77" s="5"/>
      <c r="B77" s="13"/>
      <c r="C77" s="12">
        <f>(TRUNC((D75-0.41*3-3*0.05)/0.1,0)+1)</f>
        <v>66</v>
      </c>
      <c r="D77" s="14">
        <f>((0.583+1.17)*2+0.15)/3.281</f>
        <v>1.1142944224321851</v>
      </c>
      <c r="E77" s="14">
        <f>8*8/162</f>
        <v>0.39506172839506171</v>
      </c>
      <c r="F77" s="14">
        <f t="shared" si="7"/>
        <v>29.054195310824383</v>
      </c>
      <c r="G77" s="15">
        <f t="shared" si="6"/>
        <v>2.9054195310824382E-2</v>
      </c>
      <c r="H77" s="16"/>
      <c r="I77" s="7"/>
    </row>
    <row r="78" spans="1:9" ht="15" customHeight="1" x14ac:dyDescent="0.25">
      <c r="A78" s="5"/>
      <c r="B78" s="13" t="s">
        <v>25</v>
      </c>
      <c r="C78" s="12">
        <f>(2*2)</f>
        <v>4</v>
      </c>
      <c r="D78" s="14">
        <f>(30.75-0.5)/3.281</f>
        <v>9.2197500761962807</v>
      </c>
      <c r="E78" s="14">
        <f>16*16/162</f>
        <v>1.5802469135802468</v>
      </c>
      <c r="F78" s="14">
        <f t="shared" si="7"/>
        <v>58.277926407561672</v>
      </c>
      <c r="G78" s="15">
        <f t="shared" si="6"/>
        <v>5.8277926407561673E-2</v>
      </c>
      <c r="H78" s="16"/>
      <c r="I78" s="7"/>
    </row>
    <row r="79" spans="1:9" ht="15" customHeight="1" x14ac:dyDescent="0.25">
      <c r="A79" s="5"/>
      <c r="B79" s="13"/>
      <c r="C79" s="12">
        <v>2</v>
      </c>
      <c r="D79" s="14">
        <f>(30.75-0.5)/3.281</f>
        <v>9.2197500761962807</v>
      </c>
      <c r="E79" s="14">
        <f>12*12/162</f>
        <v>0.88888888888888884</v>
      </c>
      <c r="F79" s="14">
        <f t="shared" si="7"/>
        <v>16.39066680212672</v>
      </c>
      <c r="G79" s="15">
        <f t="shared" si="6"/>
        <v>1.6390666802126721E-2</v>
      </c>
      <c r="H79" s="16"/>
      <c r="I79" s="7"/>
    </row>
    <row r="80" spans="1:9" ht="15" customHeight="1" x14ac:dyDescent="0.25">
      <c r="A80" s="5"/>
      <c r="B80" s="13"/>
      <c r="C80" s="12">
        <f>(TRUNC((D78-0.41*3-3*0.05)/0.1,0)+1)</f>
        <v>79</v>
      </c>
      <c r="D80" s="14">
        <f>((0.583+1.17)*2+0.15)/3.281</f>
        <v>1.1142944224321851</v>
      </c>
      <c r="E80" s="14">
        <f>8*8/162</f>
        <v>0.39506172839506171</v>
      </c>
      <c r="F80" s="14">
        <f t="shared" si="7"/>
        <v>34.776991356895849</v>
      </c>
      <c r="G80" s="15">
        <f t="shared" si="6"/>
        <v>3.4776991356895846E-2</v>
      </c>
      <c r="H80" s="16"/>
      <c r="I80" s="7"/>
    </row>
    <row r="81" spans="1:9" ht="15" customHeight="1" x14ac:dyDescent="0.25">
      <c r="A81" s="5"/>
      <c r="B81" s="13" t="s">
        <v>28</v>
      </c>
      <c r="C81" s="12">
        <f>(2*2)</f>
        <v>4</v>
      </c>
      <c r="D81" s="14">
        <f>(33.833-0.5)/3.281</f>
        <v>10.159402621152086</v>
      </c>
      <c r="E81" s="14">
        <f>16*16/162</f>
        <v>1.5802469135802468</v>
      </c>
      <c r="F81" s="14">
        <f t="shared" si="7"/>
        <v>64.217458543578616</v>
      </c>
      <c r="G81" s="15">
        <f t="shared" si="6"/>
        <v>6.4217458543578618E-2</v>
      </c>
      <c r="H81" s="16"/>
      <c r="I81" s="7"/>
    </row>
    <row r="82" spans="1:9" ht="15" customHeight="1" x14ac:dyDescent="0.25">
      <c r="A82" s="5"/>
      <c r="B82" s="13"/>
      <c r="C82" s="12">
        <v>2</v>
      </c>
      <c r="D82" s="14">
        <f>(33.833-0.5)/3.281</f>
        <v>10.159402621152086</v>
      </c>
      <c r="E82" s="14">
        <f>12*12/162</f>
        <v>0.88888888888888884</v>
      </c>
      <c r="F82" s="14">
        <f t="shared" si="7"/>
        <v>18.061160215381484</v>
      </c>
      <c r="G82" s="15">
        <f t="shared" si="6"/>
        <v>1.8061160215381483E-2</v>
      </c>
      <c r="H82" s="16"/>
      <c r="I82" s="7"/>
    </row>
    <row r="83" spans="1:9" ht="15" customHeight="1" x14ac:dyDescent="0.25">
      <c r="A83" s="5"/>
      <c r="B83" s="13"/>
      <c r="C83" s="12">
        <f>(TRUNC((D81-0.41*4-6*0.05)/0.1,0)+1)</f>
        <v>83</v>
      </c>
      <c r="D83" s="14">
        <f>((0.583+1.17)*2+0.15)/3.281</f>
        <v>1.1142944224321851</v>
      </c>
      <c r="E83" s="14">
        <f>8*8/162</f>
        <v>0.39506172839506171</v>
      </c>
      <c r="F83" s="14">
        <f t="shared" si="7"/>
        <v>36.537851678764</v>
      </c>
      <c r="G83" s="15">
        <f t="shared" si="6"/>
        <v>3.6537851678764E-2</v>
      </c>
      <c r="H83" s="16"/>
      <c r="I83" s="7"/>
    </row>
    <row r="84" spans="1:9" ht="15" customHeight="1" x14ac:dyDescent="0.25">
      <c r="A84" s="5"/>
      <c r="B84" s="13" t="s">
        <v>29</v>
      </c>
      <c r="C84" s="12">
        <f>(2*2)</f>
        <v>4</v>
      </c>
      <c r="D84" s="14">
        <f>(33.917-0.5)/3.281</f>
        <v>10.185004571776897</v>
      </c>
      <c r="E84" s="14">
        <f>16*16/162</f>
        <v>1.5802469135802468</v>
      </c>
      <c r="F84" s="14">
        <f t="shared" si="7"/>
        <v>64.379288157404574</v>
      </c>
      <c r="G84" s="15">
        <f t="shared" si="6"/>
        <v>6.4379288157404568E-2</v>
      </c>
      <c r="H84" s="16"/>
      <c r="I84" s="7"/>
    </row>
    <row r="85" spans="1:9" ht="15" customHeight="1" x14ac:dyDescent="0.25">
      <c r="A85" s="5"/>
      <c r="B85" s="13"/>
      <c r="C85" s="12">
        <v>2</v>
      </c>
      <c r="D85" s="14">
        <f>(33.917-0.5)/3.281</f>
        <v>10.185004571776897</v>
      </c>
      <c r="E85" s="14">
        <f>12*12/162</f>
        <v>0.88888888888888884</v>
      </c>
      <c r="F85" s="14">
        <f t="shared" si="7"/>
        <v>18.106674794270038</v>
      </c>
      <c r="G85" s="15">
        <f t="shared" si="6"/>
        <v>1.8106674794270038E-2</v>
      </c>
      <c r="H85" s="16"/>
      <c r="I85" s="7"/>
    </row>
    <row r="86" spans="1:9" ht="15" customHeight="1" x14ac:dyDescent="0.25">
      <c r="A86" s="5"/>
      <c r="B86" s="13"/>
      <c r="C86" s="12">
        <f>(TRUNC((D84-0.41*4-6*0.05)/0.1,0)+1)</f>
        <v>83</v>
      </c>
      <c r="D86" s="14">
        <f>((0.583+1.17)*2+0.15)/3.281</f>
        <v>1.1142944224321851</v>
      </c>
      <c r="E86" s="14">
        <f>8*8/162</f>
        <v>0.39506172839506171</v>
      </c>
      <c r="F86" s="14">
        <f t="shared" si="7"/>
        <v>36.537851678764</v>
      </c>
      <c r="G86" s="15">
        <f t="shared" si="6"/>
        <v>3.6537851678764E-2</v>
      </c>
      <c r="H86" s="16"/>
      <c r="I86" s="7"/>
    </row>
    <row r="87" spans="1:9" ht="15" customHeight="1" x14ac:dyDescent="0.25">
      <c r="A87" s="5"/>
      <c r="B87" s="13" t="s">
        <v>30</v>
      </c>
      <c r="C87" s="12">
        <f>(2*2)</f>
        <v>4</v>
      </c>
      <c r="D87" s="14">
        <f>(12-0.333)/3.281</f>
        <v>3.555928070710149</v>
      </c>
      <c r="E87" s="14">
        <f>16*16/162</f>
        <v>1.5802469135802468</v>
      </c>
      <c r="F87" s="14">
        <f t="shared" si="7"/>
        <v>22.476977434612298</v>
      </c>
      <c r="G87" s="15">
        <f t="shared" si="6"/>
        <v>2.2476977434612296E-2</v>
      </c>
      <c r="H87" s="16"/>
      <c r="I87" s="7"/>
    </row>
    <row r="88" spans="1:9" ht="15" customHeight="1" x14ac:dyDescent="0.25">
      <c r="A88" s="5"/>
      <c r="B88" s="13"/>
      <c r="C88" s="12">
        <v>2</v>
      </c>
      <c r="D88" s="14">
        <f>(12-0.333)/3.281</f>
        <v>3.555928070710149</v>
      </c>
      <c r="E88" s="14">
        <f>12*12/162</f>
        <v>0.88888888888888884</v>
      </c>
      <c r="F88" s="14">
        <f t="shared" si="7"/>
        <v>6.3216499034847091</v>
      </c>
      <c r="G88" s="15">
        <f t="shared" si="6"/>
        <v>6.3216499034847093E-3</v>
      </c>
      <c r="H88" s="16"/>
      <c r="I88" s="7"/>
    </row>
    <row r="89" spans="1:9" ht="15" customHeight="1" x14ac:dyDescent="0.25">
      <c r="A89" s="5"/>
      <c r="B89" s="13"/>
      <c r="C89" s="12">
        <f>(TRUNC((D87-0.41-0.23-2*0.05)/0.1,0)+1)</f>
        <v>29</v>
      </c>
      <c r="D89" s="14">
        <f>((0.583+1.17)*2+0.15)/3.281</f>
        <v>1.1142944224321851</v>
      </c>
      <c r="E89" s="14">
        <f>8*8/162</f>
        <v>0.39506172839506171</v>
      </c>
      <c r="F89" s="14">
        <f t="shared" si="7"/>
        <v>12.766237333544046</v>
      </c>
      <c r="G89" s="15">
        <f t="shared" si="6"/>
        <v>1.2766237333544046E-2</v>
      </c>
      <c r="H89" s="16"/>
      <c r="I89" s="7"/>
    </row>
    <row r="90" spans="1:9" ht="15" customHeight="1" x14ac:dyDescent="0.25">
      <c r="A90" s="5"/>
      <c r="B90" s="13" t="s">
        <v>31</v>
      </c>
      <c r="C90" s="12">
        <f>(2*2)</f>
        <v>4</v>
      </c>
      <c r="D90" s="14">
        <f>(12-0.333)/3.281</f>
        <v>3.555928070710149</v>
      </c>
      <c r="E90" s="14">
        <f>16*16/162</f>
        <v>1.5802469135802468</v>
      </c>
      <c r="F90" s="14">
        <f t="shared" si="7"/>
        <v>22.476977434612298</v>
      </c>
      <c r="G90" s="15">
        <f t="shared" si="6"/>
        <v>2.2476977434612296E-2</v>
      </c>
      <c r="H90" s="16"/>
      <c r="I90" s="7"/>
    </row>
    <row r="91" spans="1:9" ht="15" customHeight="1" x14ac:dyDescent="0.25">
      <c r="A91" s="5"/>
      <c r="B91" s="13"/>
      <c r="C91" s="12">
        <v>2</v>
      </c>
      <c r="D91" s="14">
        <f>(12-0.333)/3.281</f>
        <v>3.555928070710149</v>
      </c>
      <c r="E91" s="14">
        <f>12*12/162</f>
        <v>0.88888888888888884</v>
      </c>
      <c r="F91" s="14">
        <f t="shared" si="7"/>
        <v>6.3216499034847091</v>
      </c>
      <c r="G91" s="15">
        <f t="shared" si="6"/>
        <v>6.3216499034847093E-3</v>
      </c>
      <c r="H91" s="16"/>
      <c r="I91" s="7"/>
    </row>
    <row r="92" spans="1:9" ht="15" customHeight="1" x14ac:dyDescent="0.25">
      <c r="A92" s="5"/>
      <c r="B92" s="13"/>
      <c r="C92" s="12">
        <f>(TRUNC((D90-0.41-0.23-2*0.05)/0.1,0)+1)</f>
        <v>29</v>
      </c>
      <c r="D92" s="14">
        <f>((0.583+1.17)*2+0.15)/3.281</f>
        <v>1.1142944224321851</v>
      </c>
      <c r="E92" s="14">
        <f>8*8/162</f>
        <v>0.39506172839506171</v>
      </c>
      <c r="F92" s="14">
        <f t="shared" si="7"/>
        <v>12.766237333544046</v>
      </c>
      <c r="G92" s="15">
        <f t="shared" si="6"/>
        <v>1.2766237333544046E-2</v>
      </c>
      <c r="H92" s="16"/>
      <c r="I92" s="7"/>
    </row>
    <row r="93" spans="1:9" ht="15" customHeight="1" x14ac:dyDescent="0.25">
      <c r="A93" s="5"/>
      <c r="B93" s="13" t="s">
        <v>31</v>
      </c>
      <c r="C93" s="12">
        <f>(2*2)</f>
        <v>4</v>
      </c>
      <c r="D93" s="14">
        <f>(11.917-0.5)/3.281</f>
        <v>3.4797317890886923</v>
      </c>
      <c r="E93" s="14">
        <f>16*16/162</f>
        <v>1.5802469135802468</v>
      </c>
      <c r="F93" s="14">
        <f t="shared" si="7"/>
        <v>21.995341679177905</v>
      </c>
      <c r="G93" s="15">
        <f t="shared" si="6"/>
        <v>2.1995341679177906E-2</v>
      </c>
      <c r="H93" s="16"/>
      <c r="I93" s="7"/>
    </row>
    <row r="94" spans="1:9" ht="15" customHeight="1" x14ac:dyDescent="0.25">
      <c r="A94" s="5"/>
      <c r="B94" s="13"/>
      <c r="C94" s="12">
        <v>2</v>
      </c>
      <c r="D94" s="14">
        <f>(11.917-0.5)/3.281</f>
        <v>3.4797317890886923</v>
      </c>
      <c r="E94" s="14">
        <f>12*12/162</f>
        <v>0.88888888888888884</v>
      </c>
      <c r="F94" s="14">
        <f t="shared" si="7"/>
        <v>6.1861898472687864</v>
      </c>
      <c r="G94" s="15">
        <f t="shared" si="6"/>
        <v>6.1861898472687863E-3</v>
      </c>
      <c r="H94" s="16"/>
      <c r="I94" s="7"/>
    </row>
    <row r="95" spans="1:9" ht="15" customHeight="1" x14ac:dyDescent="0.25">
      <c r="A95" s="5"/>
      <c r="B95" s="13"/>
      <c r="C95" s="12">
        <f>(TRUNC((D93-0.41*2-2*0.05)/0.1,0)+1)</f>
        <v>26</v>
      </c>
      <c r="D95" s="14">
        <f>((0.583+1.17)*2+0.15)/3.281</f>
        <v>1.1142944224321851</v>
      </c>
      <c r="E95" s="14">
        <f>8*8/162</f>
        <v>0.39506172839506171</v>
      </c>
      <c r="F95" s="14">
        <f t="shared" si="7"/>
        <v>11.445592092142938</v>
      </c>
      <c r="G95" s="15">
        <f t="shared" si="6"/>
        <v>1.1445592092142938E-2</v>
      </c>
      <c r="H95" s="16"/>
      <c r="I95" s="7"/>
    </row>
    <row r="96" spans="1:9" ht="15" customHeight="1" x14ac:dyDescent="0.25">
      <c r="A96" s="5"/>
      <c r="B96" s="13" t="s">
        <v>32</v>
      </c>
      <c r="C96" s="12">
        <v>36</v>
      </c>
      <c r="D96" s="14">
        <f>(16*60/1000)-0.1</f>
        <v>0.86</v>
      </c>
      <c r="E96" s="14">
        <f>16*16/162</f>
        <v>1.5802469135802468</v>
      </c>
      <c r="F96" s="14">
        <f t="shared" si="7"/>
        <v>48.92444444444444</v>
      </c>
      <c r="G96" s="15">
        <f t="shared" si="6"/>
        <v>4.8924444444444437E-2</v>
      </c>
      <c r="H96" s="16"/>
      <c r="I96" s="7"/>
    </row>
    <row r="97" spans="1:9" ht="15" customHeight="1" x14ac:dyDescent="0.25">
      <c r="A97" s="5"/>
      <c r="B97" s="13"/>
      <c r="C97" s="12">
        <v>18</v>
      </c>
      <c r="D97" s="14">
        <f>(12*60/1000)-0.1</f>
        <v>0.62</v>
      </c>
      <c r="E97" s="14">
        <f>16*16/162</f>
        <v>1.5802469135802468</v>
      </c>
      <c r="F97" s="14">
        <f t="shared" si="7"/>
        <v>17.635555555555555</v>
      </c>
      <c r="G97" s="15">
        <f t="shared" si="6"/>
        <v>1.7635555555555557E-2</v>
      </c>
      <c r="H97" s="16"/>
      <c r="I97" s="7"/>
    </row>
    <row r="98" spans="1:9" ht="15" customHeight="1" x14ac:dyDescent="0.25">
      <c r="A98" s="5"/>
      <c r="B98" s="13"/>
      <c r="C98" s="12"/>
      <c r="D98" s="14"/>
      <c r="E98" s="14"/>
      <c r="F98" s="14"/>
      <c r="G98" s="15"/>
      <c r="H98" s="16"/>
      <c r="I98" s="7"/>
    </row>
    <row r="99" spans="1:9" ht="15" customHeight="1" x14ac:dyDescent="0.25">
      <c r="A99" s="5"/>
      <c r="B99" s="31" t="s">
        <v>35</v>
      </c>
      <c r="C99" s="12">
        <f>12*4</f>
        <v>48</v>
      </c>
      <c r="D99" s="14">
        <f>(22.8333)/3.281</f>
        <v>6.9592502285888447</v>
      </c>
      <c r="E99" s="14">
        <f>20*20/162</f>
        <v>2.4691358024691357</v>
      </c>
      <c r="F99" s="14">
        <f>PRODUCT(C99:E99)</f>
        <v>824.80002709201119</v>
      </c>
      <c r="G99" s="15">
        <f t="shared" si="6"/>
        <v>0.82480002709201117</v>
      </c>
      <c r="H99" s="16"/>
      <c r="I99" s="7"/>
    </row>
    <row r="100" spans="1:9" ht="15" customHeight="1" x14ac:dyDescent="0.25">
      <c r="A100" s="5"/>
      <c r="B100" s="13"/>
      <c r="C100" s="12">
        <f t="shared" ref="C100:C104" si="8">12*4</f>
        <v>48</v>
      </c>
      <c r="D100" s="14">
        <f>(13.5)/3.281</f>
        <v>4.1145992075586708</v>
      </c>
      <c r="E100" s="14">
        <f t="shared" ref="E100:E104" si="9">20*20/162</f>
        <v>2.4691358024691357</v>
      </c>
      <c r="F100" s="14">
        <f t="shared" ref="F100:F101" si="10">PRODUCT(C100:E100)</f>
        <v>487.65620237732389</v>
      </c>
      <c r="G100" s="15">
        <f t="shared" si="6"/>
        <v>0.48765620237732388</v>
      </c>
      <c r="H100" s="16"/>
      <c r="I100" s="7"/>
    </row>
    <row r="101" spans="1:9" ht="15" customHeight="1" x14ac:dyDescent="0.25">
      <c r="A101" s="5"/>
      <c r="B101" s="13"/>
      <c r="C101" s="12">
        <f t="shared" si="8"/>
        <v>48</v>
      </c>
      <c r="D101" s="14">
        <f>(22.667)/3.281</f>
        <v>6.9085644620542519</v>
      </c>
      <c r="E101" s="14">
        <f t="shared" si="9"/>
        <v>2.4691358024691357</v>
      </c>
      <c r="F101" s="14">
        <f t="shared" si="10"/>
        <v>818.7928251323558</v>
      </c>
      <c r="G101" s="15">
        <f t="shared" si="6"/>
        <v>0.81879282513235585</v>
      </c>
      <c r="H101" s="16"/>
      <c r="I101" s="7"/>
    </row>
    <row r="102" spans="1:9" ht="15" customHeight="1" x14ac:dyDescent="0.25">
      <c r="A102" s="5"/>
      <c r="B102" s="13"/>
      <c r="C102" s="12">
        <f t="shared" si="8"/>
        <v>48</v>
      </c>
      <c r="D102" s="14">
        <f>(22.667)/3.281</f>
        <v>6.9085644620542519</v>
      </c>
      <c r="E102" s="14">
        <f>20*20/162</f>
        <v>2.4691358024691357</v>
      </c>
      <c r="F102" s="14">
        <f>PRODUCT(C102:E102)</f>
        <v>818.7928251323558</v>
      </c>
      <c r="G102" s="15">
        <f t="shared" si="6"/>
        <v>0.81879282513235585</v>
      </c>
      <c r="H102" s="16"/>
      <c r="I102" s="7"/>
    </row>
    <row r="103" spans="1:9" ht="15" customHeight="1" x14ac:dyDescent="0.25">
      <c r="A103" s="5"/>
      <c r="B103" s="13"/>
      <c r="C103" s="12">
        <f t="shared" si="8"/>
        <v>48</v>
      </c>
      <c r="D103" s="14">
        <f>(16)/3.281</f>
        <v>4.8765620237732392</v>
      </c>
      <c r="E103" s="14">
        <f t="shared" si="9"/>
        <v>2.4691358024691357</v>
      </c>
      <c r="F103" s="14">
        <f t="shared" ref="F103:F104" si="11">PRODUCT(C103:E103)</f>
        <v>577.96290652127277</v>
      </c>
      <c r="G103" s="15">
        <f t="shared" si="6"/>
        <v>0.5779629065212728</v>
      </c>
      <c r="H103" s="16"/>
      <c r="I103" s="7"/>
    </row>
    <row r="104" spans="1:9" ht="15" customHeight="1" x14ac:dyDescent="0.25">
      <c r="A104" s="5"/>
      <c r="B104" s="13"/>
      <c r="C104" s="12">
        <f t="shared" si="8"/>
        <v>48</v>
      </c>
      <c r="D104" s="14">
        <f>(6.667)/3.281</f>
        <v>2.0320024382810118</v>
      </c>
      <c r="E104" s="14">
        <f t="shared" si="9"/>
        <v>2.4691358024691357</v>
      </c>
      <c r="F104" s="14">
        <f t="shared" si="11"/>
        <v>240.82991861108286</v>
      </c>
      <c r="G104" s="15">
        <f t="shared" si="6"/>
        <v>0.24082991861108285</v>
      </c>
      <c r="H104" s="16"/>
      <c r="I104" s="7"/>
    </row>
    <row r="105" spans="1:9" ht="15" customHeight="1" x14ac:dyDescent="0.25">
      <c r="A105" s="5"/>
      <c r="B105" s="13" t="s">
        <v>36</v>
      </c>
      <c r="C105" s="12">
        <f>12*8</f>
        <v>96</v>
      </c>
      <c r="D105" s="14">
        <f>16*60/1000-0.127-0.23</f>
        <v>0.60299999999999998</v>
      </c>
      <c r="E105" s="14">
        <f>16*16/162</f>
        <v>1.5802469135802468</v>
      </c>
      <c r="F105" s="14">
        <f t="shared" ref="F105" si="12">PRODUCT(C105:E105)</f>
        <v>91.47733333333332</v>
      </c>
      <c r="G105" s="15">
        <f t="shared" si="6"/>
        <v>9.1477333333333313E-2</v>
      </c>
      <c r="H105" s="16"/>
      <c r="I105" s="7"/>
    </row>
    <row r="106" spans="1:9" ht="15" customHeight="1" x14ac:dyDescent="0.25">
      <c r="A106" s="5"/>
      <c r="B106" s="13"/>
      <c r="C106" s="12">
        <f>12*8</f>
        <v>96</v>
      </c>
      <c r="D106" s="14">
        <v>0.6</v>
      </c>
      <c r="E106" s="14">
        <f>16*16/162</f>
        <v>1.5802469135802468</v>
      </c>
      <c r="F106" s="14">
        <f t="shared" ref="F106" si="13">PRODUCT(C106:E106)</f>
        <v>91.022222222222211</v>
      </c>
      <c r="G106" s="15">
        <f t="shared" si="6"/>
        <v>9.1022222222222213E-2</v>
      </c>
      <c r="H106" s="16"/>
      <c r="I106" s="7"/>
    </row>
    <row r="107" spans="1:9" ht="15" customHeight="1" x14ac:dyDescent="0.25">
      <c r="A107" s="5"/>
      <c r="B107" s="13" t="s">
        <v>37</v>
      </c>
      <c r="C107" s="12">
        <f>12*(TRUNC((((25.5-1.17*4)/3.281)/0.1),0)+1)</f>
        <v>768</v>
      </c>
      <c r="D107" s="14">
        <f>((0.917/3.281)*4+0.075*2)</f>
        <v>1.2679518439500153</v>
      </c>
      <c r="E107" s="14">
        <f>10*10/162</f>
        <v>0.61728395061728392</v>
      </c>
      <c r="F107" s="14">
        <f t="shared" ref="F107" si="14">PRODUCT(C107:E107)</f>
        <v>601.10309639111836</v>
      </c>
      <c r="G107" s="15">
        <f t="shared" si="6"/>
        <v>0.60110309639111836</v>
      </c>
      <c r="H107" s="16"/>
      <c r="I107" s="7"/>
    </row>
    <row r="108" spans="1:9" ht="15" customHeight="1" x14ac:dyDescent="0.25">
      <c r="A108" s="5"/>
      <c r="B108" s="13"/>
      <c r="C108" s="12">
        <f>12*(TRUNC((((25.5-1.17*4)/3.281)/0.1),0)+1)</f>
        <v>768</v>
      </c>
      <c r="D108" s="14">
        <f>((0.667/3.281)*4+0.075*2)</f>
        <v>0.9631667174641878</v>
      </c>
      <c r="E108" s="14">
        <f>10*10/162</f>
        <v>0.61728395061728392</v>
      </c>
      <c r="F108" s="14">
        <f t="shared" ref="F108" si="15">PRODUCT(C108:E108)</f>
        <v>456.61236976080011</v>
      </c>
      <c r="G108" s="15">
        <f t="shared" si="6"/>
        <v>0.45661236976080011</v>
      </c>
      <c r="H108" s="16"/>
      <c r="I108" s="7"/>
    </row>
    <row r="109" spans="1:9" ht="15" customHeight="1" x14ac:dyDescent="0.25">
      <c r="A109" s="5"/>
      <c r="B109" s="13"/>
      <c r="C109" s="12">
        <f>12*(TRUNC((((44.17-25.5-1.17*2)/3.281)/0.1),0)+1)</f>
        <v>600</v>
      </c>
      <c r="D109" s="14">
        <f>((0.917/3.281)*4+0.075*2)</f>
        <v>1.2679518439500153</v>
      </c>
      <c r="E109" s="14">
        <f>8*8/162</f>
        <v>0.39506172839506171</v>
      </c>
      <c r="F109" s="14">
        <f t="shared" ref="F109" si="16">PRODUCT(C109:E109)</f>
        <v>300.55154819555918</v>
      </c>
      <c r="G109" s="15">
        <f t="shared" si="6"/>
        <v>0.30055154819555918</v>
      </c>
      <c r="H109" s="16"/>
      <c r="I109" s="7"/>
    </row>
    <row r="110" spans="1:9" ht="15" customHeight="1" x14ac:dyDescent="0.25">
      <c r="A110" s="5"/>
      <c r="B110" s="13"/>
      <c r="C110" s="12">
        <f>12*(TRUNC((((44.17-25.5-1.17*2)/3.281)/0.1),0)+1)</f>
        <v>600</v>
      </c>
      <c r="D110" s="14">
        <f>((0.667/3.281)*4+0.075*2)</f>
        <v>0.9631667174641878</v>
      </c>
      <c r="E110" s="14">
        <f>8*8/162</f>
        <v>0.39506172839506171</v>
      </c>
      <c r="F110" s="14">
        <f t="shared" ref="F110" si="17">PRODUCT(C110:E110)</f>
        <v>228.30618488040005</v>
      </c>
      <c r="G110" s="15">
        <f t="shared" si="6"/>
        <v>0.22830618488040005</v>
      </c>
      <c r="H110" s="16"/>
      <c r="I110" s="7"/>
    </row>
    <row r="111" spans="1:9" ht="15" customHeight="1" x14ac:dyDescent="0.25">
      <c r="A111" s="16"/>
      <c r="B111" s="13" t="s">
        <v>11</v>
      </c>
      <c r="C111" s="18"/>
      <c r="D111" s="19"/>
      <c r="E111" s="19"/>
      <c r="F111" s="19"/>
      <c r="G111" s="10">
        <f>SUM(G4:G110)</f>
        <v>10.377183722457394</v>
      </c>
      <c r="H111" s="10" t="s">
        <v>38</v>
      </c>
      <c r="I111" s="12"/>
    </row>
    <row r="112" spans="1:9" ht="15" customHeight="1" x14ac:dyDescent="0.25">
      <c r="A112" s="16"/>
      <c r="B112" s="13"/>
      <c r="C112" s="18"/>
      <c r="D112" s="19"/>
      <c r="E112" s="19"/>
      <c r="F112" s="19"/>
      <c r="G112" s="10"/>
      <c r="H112" s="10"/>
      <c r="I112" s="12"/>
    </row>
    <row r="113" spans="1:9" ht="15" customHeight="1" x14ac:dyDescent="0.25">
      <c r="A113" s="16">
        <v>2</v>
      </c>
      <c r="B113" s="33" t="s">
        <v>39</v>
      </c>
      <c r="C113" s="18"/>
      <c r="D113" s="19"/>
      <c r="E113" s="19"/>
      <c r="F113" s="19"/>
      <c r="G113" s="10"/>
      <c r="H113" s="10"/>
      <c r="I113" s="12"/>
    </row>
    <row r="114" spans="1:9" ht="15" customHeight="1" x14ac:dyDescent="0.25">
      <c r="A114" s="16"/>
      <c r="B114" s="13" t="s">
        <v>13</v>
      </c>
      <c r="C114" s="6">
        <v>2</v>
      </c>
      <c r="D114" s="34">
        <f>1.5</f>
        <v>1.5</v>
      </c>
      <c r="E114" s="7">
        <v>1.5</v>
      </c>
      <c r="F114" s="7">
        <f>10/12/3.281</f>
        <v>0.25398760540485626</v>
      </c>
      <c r="G114" s="35">
        <f>PRODUCT(C114:F114)</f>
        <v>1.1429442243218533</v>
      </c>
      <c r="H114" s="10"/>
      <c r="I114" s="12"/>
    </row>
    <row r="115" spans="1:9" ht="15" customHeight="1" x14ac:dyDescent="0.25">
      <c r="A115" s="16"/>
      <c r="B115" s="33"/>
      <c r="C115" s="6">
        <v>2</v>
      </c>
      <c r="D115" s="34">
        <f>1.833/3.281</f>
        <v>0.55867113684852177</v>
      </c>
      <c r="E115" s="7">
        <f>1.833/3.281</f>
        <v>0.55867113684852177</v>
      </c>
      <c r="F115" s="7">
        <f>1.667/3.281</f>
        <v>0.50807680585187442</v>
      </c>
      <c r="G115" s="35">
        <f>(F115/3)*((D114*E114)+(D115*E115)+(SQRT((D114*E114)*(D115*E115))))</f>
        <v>0.57584072749657733</v>
      </c>
      <c r="H115" s="10"/>
      <c r="I115" s="12"/>
    </row>
    <row r="116" spans="1:9" ht="15" customHeight="1" x14ac:dyDescent="0.25">
      <c r="A116" s="16"/>
      <c r="B116" s="33"/>
      <c r="C116" s="6">
        <v>2</v>
      </c>
      <c r="D116" s="34">
        <f>6.25/3.281</f>
        <v>1.9049070405364217</v>
      </c>
      <c r="E116" s="7">
        <f>6.25/3.281</f>
        <v>1.9049070405364217</v>
      </c>
      <c r="F116" s="7">
        <f t="shared" ref="F116" si="18">10/12/3.281</f>
        <v>0.25398760540485626</v>
      </c>
      <c r="G116" s="35">
        <f t="shared" ref="G116" si="19">PRODUCT(C116:F116)</f>
        <v>1.8432748313955241</v>
      </c>
      <c r="H116" s="10"/>
      <c r="I116" s="12"/>
    </row>
    <row r="117" spans="1:9" ht="15" customHeight="1" x14ac:dyDescent="0.25">
      <c r="A117" s="16"/>
      <c r="B117" s="33"/>
      <c r="C117" s="6">
        <v>2</v>
      </c>
      <c r="D117" s="34">
        <f t="shared" ref="D117:E117" si="20">1.833/3.281</f>
        <v>0.55867113684852177</v>
      </c>
      <c r="E117" s="7">
        <f t="shared" si="20"/>
        <v>0.55867113684852177</v>
      </c>
      <c r="F117" s="7">
        <f t="shared" ref="F117" si="21">1.667/3.281</f>
        <v>0.50807680585187442</v>
      </c>
      <c r="G117" s="35">
        <f t="shared" ref="G117" si="22">(F117/3)*((D116*E116)+(D117*E117)+(SQRT((D116*E116)*(D117*E117))))</f>
        <v>0.84764161575585295</v>
      </c>
      <c r="H117" s="10"/>
      <c r="I117" s="12"/>
    </row>
    <row r="118" spans="1:9" ht="15" customHeight="1" x14ac:dyDescent="0.25">
      <c r="A118" s="16"/>
      <c r="B118" s="33"/>
      <c r="C118" s="6">
        <v>2</v>
      </c>
      <c r="D118" s="34">
        <f>7.5/3.281</f>
        <v>2.2858884486437061</v>
      </c>
      <c r="E118" s="7">
        <f>7.5/3.281</f>
        <v>2.2858884486437061</v>
      </c>
      <c r="F118" s="7">
        <f t="shared" ref="F118" si="23">10/12/3.281</f>
        <v>0.25398760540485626</v>
      </c>
      <c r="G118" s="35">
        <f t="shared" ref="G118" si="24">PRODUCT(C118:F118)</f>
        <v>2.6543157572095546</v>
      </c>
      <c r="H118" s="10"/>
      <c r="I118" s="12"/>
    </row>
    <row r="119" spans="1:9" ht="15" customHeight="1" x14ac:dyDescent="0.25">
      <c r="A119" s="16"/>
      <c r="B119" s="33"/>
      <c r="C119" s="6">
        <v>2</v>
      </c>
      <c r="D119" s="34">
        <f t="shared" ref="D119:E119" si="25">1.833/3.281</f>
        <v>0.55867113684852177</v>
      </c>
      <c r="E119" s="7">
        <f t="shared" si="25"/>
        <v>0.55867113684852177</v>
      </c>
      <c r="F119" s="7">
        <f t="shared" ref="F119" si="26">1.667/3.281</f>
        <v>0.50807680585187442</v>
      </c>
      <c r="G119" s="35">
        <f t="shared" ref="G119" si="27">(F119/3)*((D118*E118)+(D119*E119)+(SQRT((D118*E118)*(D119*E119))))</f>
        <v>1.1540895778675968</v>
      </c>
      <c r="H119" s="10"/>
      <c r="I119" s="12"/>
    </row>
    <row r="120" spans="1:9" ht="15" customHeight="1" x14ac:dyDescent="0.25">
      <c r="A120" s="16"/>
      <c r="B120" s="33"/>
      <c r="C120" s="6">
        <v>2</v>
      </c>
      <c r="D120" s="34">
        <f t="shared" ref="D120" si="28">1.5</f>
        <v>1.5</v>
      </c>
      <c r="E120" s="7">
        <v>4.5</v>
      </c>
      <c r="F120" s="7">
        <f t="shared" ref="F120" si="29">10/12/3.281</f>
        <v>0.25398760540485626</v>
      </c>
      <c r="G120" s="35">
        <f t="shared" ref="G120" si="30">PRODUCT(C120:F120)</f>
        <v>3.4288326729655596</v>
      </c>
      <c r="H120" s="10"/>
      <c r="I120" s="12"/>
    </row>
    <row r="121" spans="1:9" ht="15" customHeight="1" x14ac:dyDescent="0.25">
      <c r="A121" s="16"/>
      <c r="B121" s="33"/>
      <c r="C121" s="6">
        <v>2</v>
      </c>
      <c r="D121" s="34">
        <f t="shared" ref="D121:E121" si="31">1.833/3.281</f>
        <v>0.55867113684852177</v>
      </c>
      <c r="E121" s="7">
        <f t="shared" si="31"/>
        <v>0.55867113684852177</v>
      </c>
      <c r="F121" s="7">
        <f t="shared" ref="F121" si="32">1.667/3.281</f>
        <v>0.50807680585187442</v>
      </c>
      <c r="G121" s="35">
        <f t="shared" ref="G121" si="33">(F121/3)*((D120*E120)+(D121*E121)+(SQRT((D120*E120)*(D121*E121))))</f>
        <v>1.4418514589876783</v>
      </c>
      <c r="H121" s="10"/>
      <c r="I121" s="12"/>
    </row>
    <row r="122" spans="1:9" ht="15" customHeight="1" x14ac:dyDescent="0.25">
      <c r="A122" s="16"/>
      <c r="B122" s="33"/>
      <c r="C122" s="6">
        <v>2</v>
      </c>
      <c r="D122" s="34">
        <f>5.5/3.281</f>
        <v>1.6763181956720512</v>
      </c>
      <c r="E122" s="7">
        <f>5.5/3.281</f>
        <v>1.6763181956720512</v>
      </c>
      <c r="F122" s="7">
        <f t="shared" ref="F122" si="34">10/12/3.281</f>
        <v>0.25398760540485626</v>
      </c>
      <c r="G122" s="35">
        <f t="shared" ref="G122" si="35">PRODUCT(C122:F122)</f>
        <v>1.4274320294326941</v>
      </c>
      <c r="H122" s="10"/>
      <c r="I122" s="12"/>
    </row>
    <row r="123" spans="1:9" ht="15" customHeight="1" x14ac:dyDescent="0.25">
      <c r="A123" s="16"/>
      <c r="B123" s="33"/>
      <c r="C123" s="6">
        <v>2</v>
      </c>
      <c r="D123" s="34">
        <f t="shared" ref="D123:E123" si="36">1.833/3.281</f>
        <v>0.55867113684852177</v>
      </c>
      <c r="E123" s="7">
        <f t="shared" si="36"/>
        <v>0.55867113684852177</v>
      </c>
      <c r="F123" s="7">
        <f t="shared" ref="F123" si="37">1.667/3.281</f>
        <v>0.50807680585187442</v>
      </c>
      <c r="G123" s="35">
        <f t="shared" ref="G123" si="38">(F123/3)*((D122*E122)+(D123*E123)+(SQRT((D122*E122)*(D123*E123))))</f>
        <v>0.68737147511423791</v>
      </c>
      <c r="H123" s="10"/>
      <c r="I123" s="12"/>
    </row>
    <row r="124" spans="1:9" ht="15" customHeight="1" x14ac:dyDescent="0.25">
      <c r="A124" s="16"/>
      <c r="B124" s="33"/>
      <c r="C124" s="6">
        <v>1</v>
      </c>
      <c r="D124" s="34">
        <f>10.5/3.281</f>
        <v>3.2002438281011885</v>
      </c>
      <c r="E124" s="7">
        <f>5/3.281</f>
        <v>1.5239256324291375</v>
      </c>
      <c r="F124" s="7">
        <f t="shared" ref="F124" si="39">10/12/3.281</f>
        <v>0.25398760540485626</v>
      </c>
      <c r="G124" s="35">
        <f t="shared" ref="G124" si="40">PRODUCT(C124:F124)</f>
        <v>1.2386806866977924</v>
      </c>
      <c r="H124" s="10"/>
      <c r="I124" s="12"/>
    </row>
    <row r="125" spans="1:9" ht="15" customHeight="1" x14ac:dyDescent="0.25">
      <c r="A125" s="16"/>
      <c r="B125" s="33"/>
      <c r="C125" s="6">
        <v>1</v>
      </c>
      <c r="D125" s="34">
        <f t="shared" ref="D125:E125" si="41">1.833/3.281</f>
        <v>0.55867113684852177</v>
      </c>
      <c r="E125" s="7">
        <f t="shared" si="41"/>
        <v>0.55867113684852177</v>
      </c>
      <c r="F125" s="7">
        <f t="shared" ref="F125" si="42">1.667/3.281</f>
        <v>0.50807680585187442</v>
      </c>
      <c r="G125" s="35">
        <f t="shared" ref="G125" si="43">(F125/3)*((D124*E124)+(D125*E125)+(SQRT((D124*E124)*(D125*E125))))</f>
        <v>1.0877592661276621</v>
      </c>
      <c r="H125" s="10"/>
      <c r="I125" s="12"/>
    </row>
    <row r="126" spans="1:9" ht="15" customHeight="1" x14ac:dyDescent="0.25">
      <c r="A126" s="16"/>
      <c r="B126" s="13" t="s">
        <v>40</v>
      </c>
      <c r="C126" s="6">
        <v>1</v>
      </c>
      <c r="D126" s="34">
        <f>(4.583+3+3.5+1.583+1.083+3.25+2.583+3.17+3.583)/3.281</f>
        <v>8.0265163060042664</v>
      </c>
      <c r="E126" s="7">
        <f>1.333/3.281</f>
        <v>0.40627857360560804</v>
      </c>
      <c r="F126" s="7">
        <v>0.6</v>
      </c>
      <c r="G126" s="35">
        <f>PRODUCT(C126:F126)</f>
        <v>1.9566009574953402</v>
      </c>
      <c r="H126" s="10"/>
      <c r="I126" s="12"/>
    </row>
    <row r="127" spans="1:9" ht="15" customHeight="1" x14ac:dyDescent="0.25">
      <c r="A127" s="16"/>
      <c r="B127" s="13" t="s">
        <v>41</v>
      </c>
      <c r="C127" s="6">
        <v>2</v>
      </c>
      <c r="D127" s="34">
        <f>(9.917+9.667+9.583+10.5+4.667+10+9.083+10.083+10.083+9.667+9.667+9.583+9.583+13.5+13.667+8.917)/3.281</f>
        <v>48.206949100883875</v>
      </c>
      <c r="E127" s="7">
        <v>0.23</v>
      </c>
      <c r="F127" s="7">
        <f>1.17/3.281</f>
        <v>0.35659859798841814</v>
      </c>
      <c r="G127" s="35">
        <f t="shared" ref="G127:G131" si="44">PRODUCT(C127:F127)</f>
        <v>7.9076440128301444</v>
      </c>
      <c r="H127" s="10"/>
      <c r="I127" s="12"/>
    </row>
    <row r="128" spans="1:9" ht="15" customHeight="1" x14ac:dyDescent="0.25">
      <c r="A128" s="16"/>
      <c r="B128" s="13" t="s">
        <v>42</v>
      </c>
      <c r="C128" s="6">
        <v>12</v>
      </c>
      <c r="D128" s="7">
        <f>1.17/3.281</f>
        <v>0.35659859798841814</v>
      </c>
      <c r="E128" s="7">
        <f>1.17/3.281</f>
        <v>0.35659859798841814</v>
      </c>
      <c r="F128" s="34">
        <f>(4.333+9.333*3)/3.281</f>
        <v>9.8543127095397747</v>
      </c>
      <c r="G128" s="35">
        <f t="shared" si="44"/>
        <v>15.037195584551393</v>
      </c>
      <c r="H128" s="10"/>
      <c r="I128" s="12"/>
    </row>
    <row r="129" spans="1:9" ht="15" customHeight="1" x14ac:dyDescent="0.25">
      <c r="A129" s="16"/>
      <c r="B129" s="33"/>
      <c r="C129" s="6">
        <v>9</v>
      </c>
      <c r="D129" s="7">
        <f>1.17/3.281</f>
        <v>0.35659859798841814</v>
      </c>
      <c r="E129" s="7">
        <f>1.17/3.281</f>
        <v>0.35659859798841814</v>
      </c>
      <c r="F129" s="34">
        <f>(9.333+3)/3.281</f>
        <v>3.7589149649497102</v>
      </c>
      <c r="G129" s="35">
        <f t="shared" si="44"/>
        <v>4.3019392508414036</v>
      </c>
      <c r="H129" s="10"/>
      <c r="I129" s="12"/>
    </row>
    <row r="130" spans="1:9" ht="15" customHeight="1" x14ac:dyDescent="0.25">
      <c r="A130" s="16"/>
      <c r="B130" s="13" t="s">
        <v>43</v>
      </c>
      <c r="C130" s="6">
        <v>3</v>
      </c>
      <c r="D130" s="34">
        <f>(18.5-1.17*3+22.5-1.17*3+26.42-1.17*3+30.75-1.17*3)/3.281</f>
        <v>25.641572691252669</v>
      </c>
      <c r="E130" s="7">
        <v>0.23</v>
      </c>
      <c r="F130" s="7">
        <v>0.23</v>
      </c>
      <c r="G130" s="35">
        <f t="shared" si="44"/>
        <v>4.0693175861017998</v>
      </c>
      <c r="H130" s="10"/>
      <c r="I130" s="12"/>
    </row>
    <row r="131" spans="1:9" ht="15" customHeight="1" x14ac:dyDescent="0.25">
      <c r="A131" s="16"/>
      <c r="B131" s="33"/>
      <c r="C131" s="6">
        <v>3</v>
      </c>
      <c r="D131" s="34">
        <f>(33.833-1.17*4+33.917-1.17*4+23.917-1.17*2+9.583)/3.281</f>
        <v>27.29350807680585</v>
      </c>
      <c r="E131" s="7">
        <v>0.23</v>
      </c>
      <c r="F131" s="7">
        <v>0.23</v>
      </c>
      <c r="G131" s="35">
        <f t="shared" si="44"/>
        <v>4.3314797317890887</v>
      </c>
      <c r="H131" s="10"/>
      <c r="I131" s="12"/>
    </row>
    <row r="132" spans="1:9" ht="15" customHeight="1" x14ac:dyDescent="0.25">
      <c r="A132" s="16"/>
      <c r="B132" s="33"/>
      <c r="C132" s="6">
        <v>3</v>
      </c>
      <c r="D132" s="34">
        <f>(18.5-1.17*3+22.5-1.17*3+26.42-1.17*3)/3.281</f>
        <v>17.339225845778728</v>
      </c>
      <c r="E132" s="7">
        <v>0.23</v>
      </c>
      <c r="F132" s="7">
        <v>0.23</v>
      </c>
      <c r="G132" s="35">
        <f t="shared" ref="G132:G137" si="45">PRODUCT(C132:F132)</f>
        <v>2.7517351417250846</v>
      </c>
      <c r="H132" s="10"/>
      <c r="I132" s="12"/>
    </row>
    <row r="133" spans="1:9" ht="15" customHeight="1" x14ac:dyDescent="0.25">
      <c r="A133" s="16"/>
      <c r="B133" s="13"/>
      <c r="C133" s="6">
        <v>3</v>
      </c>
      <c r="D133" s="34">
        <f>(28-1.17*3+28.083-1.17*3+23.917-1.17*2)/3.281</f>
        <v>21.530021334958853</v>
      </c>
      <c r="E133" s="7">
        <v>0.23</v>
      </c>
      <c r="F133" s="7">
        <v>0.23</v>
      </c>
      <c r="G133" s="35">
        <f t="shared" si="45"/>
        <v>3.41681438585797</v>
      </c>
      <c r="H133" s="19"/>
      <c r="I133" s="12"/>
    </row>
    <row r="134" spans="1:9" ht="15" customHeight="1" x14ac:dyDescent="0.25">
      <c r="A134" s="16"/>
      <c r="B134" s="13" t="s">
        <v>44</v>
      </c>
      <c r="C134" s="6">
        <v>1</v>
      </c>
      <c r="D134" s="34">
        <f>CONVERT(757.76,"ft2","m2")</f>
        <v>70.398207590400006</v>
      </c>
      <c r="E134" s="7"/>
      <c r="F134" s="7">
        <v>0.125</v>
      </c>
      <c r="G134" s="35">
        <f t="shared" si="45"/>
        <v>8.7997759488000007</v>
      </c>
      <c r="H134" s="19"/>
      <c r="I134" s="12"/>
    </row>
    <row r="135" spans="1:9" ht="15" customHeight="1" x14ac:dyDescent="0.25">
      <c r="A135" s="16"/>
      <c r="B135" s="13"/>
      <c r="C135" s="6">
        <v>2</v>
      </c>
      <c r="D135" s="34">
        <f>CONVERT((807.87+25.8),"ft2","m2")</f>
        <v>77.450477356799993</v>
      </c>
      <c r="E135" s="7"/>
      <c r="F135" s="7">
        <v>0.125</v>
      </c>
      <c r="G135" s="35">
        <f t="shared" si="45"/>
        <v>19.362619339199998</v>
      </c>
      <c r="H135" s="19"/>
      <c r="I135" s="12"/>
    </row>
    <row r="136" spans="1:9" ht="15" customHeight="1" x14ac:dyDescent="0.25">
      <c r="A136" s="16"/>
      <c r="B136" s="13"/>
      <c r="C136" s="6">
        <v>1</v>
      </c>
      <c r="D136" s="34">
        <f>CONVERT((584.09+252.81),"ft2","m2")</f>
        <v>77.750554176000009</v>
      </c>
      <c r="E136" s="7"/>
      <c r="F136" s="7">
        <v>0.125</v>
      </c>
      <c r="G136" s="35">
        <f t="shared" si="45"/>
        <v>9.7188192720000011</v>
      </c>
      <c r="H136" s="19"/>
      <c r="I136" s="12"/>
    </row>
    <row r="137" spans="1:9" ht="15" customHeight="1" x14ac:dyDescent="0.25">
      <c r="A137" s="16"/>
      <c r="B137" s="13"/>
      <c r="C137" s="6">
        <v>1</v>
      </c>
      <c r="D137" s="34">
        <f>CONVERT(702.63,"ft2","m2")</f>
        <v>65.276462995199992</v>
      </c>
      <c r="E137" s="7"/>
      <c r="F137" s="7">
        <v>0.125</v>
      </c>
      <c r="G137" s="35">
        <f t="shared" si="45"/>
        <v>8.159557874399999</v>
      </c>
      <c r="H137" s="19"/>
      <c r="I137" s="12"/>
    </row>
    <row r="138" spans="1:9" x14ac:dyDescent="0.25">
      <c r="A138" s="16"/>
      <c r="B138" s="20" t="s">
        <v>10</v>
      </c>
      <c r="C138" s="21"/>
      <c r="D138" s="14"/>
      <c r="E138" s="14"/>
      <c r="F138" s="14"/>
      <c r="G138" s="17">
        <f>SUM(G114:G137)</f>
        <v>107.3435334089648</v>
      </c>
      <c r="H138" s="17"/>
      <c r="I138" s="12"/>
    </row>
    <row r="139" spans="1:9" x14ac:dyDescent="0.25">
      <c r="A139" s="23"/>
      <c r="B139" s="26"/>
      <c r="C139" s="27"/>
      <c r="D139" s="24"/>
      <c r="E139" s="24"/>
      <c r="F139" s="24"/>
      <c r="G139" s="25"/>
      <c r="H139" s="25"/>
      <c r="I139" s="22"/>
    </row>
    <row r="140" spans="1:9" s="11" customFormat="1" x14ac:dyDescent="0.25">
      <c r="G140" s="11">
        <f>G138*8</f>
        <v>858.74826727171842</v>
      </c>
    </row>
    <row r="141" spans="1:9" s="11" customFormat="1" x14ac:dyDescent="0.25"/>
    <row r="142" spans="1:9" s="11" customFormat="1" x14ac:dyDescent="0.25"/>
    <row r="143" spans="1:9" s="11" customFormat="1" x14ac:dyDescent="0.25"/>
    <row r="144" spans="1:9" s="11" customFormat="1" x14ac:dyDescent="0.25"/>
    <row r="145" s="11" customFormat="1" x14ac:dyDescent="0.25"/>
    <row r="146" s="11" customFormat="1" x14ac:dyDescent="0.25"/>
    <row r="147" s="11" customFormat="1" x14ac:dyDescent="0.25"/>
    <row r="148" s="11" customFormat="1" x14ac:dyDescent="0.25"/>
    <row r="149" s="11" customFormat="1" x14ac:dyDescent="0.25"/>
    <row r="150" s="11" customFormat="1" x14ac:dyDescent="0.25"/>
    <row r="151" s="11" customFormat="1" x14ac:dyDescent="0.25"/>
    <row r="152" s="11" customFormat="1" x14ac:dyDescent="0.25"/>
    <row r="153" s="11" customFormat="1" x14ac:dyDescent="0.25"/>
    <row r="154" s="11" customFormat="1" x14ac:dyDescent="0.25"/>
    <row r="155" s="11" customFormat="1" x14ac:dyDescent="0.25"/>
    <row r="156" s="11" customFormat="1" x14ac:dyDescent="0.25"/>
    <row r="157" s="11" customFormat="1" x14ac:dyDescent="0.25"/>
    <row r="158" s="11" customFormat="1" x14ac:dyDescent="0.25"/>
    <row r="159" s="11" customFormat="1" x14ac:dyDescent="0.25"/>
    <row r="160" s="11" customFormat="1" x14ac:dyDescent="0.25"/>
    <row r="161" s="11" customFormat="1" x14ac:dyDescent="0.25"/>
    <row r="162" s="11" customFormat="1" x14ac:dyDescent="0.25"/>
    <row r="163" s="11" customFormat="1" x14ac:dyDescent="0.25"/>
    <row r="164" s="11" customFormat="1" x14ac:dyDescent="0.25"/>
    <row r="165" s="11" customFormat="1" x14ac:dyDescent="0.25"/>
    <row r="166" s="11" customFormat="1" x14ac:dyDescent="0.25"/>
    <row r="167" s="11" customFormat="1" x14ac:dyDescent="0.25"/>
    <row r="168" s="11" customFormat="1" x14ac:dyDescent="0.25"/>
    <row r="169" s="11" customFormat="1" x14ac:dyDescent="0.25"/>
    <row r="170" s="11" customFormat="1" x14ac:dyDescent="0.25"/>
    <row r="171" s="11" customFormat="1" x14ac:dyDescent="0.25"/>
    <row r="172" s="11" customFormat="1" x14ac:dyDescent="0.25"/>
    <row r="173" s="11" customFormat="1" x14ac:dyDescent="0.25"/>
    <row r="174" s="11" customFormat="1" x14ac:dyDescent="0.25"/>
    <row r="175" s="11" customFormat="1" x14ac:dyDescent="0.25"/>
    <row r="176" s="11" customFormat="1" x14ac:dyDescent="0.25"/>
  </sheetData>
  <mergeCells count="1">
    <mergeCell ref="A1:I1"/>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Estimate</vt:lpstr>
      <vt:lpstr>Estimate!Print_Area</vt:lpstr>
      <vt:lpstr>Estimate!Print_Titles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2024-09-24T08:35:53Z</cp:lastPrinted>
  <dcterms:created xsi:type="dcterms:W3CDTF">2015-06-05T18:17:20Z</dcterms:created>
  <dcterms:modified xsi:type="dcterms:W3CDTF">2025-05-15T06:45:54Z</dcterms:modified>
</cp:coreProperties>
</file>