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school lilaami\"/>
    </mc:Choice>
  </mc:AlternateContent>
  <bookViews>
    <workbookView xWindow="-120" yWindow="-120" windowWidth="20736" windowHeight="11160"/>
  </bookViews>
  <sheets>
    <sheet name="new" sheetId="18" r:id="rId1"/>
    <sheet name="WCR" sheetId="6" r:id="rId2"/>
    <sheet name="V" sheetId="19" r:id="rId3"/>
    <sheet name="Sheet1" sheetId="20" state="hidden" r:id="rId4"/>
    <sheet name="M" sheetId="21" r:id="rId5"/>
  </sheets>
  <externalReferences>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4">M!$A$1:$K$67</definedName>
    <definedName name="_xlnm.Print_Area" localSheetId="0">new!$A$1:$K$44</definedName>
    <definedName name="_xlnm.Print_Area" localSheetId="2">V!$A$1:$K$67</definedName>
    <definedName name="_xlnm.Print_Area" localSheetId="1">WCR!$A$1:$K$30</definedName>
    <definedName name="_xlnm.Print_Titles" localSheetId="4">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18" l="1"/>
  <c r="G27" i="18" s="1"/>
  <c r="D26" i="18"/>
  <c r="D25" i="18"/>
  <c r="D24" i="18"/>
  <c r="G24" i="18" s="1"/>
  <c r="D23" i="18"/>
  <c r="D32" i="18"/>
  <c r="D31" i="18"/>
  <c r="F30" i="18"/>
  <c r="G30" i="18" s="1"/>
  <c r="D30" i="18"/>
  <c r="E29" i="18"/>
  <c r="D29" i="18"/>
  <c r="E28" i="18"/>
  <c r="D28" i="18"/>
  <c r="F27" i="18"/>
  <c r="G26" i="18"/>
  <c r="F26" i="18"/>
  <c r="F24" i="18"/>
  <c r="F25" i="18" s="1"/>
  <c r="F23" i="18"/>
  <c r="F31" i="18" s="1"/>
  <c r="G23" i="18"/>
  <c r="F21" i="18"/>
  <c r="G21" i="18" s="1"/>
  <c r="F20" i="18"/>
  <c r="G20" i="18" s="1"/>
  <c r="D21" i="18"/>
  <c r="D20" i="18"/>
  <c r="G13" i="18"/>
  <c r="G14" i="18"/>
  <c r="G15" i="18"/>
  <c r="G16" i="18"/>
  <c r="G17" i="18"/>
  <c r="G18" i="18"/>
  <c r="G19" i="18"/>
  <c r="G12" i="18"/>
  <c r="F19" i="18"/>
  <c r="F17" i="18"/>
  <c r="F18" i="18"/>
  <c r="D19" i="18"/>
  <c r="E18" i="18"/>
  <c r="D18" i="18"/>
  <c r="E17" i="18"/>
  <c r="D17" i="18"/>
  <c r="F14" i="18"/>
  <c r="D14" i="18"/>
  <c r="F16" i="18"/>
  <c r="F13" i="18"/>
  <c r="D16" i="18"/>
  <c r="D13" i="18"/>
  <c r="F15" i="18"/>
  <c r="F12" i="18"/>
  <c r="D15" i="18"/>
  <c r="D12" i="18"/>
  <c r="G29" i="18" l="1"/>
  <c r="F28" i="18"/>
  <c r="G28" i="18" s="1"/>
  <c r="G25" i="18"/>
  <c r="F29" i="18"/>
  <c r="G31" i="18"/>
  <c r="F32" i="18"/>
  <c r="G32" i="18" s="1"/>
  <c r="A9" i="6"/>
  <c r="A8" i="6"/>
  <c r="C67" i="21"/>
  <c r="C66" i="21"/>
  <c r="C64" i="21"/>
  <c r="G58" i="21"/>
  <c r="J58" i="21" s="1"/>
  <c r="E54" i="21"/>
  <c r="D54" i="21"/>
  <c r="C53" i="21" s="1"/>
  <c r="F53" i="21" s="1"/>
  <c r="G53" i="21" s="1"/>
  <c r="E53" i="21"/>
  <c r="D53" i="21"/>
  <c r="C54" i="21" s="1"/>
  <c r="F54" i="21" s="1"/>
  <c r="G54" i="21" s="1"/>
  <c r="B53" i="21"/>
  <c r="E52" i="21"/>
  <c r="E51" i="21"/>
  <c r="B51" i="21"/>
  <c r="E50" i="21"/>
  <c r="D50" i="21"/>
  <c r="E49" i="21"/>
  <c r="C49" i="21"/>
  <c r="G44" i="21"/>
  <c r="E43" i="21"/>
  <c r="M43" i="21" s="1"/>
  <c r="D43" i="21"/>
  <c r="D51" i="21" s="1"/>
  <c r="C52" i="21" s="1"/>
  <c r="M42" i="21"/>
  <c r="D41" i="21"/>
  <c r="D40" i="21"/>
  <c r="D31" i="21" s="1"/>
  <c r="D39" i="21"/>
  <c r="D30" i="21" s="1"/>
  <c r="G30" i="21" s="1"/>
  <c r="D38" i="21"/>
  <c r="D37" i="21"/>
  <c r="D36" i="21"/>
  <c r="D27" i="21" s="1"/>
  <c r="G27" i="21" s="1"/>
  <c r="D35" i="21"/>
  <c r="D34" i="21"/>
  <c r="F32" i="21"/>
  <c r="E32" i="21"/>
  <c r="D32" i="21"/>
  <c r="G32" i="21" s="1"/>
  <c r="F31" i="21"/>
  <c r="E31" i="21"/>
  <c r="F30" i="21"/>
  <c r="E30" i="21"/>
  <c r="F29" i="21"/>
  <c r="E29" i="21"/>
  <c r="D29" i="21"/>
  <c r="G29" i="21" s="1"/>
  <c r="F28" i="21"/>
  <c r="E28" i="21"/>
  <c r="F27" i="21"/>
  <c r="E27" i="21"/>
  <c r="F26" i="21"/>
  <c r="E26" i="21"/>
  <c r="D26" i="21"/>
  <c r="G26" i="21" s="1"/>
  <c r="F25" i="21"/>
  <c r="E25" i="21"/>
  <c r="D25" i="21"/>
  <c r="B25" i="21"/>
  <c r="B20" i="21" s="1"/>
  <c r="F20" i="21"/>
  <c r="N19" i="21"/>
  <c r="U18" i="21"/>
  <c r="S18" i="21"/>
  <c r="F41" i="21" s="1"/>
  <c r="P18" i="21"/>
  <c r="U17" i="21"/>
  <c r="S17" i="21"/>
  <c r="F40" i="21" s="1"/>
  <c r="P17" i="21"/>
  <c r="Q18" i="21" s="1"/>
  <c r="E41" i="21" s="1"/>
  <c r="U16" i="21"/>
  <c r="S16" i="21"/>
  <c r="F39" i="21" s="1"/>
  <c r="P16" i="21"/>
  <c r="Q17" i="21" s="1"/>
  <c r="E40" i="21" s="1"/>
  <c r="U15" i="21"/>
  <c r="S15" i="21"/>
  <c r="F38" i="21" s="1"/>
  <c r="P15" i="21"/>
  <c r="E15" i="21"/>
  <c r="E20" i="21" s="1"/>
  <c r="B15" i="21"/>
  <c r="U14" i="21"/>
  <c r="P14" i="21"/>
  <c r="Q15" i="21" s="1"/>
  <c r="E38" i="21" s="1"/>
  <c r="U13" i="21"/>
  <c r="R13" i="21"/>
  <c r="S14" i="21" s="1"/>
  <c r="F37" i="21" s="1"/>
  <c r="P13" i="21"/>
  <c r="Q14" i="21" s="1"/>
  <c r="E37" i="21" s="1"/>
  <c r="U12" i="21"/>
  <c r="S12" i="21"/>
  <c r="F35" i="21" s="1"/>
  <c r="P12" i="21"/>
  <c r="Q13" i="21" s="1"/>
  <c r="E36" i="21" s="1"/>
  <c r="U11" i="21"/>
  <c r="S11" i="21"/>
  <c r="F34" i="21" s="1"/>
  <c r="P11" i="21"/>
  <c r="P10" i="21"/>
  <c r="Q11" i="21" s="1"/>
  <c r="E34" i="21" s="1"/>
  <c r="F10" i="21"/>
  <c r="D10" i="21"/>
  <c r="D15" i="21" s="1"/>
  <c r="D20" i="21" s="1"/>
  <c r="G20" i="21" s="1"/>
  <c r="G21" i="21" s="1"/>
  <c r="D43" i="19"/>
  <c r="F20" i="19"/>
  <c r="B53" i="19"/>
  <c r="B51" i="19"/>
  <c r="D54" i="19"/>
  <c r="C53" i="19" s="1"/>
  <c r="D53" i="19"/>
  <c r="C54" i="19" s="1"/>
  <c r="G44" i="19"/>
  <c r="M42" i="19"/>
  <c r="E43" i="19"/>
  <c r="D52" i="19" s="1"/>
  <c r="C51" i="19" s="1"/>
  <c r="D52" i="21" l="1"/>
  <c r="C51" i="21" s="1"/>
  <c r="M44" i="21"/>
  <c r="Q16" i="21"/>
  <c r="E39" i="21" s="1"/>
  <c r="G37" i="21"/>
  <c r="Q12" i="21"/>
  <c r="E35" i="21" s="1"/>
  <c r="G35" i="21" s="1"/>
  <c r="G34" i="21"/>
  <c r="B49" i="21"/>
  <c r="G25" i="21"/>
  <c r="G31" i="21"/>
  <c r="D28" i="21"/>
  <c r="G28" i="21" s="1"/>
  <c r="G10" i="21"/>
  <c r="G11" i="21" s="1"/>
  <c r="J12" i="21"/>
  <c r="J11" i="21"/>
  <c r="G38" i="21"/>
  <c r="G40" i="21"/>
  <c r="G41" i="21"/>
  <c r="J22" i="21"/>
  <c r="J21" i="21"/>
  <c r="G39" i="21"/>
  <c r="F51" i="21"/>
  <c r="G51" i="21" s="1"/>
  <c r="D49" i="21"/>
  <c r="S13" i="21"/>
  <c r="F36" i="21" s="1"/>
  <c r="G36" i="21" s="1"/>
  <c r="G15" i="21"/>
  <c r="G16" i="21" s="1"/>
  <c r="G43" i="21"/>
  <c r="M43" i="19"/>
  <c r="D51" i="19"/>
  <c r="C52" i="19" s="1"/>
  <c r="M44" i="19"/>
  <c r="G43" i="19"/>
  <c r="F25" i="19"/>
  <c r="F26" i="19"/>
  <c r="F27" i="19"/>
  <c r="F28" i="19"/>
  <c r="F29" i="19"/>
  <c r="F30" i="19"/>
  <c r="F31" i="19"/>
  <c r="F32" i="19"/>
  <c r="C49" i="19"/>
  <c r="D50" i="19"/>
  <c r="E26" i="19"/>
  <c r="E27" i="19"/>
  <c r="E28" i="19"/>
  <c r="E29" i="19"/>
  <c r="E30" i="19"/>
  <c r="E31" i="19"/>
  <c r="E32" i="19"/>
  <c r="E25" i="19"/>
  <c r="D34" i="19"/>
  <c r="D25" i="19" s="1"/>
  <c r="D35" i="19"/>
  <c r="D26" i="19" s="1"/>
  <c r="D36" i="19"/>
  <c r="D27" i="19" s="1"/>
  <c r="D37" i="19"/>
  <c r="D28" i="19" s="1"/>
  <c r="D38" i="19"/>
  <c r="D29" i="19" s="1"/>
  <c r="D39" i="19"/>
  <c r="D30" i="19" s="1"/>
  <c r="D40" i="19"/>
  <c r="D31" i="19" s="1"/>
  <c r="D41" i="19"/>
  <c r="D32" i="19" s="1"/>
  <c r="U12" i="19"/>
  <c r="U13" i="19"/>
  <c r="U14" i="19"/>
  <c r="U15" i="19"/>
  <c r="U16" i="19"/>
  <c r="U17" i="19"/>
  <c r="U18" i="19"/>
  <c r="U11" i="19"/>
  <c r="S12" i="19"/>
  <c r="F35" i="19" s="1"/>
  <c r="S15" i="19"/>
  <c r="F38" i="19" s="1"/>
  <c r="S16" i="19"/>
  <c r="F39" i="19" s="1"/>
  <c r="S17" i="19"/>
  <c r="F40" i="19" s="1"/>
  <c r="S18" i="19"/>
  <c r="F41" i="19" s="1"/>
  <c r="S11" i="19"/>
  <c r="F34" i="19" s="1"/>
  <c r="R13" i="19"/>
  <c r="S13" i="19" s="1"/>
  <c r="F36" i="19" s="1"/>
  <c r="P11" i="19"/>
  <c r="P12" i="19"/>
  <c r="P13" i="19"/>
  <c r="P14" i="19"/>
  <c r="P15" i="19"/>
  <c r="P16" i="19"/>
  <c r="P17" i="19"/>
  <c r="P18" i="19"/>
  <c r="P10" i="19"/>
  <c r="D10" i="19"/>
  <c r="F52" i="21" l="1"/>
  <c r="G52" i="21" s="1"/>
  <c r="G45" i="21"/>
  <c r="J16" i="21"/>
  <c r="J17" i="21"/>
  <c r="F49" i="21"/>
  <c r="G49" i="21" s="1"/>
  <c r="C50" i="21"/>
  <c r="F50" i="21" s="1"/>
  <c r="G50" i="21" s="1"/>
  <c r="G32" i="19"/>
  <c r="D49" i="19"/>
  <c r="G30" i="19"/>
  <c r="G26" i="19"/>
  <c r="G28" i="19"/>
  <c r="Q17" i="19"/>
  <c r="E40" i="19" s="1"/>
  <c r="G40" i="19" s="1"/>
  <c r="Q13" i="19"/>
  <c r="E36" i="19" s="1"/>
  <c r="G36" i="19" s="1"/>
  <c r="G25" i="19"/>
  <c r="G29" i="19"/>
  <c r="S14" i="19"/>
  <c r="F37" i="19" s="1"/>
  <c r="G31" i="19"/>
  <c r="G27" i="19"/>
  <c r="Q11" i="19"/>
  <c r="Q16" i="19"/>
  <c r="E39" i="19" s="1"/>
  <c r="G39" i="19" s="1"/>
  <c r="Q15" i="19"/>
  <c r="E38" i="19" s="1"/>
  <c r="G38" i="19" s="1"/>
  <c r="Q18" i="19"/>
  <c r="E41" i="19" s="1"/>
  <c r="G41" i="19" s="1"/>
  <c r="Q14" i="19"/>
  <c r="E37" i="19" s="1"/>
  <c r="Q12" i="19"/>
  <c r="E35" i="19" s="1"/>
  <c r="G35" i="19" s="1"/>
  <c r="G55" i="21" l="1"/>
  <c r="J56" i="21"/>
  <c r="J55" i="21"/>
  <c r="J46" i="21"/>
  <c r="J45" i="21"/>
  <c r="J60" i="21" s="1"/>
  <c r="C62" i="21" s="1"/>
  <c r="E34" i="19"/>
  <c r="G34" i="19" s="1"/>
  <c r="G45" i="19" s="1"/>
  <c r="G37" i="19"/>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F35" i="20" l="1"/>
  <c r="F19" i="20"/>
  <c r="F20" i="20" s="1"/>
  <c r="C65" i="21"/>
  <c r="E64" i="21"/>
  <c r="E65" i="21"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C67" i="19"/>
  <c r="C66" i="19"/>
  <c r="G58" i="19"/>
  <c r="J58" i="19" s="1"/>
  <c r="E54" i="19"/>
  <c r="E53" i="19"/>
  <c r="E52" i="19"/>
  <c r="E51" i="19"/>
  <c r="E50" i="19"/>
  <c r="E49" i="19"/>
  <c r="B25" i="19"/>
  <c r="B49" i="19" s="1"/>
  <c r="E15" i="19"/>
  <c r="E20" i="19" s="1"/>
  <c r="D15" i="19"/>
  <c r="D20" i="19" s="1"/>
  <c r="B15" i="19"/>
  <c r="F10" i="19"/>
  <c r="G10" i="19" s="1"/>
  <c r="G11" i="19" s="1"/>
  <c r="G13" i="6" s="1"/>
  <c r="C64" i="19" l="1"/>
  <c r="F54" i="19"/>
  <c r="G54" i="19" s="1"/>
  <c r="J12" i="19"/>
  <c r="I14" i="6" s="1"/>
  <c r="J11" i="19"/>
  <c r="G20" i="19"/>
  <c r="F53" i="19"/>
  <c r="G53" i="19" s="1"/>
  <c r="G15" i="19"/>
  <c r="G16" i="19" s="1"/>
  <c r="G16" i="6" s="1"/>
  <c r="B20" i="19"/>
  <c r="G21" i="19" l="1"/>
  <c r="G19" i="6" s="1"/>
  <c r="I19" i="6" s="1"/>
  <c r="J17" i="19"/>
  <c r="I17" i="6" s="1"/>
  <c r="J16" i="19"/>
  <c r="C50" i="19"/>
  <c r="F50" i="19" s="1"/>
  <c r="G50" i="19" s="1"/>
  <c r="N19" i="19"/>
  <c r="C44" i="18"/>
  <c r="C43" i="18"/>
  <c r="J21" i="19" l="1"/>
  <c r="D28" i="6"/>
  <c r="G28" i="6"/>
  <c r="J22" i="19"/>
  <c r="I20" i="6" s="1"/>
  <c r="F14" i="6"/>
  <c r="D13" i="6"/>
  <c r="F49" i="19"/>
  <c r="G49" i="19" s="1"/>
  <c r="F52" i="19"/>
  <c r="G52" i="19" s="1"/>
  <c r="F51" i="19"/>
  <c r="G51" i="19" s="1"/>
  <c r="G55" i="19" s="1"/>
  <c r="C41" i="18"/>
  <c r="G22" i="6" l="1"/>
  <c r="I22" i="6" s="1"/>
  <c r="D16" i="6"/>
  <c r="D19" i="6"/>
  <c r="F19" i="6" s="1"/>
  <c r="J19" i="6" s="1"/>
  <c r="G25" i="6"/>
  <c r="I25" i="6" s="1"/>
  <c r="F17" i="6"/>
  <c r="F20" i="6"/>
  <c r="J20" i="6" s="1"/>
  <c r="J56" i="19" l="1"/>
  <c r="I26" i="6" s="1"/>
  <c r="J45" i="19"/>
  <c r="J46" i="19"/>
  <c r="I23" i="6" s="1"/>
  <c r="J55" i="19"/>
  <c r="J60" i="19" l="1"/>
  <c r="C62" i="19" s="1"/>
  <c r="E64" i="19" s="1"/>
  <c r="E65" i="19" s="1"/>
  <c r="D22" i="6"/>
  <c r="F22" i="6" s="1"/>
  <c r="J22" i="6" s="1"/>
  <c r="F23" i="6"/>
  <c r="J23" i="6" s="1"/>
  <c r="C65" i="19" l="1"/>
  <c r="F26" i="6"/>
  <c r="J26" i="6" s="1"/>
  <c r="D25" i="6"/>
  <c r="F25" i="6" s="1"/>
  <c r="J25" i="6" s="1"/>
  <c r="J37" i="18"/>
  <c r="C39" i="18" l="1"/>
  <c r="C42" i="18" l="1"/>
  <c r="E41" i="18"/>
  <c r="E42"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<sst xmlns="http://schemas.openxmlformats.org/spreadsheetml/2006/main" count="453" uniqueCount="131">
  <si>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</si>
  <si>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</si>
  <si>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</si>
  <si>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</si>
  <si>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</si>
  <si>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</si>
  <si>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</si>
  <si>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</si>
  <si>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</si>
  <si>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</si>
  <si>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</si>
  <si>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</si>
  <si>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</si>
  <si>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</si>
  <si>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</si>
  <si>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</si>
  <si>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</si>
  <si>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</si>
  <si>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</si>
  <si>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</si>
  <si>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</si>
  <si>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</si>
  <si>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</si>
  <si>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</si>
  <si>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</si>
  <si>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</si>
  <si>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</si>
  <si>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</si>
  <si>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</si>
  <si>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</si>
  <si>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</si>
  <si>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</si>
  <si>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</si>
  <si>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</si>
  <si>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</si>
  <si>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</si>
  <si>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</si>
  <si>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</si>
  <si>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</si>
  <si>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 xml:space="preserve">F.Y.: 2080/81     </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</si>
  <si>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</si>
  <si>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</si>
  <si>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</si>
  <si>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</si>
  <si>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</si>
  <si>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</si>
  <si>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Length (m)</t>
  </si>
  <si>
    <t>Unit Wt. (Kg/m)</t>
  </si>
  <si>
    <t>Total Wt. (Kg)</t>
  </si>
  <si>
    <t>Total Wt. (tonne)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</si>
  <si>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</si>
  <si>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</si>
  <si>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-Drain shear wall</t>
  </si>
  <si>
    <t>Project:- कालिका मन्दिर मुनि ढल व्यवस्थापन स्तरोन्नति</t>
  </si>
  <si>
    <t>-Drain slab 2</t>
  </si>
  <si>
    <t>-Drain slab 1</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</si>
  <si>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</si>
  <si>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</si>
  <si>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</si>
  <si>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</si>
  <si>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</si>
  <si>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</si>
  <si>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</si>
  <si>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</si>
  <si>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</si>
  <si>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</si>
  <si>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</si>
  <si>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</si>
  <si>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</si>
  <si>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</si>
  <si>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</si>
  <si>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</si>
  <si>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</si>
  <si>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</si>
  <si>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</si>
  <si>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</si>
  <si>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</si>
  <si>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</si>
  <si>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</si>
  <si>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</si>
  <si>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</si>
  <si>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</si>
  <si>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</si>
  <si>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</si>
  <si>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</si>
  <si>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</si>
  <si>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</si>
  <si>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</si>
  <si>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</si>
  <si>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</si>
  <si>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</si>
  <si>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</si>
  <si>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</si>
  <si>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</si>
  <si>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</si>
  <si>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</si>
  <si>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</si>
  <si>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</si>
  <si>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</si>
  <si>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</si>
  <si>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</si>
  <si>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</si>
  <si>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</si>
  <si>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</si>
  <si>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</si>
  <si>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</si>
  <si>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W1</t>
  </si>
  <si>
    <t>W2</t>
  </si>
  <si>
    <t>breadth</t>
  </si>
  <si>
    <t>height</t>
  </si>
  <si>
    <t>wide</t>
  </si>
  <si>
    <t>Wide base of drain</t>
  </si>
  <si>
    <t>Detail Quantity Measurement Sheet</t>
  </si>
  <si>
    <t>Date:2080/03/16</t>
  </si>
  <si>
    <t>Date:2081/03/16</t>
  </si>
  <si>
    <t>Total Valuated</t>
  </si>
  <si>
    <t>Detail Valuated Sheet</t>
  </si>
  <si>
    <t xml:space="preserve">Work Started : </t>
  </si>
  <si>
    <t xml:space="preserve">Work Finished:       </t>
  </si>
  <si>
    <t xml:space="preserve">F.Y.: 2081/082     </t>
  </si>
  <si>
    <t xml:space="preserve">Date:                     </t>
  </si>
  <si>
    <t xml:space="preserve">Project:- </t>
  </si>
  <si>
    <t>Block 1</t>
  </si>
  <si>
    <t>l;d]G6 jf jh|df hf]8]sf] uf/f] eTsfO{ To;af6 cfPsf] ;fdfu+|L !) dL</t>
  </si>
  <si>
    <t>-Block 1</t>
  </si>
  <si>
    <t>-short wall</t>
  </si>
  <si>
    <t>-long wall</t>
  </si>
  <si>
    <t>-masonary column</t>
  </si>
  <si>
    <t>-deduction for window opening</t>
  </si>
  <si>
    <t>-deduction for door opening</t>
  </si>
  <si>
    <t>-Block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</si>
</sst>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s>
  <fills count="15">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rgb="FFFFFF0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164" fontId="1" fillId="0" borderId="0" applyFont="0" applyFill="0" applyBorder="0" applyAlignment="0" applyProtection="0"/>
    <xf numFmtId="0" fontId="15" fillId="0" borderId="0"/>
    <xf numFmtId="164"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9">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0" fontId="0" fillId="0" borderId="0" xfId="0" applyBorder="1" applyAlignment="1"/>
    <xf numFmtId="165"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166" fontId="12" fillId="0" borderId="1" xfId="1" applyNumberFormat="1" applyFont="1" applyFill="1" applyBorder="1" applyAlignment="1">
      <alignment vertical="center"/>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5" fontId="6" fillId="0" borderId="1" xfId="0" applyNumberFormat="1" applyFont="1" applyBorder="1" applyAlignment="1">
      <alignment vertical="center" wrapText="1"/>
    </xf>
    <xf numFmtId="165"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5"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5"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5"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5"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0" fillId="13" borderId="0" xfId="0" applyFill="1"/>
    <xf numFmtId="0" fontId="0" fillId="13" borderId="0" xfId="0" applyFill="1" applyAlignment="1">
      <alignment wrapText="1"/>
    </xf>
    <xf numFmtId="0" fontId="0" fillId="13" borderId="0" xfId="0" applyFill="1" applyAlignment="1"/>
    <xf numFmtId="0" fontId="2" fillId="0" borderId="0" xfId="0" applyFont="1" applyFill="1" applyBorder="1"/>
    <xf numFmtId="2" fontId="0" fillId="0" borderId="0" xfId="0" applyNumberFormat="1" applyBorder="1"/>
    <xf numFmtId="0" fontId="2" fillId="0" borderId="1" xfId="0" applyFont="1" applyFill="1" applyBorder="1" applyAlignment="1">
      <alignment vertical="center"/>
    </xf>
    <xf numFmtId="0" fontId="3" fillId="0" borderId="1" xfId="0" quotePrefix="1" applyFont="1" applyBorder="1" applyAlignment="1">
      <alignment horizontal="right" wrapText="1"/>
    </xf>
    <xf numFmtId="0" fontId="20" fillId="0" borderId="1" xfId="0" applyFont="1" applyBorder="1" applyAlignment="1">
      <alignment vertical="center" wrapText="1"/>
    </xf>
    <xf numFmtId="0" fontId="3" fillId="0" borderId="1" xfId="0" quotePrefix="1" applyFont="1" applyBorder="1" applyAlignment="1">
      <alignment horizont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right" vertical="center" wrapText="1"/>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6" fillId="0" borderId="0" xfId="0" applyFont="1" applyAlignment="1">
      <alignmen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7" fillId="0" borderId="1"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2" fontId="0" fillId="0" borderId="1" xfId="0" applyNumberFormat="1" applyFont="1" applyBorder="1"/>
    <xf numFmtId="2" fontId="13" fillId="14" borderId="1" xfId="0" applyNumberFormat="1" applyFont="1" applyFill="1" applyBorder="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FFFFFF"/>
      </a:dk1>
      <a:lt1>
        <a:sysClr val="window" lastClr="00000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tabSelected="1" topLeftCell="A16" zoomScaleNormal="100" zoomScaleSheetLayoutView="80" workbookViewId="0">
      <selection activeCell="L26" sqref="L26"/>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7" s="1" customFormat="1" x14ac:dyDescent="0.3">
      <c r="A1" s="109" t="s">
        <v>0</v>
      </c>
      <c r="B1" s="109"/>
      <c r="C1" s="109"/>
      <c r="D1" s="109"/>
      <c r="E1" s="109"/>
      <c r="F1" s="109"/>
      <c r="G1" s="109"/>
      <c r="H1" s="109"/>
      <c r="I1" s="109"/>
      <c r="J1" s="109"/>
      <c r="K1" s="109"/>
    </row>
    <row r="2" spans="1:17" s="1" customFormat="1" ht="22.8" x14ac:dyDescent="0.3">
      <c r="A2" s="110" t="s">
        <v>1</v>
      </c>
      <c r="B2" s="110"/>
      <c r="C2" s="110"/>
      <c r="D2" s="110"/>
      <c r="E2" s="110"/>
      <c r="F2" s="110"/>
      <c r="G2" s="110"/>
      <c r="H2" s="110"/>
      <c r="I2" s="110"/>
      <c r="J2" s="110"/>
      <c r="K2" s="110"/>
    </row>
    <row r="3" spans="1:17" s="1" customFormat="1" x14ac:dyDescent="0.3">
      <c r="A3" s="111" t="s">
        <v>2</v>
      </c>
      <c r="B3" s="111"/>
      <c r="C3" s="111"/>
      <c r="D3" s="111"/>
      <c r="E3" s="111"/>
      <c r="F3" s="111"/>
      <c r="G3" s="111"/>
      <c r="H3" s="111"/>
      <c r="I3" s="111"/>
      <c r="J3" s="111"/>
      <c r="K3" s="111"/>
    </row>
    <row r="4" spans="1:17" s="1" customFormat="1" x14ac:dyDescent="0.3">
      <c r="A4" s="111" t="s">
        <v>3</v>
      </c>
      <c r="B4" s="111"/>
      <c r="C4" s="111"/>
      <c r="D4" s="111"/>
      <c r="E4" s="111"/>
      <c r="F4" s="111"/>
      <c r="G4" s="111"/>
      <c r="H4" s="111"/>
      <c r="I4" s="111"/>
      <c r="J4" s="111"/>
      <c r="K4" s="111"/>
    </row>
    <row r="5" spans="1:17" ht="17.399999999999999" x14ac:dyDescent="0.3">
      <c r="A5" s="112" t="s">
        <v>4</v>
      </c>
      <c r="B5" s="112"/>
      <c r="C5" s="112"/>
      <c r="D5" s="112"/>
      <c r="E5" s="112"/>
      <c r="F5" s="112"/>
      <c r="G5" s="112"/>
      <c r="H5" s="112"/>
      <c r="I5" s="112"/>
      <c r="J5" s="112"/>
      <c r="K5" s="112"/>
    </row>
    <row r="6" spans="1:17" ht="18" x14ac:dyDescent="0.35">
      <c r="A6" s="108" t="s">
        <v>121</v>
      </c>
      <c r="B6" s="108"/>
      <c r="C6" s="108"/>
      <c r="D6" s="108"/>
      <c r="E6" s="108"/>
      <c r="F6" s="108"/>
      <c r="G6" s="108"/>
      <c r="H6" s="104" t="s">
        <v>119</v>
      </c>
      <c r="I6" s="104"/>
      <c r="J6" s="104"/>
      <c r="K6" s="104"/>
    </row>
    <row r="7" spans="1:17" ht="15.6" x14ac:dyDescent="0.3">
      <c r="A7" s="103" t="s">
        <v>33</v>
      </c>
      <c r="B7" s="103"/>
      <c r="C7" s="103"/>
      <c r="D7" s="103"/>
      <c r="E7" s="103"/>
      <c r="F7" s="103"/>
      <c r="G7" s="2"/>
      <c r="H7" s="104" t="s">
        <v>120</v>
      </c>
      <c r="I7" s="104"/>
      <c r="J7" s="104"/>
      <c r="K7" s="104"/>
    </row>
    <row r="8" spans="1:17" ht="15" customHeight="1" x14ac:dyDescent="0.3">
      <c r="A8" s="3" t="s">
        <v>5</v>
      </c>
      <c r="B8" s="24" t="s">
        <v>6</v>
      </c>
      <c r="C8" s="3" t="s">
        <v>7</v>
      </c>
      <c r="D8" s="25" t="s">
        <v>8</v>
      </c>
      <c r="E8" s="25" t="s">
        <v>9</v>
      </c>
      <c r="F8" s="25" t="s">
        <v>10</v>
      </c>
      <c r="G8" s="25" t="s">
        <v>11</v>
      </c>
      <c r="H8" s="3" t="s">
        <v>12</v>
      </c>
      <c r="I8" s="25" t="s">
        <v>13</v>
      </c>
      <c r="J8" s="25" t="s">
        <v>14</v>
      </c>
      <c r="K8" s="26" t="s">
        <v>15</v>
      </c>
    </row>
    <row r="9" spans="1:17" ht="15" customHeight="1" x14ac:dyDescent="0.3">
      <c r="A9" s="3"/>
      <c r="B9" s="24" t="s">
        <v>122</v>
      </c>
      <c r="C9" s="3"/>
      <c r="D9" s="25"/>
      <c r="E9" s="25"/>
      <c r="F9" s="25"/>
      <c r="G9" s="25"/>
      <c r="H9" s="3"/>
      <c r="I9" s="25"/>
      <c r="J9" s="25"/>
      <c r="K9" s="26"/>
    </row>
    <row r="10" spans="1:17" s="1" customFormat="1" ht="45" x14ac:dyDescent="0.3">
      <c r="A10" s="28">
        <v>1</v>
      </c>
      <c r="B10" s="99" t="s">
        <v>123</v>
      </c>
      <c r="C10" s="29"/>
      <c r="D10" s="30"/>
      <c r="E10" s="31"/>
      <c r="F10" s="31"/>
      <c r="G10" s="39"/>
      <c r="H10" s="32"/>
      <c r="I10" s="33"/>
      <c r="J10" s="39"/>
      <c r="K10" s="31"/>
      <c r="N10" s="97"/>
      <c r="O10" s="17"/>
      <c r="P10" s="15"/>
      <c r="Q10" s="15"/>
    </row>
    <row r="11" spans="1:17" x14ac:dyDescent="0.3">
      <c r="A11" s="28"/>
      <c r="B11" s="100" t="s">
        <v>124</v>
      </c>
      <c r="C11" s="29"/>
      <c r="D11" s="30"/>
      <c r="E11" s="31"/>
      <c r="F11" s="31"/>
      <c r="G11" s="40"/>
      <c r="H11" s="32"/>
      <c r="I11" s="33"/>
      <c r="J11" s="8"/>
      <c r="K11" s="31"/>
      <c r="N11" s="95"/>
      <c r="O11" s="44"/>
      <c r="P11" s="96"/>
      <c r="Q11" s="96"/>
    </row>
    <row r="12" spans="1:17" x14ac:dyDescent="0.3">
      <c r="A12" s="28"/>
      <c r="B12" s="98" t="s">
        <v>125</v>
      </c>
      <c r="C12" s="29">
        <v>2</v>
      </c>
      <c r="D12" s="30">
        <f>15.583/3.281</f>
        <v>4.7494666260286493</v>
      </c>
      <c r="E12" s="31">
        <v>0.23</v>
      </c>
      <c r="F12" s="31">
        <f>2.5/3.281</f>
        <v>0.76196281621456874</v>
      </c>
      <c r="G12" s="40">
        <f>PRODUCT(C12:F12)</f>
        <v>1.6647018043075121</v>
      </c>
      <c r="H12" s="32"/>
      <c r="I12" s="33"/>
      <c r="J12" s="8"/>
      <c r="K12" s="31"/>
      <c r="N12" s="95"/>
      <c r="O12" s="44"/>
      <c r="P12" s="96"/>
      <c r="Q12" s="96"/>
    </row>
    <row r="13" spans="1:17" x14ac:dyDescent="0.3">
      <c r="A13" s="28"/>
      <c r="B13" s="98"/>
      <c r="C13" s="29">
        <v>2</v>
      </c>
      <c r="D13" s="30">
        <f>15.583/3.281</f>
        <v>4.7494666260286493</v>
      </c>
      <c r="E13" s="31">
        <v>0.1</v>
      </c>
      <c r="F13" s="31">
        <f>3.917/3.281</f>
        <v>1.1938433404449862</v>
      </c>
      <c r="G13" s="40">
        <f t="shared" ref="G13:G19" si="0">PRODUCT(C13:F13)</f>
        <v>1.1340238204300042</v>
      </c>
      <c r="H13" s="32"/>
      <c r="I13" s="33"/>
      <c r="J13" s="8"/>
      <c r="K13" s="31"/>
      <c r="N13" s="95"/>
      <c r="O13" s="44"/>
      <c r="P13" s="96"/>
      <c r="Q13" s="96"/>
    </row>
    <row r="14" spans="1:17" x14ac:dyDescent="0.3">
      <c r="A14" s="28"/>
      <c r="B14" s="98"/>
      <c r="C14" s="29">
        <v>1</v>
      </c>
      <c r="D14" s="30">
        <f>14.083/3.281</f>
        <v>4.2922889362999088</v>
      </c>
      <c r="E14" s="31">
        <v>0.1</v>
      </c>
      <c r="F14" s="31">
        <f>F13+F12</f>
        <v>1.955806156659555</v>
      </c>
      <c r="G14" s="40">
        <f t="shared" si="0"/>
        <v>0.83948851277770542</v>
      </c>
      <c r="H14" s="32"/>
      <c r="I14" s="33"/>
      <c r="J14" s="8"/>
      <c r="K14" s="31"/>
      <c r="N14" s="95"/>
      <c r="O14" s="44"/>
      <c r="P14" s="96"/>
      <c r="Q14" s="96"/>
    </row>
    <row r="15" spans="1:17" x14ac:dyDescent="0.3">
      <c r="A15" s="28"/>
      <c r="B15" s="98" t="s">
        <v>126</v>
      </c>
      <c r="C15" s="29">
        <v>2</v>
      </c>
      <c r="D15" s="30">
        <f>45.42/3.281</f>
        <v>13.843340444986284</v>
      </c>
      <c r="E15" s="31">
        <v>0.23</v>
      </c>
      <c r="F15" s="31">
        <f>2.5/3.281</f>
        <v>0.76196281621456874</v>
      </c>
      <c r="G15" s="40">
        <f t="shared" si="0"/>
        <v>4.8521309087882436</v>
      </c>
      <c r="H15" s="32"/>
      <c r="I15" s="33"/>
      <c r="J15" s="8"/>
      <c r="K15" s="31"/>
      <c r="N15" s="95"/>
      <c r="O15" s="44"/>
      <c r="P15" s="96"/>
      <c r="Q15" s="96"/>
    </row>
    <row r="16" spans="1:17" x14ac:dyDescent="0.3">
      <c r="A16" s="28"/>
      <c r="B16" s="98"/>
      <c r="C16" s="29">
        <v>2</v>
      </c>
      <c r="D16" s="30">
        <f>45.42/3.281</f>
        <v>13.843340444986284</v>
      </c>
      <c r="E16" s="31">
        <v>0.1</v>
      </c>
      <c r="F16" s="31">
        <f>3.917/3.281</f>
        <v>1.1938433404449862</v>
      </c>
      <c r="G16" s="40">
        <f t="shared" si="0"/>
        <v>3.3053559599519216</v>
      </c>
      <c r="H16" s="32"/>
      <c r="I16" s="33"/>
      <c r="J16" s="8"/>
      <c r="K16" s="31"/>
      <c r="N16" s="95"/>
      <c r="O16" s="44"/>
      <c r="P16" s="96"/>
      <c r="Q16" s="96"/>
    </row>
    <row r="17" spans="1:17" x14ac:dyDescent="0.3">
      <c r="A17" s="28"/>
      <c r="B17" s="98" t="s">
        <v>127</v>
      </c>
      <c r="C17" s="29">
        <v>6</v>
      </c>
      <c r="D17" s="30">
        <f>1.17/3.281</f>
        <v>0.35659859798841814</v>
      </c>
      <c r="E17" s="31">
        <f>0.42/3.281</f>
        <v>0.12800975312404753</v>
      </c>
      <c r="F17" s="31">
        <f>F14</f>
        <v>1.955806156659555</v>
      </c>
      <c r="G17" s="40">
        <f t="shared" si="0"/>
        <v>0.53567299243304567</v>
      </c>
      <c r="H17" s="32"/>
      <c r="I17" s="33"/>
      <c r="J17" s="8"/>
      <c r="K17" s="31"/>
      <c r="N17" s="95"/>
      <c r="O17" s="44"/>
      <c r="P17" s="96"/>
      <c r="Q17" s="96"/>
    </row>
    <row r="18" spans="1:17" x14ac:dyDescent="0.3">
      <c r="A18" s="28"/>
      <c r="B18" s="98"/>
      <c r="C18" s="29">
        <v>4</v>
      </c>
      <c r="D18" s="30">
        <f>1.917/3.281</f>
        <v>0.58427308747333129</v>
      </c>
      <c r="E18" s="31">
        <f>0.42/3.281</f>
        <v>0.12800975312404753</v>
      </c>
      <c r="F18" s="31">
        <f>F14</f>
        <v>1.955806156659555</v>
      </c>
      <c r="G18" s="40">
        <f t="shared" si="0"/>
        <v>0.58511973019609598</v>
      </c>
      <c r="H18" s="32"/>
      <c r="I18" s="33"/>
      <c r="J18" s="8"/>
      <c r="K18" s="31"/>
      <c r="N18" s="95"/>
      <c r="O18" s="44"/>
      <c r="P18" s="96"/>
      <c r="Q18" s="96"/>
    </row>
    <row r="19" spans="1:17" x14ac:dyDescent="0.3">
      <c r="A19" s="28"/>
      <c r="B19" s="98" t="s">
        <v>128</v>
      </c>
      <c r="C19" s="29">
        <v>-14</v>
      </c>
      <c r="D19" s="30">
        <f>2.75/3.281</f>
        <v>0.8381590978360256</v>
      </c>
      <c r="E19" s="31">
        <v>0.1</v>
      </c>
      <c r="F19" s="31">
        <f>3.917/3.281</f>
        <v>1.1938433404449862</v>
      </c>
      <c r="G19" s="40">
        <f t="shared" si="0"/>
        <v>-1.4008829200588837</v>
      </c>
      <c r="H19" s="32"/>
      <c r="I19" s="33"/>
      <c r="J19" s="8"/>
      <c r="K19" s="31"/>
      <c r="N19" s="95"/>
      <c r="O19" s="44"/>
      <c r="P19" s="96"/>
      <c r="Q19" s="96"/>
    </row>
    <row r="20" spans="1:17" x14ac:dyDescent="0.3">
      <c r="A20" s="28"/>
      <c r="B20" s="98" t="s">
        <v>129</v>
      </c>
      <c r="C20" s="29">
        <v>-2</v>
      </c>
      <c r="D20" s="30">
        <f>2.75/3.281</f>
        <v>0.8381590978360256</v>
      </c>
      <c r="E20" s="31">
        <v>0.23</v>
      </c>
      <c r="F20" s="31">
        <f>F12</f>
        <v>0.76196281621456874</v>
      </c>
      <c r="G20" s="40">
        <f t="shared" ref="G20" si="1">PRODUCT(C20:F20)</f>
        <v>-0.29377719064658014</v>
      </c>
      <c r="H20" s="32"/>
      <c r="I20" s="33"/>
      <c r="J20" s="8"/>
      <c r="K20" s="31"/>
      <c r="N20" s="95"/>
      <c r="O20" s="44"/>
      <c r="P20" s="96"/>
      <c r="Q20" s="96"/>
    </row>
    <row r="21" spans="1:17" x14ac:dyDescent="0.3">
      <c r="A21" s="28"/>
      <c r="B21" s="98"/>
      <c r="C21" s="29">
        <v>-2</v>
      </c>
      <c r="D21" s="30">
        <f>2.75/3.281</f>
        <v>0.8381590978360256</v>
      </c>
      <c r="E21" s="31">
        <v>0.1</v>
      </c>
      <c r="F21" s="31">
        <f>F13</f>
        <v>1.1938433404449862</v>
      </c>
      <c r="G21" s="40">
        <f t="shared" ref="G21" si="2">PRODUCT(C21:F21)</f>
        <v>-0.20012613143698338</v>
      </c>
      <c r="H21" s="32"/>
      <c r="I21" s="33"/>
      <c r="J21" s="8"/>
      <c r="K21" s="31"/>
      <c r="N21" s="95"/>
      <c r="O21" s="44"/>
      <c r="P21" s="96"/>
      <c r="Q21" s="96"/>
    </row>
    <row r="22" spans="1:17" x14ac:dyDescent="0.3">
      <c r="A22" s="28"/>
      <c r="B22" s="100" t="s">
        <v>130</v>
      </c>
      <c r="C22" s="29"/>
      <c r="D22" s="30"/>
      <c r="E22" s="31"/>
      <c r="F22" s="31"/>
      <c r="G22" s="40"/>
      <c r="H22" s="32"/>
      <c r="I22" s="33"/>
      <c r="J22" s="8"/>
      <c r="K22" s="31"/>
      <c r="N22" s="95"/>
      <c r="O22" s="44"/>
      <c r="P22" s="96"/>
      <c r="Q22" s="96"/>
    </row>
    <row r="23" spans="1:17" x14ac:dyDescent="0.3">
      <c r="A23" s="28"/>
      <c r="B23" s="98" t="s">
        <v>125</v>
      </c>
      <c r="C23" s="29">
        <v>2</v>
      </c>
      <c r="D23" s="30">
        <f>15.17/3.281</f>
        <v>4.6235903687900031</v>
      </c>
      <c r="E23" s="31">
        <v>0.23</v>
      </c>
      <c r="F23" s="168">
        <f>2.5/3.281</f>
        <v>0.76196281621456874</v>
      </c>
      <c r="G23" s="40">
        <f>PRODUCT(C23:F23)</f>
        <v>1.6205818116758623</v>
      </c>
      <c r="H23" s="32"/>
      <c r="I23" s="33"/>
      <c r="J23" s="8"/>
      <c r="K23" s="31"/>
      <c r="N23" s="95"/>
      <c r="O23" s="44"/>
      <c r="P23" s="96"/>
      <c r="Q23" s="96"/>
    </row>
    <row r="24" spans="1:17" x14ac:dyDescent="0.3">
      <c r="A24" s="28"/>
      <c r="B24" s="98"/>
      <c r="C24" s="29">
        <v>2</v>
      </c>
      <c r="D24" s="30">
        <f>15.17/3.281</f>
        <v>4.6235903687900031</v>
      </c>
      <c r="E24" s="31">
        <v>0.1</v>
      </c>
      <c r="F24" s="168">
        <f>3.917/3.281</f>
        <v>1.1938433404449862</v>
      </c>
      <c r="G24" s="40">
        <f t="shared" ref="G24:G32" si="3">PRODUCT(C24:F24)</f>
        <v>1.1039685141451046</v>
      </c>
      <c r="H24" s="32"/>
      <c r="I24" s="33"/>
      <c r="J24" s="8"/>
      <c r="K24" s="31"/>
      <c r="N24" s="95"/>
      <c r="O24" s="44"/>
      <c r="P24" s="96"/>
      <c r="Q24" s="96"/>
    </row>
    <row r="25" spans="1:17" x14ac:dyDescent="0.3">
      <c r="A25" s="28"/>
      <c r="B25" s="98"/>
      <c r="C25" s="29">
        <v>1</v>
      </c>
      <c r="D25" s="30">
        <f>13.667/3.281</f>
        <v>4.1654983236818044</v>
      </c>
      <c r="E25" s="31">
        <v>0.1</v>
      </c>
      <c r="F25" s="168">
        <f>F24+F23</f>
        <v>1.955806156659555</v>
      </c>
      <c r="G25" s="40">
        <f t="shared" si="3"/>
        <v>0.81469072670119291</v>
      </c>
      <c r="H25" s="32"/>
      <c r="I25" s="33"/>
      <c r="J25" s="8"/>
      <c r="K25" s="31"/>
      <c r="N25" s="95"/>
      <c r="O25" s="44"/>
      <c r="P25" s="96"/>
      <c r="Q25" s="96"/>
    </row>
    <row r="26" spans="1:17" x14ac:dyDescent="0.3">
      <c r="A26" s="28"/>
      <c r="B26" s="98" t="s">
        <v>126</v>
      </c>
      <c r="C26" s="29">
        <v>2</v>
      </c>
      <c r="D26" s="30">
        <f>44.917/3.281</f>
        <v>13.690033526363914</v>
      </c>
      <c r="E26" s="31">
        <v>0.23</v>
      </c>
      <c r="F26" s="168">
        <f>2.5/3.281</f>
        <v>0.76196281621456874</v>
      </c>
      <c r="G26" s="40">
        <f t="shared" si="3"/>
        <v>4.7983963899172517</v>
      </c>
      <c r="H26" s="32"/>
      <c r="I26" s="33"/>
      <c r="J26" s="8"/>
      <c r="K26" s="31"/>
      <c r="N26" s="95"/>
      <c r="O26" s="44"/>
      <c r="P26" s="96"/>
      <c r="Q26" s="96"/>
    </row>
    <row r="27" spans="1:17" x14ac:dyDescent="0.3">
      <c r="A27" s="28"/>
      <c r="B27" s="98"/>
      <c r="C27" s="29">
        <v>2</v>
      </c>
      <c r="D27" s="30">
        <f>44.917/3.281</f>
        <v>13.690033526363914</v>
      </c>
      <c r="E27" s="31">
        <v>0.1</v>
      </c>
      <c r="F27" s="168">
        <f>3.917/3.281</f>
        <v>1.1938433404449862</v>
      </c>
      <c r="G27" s="40">
        <f t="shared" si="3"/>
        <v>3.2687510711836296</v>
      </c>
      <c r="H27" s="32"/>
      <c r="I27" s="33"/>
      <c r="J27" s="8"/>
      <c r="K27" s="31"/>
      <c r="N27" s="95"/>
      <c r="O27" s="44"/>
      <c r="P27" s="96"/>
      <c r="Q27" s="96"/>
    </row>
    <row r="28" spans="1:17" x14ac:dyDescent="0.3">
      <c r="A28" s="28"/>
      <c r="B28" s="98" t="s">
        <v>127</v>
      </c>
      <c r="C28" s="29">
        <v>6</v>
      </c>
      <c r="D28" s="30">
        <f>1.17/3.281</f>
        <v>0.35659859798841814</v>
      </c>
      <c r="E28" s="31">
        <f>0.42/3.281</f>
        <v>0.12800975312404753</v>
      </c>
      <c r="F28" s="168">
        <f>F25</f>
        <v>1.955806156659555</v>
      </c>
      <c r="G28" s="40">
        <f t="shared" si="3"/>
        <v>0.53567299243304567</v>
      </c>
      <c r="H28" s="32"/>
      <c r="I28" s="33"/>
      <c r="J28" s="8"/>
      <c r="K28" s="31"/>
      <c r="N28" s="95"/>
      <c r="O28" s="44"/>
      <c r="P28" s="96"/>
      <c r="Q28" s="96"/>
    </row>
    <row r="29" spans="1:17" x14ac:dyDescent="0.3">
      <c r="A29" s="28"/>
      <c r="B29" s="98"/>
      <c r="C29" s="29">
        <v>4</v>
      </c>
      <c r="D29" s="30">
        <f>1.917/3.281</f>
        <v>0.58427308747333129</v>
      </c>
      <c r="E29" s="31">
        <f>0.42/3.281</f>
        <v>0.12800975312404753</v>
      </c>
      <c r="F29" s="168">
        <f>F25</f>
        <v>1.955806156659555</v>
      </c>
      <c r="G29" s="40">
        <f t="shared" si="3"/>
        <v>0.58511973019609598</v>
      </c>
      <c r="H29" s="32"/>
      <c r="I29" s="33"/>
      <c r="J29" s="8"/>
      <c r="K29" s="31"/>
      <c r="N29" s="95"/>
      <c r="O29" s="44"/>
      <c r="P29" s="96"/>
      <c r="Q29" s="96"/>
    </row>
    <row r="30" spans="1:17" x14ac:dyDescent="0.3">
      <c r="A30" s="28"/>
      <c r="B30" s="98" t="s">
        <v>128</v>
      </c>
      <c r="C30" s="29">
        <v>-14</v>
      </c>
      <c r="D30" s="30">
        <f>2.75/3.281</f>
        <v>0.8381590978360256</v>
      </c>
      <c r="E30" s="31">
        <v>0.1</v>
      </c>
      <c r="F30" s="168">
        <f>3.917/3.281</f>
        <v>1.1938433404449862</v>
      </c>
      <c r="G30" s="40">
        <f t="shared" si="3"/>
        <v>-1.4008829200588837</v>
      </c>
      <c r="H30" s="32"/>
      <c r="I30" s="33"/>
      <c r="J30" s="8"/>
      <c r="K30" s="31"/>
      <c r="N30" s="95"/>
      <c r="O30" s="44"/>
      <c r="P30" s="96"/>
      <c r="Q30" s="96"/>
    </row>
    <row r="31" spans="1:17" x14ac:dyDescent="0.3">
      <c r="A31" s="28"/>
      <c r="B31" s="98" t="s">
        <v>129</v>
      </c>
      <c r="C31" s="29">
        <v>-2</v>
      </c>
      <c r="D31" s="30">
        <f>2.75/3.281</f>
        <v>0.8381590978360256</v>
      </c>
      <c r="E31" s="31">
        <v>0.23</v>
      </c>
      <c r="F31" s="168">
        <f>F23</f>
        <v>0.76196281621456874</v>
      </c>
      <c r="G31" s="40">
        <f t="shared" si="3"/>
        <v>-0.29377719064658014</v>
      </c>
      <c r="H31" s="32"/>
      <c r="I31" s="33"/>
      <c r="J31" s="8"/>
      <c r="K31" s="31"/>
      <c r="N31" s="95"/>
      <c r="O31" s="44"/>
      <c r="P31" s="96"/>
      <c r="Q31" s="96"/>
    </row>
    <row r="32" spans="1:17" x14ac:dyDescent="0.3">
      <c r="A32" s="28"/>
      <c r="B32" s="98"/>
      <c r="C32" s="29">
        <v>-2</v>
      </c>
      <c r="D32" s="30">
        <f>2.75/3.281</f>
        <v>0.8381590978360256</v>
      </c>
      <c r="E32" s="31">
        <v>0.1</v>
      </c>
      <c r="F32" s="168">
        <f>F24</f>
        <v>1.1938433404449862</v>
      </c>
      <c r="G32" s="40">
        <f t="shared" si="3"/>
        <v>-0.20012613143698338</v>
      </c>
      <c r="H32" s="32"/>
      <c r="I32" s="33"/>
      <c r="J32" s="8"/>
      <c r="K32" s="31"/>
      <c r="N32" s="95"/>
      <c r="O32" s="44"/>
      <c r="P32" s="96"/>
      <c r="Q32" s="96"/>
    </row>
    <row r="33" spans="1:31" x14ac:dyDescent="0.3">
      <c r="A33" s="28"/>
      <c r="B33" s="98"/>
      <c r="C33" s="29"/>
      <c r="D33" s="30"/>
      <c r="E33" s="31"/>
      <c r="F33" s="31"/>
      <c r="G33" s="40"/>
      <c r="H33" s="32"/>
      <c r="I33" s="33"/>
      <c r="J33" s="8"/>
      <c r="K33" s="31"/>
      <c r="N33" s="95"/>
      <c r="O33" s="44"/>
      <c r="P33" s="96"/>
      <c r="Q33" s="96"/>
    </row>
    <row r="34" spans="1:31" x14ac:dyDescent="0.3">
      <c r="A34" s="28"/>
      <c r="B34" s="98"/>
      <c r="C34" s="29"/>
      <c r="D34" s="30"/>
      <c r="E34" s="31"/>
      <c r="F34" s="31"/>
      <c r="G34" s="40"/>
      <c r="H34" s="32"/>
      <c r="I34" s="33"/>
      <c r="J34" s="8"/>
      <c r="K34" s="31"/>
      <c r="N34" s="95"/>
      <c r="O34" s="44"/>
      <c r="P34" s="96"/>
      <c r="Q34" s="96"/>
    </row>
    <row r="35" spans="1:31" x14ac:dyDescent="0.3">
      <c r="A35" s="28"/>
      <c r="B35" s="98"/>
      <c r="C35" s="29"/>
      <c r="D35" s="30"/>
      <c r="E35" s="31"/>
      <c r="F35" s="31"/>
      <c r="G35" s="40"/>
      <c r="H35" s="32"/>
      <c r="I35" s="33"/>
      <c r="J35" s="8"/>
      <c r="K35" s="31"/>
      <c r="N35" s="95"/>
      <c r="O35" s="44"/>
      <c r="P35" s="96"/>
      <c r="Q35" s="96"/>
    </row>
    <row r="36" spans="1:31" x14ac:dyDescent="0.3">
      <c r="A36" s="10"/>
      <c r="B36" s="98"/>
      <c r="C36" s="9"/>
      <c r="D36" s="7"/>
      <c r="E36" s="7"/>
      <c r="F36" s="7"/>
      <c r="G36" s="167"/>
      <c r="H36" s="8"/>
      <c r="I36" s="8"/>
      <c r="J36" s="8"/>
      <c r="K36" s="4"/>
      <c r="M36" s="44"/>
    </row>
    <row r="37" spans="1:31" x14ac:dyDescent="0.3">
      <c r="A37" s="10"/>
      <c r="B37" s="27" t="s">
        <v>17</v>
      </c>
      <c r="C37" s="9"/>
      <c r="D37" s="7"/>
      <c r="E37" s="7"/>
      <c r="F37" s="7"/>
      <c r="G37" s="167"/>
      <c r="H37" s="8"/>
      <c r="I37" s="8"/>
      <c r="J37" s="8">
        <f>SUM(J10:J36)</f>
        <v>0</v>
      </c>
      <c r="K37" s="4"/>
      <c r="M37" s="44"/>
      <c r="P37" s="60"/>
      <c r="Q37" s="60"/>
    </row>
    <row r="38" spans="1:31" x14ac:dyDescent="0.3">
      <c r="M38" s="44"/>
      <c r="N38" s="45"/>
      <c r="O38" s="45"/>
      <c r="P38" s="59"/>
      <c r="R38" s="45"/>
      <c r="S38" s="45"/>
      <c r="T38" s="45"/>
      <c r="U38" s="44"/>
      <c r="V38" s="44"/>
      <c r="W38" s="44"/>
      <c r="X38" s="44"/>
      <c r="Y38" s="44"/>
      <c r="Z38" s="44"/>
      <c r="AA38" s="44"/>
      <c r="AB38" s="44"/>
      <c r="AC38" s="44"/>
      <c r="AD38" s="44"/>
      <c r="AE38" s="44"/>
    </row>
    <row r="39" spans="1:31" s="1" customFormat="1" x14ac:dyDescent="0.3">
      <c r="B39" s="17" t="s">
        <v>32</v>
      </c>
      <c r="C39" s="101">
        <f>J37</f>
        <v>0</v>
      </c>
      <c r="D39" s="102"/>
      <c r="E39" s="15">
        <v>100</v>
      </c>
      <c r="F39" s="19"/>
      <c r="G39" s="20"/>
      <c r="H39" s="19"/>
      <c r="I39" s="21"/>
      <c r="J39" s="22"/>
      <c r="K39" s="23"/>
      <c r="M39" s="19"/>
      <c r="N39" s="45"/>
      <c r="O39" s="45"/>
      <c r="P39" s="45"/>
      <c r="Q39" s="45"/>
      <c r="R39" s="45"/>
      <c r="S39" s="45"/>
      <c r="T39" s="45"/>
      <c r="U39" s="19"/>
      <c r="V39" s="19"/>
      <c r="W39" s="19"/>
      <c r="X39" s="19"/>
      <c r="Y39" s="19"/>
      <c r="Z39" s="19"/>
      <c r="AA39" s="19"/>
      <c r="AB39" s="19"/>
      <c r="AC39" s="19"/>
      <c r="AD39" s="19"/>
      <c r="AE39" s="19"/>
    </row>
    <row r="40" spans="1:31" x14ac:dyDescent="0.3">
      <c r="B40" s="17" t="s">
        <v>27</v>
      </c>
      <c r="C40" s="105">
        <v>150000</v>
      </c>
      <c r="D40" s="106"/>
      <c r="E40" s="15"/>
      <c r="M40" s="44"/>
      <c r="N40" s="45"/>
      <c r="O40" s="45"/>
      <c r="P40" s="45"/>
      <c r="Q40" s="45"/>
      <c r="R40" s="45"/>
      <c r="S40" s="45"/>
      <c r="T40" s="45"/>
      <c r="U40" s="44"/>
      <c r="V40" s="44"/>
      <c r="W40" s="44"/>
      <c r="X40" s="44"/>
      <c r="Y40" s="44"/>
      <c r="Z40" s="44"/>
      <c r="AA40" s="44"/>
      <c r="AB40" s="44"/>
      <c r="AC40" s="44"/>
      <c r="AD40" s="44"/>
      <c r="AE40" s="44"/>
    </row>
    <row r="41" spans="1:31" x14ac:dyDescent="0.3">
      <c r="B41" s="17" t="s">
        <v>28</v>
      </c>
      <c r="C41" s="105">
        <f>C40-C43-C44</f>
        <v>142500</v>
      </c>
      <c r="D41" s="106"/>
      <c r="E41" s="15" t="e">
        <f>C41/C39*100</f>
        <v>#DIV/0!</v>
      </c>
      <c r="M41" s="44"/>
      <c r="N41" s="44"/>
      <c r="O41" s="44"/>
      <c r="P41" s="44"/>
      <c r="Q41" s="44"/>
      <c r="R41" s="44"/>
      <c r="S41" s="44"/>
      <c r="T41" s="44"/>
      <c r="U41" s="44"/>
      <c r="V41" s="44"/>
      <c r="W41" s="44"/>
      <c r="X41" s="44"/>
      <c r="Y41" s="44"/>
      <c r="Z41" s="44"/>
      <c r="AA41" s="44"/>
      <c r="AB41" s="44"/>
      <c r="AC41" s="44"/>
      <c r="AD41" s="44"/>
      <c r="AE41" s="44"/>
    </row>
    <row r="42" spans="1:31" x14ac:dyDescent="0.3">
      <c r="B42" s="17" t="s">
        <v>29</v>
      </c>
      <c r="C42" s="107">
        <f>C39-C41</f>
        <v>-142500</v>
      </c>
      <c r="D42" s="107"/>
      <c r="E42" s="15" t="e">
        <f>100-E41</f>
        <v>#DIV/0!</v>
      </c>
      <c r="M42" s="44"/>
      <c r="N42" s="44"/>
      <c r="O42" s="44"/>
      <c r="P42" s="44"/>
      <c r="Q42" s="44"/>
      <c r="R42" s="44"/>
      <c r="S42" s="44"/>
      <c r="T42" s="44"/>
      <c r="U42" s="44"/>
      <c r="V42" s="44"/>
      <c r="W42" s="44"/>
      <c r="X42" s="44"/>
      <c r="Y42" s="44"/>
      <c r="Z42" s="44"/>
      <c r="AA42" s="44"/>
      <c r="AB42" s="44"/>
      <c r="AC42" s="44"/>
      <c r="AD42" s="44"/>
      <c r="AE42" s="44"/>
    </row>
    <row r="43" spans="1:31" x14ac:dyDescent="0.3">
      <c r="B43" s="17" t="s">
        <v>30</v>
      </c>
      <c r="C43" s="101">
        <f>C40*0.03</f>
        <v>4500</v>
      </c>
      <c r="D43" s="102"/>
      <c r="E43" s="15">
        <v>3</v>
      </c>
      <c r="M43" s="44"/>
      <c r="N43" s="44"/>
      <c r="O43" s="44"/>
      <c r="P43" s="44"/>
      <c r="Q43" s="44"/>
      <c r="R43" s="44"/>
      <c r="S43" s="44"/>
      <c r="T43" s="44"/>
      <c r="U43" s="44"/>
      <c r="V43" s="44"/>
      <c r="W43" s="44"/>
      <c r="X43" s="44"/>
      <c r="Y43" s="44"/>
      <c r="Z43" s="44"/>
      <c r="AA43" s="44"/>
      <c r="AB43" s="44"/>
      <c r="AC43" s="44"/>
      <c r="AD43" s="44"/>
      <c r="AE43" s="44"/>
    </row>
    <row r="44" spans="1:31" x14ac:dyDescent="0.3">
      <c r="B44" s="17" t="s">
        <v>31</v>
      </c>
      <c r="C44" s="101">
        <f>C40*0.02</f>
        <v>3000</v>
      </c>
      <c r="D44" s="102"/>
      <c r="E44" s="15">
        <v>2</v>
      </c>
      <c r="M44" s="44"/>
      <c r="N44" s="44"/>
      <c r="O44" s="44"/>
      <c r="P44" s="44"/>
      <c r="Q44" s="44"/>
      <c r="R44" s="44"/>
      <c r="S44" s="44"/>
      <c r="T44" s="44"/>
      <c r="U44" s="44"/>
      <c r="V44" s="44"/>
      <c r="W44" s="44"/>
      <c r="X44" s="44"/>
      <c r="Y44" s="44"/>
      <c r="Z44" s="44"/>
      <c r="AA44" s="44"/>
      <c r="AB44" s="44"/>
      <c r="AC44" s="44"/>
      <c r="AD44" s="44"/>
      <c r="AE44" s="44"/>
    </row>
  </sheetData>
  <mergeCells count="15">
    <mergeCell ref="A6:G6"/>
    <mergeCell ref="H6:K6"/>
    <mergeCell ref="A1:K1"/>
    <mergeCell ref="A2:K2"/>
    <mergeCell ref="A3:K3"/>
    <mergeCell ref="A4:K4"/>
    <mergeCell ref="A5:K5"/>
    <mergeCell ref="C43:D43"/>
    <mergeCell ref="C44:D44"/>
    <mergeCell ref="A7:F7"/>
    <mergeCell ref="H7:K7"/>
    <mergeCell ref="C39:D39"/>
    <mergeCell ref="C40:D40"/>
    <mergeCell ref="C41:D41"/>
    <mergeCell ref="C42:D42"/>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122" t="s">
        <v>0</v>
      </c>
      <c r="B1" s="122"/>
      <c r="C1" s="122"/>
      <c r="D1" s="122"/>
      <c r="E1" s="122"/>
      <c r="F1" s="122"/>
      <c r="G1" s="122"/>
      <c r="H1" s="122"/>
      <c r="I1" s="122"/>
      <c r="J1" s="122"/>
      <c r="K1" s="122"/>
    </row>
    <row r="2" spans="1:13" ht="24.6" x14ac:dyDescent="0.4">
      <c r="A2" s="123" t="s">
        <v>1</v>
      </c>
      <c r="B2" s="123"/>
      <c r="C2" s="123"/>
      <c r="D2" s="123"/>
      <c r="E2" s="123"/>
      <c r="F2" s="123"/>
      <c r="G2" s="123"/>
      <c r="H2" s="123"/>
      <c r="I2" s="123"/>
      <c r="J2" s="123"/>
      <c r="K2" s="123"/>
    </row>
    <row r="3" spans="1:13" s="1" customFormat="1" x14ac:dyDescent="0.3">
      <c r="A3" s="111" t="s">
        <v>2</v>
      </c>
      <c r="B3" s="111"/>
      <c r="C3" s="111"/>
      <c r="D3" s="111"/>
      <c r="E3" s="111"/>
      <c r="F3" s="111"/>
      <c r="G3" s="111"/>
      <c r="H3" s="111"/>
      <c r="I3" s="111"/>
      <c r="J3" s="111"/>
      <c r="K3" s="111"/>
    </row>
    <row r="4" spans="1:13" s="1" customFormat="1" x14ac:dyDescent="0.3">
      <c r="A4" s="111" t="s">
        <v>3</v>
      </c>
      <c r="B4" s="111"/>
      <c r="C4" s="111"/>
      <c r="D4" s="111"/>
      <c r="E4" s="111"/>
      <c r="F4" s="111"/>
      <c r="G4" s="111"/>
      <c r="H4" s="111"/>
      <c r="I4" s="111"/>
      <c r="J4" s="111"/>
      <c r="K4" s="111"/>
    </row>
    <row r="5" spans="1:13" ht="18" x14ac:dyDescent="0.35">
      <c r="A5" s="124" t="s">
        <v>18</v>
      </c>
      <c r="B5" s="124"/>
      <c r="C5" s="124"/>
      <c r="D5" s="124"/>
      <c r="E5" s="124"/>
      <c r="F5" s="124"/>
      <c r="G5" s="124"/>
      <c r="H5" s="124"/>
      <c r="I5" s="124"/>
      <c r="J5" s="124"/>
      <c r="K5" s="124"/>
    </row>
    <row r="6" spans="1:13" ht="18" x14ac:dyDescent="0.35">
      <c r="A6" s="11" t="s">
        <v>19</v>
      </c>
      <c r="B6" s="11"/>
      <c r="C6" s="120" t="e">
        <f>F30</f>
        <v>#REF!</v>
      </c>
      <c r="D6" s="121"/>
      <c r="E6" s="12"/>
      <c r="F6" s="11"/>
      <c r="G6" s="11"/>
      <c r="H6" s="11" t="s">
        <v>20</v>
      </c>
      <c r="I6" s="11"/>
      <c r="J6" s="120">
        <f>I30</f>
        <v>237689.74252963794</v>
      </c>
      <c r="K6" s="121"/>
    </row>
    <row r="7" spans="1:13" x14ac:dyDescent="0.3">
      <c r="A7" s="35" t="s">
        <v>117</v>
      </c>
      <c r="B7" s="13"/>
      <c r="C7" s="13"/>
      <c r="D7" s="13"/>
      <c r="F7" s="116"/>
      <c r="G7" s="116"/>
      <c r="I7" s="117" t="s">
        <v>118</v>
      </c>
      <c r="J7" s="117"/>
      <c r="K7" s="117"/>
    </row>
    <row r="8" spans="1:13" ht="15.6" x14ac:dyDescent="0.3">
      <c r="A8" s="115" t="str">
        <f>V!A6</f>
        <v>Project:- कालिका मन्दिर मुनि ढल व्यवस्थापन स्तरोन्नति</v>
      </c>
      <c r="B8" s="115"/>
      <c r="C8" s="115"/>
      <c r="D8" s="115"/>
      <c r="E8" s="115"/>
      <c r="F8" s="115"/>
      <c r="I8" s="118" t="s">
        <v>38</v>
      </c>
      <c r="J8" s="118"/>
      <c r="K8" s="118"/>
    </row>
    <row r="9" spans="1:13" ht="15.6" x14ac:dyDescent="0.3">
      <c r="A9" s="115" t="str">
        <f>V!A7</f>
        <v>Location:- Shankharapur Municipality 9</v>
      </c>
      <c r="B9" s="115"/>
      <c r="C9" s="115"/>
      <c r="D9" s="115"/>
      <c r="E9" s="115"/>
      <c r="F9" s="115"/>
      <c r="I9" s="118" t="s">
        <v>114</v>
      </c>
      <c r="J9" s="118"/>
      <c r="K9" s="118"/>
    </row>
    <row r="11" spans="1:13" x14ac:dyDescent="0.3">
      <c r="A11" s="113" t="s">
        <v>21</v>
      </c>
      <c r="B11" s="113" t="s">
        <v>22</v>
      </c>
      <c r="C11" s="113" t="s">
        <v>12</v>
      </c>
      <c r="D11" s="119" t="s">
        <v>23</v>
      </c>
      <c r="E11" s="119"/>
      <c r="F11" s="119"/>
      <c r="G11" s="119" t="s">
        <v>24</v>
      </c>
      <c r="H11" s="119"/>
      <c r="I11" s="119"/>
      <c r="J11" s="113" t="s">
        <v>25</v>
      </c>
      <c r="K11" s="114" t="s">
        <v>15</v>
      </c>
    </row>
    <row r="12" spans="1:13" x14ac:dyDescent="0.3">
      <c r="A12" s="113"/>
      <c r="B12" s="113"/>
      <c r="C12" s="113"/>
      <c r="D12" s="14" t="s">
        <v>26</v>
      </c>
      <c r="E12" s="14" t="s">
        <v>13</v>
      </c>
      <c r="F12" s="14" t="s">
        <v>14</v>
      </c>
      <c r="G12" s="14" t="s">
        <v>26</v>
      </c>
      <c r="H12" s="14" t="s">
        <v>13</v>
      </c>
      <c r="I12" s="14" t="s">
        <v>14</v>
      </c>
      <c r="J12" s="113"/>
      <c r="K12" s="114"/>
    </row>
    <row r="13" spans="1:13" s="1" customFormat="1" x14ac:dyDescent="0.3">
      <c r="A13" s="36" t="e">
        <f>new!#REF!</f>
        <v>#REF!</v>
      </c>
      <c r="B13" s="42" t="e">
        <f>new!#REF!</f>
        <v>#REF!</v>
      </c>
      <c r="C13" s="15" t="e">
        <f>new!#REF!</f>
        <v>#REF!</v>
      </c>
      <c r="D13" s="15" t="e">
        <f>new!#REF!</f>
        <v>#REF!</v>
      </c>
      <c r="E13" s="15" t="e">
        <f>new!#REF!</f>
        <v>#REF!</v>
      </c>
      <c r="F13" s="15" t="e">
        <f>D13*E13</f>
        <v>#REF!</v>
      </c>
      <c r="G13" s="15">
        <f>V!G11</f>
        <v>15.678954587016156</v>
      </c>
      <c r="H13" s="15">
        <f>V!I11</f>
        <v>62.02</v>
      </c>
      <c r="I13" s="15">
        <f>G13*H13</f>
        <v>972.40876348674203</v>
      </c>
      <c r="J13" s="37" t="e">
        <f>I13-F13</f>
        <v>#REF!</v>
      </c>
      <c r="K13" s="18"/>
      <c r="M13" s="1" t="e">
        <f t="shared" ref="M13:M18" si="0">1.25*F13</f>
        <v>#REF!</v>
      </c>
    </row>
    <row r="14" spans="1:13" s="1" customFormat="1" x14ac:dyDescent="0.3">
      <c r="A14" s="36"/>
      <c r="B14" s="50" t="e">
        <f>new!#REF!</f>
        <v>#REF!</v>
      </c>
      <c r="C14" s="15"/>
      <c r="D14" s="15"/>
      <c r="E14" s="15"/>
      <c r="F14" s="15" t="e">
        <f>new!#REF!</f>
        <v>#REF!</v>
      </c>
      <c r="G14" s="15"/>
      <c r="H14" s="15"/>
      <c r="I14" s="15">
        <f>V!J12</f>
        <v>104.32515066290767</v>
      </c>
      <c r="J14" s="37" t="e">
        <f>I14-F14</f>
        <v>#REF!</v>
      </c>
      <c r="K14" s="18"/>
      <c r="M14" s="1" t="e">
        <f t="shared" si="0"/>
        <v>#REF!</v>
      </c>
    </row>
    <row r="15" spans="1:13" s="1" customFormat="1" x14ac:dyDescent="0.3">
      <c r="A15" s="36"/>
      <c r="B15" s="42"/>
      <c r="C15" s="15"/>
      <c r="D15" s="15"/>
      <c r="E15" s="15"/>
      <c r="F15" s="15"/>
      <c r="G15" s="15"/>
      <c r="H15" s="15"/>
      <c r="I15" s="15"/>
      <c r="J15" s="37"/>
      <c r="K15" s="18"/>
    </row>
    <row r="16" spans="1:13" s="1" customFormat="1" x14ac:dyDescent="0.3">
      <c r="A16" s="36" t="e">
        <f>new!#REF!</f>
        <v>#REF!</v>
      </c>
      <c r="B16" s="42" t="e">
        <f>new!#REF!</f>
        <v>#REF!</v>
      </c>
      <c r="C16" s="15" t="e">
        <f>new!#REF!</f>
        <v>#REF!</v>
      </c>
      <c r="D16" s="15" t="e">
        <f>new!#REF!</f>
        <v>#REF!</v>
      </c>
      <c r="E16" s="15" t="e">
        <f>new!#REF!</f>
        <v>#REF!</v>
      </c>
      <c r="F16" s="15" t="e">
        <f>D16*E16</f>
        <v>#REF!</v>
      </c>
      <c r="G16" s="15">
        <f>V!G16</f>
        <v>3.3075000000000001</v>
      </c>
      <c r="H16" s="15">
        <f>V!I16</f>
        <v>4403.5200000000004</v>
      </c>
      <c r="I16" s="15">
        <f>G16*H16</f>
        <v>14564.642400000002</v>
      </c>
      <c r="J16" s="37" t="e">
        <f>I16-F16</f>
        <v>#REF!</v>
      </c>
      <c r="K16" s="18"/>
    </row>
    <row r="17" spans="1:13" s="1" customFormat="1" x14ac:dyDescent="0.3">
      <c r="A17" s="36"/>
      <c r="B17" s="50" t="e">
        <f>new!#REF!</f>
        <v>#REF!</v>
      </c>
      <c r="C17" s="15"/>
      <c r="D17" s="15"/>
      <c r="E17" s="15"/>
      <c r="F17" s="15" t="e">
        <f>new!#REF!</f>
        <v>#REF!</v>
      </c>
      <c r="G17" s="15"/>
      <c r="H17" s="15"/>
      <c r="I17" s="15">
        <f>V!J17</f>
        <v>1274.2395120000001</v>
      </c>
      <c r="J17" s="37" t="e">
        <f>I17-F17</f>
        <v>#REF!</v>
      </c>
      <c r="K17" s="18"/>
    </row>
    <row r="18" spans="1:13" s="1" customFormat="1" x14ac:dyDescent="0.3">
      <c r="A18" s="36"/>
      <c r="B18" s="42"/>
      <c r="C18" s="15"/>
      <c r="D18" s="15"/>
      <c r="E18" s="15"/>
      <c r="F18" s="15"/>
      <c r="G18" s="15"/>
      <c r="H18" s="15"/>
      <c r="I18" s="15"/>
      <c r="J18" s="37"/>
      <c r="K18" s="18"/>
      <c r="M18" s="1">
        <f t="shared" si="0"/>
        <v>0</v>
      </c>
    </row>
    <row r="19" spans="1:13" s="1" customFormat="1" x14ac:dyDescent="0.3">
      <c r="A19" s="36" t="e">
        <f>new!#REF!</f>
        <v>#REF!</v>
      </c>
      <c r="B19" s="42" t="e">
        <f>new!#REF!</f>
        <v>#REF!</v>
      </c>
      <c r="C19" s="15" t="e">
        <f>new!#REF!</f>
        <v>#REF!</v>
      </c>
      <c r="D19" s="15" t="e">
        <f>new!#REF!</f>
        <v>#REF!</v>
      </c>
      <c r="E19" s="15" t="e">
        <f>new!#REF!</f>
        <v>#REF!</v>
      </c>
      <c r="F19" s="15" t="e">
        <f>D19*E19</f>
        <v>#REF!</v>
      </c>
      <c r="G19" s="15">
        <f>V!G21</f>
        <v>0.70005333739713516</v>
      </c>
      <c r="H19" s="15">
        <f>V!I21</f>
        <v>11126.38</v>
      </c>
      <c r="I19" s="15">
        <f>G19*H19</f>
        <v>7789.0594521487365</v>
      </c>
      <c r="J19" s="37" t="e">
        <f>I19-F19</f>
        <v>#REF!</v>
      </c>
      <c r="K19" s="18"/>
    </row>
    <row r="20" spans="1:13" s="1" customFormat="1" x14ac:dyDescent="0.3">
      <c r="A20" s="36"/>
      <c r="B20" s="50" t="e">
        <f>new!#REF!</f>
        <v>#REF!</v>
      </c>
      <c r="C20" s="15"/>
      <c r="D20" s="15"/>
      <c r="E20" s="15"/>
      <c r="F20" s="15" t="e">
        <f>new!#REF!</f>
        <v>#REF!</v>
      </c>
      <c r="G20" s="15"/>
      <c r="H20" s="15"/>
      <c r="I20" s="15">
        <f>V!J22</f>
        <v>785.37042441328879</v>
      </c>
      <c r="J20" s="37" t="e">
        <f>I20-F20</f>
        <v>#REF!</v>
      </c>
      <c r="K20" s="18"/>
    </row>
    <row r="21" spans="1:13" s="1" customFormat="1" x14ac:dyDescent="0.3">
      <c r="A21" s="36"/>
      <c r="B21" s="42"/>
      <c r="C21" s="15"/>
      <c r="D21" s="15"/>
      <c r="E21" s="15"/>
      <c r="F21" s="15"/>
      <c r="G21" s="15"/>
      <c r="H21" s="15"/>
      <c r="I21" s="15"/>
      <c r="J21" s="37"/>
      <c r="K21" s="18"/>
      <c r="M21" s="1">
        <f t="shared" ref="M21" si="1">1.25*F21</f>
        <v>0</v>
      </c>
    </row>
    <row r="22" spans="1:13" s="1" customFormat="1" x14ac:dyDescent="0.3">
      <c r="A22" s="36" t="e">
        <f>new!#REF!</f>
        <v>#REF!</v>
      </c>
      <c r="B22" s="42" t="e">
        <f>new!#REF!</f>
        <v>#REF!</v>
      </c>
      <c r="C22" s="15" t="e">
        <f>new!#REF!</f>
        <v>#REF!</v>
      </c>
      <c r="D22" s="15" t="e">
        <f>new!#REF!</f>
        <v>#REF!</v>
      </c>
      <c r="E22" s="15" t="e">
        <f>new!#REF!</f>
        <v>#REF!</v>
      </c>
      <c r="F22" s="15" t="e">
        <f>D22*E22</f>
        <v>#REF!</v>
      </c>
      <c r="G22" s="15">
        <f>V!G45</f>
        <v>9.440879803459973</v>
      </c>
      <c r="H22" s="15">
        <f>V!I45</f>
        <v>12143.3</v>
      </c>
      <c r="I22" s="15">
        <f>G22*H22</f>
        <v>114643.43571735549</v>
      </c>
      <c r="J22" s="37" t="e">
        <f>I22-F22</f>
        <v>#REF!</v>
      </c>
      <c r="K22" s="18"/>
    </row>
    <row r="23" spans="1:13" s="1" customFormat="1" x14ac:dyDescent="0.3">
      <c r="A23" s="36"/>
      <c r="B23" s="50" t="e">
        <f>new!#REF!</f>
        <v>#REF!</v>
      </c>
      <c r="C23" s="15"/>
      <c r="D23" s="15"/>
      <c r="E23" s="15"/>
      <c r="F23" s="15" t="e">
        <f>new!#REF!</f>
        <v>#REF!</v>
      </c>
      <c r="G23" s="15"/>
      <c r="H23" s="15"/>
      <c r="I23" s="15">
        <f>V!J46</f>
        <v>11843.223701224029</v>
      </c>
      <c r="J23" s="37" t="e">
        <f>I23-F23</f>
        <v>#REF!</v>
      </c>
      <c r="K23" s="18"/>
    </row>
    <row r="24" spans="1:13" s="1" customFormat="1" x14ac:dyDescent="0.3">
      <c r="A24" s="36"/>
      <c r="B24" s="42"/>
      <c r="C24" s="15"/>
      <c r="D24" s="15"/>
      <c r="E24" s="15"/>
      <c r="F24" s="15"/>
      <c r="G24" s="15"/>
      <c r="H24" s="15"/>
      <c r="I24" s="15"/>
      <c r="J24" s="37"/>
      <c r="K24" s="18"/>
      <c r="M24" s="1">
        <f t="shared" ref="M24" si="2">1.25*F24</f>
        <v>0</v>
      </c>
    </row>
    <row r="25" spans="1:13" s="1" customFormat="1" x14ac:dyDescent="0.3">
      <c r="A25" s="36" t="e">
        <f>new!#REF!</f>
        <v>#REF!</v>
      </c>
      <c r="B25" s="42" t="e">
        <f>new!#REF!</f>
        <v>#REF!</v>
      </c>
      <c r="C25" s="15" t="e">
        <f>new!#REF!</f>
        <v>#REF!</v>
      </c>
      <c r="D25" s="15" t="e">
        <f>new!#REF!</f>
        <v>#REF!</v>
      </c>
      <c r="E25" s="15" t="e">
        <f>new!#REF!</f>
        <v>#REF!</v>
      </c>
      <c r="F25" s="15" t="e">
        <f>D25*E25</f>
        <v>#REF!</v>
      </c>
      <c r="G25" s="15">
        <f>V!G55</f>
        <v>0.62602992485238862</v>
      </c>
      <c r="H25" s="15">
        <f>V!I55</f>
        <v>122648</v>
      </c>
      <c r="I25" s="15">
        <f>G25*H25</f>
        <v>76781.318223295762</v>
      </c>
      <c r="J25" s="37" t="e">
        <f>I25-F25</f>
        <v>#REF!</v>
      </c>
      <c r="K25" s="18"/>
    </row>
    <row r="26" spans="1:13" s="1" customFormat="1" x14ac:dyDescent="0.3">
      <c r="A26" s="36"/>
      <c r="B26" s="42" t="e">
        <f>new!#REF!</f>
        <v>#REF!</v>
      </c>
      <c r="C26" s="15"/>
      <c r="D26" s="15"/>
      <c r="E26" s="15"/>
      <c r="F26" s="15" t="e">
        <f>new!#REF!</f>
        <v>#REF!</v>
      </c>
      <c r="G26" s="15"/>
      <c r="H26" s="15"/>
      <c r="I26" s="15">
        <f>V!J56</f>
        <v>8931.7191850509935</v>
      </c>
      <c r="J26" s="37" t="e">
        <f>I26-F26</f>
        <v>#REF!</v>
      </c>
      <c r="K26" s="18"/>
    </row>
    <row r="27" spans="1:13" s="1" customFormat="1" x14ac:dyDescent="0.3">
      <c r="A27" s="36"/>
      <c r="B27" s="42"/>
      <c r="C27" s="15"/>
      <c r="D27" s="15"/>
      <c r="E27" s="15"/>
      <c r="F27" s="15"/>
      <c r="G27" s="15"/>
      <c r="H27" s="15"/>
      <c r="I27" s="15"/>
      <c r="J27" s="37"/>
      <c r="K27" s="18"/>
      <c r="M27" s="1">
        <f t="shared" ref="M27" si="3">1.25*F27</f>
        <v>0</v>
      </c>
    </row>
    <row r="28" spans="1:13" s="1" customFormat="1" ht="27.6" x14ac:dyDescent="0.3">
      <c r="A28" s="42">
        <f>new!A10</f>
        <v>1</v>
      </c>
      <c r="B28" s="42" t="str">
        <f>new!B10</f>
        <v>l;d]G6 jf jh|df hf]8]sf] uf/f] eTsfO{ To;af6 cfPsf] ;fdfu+|L !) dL</v>
      </c>
      <c r="C28" s="15">
        <f>new!H10</f>
        <v>0</v>
      </c>
      <c r="D28" s="15">
        <f>new!G10</f>
        <v>0</v>
      </c>
      <c r="E28" s="15">
        <f>V!I58</f>
        <v>500</v>
      </c>
      <c r="F28" s="15">
        <f>D28*E28</f>
        <v>0</v>
      </c>
      <c r="G28" s="15">
        <f>new!G10</f>
        <v>0</v>
      </c>
      <c r="H28" s="15">
        <f>V!I58</f>
        <v>500</v>
      </c>
      <c r="I28" s="15">
        <f>G28*H28</f>
        <v>0</v>
      </c>
      <c r="J28" s="37">
        <f>I28-F28</f>
        <v>0</v>
      </c>
      <c r="K28" s="18"/>
    </row>
    <row r="29" spans="1:13" s="1" customFormat="1" x14ac:dyDescent="0.3">
      <c r="A29" s="38"/>
      <c r="B29" s="38"/>
      <c r="C29" s="15"/>
      <c r="D29" s="15"/>
      <c r="E29" s="15"/>
      <c r="F29" s="15"/>
      <c r="G29" s="15"/>
      <c r="H29" s="15"/>
      <c r="I29" s="15"/>
      <c r="J29" s="37"/>
      <c r="K29" s="18"/>
    </row>
    <row r="30" spans="1:13" x14ac:dyDescent="0.3">
      <c r="A30" s="4"/>
      <c r="B30" s="5" t="s">
        <v>16</v>
      </c>
      <c r="C30" s="5"/>
      <c r="D30" s="8"/>
      <c r="E30" s="8"/>
      <c r="F30" s="8" t="e">
        <f>SUM(F13:F29)</f>
        <v>#REF!</v>
      </c>
      <c r="G30" s="8"/>
      <c r="H30" s="8"/>
      <c r="I30" s="8">
        <f>SUM(I13:I29)</f>
        <v>237689.74252963794</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zoomScale="80" zoomScaleNormal="100" zoomScaleSheetLayoutView="80" workbookViewId="0">
      <selection activeCell="A6" sqref="A6:G6"/>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3" max="13" width="5" bestFit="1" customWidth="1"/>
    <col min="14" max="14" width="6" bestFit="1" customWidth="1"/>
    <col min="15" max="15" width="10.5546875" customWidth="1"/>
    <col min="16" max="16" width="8" bestFit="1" customWidth="1"/>
    <col min="17" max="17" width="8" customWidth="1"/>
    <col min="18" max="18" width="6.6640625" bestFit="1" customWidth="1"/>
    <col min="19" max="19" width="7" bestFit="1" customWidth="1"/>
    <col min="20" max="20" width="5.44140625" bestFit="1" customWidth="1"/>
    <col min="21" max="21" width="17.88671875" bestFit="1" customWidth="1"/>
  </cols>
  <sheetData>
    <row r="1" spans="1:21" s="1" customFormat="1" x14ac:dyDescent="0.3">
      <c r="A1" s="109" t="s">
        <v>0</v>
      </c>
      <c r="B1" s="109"/>
      <c r="C1" s="109"/>
      <c r="D1" s="109"/>
      <c r="E1" s="109"/>
      <c r="F1" s="109"/>
      <c r="G1" s="109"/>
      <c r="H1" s="109"/>
      <c r="I1" s="109"/>
      <c r="J1" s="109"/>
      <c r="K1" s="109"/>
    </row>
    <row r="2" spans="1:21" s="1" customFormat="1" ht="22.8" x14ac:dyDescent="0.3">
      <c r="A2" s="110" t="s">
        <v>1</v>
      </c>
      <c r="B2" s="110"/>
      <c r="C2" s="110"/>
      <c r="D2" s="110"/>
      <c r="E2" s="110"/>
      <c r="F2" s="110"/>
      <c r="G2" s="110"/>
      <c r="H2" s="110"/>
      <c r="I2" s="110"/>
      <c r="J2" s="110"/>
      <c r="K2" s="110"/>
    </row>
    <row r="3" spans="1:21" s="1" customFormat="1" x14ac:dyDescent="0.3">
      <c r="A3" s="111" t="s">
        <v>2</v>
      </c>
      <c r="B3" s="111"/>
      <c r="C3" s="111"/>
      <c r="D3" s="111"/>
      <c r="E3" s="111"/>
      <c r="F3" s="111"/>
      <c r="G3" s="111"/>
      <c r="H3" s="111"/>
      <c r="I3" s="111"/>
      <c r="J3" s="111"/>
      <c r="K3" s="111"/>
    </row>
    <row r="4" spans="1:21" s="1" customFormat="1" x14ac:dyDescent="0.3">
      <c r="A4" s="111" t="s">
        <v>3</v>
      </c>
      <c r="B4" s="111"/>
      <c r="C4" s="111"/>
      <c r="D4" s="111"/>
      <c r="E4" s="111"/>
      <c r="F4" s="111"/>
      <c r="G4" s="111"/>
      <c r="H4" s="111"/>
      <c r="I4" s="111"/>
      <c r="J4" s="111"/>
      <c r="K4" s="111"/>
    </row>
    <row r="5" spans="1:21" ht="17.399999999999999" x14ac:dyDescent="0.3">
      <c r="A5" s="112" t="s">
        <v>116</v>
      </c>
      <c r="B5" s="112"/>
      <c r="C5" s="112"/>
      <c r="D5" s="112"/>
      <c r="E5" s="112"/>
      <c r="F5" s="112"/>
      <c r="G5" s="112"/>
      <c r="H5" s="112"/>
      <c r="I5" s="112"/>
      <c r="J5" s="112"/>
      <c r="K5" s="112"/>
    </row>
    <row r="6" spans="1:21" ht="18" x14ac:dyDescent="0.35">
      <c r="A6" s="108" t="s">
        <v>53</v>
      </c>
      <c r="B6" s="108"/>
      <c r="C6" s="108"/>
      <c r="D6" s="108"/>
      <c r="E6" s="108"/>
      <c r="F6" s="108"/>
      <c r="G6" s="108"/>
      <c r="H6" s="104" t="s">
        <v>39</v>
      </c>
      <c r="I6" s="104"/>
      <c r="J6" s="104"/>
      <c r="K6" s="104"/>
    </row>
    <row r="7" spans="1:21" ht="15.6" x14ac:dyDescent="0.3">
      <c r="A7" s="103" t="s">
        <v>33</v>
      </c>
      <c r="B7" s="103"/>
      <c r="C7" s="103"/>
      <c r="D7" s="103"/>
      <c r="E7" s="103"/>
      <c r="F7" s="103"/>
      <c r="G7" s="2"/>
      <c r="H7" s="104" t="s">
        <v>113</v>
      </c>
      <c r="I7" s="104"/>
      <c r="J7" s="104"/>
      <c r="K7" s="104"/>
    </row>
    <row r="8" spans="1:21" ht="15" customHeight="1" x14ac:dyDescent="0.3">
      <c r="A8" s="3" t="s">
        <v>5</v>
      </c>
      <c r="B8" s="24" t="s">
        <v>6</v>
      </c>
      <c r="C8" s="3" t="s">
        <v>7</v>
      </c>
      <c r="D8" s="25" t="s">
        <v>8</v>
      </c>
      <c r="E8" s="25" t="s">
        <v>9</v>
      </c>
      <c r="F8" s="25" t="s">
        <v>10</v>
      </c>
      <c r="G8" s="25" t="s">
        <v>11</v>
      </c>
      <c r="H8" s="3" t="s">
        <v>12</v>
      </c>
      <c r="I8" s="25" t="s">
        <v>13</v>
      </c>
      <c r="J8" s="25" t="s">
        <v>14</v>
      </c>
      <c r="K8" s="26" t="s">
        <v>15</v>
      </c>
    </row>
    <row r="9" spans="1:21" ht="156" customHeight="1" x14ac:dyDescent="0.3">
      <c r="A9" s="28">
        <v>1</v>
      </c>
      <c r="B9" s="48" t="s">
        <v>50</v>
      </c>
      <c r="C9" s="17"/>
      <c r="D9" s="17"/>
      <c r="E9" s="17"/>
      <c r="F9" s="17"/>
      <c r="G9" s="43"/>
      <c r="H9" s="32"/>
      <c r="I9" s="33"/>
      <c r="J9" s="33"/>
      <c r="K9" s="31"/>
      <c r="N9" t="s">
        <v>106</v>
      </c>
      <c r="O9" t="s">
        <v>107</v>
      </c>
      <c r="P9" t="s">
        <v>108</v>
      </c>
      <c r="Q9" s="92" t="s">
        <v>9</v>
      </c>
      <c r="R9" t="s">
        <v>109</v>
      </c>
      <c r="S9" s="92" t="s">
        <v>10</v>
      </c>
      <c r="T9" t="s">
        <v>110</v>
      </c>
      <c r="U9" s="94" t="s">
        <v>111</v>
      </c>
    </row>
    <row r="10" spans="1:21" x14ac:dyDescent="0.3">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3">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3">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3">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82.8" x14ac:dyDescent="0.3">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3">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3">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x14ac:dyDescent="0.3">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3">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3">
      <c r="A19" s="28">
        <v>3</v>
      </c>
      <c r="B19" s="47" t="s">
        <v>42</v>
      </c>
      <c r="C19" s="29"/>
      <c r="D19" s="30"/>
      <c r="E19" s="31"/>
      <c r="F19" s="31"/>
      <c r="G19" s="33"/>
      <c r="H19" s="32"/>
      <c r="I19" s="33"/>
      <c r="J19" s="39"/>
      <c r="K19" s="31"/>
      <c r="N19" t="e">
        <f>#REF!/#REF!</f>
        <v>#REF!</v>
      </c>
    </row>
    <row r="20" spans="1:21" x14ac:dyDescent="0.3">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3">
      <c r="A21" s="28"/>
      <c r="B21" s="34" t="s">
        <v>41</v>
      </c>
      <c r="C21" s="29"/>
      <c r="D21" s="30"/>
      <c r="E21" s="31"/>
      <c r="F21" s="31"/>
      <c r="G21" s="33">
        <f>SUM(G20)</f>
        <v>0.70005333739713516</v>
      </c>
      <c r="H21" s="32" t="s">
        <v>34</v>
      </c>
      <c r="I21" s="53">
        <v>11126.38</v>
      </c>
      <c r="J21" s="39">
        <f>G21*I21</f>
        <v>7789.0594521487365</v>
      </c>
      <c r="K21" s="31"/>
    </row>
    <row r="22" spans="1:21" x14ac:dyDescent="0.3">
      <c r="A22" s="28"/>
      <c r="B22" s="34" t="s">
        <v>37</v>
      </c>
      <c r="C22" s="29"/>
      <c r="D22" s="30"/>
      <c r="E22" s="31"/>
      <c r="F22" s="31"/>
      <c r="G22" s="33"/>
      <c r="H22" s="32"/>
      <c r="I22" s="33"/>
      <c r="J22" s="52">
        <f>0.13*G21*((123027.7+6419.1)/15)</f>
        <v>785.37042441328879</v>
      </c>
      <c r="K22" s="31"/>
    </row>
    <row r="23" spans="1:21" x14ac:dyDescent="0.3">
      <c r="A23" s="28"/>
      <c r="B23" s="34"/>
      <c r="C23" s="29"/>
      <c r="D23" s="30"/>
      <c r="E23" s="31"/>
      <c r="F23" s="31"/>
      <c r="G23" s="33"/>
      <c r="H23" s="32"/>
      <c r="I23" s="33"/>
      <c r="J23" s="52"/>
      <c r="K23" s="31"/>
    </row>
    <row r="24" spans="1:21" ht="78" customHeight="1" x14ac:dyDescent="0.3">
      <c r="A24" s="28">
        <v>4</v>
      </c>
      <c r="B24" s="47" t="s">
        <v>43</v>
      </c>
      <c r="C24" s="29"/>
      <c r="D24" s="30"/>
      <c r="E24" s="31"/>
      <c r="F24" s="31"/>
      <c r="G24" s="33"/>
      <c r="H24" s="32"/>
      <c r="I24" s="33"/>
      <c r="J24" s="39"/>
      <c r="K24" s="31"/>
    </row>
    <row r="25" spans="1:21" x14ac:dyDescent="0.3">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2"/>
      <c r="S25" s="92"/>
      <c r="U25" s="93"/>
    </row>
    <row r="26" spans="1:21" x14ac:dyDescent="0.3">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2"/>
      <c r="S26" s="92"/>
      <c r="U26" s="93"/>
    </row>
    <row r="27" spans="1:21" x14ac:dyDescent="0.3">
      <c r="A27" s="28"/>
      <c r="B27" s="50"/>
      <c r="C27" s="29">
        <v>1</v>
      </c>
      <c r="D27" s="30">
        <f t="shared" si="7"/>
        <v>3.8</v>
      </c>
      <c r="E27" s="31">
        <f t="shared" si="4"/>
        <v>0.61</v>
      </c>
      <c r="F27" s="31">
        <f t="shared" si="5"/>
        <v>8.8895661891699687E-2</v>
      </c>
      <c r="G27" s="40">
        <f t="shared" si="6"/>
        <v>0.20606014426495989</v>
      </c>
      <c r="H27" s="32"/>
      <c r="I27" s="33"/>
      <c r="J27" s="39"/>
      <c r="K27" s="31"/>
      <c r="Q27" s="92"/>
      <c r="S27" s="92"/>
      <c r="U27" s="93"/>
    </row>
    <row r="28" spans="1:21" x14ac:dyDescent="0.3">
      <c r="A28" s="28"/>
      <c r="B28" s="50"/>
      <c r="C28" s="29">
        <v>1</v>
      </c>
      <c r="D28" s="30">
        <f t="shared" si="7"/>
        <v>5</v>
      </c>
      <c r="E28" s="31">
        <f t="shared" si="4"/>
        <v>0.61</v>
      </c>
      <c r="F28" s="31">
        <f t="shared" si="5"/>
        <v>8.8895661891699687E-2</v>
      </c>
      <c r="G28" s="40">
        <f t="shared" si="6"/>
        <v>0.27113176876968403</v>
      </c>
      <c r="H28" s="32"/>
      <c r="I28" s="33"/>
      <c r="J28" s="39"/>
      <c r="K28" s="31"/>
      <c r="Q28" s="92"/>
      <c r="S28" s="92"/>
      <c r="U28" s="93"/>
    </row>
    <row r="29" spans="1:21" x14ac:dyDescent="0.3">
      <c r="A29" s="28"/>
      <c r="B29" s="50"/>
      <c r="C29" s="29">
        <v>1</v>
      </c>
      <c r="D29" s="30">
        <f t="shared" si="7"/>
        <v>5</v>
      </c>
      <c r="E29" s="31">
        <f t="shared" si="4"/>
        <v>0.61</v>
      </c>
      <c r="F29" s="31">
        <f t="shared" si="5"/>
        <v>8.8895661891699687E-2</v>
      </c>
      <c r="G29" s="40">
        <f t="shared" si="6"/>
        <v>0.27113176876968403</v>
      </c>
      <c r="H29" s="32"/>
      <c r="I29" s="33"/>
      <c r="J29" s="39"/>
      <c r="K29" s="31"/>
      <c r="Q29" s="92"/>
      <c r="S29" s="92"/>
      <c r="U29" s="93"/>
    </row>
    <row r="30" spans="1:21" x14ac:dyDescent="0.3">
      <c r="A30" s="28"/>
      <c r="B30" s="50"/>
      <c r="C30" s="29">
        <v>1</v>
      </c>
      <c r="D30" s="30">
        <f t="shared" si="7"/>
        <v>5</v>
      </c>
      <c r="E30" s="31">
        <f t="shared" si="4"/>
        <v>0.63</v>
      </c>
      <c r="F30" s="31">
        <f t="shared" si="5"/>
        <v>8.8895661891699687E-2</v>
      </c>
      <c r="G30" s="40">
        <f t="shared" si="6"/>
        <v>0.28002133495885401</v>
      </c>
      <c r="H30" s="32"/>
      <c r="I30" s="33"/>
      <c r="J30" s="39"/>
      <c r="K30" s="31"/>
      <c r="O30" s="59"/>
      <c r="Q30" s="92"/>
      <c r="S30" s="92"/>
      <c r="U30" s="93"/>
    </row>
    <row r="31" spans="1:21" x14ac:dyDescent="0.3">
      <c r="A31" s="28"/>
      <c r="B31" s="50"/>
      <c r="C31" s="29">
        <v>1</v>
      </c>
      <c r="D31" s="30">
        <f>D40</f>
        <v>5</v>
      </c>
      <c r="E31" s="31">
        <f t="shared" si="4"/>
        <v>0.62</v>
      </c>
      <c r="F31" s="31">
        <f t="shared" si="5"/>
        <v>8.8895661891699687E-2</v>
      </c>
      <c r="G31" s="40">
        <f t="shared" si="6"/>
        <v>0.27557655186426905</v>
      </c>
      <c r="H31" s="32"/>
      <c r="I31" s="33"/>
      <c r="J31" s="39"/>
      <c r="K31" s="31"/>
      <c r="O31" s="59"/>
      <c r="Q31" s="92"/>
      <c r="S31" s="92"/>
      <c r="U31" s="93"/>
    </row>
    <row r="32" spans="1:21" x14ac:dyDescent="0.3">
      <c r="A32" s="28"/>
      <c r="B32" s="50"/>
      <c r="C32" s="29">
        <v>1</v>
      </c>
      <c r="D32" s="30">
        <f>D41</f>
        <v>3.95</v>
      </c>
      <c r="E32" s="31">
        <f t="shared" si="4"/>
        <v>0.67</v>
      </c>
      <c r="F32" s="31">
        <f>3.5/12/3.281</f>
        <v>8.8895661891699687E-2</v>
      </c>
      <c r="G32" s="40">
        <f t="shared" si="6"/>
        <v>0.23526236919638324</v>
      </c>
      <c r="H32" s="32"/>
      <c r="I32" s="33"/>
      <c r="J32" s="39"/>
      <c r="K32" s="31"/>
      <c r="Q32" s="92"/>
      <c r="S32" s="92"/>
      <c r="U32" s="93"/>
    </row>
    <row r="33" spans="1:13" x14ac:dyDescent="0.3">
      <c r="A33" s="28"/>
      <c r="B33" s="51" t="s">
        <v>52</v>
      </c>
      <c r="C33" s="29"/>
      <c r="D33" s="30"/>
      <c r="E33" s="31"/>
      <c r="F33" s="31"/>
      <c r="G33" s="40"/>
      <c r="H33" s="32"/>
      <c r="I33" s="33"/>
      <c r="J33" s="39"/>
      <c r="K33" s="31"/>
    </row>
    <row r="34" spans="1:13" x14ac:dyDescent="0.3">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3">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3">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3">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3">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3">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3">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3">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3">
      <c r="A42" s="28"/>
      <c r="B42" s="50"/>
      <c r="C42" s="29"/>
      <c r="D42" s="30"/>
      <c r="E42" s="31"/>
      <c r="F42" s="31"/>
      <c r="G42" s="40"/>
      <c r="H42" s="32"/>
      <c r="I42" s="33"/>
      <c r="J42" s="39"/>
      <c r="K42" s="31"/>
      <c r="M42">
        <f>3.8*1.2*0.1</f>
        <v>0.45599999999999996</v>
      </c>
    </row>
    <row r="43" spans="1:13" x14ac:dyDescent="0.3">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3">
      <c r="A44" s="28"/>
      <c r="B44" s="51" t="s">
        <v>54</v>
      </c>
      <c r="C44" s="29">
        <v>1</v>
      </c>
      <c r="D44" s="30">
        <v>3.8</v>
      </c>
      <c r="E44" s="31">
        <v>1.2</v>
      </c>
      <c r="F44" s="31">
        <v>0.1</v>
      </c>
      <c r="G44" s="40">
        <f>PRODUCT(C44:F44)</f>
        <v>0.45599999999999996</v>
      </c>
      <c r="H44" s="32"/>
      <c r="I44" s="33"/>
      <c r="J44" s="39"/>
      <c r="K44" s="31"/>
      <c r="M44">
        <f>SUM(M42:M43)</f>
        <v>3.6775780434782623</v>
      </c>
    </row>
    <row r="45" spans="1:13" x14ac:dyDescent="0.3">
      <c r="A45" s="28"/>
      <c r="B45" s="34" t="s">
        <v>41</v>
      </c>
      <c r="C45" s="29"/>
      <c r="D45" s="30"/>
      <c r="E45" s="31"/>
      <c r="F45" s="31"/>
      <c r="G45" s="33">
        <f>SUM(G25:G44)</f>
        <v>9.440879803459973</v>
      </c>
      <c r="H45" s="32" t="s">
        <v>34</v>
      </c>
      <c r="I45" s="53">
        <v>12143.3</v>
      </c>
      <c r="J45" s="39">
        <f>G45*I45</f>
        <v>114643.43571735549</v>
      </c>
      <c r="K45" s="31"/>
    </row>
    <row r="46" spans="1:13" x14ac:dyDescent="0.3">
      <c r="A46" s="28"/>
      <c r="B46" s="34" t="s">
        <v>37</v>
      </c>
      <c r="C46" s="29"/>
      <c r="D46" s="30"/>
      <c r="E46" s="31"/>
      <c r="F46" s="31"/>
      <c r="G46" s="33"/>
      <c r="H46" s="32"/>
      <c r="I46" s="33"/>
      <c r="J46" s="52">
        <f>0.13*G45*((137739.8+7005.8)/15)</f>
        <v>11843.223701224029</v>
      </c>
      <c r="K46" s="31"/>
    </row>
    <row r="47" spans="1:13" x14ac:dyDescent="0.3">
      <c r="A47" s="28"/>
      <c r="B47" s="34"/>
      <c r="C47" s="29"/>
      <c r="D47" s="30"/>
      <c r="E47" s="31"/>
      <c r="F47" s="31"/>
      <c r="G47" s="33"/>
      <c r="H47" s="32"/>
      <c r="I47" s="33"/>
      <c r="J47" s="52"/>
      <c r="K47" s="31"/>
    </row>
    <row r="48" spans="1:13" ht="69" x14ac:dyDescent="0.3">
      <c r="A48" s="28">
        <v>5</v>
      </c>
      <c r="B48" s="47" t="s">
        <v>44</v>
      </c>
      <c r="C48" s="29" t="s">
        <v>7</v>
      </c>
      <c r="D48" s="54" t="s">
        <v>46</v>
      </c>
      <c r="E48" s="54" t="s">
        <v>47</v>
      </c>
      <c r="F48" s="54" t="s">
        <v>48</v>
      </c>
      <c r="G48" s="54" t="s">
        <v>49</v>
      </c>
      <c r="H48" s="32"/>
      <c r="I48" s="33"/>
      <c r="J48" s="52"/>
      <c r="K48" s="31"/>
    </row>
    <row r="49" spans="1:35" x14ac:dyDescent="0.3">
      <c r="A49" s="28"/>
      <c r="B49" s="50" t="str">
        <f>B25</f>
        <v>-For roadside drain</v>
      </c>
      <c r="C49" s="29">
        <f>(TRUNC(((0.6-0.1)/0.15),0)+1)+(TRUNC(((0.45-0.1)/0.15),0)*2)+2</f>
        <v>10</v>
      </c>
      <c r="D49" s="30">
        <f>SUM(V!D34:D41)-0.1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3">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3">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3">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3">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3">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3">
      <c r="A55" s="28"/>
      <c r="B55" s="34" t="s">
        <v>41</v>
      </c>
      <c r="C55" s="29"/>
      <c r="D55" s="30"/>
      <c r="E55" s="31"/>
      <c r="F55" s="31"/>
      <c r="G55" s="55">
        <f>SUM(G49:G54)</f>
        <v>0.62602992485238862</v>
      </c>
      <c r="H55" s="32" t="s">
        <v>45</v>
      </c>
      <c r="I55" s="53">
        <v>122648</v>
      </c>
      <c r="J55" s="39">
        <f>G55*I55</f>
        <v>76781.318223295762</v>
      </c>
      <c r="K55" s="31"/>
    </row>
    <row r="56" spans="1:35" x14ac:dyDescent="0.3">
      <c r="A56" s="28"/>
      <c r="B56" s="34" t="s">
        <v>37</v>
      </c>
      <c r="C56" s="29"/>
      <c r="D56" s="30"/>
      <c r="E56" s="31"/>
      <c r="F56" s="31"/>
      <c r="G56" s="33"/>
      <c r="H56" s="32"/>
      <c r="I56" s="33"/>
      <c r="J56" s="52">
        <f>0.13*G55*(109748)</f>
        <v>8931.7191850509935</v>
      </c>
      <c r="K56" s="31"/>
    </row>
    <row r="57" spans="1:35" x14ac:dyDescent="0.3">
      <c r="A57" s="28"/>
      <c r="B57" s="34"/>
      <c r="C57" s="29"/>
      <c r="D57" s="30"/>
      <c r="E57" s="31"/>
      <c r="F57" s="31"/>
      <c r="G57" s="33"/>
      <c r="H57" s="32"/>
      <c r="I57" s="33"/>
      <c r="J57" s="52"/>
      <c r="K57" s="31"/>
    </row>
    <row r="58" spans="1:35" x14ac:dyDescent="0.3">
      <c r="A58" s="43">
        <v>6</v>
      </c>
      <c r="B58" s="41" t="s">
        <v>35</v>
      </c>
      <c r="C58" s="29">
        <v>1</v>
      </c>
      <c r="D58" s="30"/>
      <c r="E58" s="31"/>
      <c r="F58" s="31"/>
      <c r="G58" s="39">
        <f>PRODUCT(C58:F58)</f>
        <v>1</v>
      </c>
      <c r="H58" s="32" t="s">
        <v>36</v>
      </c>
      <c r="I58" s="33">
        <v>500</v>
      </c>
      <c r="J58" s="8">
        <f>G58*I58</f>
        <v>500</v>
      </c>
      <c r="K58" s="31"/>
    </row>
    <row r="59" spans="1:35" x14ac:dyDescent="0.3">
      <c r="A59" s="10"/>
      <c r="B59" s="27"/>
      <c r="C59" s="9"/>
      <c r="D59" s="7"/>
      <c r="E59" s="7"/>
      <c r="F59" s="7"/>
      <c r="G59" s="8"/>
      <c r="H59" s="8"/>
      <c r="I59" s="8"/>
      <c r="J59" s="8"/>
      <c r="K59" s="4"/>
      <c r="M59" s="44"/>
    </row>
    <row r="60" spans="1:35" x14ac:dyDescent="0.3">
      <c r="A60" s="10"/>
      <c r="B60" s="27" t="s">
        <v>17</v>
      </c>
      <c r="C60" s="9"/>
      <c r="D60" s="7"/>
      <c r="E60" s="7"/>
      <c r="F60" s="7"/>
      <c r="G60" s="8"/>
      <c r="H60" s="8"/>
      <c r="I60" s="8"/>
      <c r="J60" s="8">
        <f>SUM(J9:J59)</f>
        <v>238189.74252963794</v>
      </c>
      <c r="K60" s="4"/>
      <c r="M60" s="44"/>
    </row>
    <row r="61" spans="1:35" x14ac:dyDescent="0.3">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x14ac:dyDescent="0.3">
      <c r="B62" s="17" t="s">
        <v>115</v>
      </c>
      <c r="C62" s="101">
        <f>J60</f>
        <v>238189.74252963794</v>
      </c>
      <c r="D62" s="102"/>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x14ac:dyDescent="0.3">
      <c r="B63" s="17" t="s">
        <v>27</v>
      </c>
      <c r="C63" s="105">
        <v>210000</v>
      </c>
      <c r="D63" s="106"/>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x14ac:dyDescent="0.3">
      <c r="B64" s="17" t="s">
        <v>28</v>
      </c>
      <c r="C64" s="105">
        <f>C63-C66-C67</f>
        <v>199500</v>
      </c>
      <c r="D64" s="106"/>
      <c r="E64" s="15">
        <f>C64/C62*100</f>
        <v>83.756755383862185</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x14ac:dyDescent="0.3">
      <c r="B65" s="17" t="s">
        <v>29</v>
      </c>
      <c r="C65" s="107">
        <f>C62-C64</f>
        <v>38689.742529637937</v>
      </c>
      <c r="D65" s="107"/>
      <c r="E65" s="15">
        <f>100-E64</f>
        <v>16.243244616137815</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x14ac:dyDescent="0.3">
      <c r="B66" s="17" t="s">
        <v>30</v>
      </c>
      <c r="C66" s="101">
        <f>C63*0.03</f>
        <v>6300</v>
      </c>
      <c r="D66" s="102"/>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x14ac:dyDescent="0.3">
      <c r="B67" s="17" t="s">
        <v>31</v>
      </c>
      <c r="C67" s="101">
        <f>C63*0.02</f>
        <v>4200</v>
      </c>
      <c r="D67" s="102"/>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C66:D66"/>
    <mergeCell ref="C67:D67"/>
    <mergeCell ref="A7:F7"/>
    <mergeCell ref="H7:K7"/>
    <mergeCell ref="C62:D62"/>
    <mergeCell ref="C63:D63"/>
    <mergeCell ref="C64:D64"/>
    <mergeCell ref="C65:D65"/>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4.4" x14ac:dyDescent="0.3"/>
  <sheetData>
    <row r="1" spans="1:21" x14ac:dyDescent="0.3">
      <c r="A1" s="161" t="s">
        <v>57</v>
      </c>
      <c r="B1" s="161"/>
      <c r="C1" s="162" t="s">
        <v>50</v>
      </c>
      <c r="D1" s="162"/>
      <c r="E1" s="162"/>
      <c r="F1" s="162"/>
      <c r="G1" s="162"/>
      <c r="H1" s="162"/>
      <c r="I1" s="162"/>
      <c r="J1" s="162"/>
      <c r="K1" s="162"/>
      <c r="L1" s="162"/>
      <c r="M1" s="162"/>
      <c r="N1" s="162"/>
      <c r="O1" s="162"/>
      <c r="P1" s="162"/>
      <c r="Q1" s="162"/>
      <c r="R1" s="162"/>
      <c r="S1" s="162"/>
      <c r="T1" s="162"/>
      <c r="U1" s="163" t="s">
        <v>58</v>
      </c>
    </row>
    <row r="2" spans="1:21" x14ac:dyDescent="0.3">
      <c r="A2" s="161"/>
      <c r="B2" s="161"/>
      <c r="C2" s="162"/>
      <c r="D2" s="162"/>
      <c r="E2" s="162"/>
      <c r="F2" s="162"/>
      <c r="G2" s="162"/>
      <c r="H2" s="162"/>
      <c r="I2" s="162"/>
      <c r="J2" s="162"/>
      <c r="K2" s="162"/>
      <c r="L2" s="162"/>
      <c r="M2" s="162"/>
      <c r="N2" s="162"/>
      <c r="O2" s="162"/>
      <c r="P2" s="162"/>
      <c r="Q2" s="162"/>
      <c r="R2" s="162"/>
      <c r="S2" s="162"/>
      <c r="T2" s="162"/>
      <c r="U2" s="163"/>
    </row>
    <row r="3" spans="1:21" ht="15.6" x14ac:dyDescent="0.3">
      <c r="A3" s="164" t="s">
        <v>59</v>
      </c>
      <c r="B3" s="164"/>
      <c r="C3" s="162"/>
      <c r="D3" s="162"/>
      <c r="E3" s="162"/>
      <c r="F3" s="162"/>
      <c r="G3" s="162"/>
      <c r="H3" s="162"/>
      <c r="I3" s="162"/>
      <c r="J3" s="162"/>
      <c r="K3" s="162"/>
      <c r="L3" s="162"/>
      <c r="M3" s="162"/>
      <c r="N3" s="162"/>
      <c r="O3" s="162"/>
      <c r="P3" s="162"/>
      <c r="Q3" s="162"/>
      <c r="R3" s="162"/>
      <c r="S3" s="162"/>
      <c r="T3" s="162"/>
      <c r="U3" s="163"/>
    </row>
    <row r="4" spans="1:21" ht="15.6" x14ac:dyDescent="0.3">
      <c r="A4" s="165" t="s">
        <v>60</v>
      </c>
      <c r="B4" s="166" t="s">
        <v>61</v>
      </c>
      <c r="C4" s="166"/>
      <c r="D4" s="166"/>
      <c r="E4" s="166"/>
      <c r="F4" s="166"/>
      <c r="G4" s="166" t="s">
        <v>62</v>
      </c>
      <c r="H4" s="166"/>
      <c r="I4" s="166"/>
      <c r="J4" s="166"/>
      <c r="K4" s="166"/>
      <c r="L4" s="166" t="s">
        <v>63</v>
      </c>
      <c r="M4" s="166"/>
      <c r="N4" s="166"/>
      <c r="O4" s="166"/>
      <c r="P4" s="166"/>
      <c r="Q4" s="166" t="s">
        <v>64</v>
      </c>
      <c r="R4" s="166"/>
      <c r="S4" s="166"/>
      <c r="T4" s="166"/>
      <c r="U4" s="166"/>
    </row>
    <row r="5" spans="1:21" ht="15.6" x14ac:dyDescent="0.3">
      <c r="A5" s="165"/>
      <c r="B5" s="68" t="s">
        <v>65</v>
      </c>
      <c r="C5" s="68" t="s">
        <v>12</v>
      </c>
      <c r="D5" s="68" t="s">
        <v>11</v>
      </c>
      <c r="E5" s="68" t="s">
        <v>13</v>
      </c>
      <c r="F5" s="68" t="s">
        <v>14</v>
      </c>
      <c r="G5" s="68" t="s">
        <v>65</v>
      </c>
      <c r="H5" s="69" t="s">
        <v>12</v>
      </c>
      <c r="I5" s="68" t="s">
        <v>11</v>
      </c>
      <c r="J5" s="68" t="s">
        <v>13</v>
      </c>
      <c r="K5" s="68" t="s">
        <v>14</v>
      </c>
      <c r="L5" s="68" t="s">
        <v>65</v>
      </c>
      <c r="M5" s="68" t="s">
        <v>12</v>
      </c>
      <c r="N5" s="68" t="s">
        <v>11</v>
      </c>
      <c r="O5" s="68" t="s">
        <v>13</v>
      </c>
      <c r="P5" s="68" t="s">
        <v>14</v>
      </c>
      <c r="Q5" s="68" t="s">
        <v>65</v>
      </c>
      <c r="R5" s="68" t="s">
        <v>12</v>
      </c>
      <c r="S5" s="68" t="s">
        <v>11</v>
      </c>
      <c r="T5" s="68" t="s">
        <v>13</v>
      </c>
      <c r="U5" s="70" t="s">
        <v>14</v>
      </c>
    </row>
    <row r="6" spans="1:21" ht="62.4" x14ac:dyDescent="0.3">
      <c r="A6" s="71" t="s">
        <v>66</v>
      </c>
      <c r="B6" s="68" t="s">
        <v>67</v>
      </c>
      <c r="C6" s="68" t="s">
        <v>68</v>
      </c>
      <c r="D6" s="68">
        <v>1</v>
      </c>
      <c r="E6" s="68">
        <v>1200</v>
      </c>
      <c r="F6" s="72">
        <f>(D6*E6)</f>
        <v>1200</v>
      </c>
      <c r="G6" s="73"/>
      <c r="H6" s="74"/>
      <c r="I6" s="73"/>
      <c r="J6" s="73"/>
      <c r="K6" s="73"/>
      <c r="L6" s="68" t="s">
        <v>69</v>
      </c>
      <c r="M6" s="68" t="s">
        <v>70</v>
      </c>
      <c r="N6" s="68">
        <v>6</v>
      </c>
      <c r="O6" s="68">
        <v>3071</v>
      </c>
      <c r="P6" s="72">
        <f>(N6*O6)</f>
        <v>18426</v>
      </c>
      <c r="Q6" s="73"/>
      <c r="R6" s="73"/>
      <c r="S6" s="73"/>
      <c r="T6" s="73"/>
      <c r="U6" s="75"/>
    </row>
    <row r="7" spans="1:21" ht="31.2" x14ac:dyDescent="0.3">
      <c r="A7" s="73"/>
      <c r="B7" s="68" t="s">
        <v>71</v>
      </c>
      <c r="C7" s="68" t="s">
        <v>68</v>
      </c>
      <c r="D7" s="68">
        <v>3</v>
      </c>
      <c r="E7" s="68">
        <v>900</v>
      </c>
      <c r="F7" s="72">
        <f>(D7*E7)</f>
        <v>2700</v>
      </c>
      <c r="G7" s="73"/>
      <c r="H7" s="74"/>
      <c r="I7" s="73"/>
      <c r="J7" s="73"/>
      <c r="K7" s="73"/>
      <c r="L7" s="73"/>
      <c r="M7" s="73"/>
      <c r="N7" s="73"/>
      <c r="O7" s="73"/>
      <c r="P7" s="73"/>
      <c r="Q7" s="73"/>
      <c r="R7" s="73"/>
      <c r="S7" s="73"/>
      <c r="T7" s="73"/>
      <c r="U7" s="75"/>
    </row>
    <row r="8" spans="1:21" ht="15.6" x14ac:dyDescent="0.3">
      <c r="A8" s="136" t="s">
        <v>72</v>
      </c>
      <c r="B8" s="136"/>
      <c r="C8" s="136"/>
      <c r="D8" s="136"/>
      <c r="E8" s="136"/>
      <c r="F8" s="72">
        <f>SUM(F5:F7)</f>
        <v>3900</v>
      </c>
      <c r="G8" s="136" t="s">
        <v>73</v>
      </c>
      <c r="H8" s="136"/>
      <c r="I8" s="136"/>
      <c r="J8" s="136"/>
      <c r="K8" s="72">
        <f>SUM(K5:K7)</f>
        <v>0</v>
      </c>
      <c r="L8" s="136" t="s">
        <v>74</v>
      </c>
      <c r="M8" s="136"/>
      <c r="N8" s="136"/>
      <c r="O8" s="136"/>
      <c r="P8" s="72">
        <f>SUM(P5:P7)</f>
        <v>18426</v>
      </c>
      <c r="Q8" s="136" t="s">
        <v>75</v>
      </c>
      <c r="R8" s="136"/>
      <c r="S8" s="136"/>
      <c r="T8" s="136"/>
      <c r="U8" s="76">
        <f>SUM(U5:U7)</f>
        <v>0</v>
      </c>
    </row>
    <row r="9" spans="1:21" ht="15.6" x14ac:dyDescent="0.3">
      <c r="A9" s="136" t="s">
        <v>76</v>
      </c>
      <c r="B9" s="136"/>
      <c r="C9" s="136"/>
      <c r="D9" s="136"/>
      <c r="E9" s="136"/>
      <c r="F9" s="72">
        <f>SUM(F8+K8+P8)</f>
        <v>22326</v>
      </c>
      <c r="G9" s="136" t="s">
        <v>77</v>
      </c>
      <c r="H9" s="136"/>
      <c r="I9" s="136"/>
      <c r="J9" s="136"/>
      <c r="K9" s="72">
        <f>SUM(F8+K8+P8+U8)</f>
        <v>22326</v>
      </c>
      <c r="L9" s="136" t="s">
        <v>78</v>
      </c>
      <c r="M9" s="136"/>
      <c r="N9" s="136"/>
      <c r="O9" s="136"/>
      <c r="P9" s="72">
        <f>SUM(K9*0.15)</f>
        <v>3348.9</v>
      </c>
      <c r="Q9" s="136" t="s">
        <v>79</v>
      </c>
      <c r="R9" s="136"/>
      <c r="S9" s="136"/>
      <c r="T9" s="136"/>
      <c r="U9" s="76">
        <f>SUM(K9+P9)</f>
        <v>25674.9</v>
      </c>
    </row>
    <row r="10" spans="1:21" ht="15.6" x14ac:dyDescent="0.3">
      <c r="A10" s="73"/>
      <c r="B10" s="73"/>
      <c r="C10" s="73"/>
      <c r="D10" s="73"/>
      <c r="E10" s="73"/>
      <c r="F10" s="73"/>
      <c r="G10" s="73"/>
      <c r="H10" s="74"/>
      <c r="I10" s="73"/>
      <c r="J10" s="73"/>
      <c r="K10" s="73"/>
      <c r="L10" s="73"/>
      <c r="M10" s="73"/>
      <c r="N10" s="73"/>
      <c r="O10" s="73"/>
      <c r="P10" s="73"/>
      <c r="Q10" s="136" t="s">
        <v>80</v>
      </c>
      <c r="R10" s="136"/>
      <c r="S10" s="136"/>
      <c r="T10" s="136"/>
      <c r="U10" s="77">
        <f>ROUND((U9/360),2)</f>
        <v>71.319999999999993</v>
      </c>
    </row>
    <row r="11" spans="1:21" ht="15.6" x14ac:dyDescent="0.3">
      <c r="A11" s="137"/>
      <c r="B11" s="137"/>
      <c r="C11" s="137"/>
      <c r="D11" s="137"/>
      <c r="E11" s="137"/>
      <c r="F11" s="137"/>
      <c r="G11" s="137"/>
      <c r="H11" s="137"/>
      <c r="I11" s="137"/>
      <c r="J11" s="137"/>
      <c r="K11" s="137"/>
      <c r="L11" s="137"/>
      <c r="M11" s="137"/>
      <c r="N11" s="137"/>
      <c r="O11" s="137"/>
      <c r="P11" s="137"/>
      <c r="Q11" s="137"/>
      <c r="R11" s="137"/>
      <c r="S11" s="137"/>
      <c r="T11" s="137"/>
      <c r="U11" s="137"/>
    </row>
    <row r="12" spans="1:21" x14ac:dyDescent="0.3">
      <c r="A12" s="138" t="s">
        <v>57</v>
      </c>
      <c r="B12" s="139"/>
      <c r="C12" s="142" t="s">
        <v>40</v>
      </c>
      <c r="D12" s="143"/>
      <c r="E12" s="143"/>
      <c r="F12" s="143"/>
      <c r="G12" s="143"/>
      <c r="H12" s="143"/>
      <c r="I12" s="143"/>
      <c r="J12" s="143"/>
      <c r="K12" s="143"/>
      <c r="L12" s="143"/>
      <c r="M12" s="143"/>
      <c r="N12" s="143"/>
      <c r="O12" s="143"/>
      <c r="P12" s="143"/>
      <c r="Q12" s="143"/>
      <c r="R12" s="143"/>
      <c r="S12" s="143"/>
      <c r="T12" s="144"/>
      <c r="U12" s="151" t="s">
        <v>81</v>
      </c>
    </row>
    <row r="13" spans="1:21" x14ac:dyDescent="0.3">
      <c r="A13" s="140"/>
      <c r="B13" s="141"/>
      <c r="C13" s="145"/>
      <c r="D13" s="146"/>
      <c r="E13" s="146"/>
      <c r="F13" s="146"/>
      <c r="G13" s="146"/>
      <c r="H13" s="146"/>
      <c r="I13" s="146"/>
      <c r="J13" s="146"/>
      <c r="K13" s="146"/>
      <c r="L13" s="146"/>
      <c r="M13" s="146"/>
      <c r="N13" s="146"/>
      <c r="O13" s="146"/>
      <c r="P13" s="146"/>
      <c r="Q13" s="146"/>
      <c r="R13" s="146"/>
      <c r="S13" s="146"/>
      <c r="T13" s="147"/>
      <c r="U13" s="152"/>
    </row>
    <row r="14" spans="1:21" ht="15.6" x14ac:dyDescent="0.3">
      <c r="A14" s="154" t="s">
        <v>82</v>
      </c>
      <c r="B14" s="155"/>
      <c r="C14" s="148"/>
      <c r="D14" s="149"/>
      <c r="E14" s="149"/>
      <c r="F14" s="149"/>
      <c r="G14" s="149"/>
      <c r="H14" s="149"/>
      <c r="I14" s="149"/>
      <c r="J14" s="149"/>
      <c r="K14" s="149"/>
      <c r="L14" s="149"/>
      <c r="M14" s="149"/>
      <c r="N14" s="149"/>
      <c r="O14" s="149"/>
      <c r="P14" s="149"/>
      <c r="Q14" s="149"/>
      <c r="R14" s="149"/>
      <c r="S14" s="149"/>
      <c r="T14" s="150"/>
      <c r="U14" s="153"/>
    </row>
    <row r="15" spans="1:21" ht="15.6" x14ac:dyDescent="0.3">
      <c r="A15" s="156" t="s">
        <v>60</v>
      </c>
      <c r="B15" s="158" t="s">
        <v>61</v>
      </c>
      <c r="C15" s="159"/>
      <c r="D15" s="159"/>
      <c r="E15" s="159"/>
      <c r="F15" s="160"/>
      <c r="G15" s="158" t="s">
        <v>62</v>
      </c>
      <c r="H15" s="159"/>
      <c r="I15" s="159"/>
      <c r="J15" s="159"/>
      <c r="K15" s="160"/>
      <c r="L15" s="158" t="s">
        <v>63</v>
      </c>
      <c r="M15" s="159"/>
      <c r="N15" s="159"/>
      <c r="O15" s="159"/>
      <c r="P15" s="160"/>
      <c r="Q15" s="158" t="s">
        <v>64</v>
      </c>
      <c r="R15" s="159"/>
      <c r="S15" s="159"/>
      <c r="T15" s="159"/>
      <c r="U15" s="160"/>
    </row>
    <row r="16" spans="1:21" ht="15.6" x14ac:dyDescent="0.3">
      <c r="A16" s="157"/>
      <c r="B16" s="78" t="s">
        <v>65</v>
      </c>
      <c r="C16" s="78" t="s">
        <v>12</v>
      </c>
      <c r="D16" s="78" t="s">
        <v>11</v>
      </c>
      <c r="E16" s="78" t="s">
        <v>13</v>
      </c>
      <c r="F16" s="78" t="s">
        <v>14</v>
      </c>
      <c r="G16" s="78" t="s">
        <v>65</v>
      </c>
      <c r="H16" s="79" t="s">
        <v>12</v>
      </c>
      <c r="I16" s="78" t="s">
        <v>11</v>
      </c>
      <c r="J16" s="78" t="s">
        <v>13</v>
      </c>
      <c r="K16" s="78" t="s">
        <v>14</v>
      </c>
      <c r="L16" s="78" t="s">
        <v>65</v>
      </c>
      <c r="M16" s="78" t="s">
        <v>12</v>
      </c>
      <c r="N16" s="78" t="s">
        <v>11</v>
      </c>
      <c r="O16" s="78" t="s">
        <v>13</v>
      </c>
      <c r="P16" s="78" t="s">
        <v>14</v>
      </c>
      <c r="Q16" s="78" t="s">
        <v>65</v>
      </c>
      <c r="R16" s="78" t="s">
        <v>12</v>
      </c>
      <c r="S16" s="78" t="s">
        <v>11</v>
      </c>
      <c r="T16" s="78" t="s">
        <v>13</v>
      </c>
      <c r="U16" s="80" t="s">
        <v>14</v>
      </c>
    </row>
    <row r="17" spans="1:21" ht="15.6" x14ac:dyDescent="0.3">
      <c r="A17" s="81" t="s">
        <v>83</v>
      </c>
      <c r="B17" s="78" t="s">
        <v>67</v>
      </c>
      <c r="C17" s="78" t="s">
        <v>68</v>
      </c>
      <c r="D17" s="78">
        <v>3</v>
      </c>
      <c r="E17" s="78">
        <v>1200</v>
      </c>
      <c r="F17" s="82">
        <f>(D17*E17)</f>
        <v>3600</v>
      </c>
      <c r="G17" s="78" t="s">
        <v>84</v>
      </c>
      <c r="H17" s="79" t="s">
        <v>34</v>
      </c>
      <c r="I17" s="78">
        <v>6</v>
      </c>
      <c r="J17" s="83">
        <v>2469.6</v>
      </c>
      <c r="K17" s="78">
        <f>(I17*J17)</f>
        <v>14817.599999999999</v>
      </c>
      <c r="L17" s="84"/>
      <c r="M17" s="84"/>
      <c r="N17" s="84"/>
      <c r="O17" s="84"/>
      <c r="P17" s="84"/>
      <c r="Q17" s="84"/>
      <c r="R17" s="84"/>
      <c r="S17" s="84"/>
      <c r="T17" s="84"/>
      <c r="U17" s="85"/>
    </row>
    <row r="18" spans="1:21" ht="31.2" x14ac:dyDescent="0.3">
      <c r="A18" s="84"/>
      <c r="B18" s="78" t="s">
        <v>71</v>
      </c>
      <c r="C18" s="78" t="s">
        <v>68</v>
      </c>
      <c r="D18" s="78">
        <v>4</v>
      </c>
      <c r="E18" s="78">
        <v>900</v>
      </c>
      <c r="F18" s="82">
        <f>(D18*E18)</f>
        <v>3600</v>
      </c>
      <c r="G18" s="78"/>
      <c r="H18" s="79"/>
      <c r="I18" s="78">
        <v>0</v>
      </c>
      <c r="J18" s="84"/>
      <c r="K18" s="84"/>
      <c r="L18" s="84"/>
      <c r="M18" s="84"/>
      <c r="N18" s="84"/>
      <c r="O18" s="84"/>
      <c r="P18" s="84"/>
      <c r="Q18" s="84"/>
      <c r="R18" s="84"/>
      <c r="S18" s="84"/>
      <c r="T18" s="84"/>
      <c r="U18" s="85"/>
    </row>
    <row r="19" spans="1:21" ht="15.6" x14ac:dyDescent="0.3">
      <c r="A19" s="133" t="s">
        <v>72</v>
      </c>
      <c r="B19" s="134"/>
      <c r="C19" s="134"/>
      <c r="D19" s="134"/>
      <c r="E19" s="135"/>
      <c r="F19" s="82">
        <f>SUM(F16:F18)</f>
        <v>7200</v>
      </c>
      <c r="G19" s="133" t="s">
        <v>73</v>
      </c>
      <c r="H19" s="134"/>
      <c r="I19" s="134"/>
      <c r="J19" s="135"/>
      <c r="K19" s="82">
        <f>SUM(K16:K18)</f>
        <v>14817.599999999999</v>
      </c>
      <c r="L19" s="133" t="s">
        <v>74</v>
      </c>
      <c r="M19" s="134"/>
      <c r="N19" s="134"/>
      <c r="O19" s="135"/>
      <c r="P19" s="82">
        <f>SUM(P16:P18)</f>
        <v>0</v>
      </c>
      <c r="Q19" s="133" t="s">
        <v>75</v>
      </c>
      <c r="R19" s="134"/>
      <c r="S19" s="134"/>
      <c r="T19" s="135"/>
      <c r="U19" s="86">
        <f>SUM(U16:U18)</f>
        <v>0</v>
      </c>
    </row>
    <row r="20" spans="1:21" ht="15.6" x14ac:dyDescent="0.3">
      <c r="A20" s="133" t="s">
        <v>76</v>
      </c>
      <c r="B20" s="134"/>
      <c r="C20" s="134"/>
      <c r="D20" s="134"/>
      <c r="E20" s="135"/>
      <c r="F20" s="82">
        <f>SUM(F19+K19+P19)</f>
        <v>22017.599999999999</v>
      </c>
      <c r="G20" s="133" t="s">
        <v>77</v>
      </c>
      <c r="H20" s="134"/>
      <c r="I20" s="134"/>
      <c r="J20" s="135"/>
      <c r="K20" s="82">
        <f>SUM(F19+K19+P19+U19)</f>
        <v>22017.599999999999</v>
      </c>
      <c r="L20" s="133" t="s">
        <v>78</v>
      </c>
      <c r="M20" s="134"/>
      <c r="N20" s="134"/>
      <c r="O20" s="135"/>
      <c r="P20" s="82">
        <f>SUM(K20*0.15)</f>
        <v>3302.64</v>
      </c>
      <c r="Q20" s="133" t="s">
        <v>79</v>
      </c>
      <c r="R20" s="134"/>
      <c r="S20" s="134"/>
      <c r="T20" s="135"/>
      <c r="U20" s="86">
        <f>SUM(K20+P20)</f>
        <v>25320.239999999998</v>
      </c>
    </row>
    <row r="21" spans="1:21" ht="15.6" x14ac:dyDescent="0.3">
      <c r="A21" s="84"/>
      <c r="B21" s="84"/>
      <c r="C21" s="84"/>
      <c r="D21" s="84"/>
      <c r="E21" s="84"/>
      <c r="F21" s="84"/>
      <c r="G21" s="84"/>
      <c r="H21" s="87"/>
      <c r="I21" s="84"/>
      <c r="J21" s="84"/>
      <c r="K21" s="84"/>
      <c r="L21" s="84"/>
      <c r="M21" s="84"/>
      <c r="N21" s="84"/>
      <c r="O21" s="84"/>
      <c r="P21" s="84"/>
      <c r="Q21" s="133" t="s">
        <v>80</v>
      </c>
      <c r="R21" s="134"/>
      <c r="S21" s="134"/>
      <c r="T21" s="135"/>
      <c r="U21" s="88">
        <f>ROUND((U20/5),2)</f>
        <v>5064.05</v>
      </c>
    </row>
    <row r="22" spans="1:21" ht="15.6" x14ac:dyDescent="0.3">
      <c r="A22" s="84"/>
      <c r="B22" s="84"/>
      <c r="C22" s="84"/>
      <c r="D22" s="84"/>
      <c r="E22" s="84"/>
      <c r="F22" s="84"/>
      <c r="G22" s="84"/>
      <c r="H22" s="87"/>
      <c r="I22" s="84"/>
      <c r="J22" s="84"/>
      <c r="K22" s="84"/>
      <c r="L22" s="84"/>
      <c r="M22" s="84"/>
      <c r="N22" s="84"/>
      <c r="O22" s="84"/>
      <c r="P22" s="84"/>
      <c r="Q22" s="89"/>
      <c r="R22" s="90"/>
      <c r="S22" s="90"/>
      <c r="T22" s="91"/>
      <c r="U22" s="88"/>
    </row>
    <row r="24" spans="1:21" x14ac:dyDescent="0.3">
      <c r="A24" s="130" t="s">
        <v>57</v>
      </c>
      <c r="B24" s="130"/>
      <c r="C24" s="131" t="s">
        <v>42</v>
      </c>
      <c r="D24" s="131"/>
      <c r="E24" s="131"/>
      <c r="F24" s="131"/>
      <c r="G24" s="131"/>
      <c r="H24" s="131"/>
      <c r="I24" s="131"/>
      <c r="J24" s="131"/>
      <c r="K24" s="131"/>
      <c r="L24" s="131"/>
      <c r="M24" s="131"/>
      <c r="N24" s="131"/>
      <c r="O24" s="131"/>
      <c r="P24" s="131"/>
      <c r="Q24" s="131"/>
      <c r="R24" s="131"/>
      <c r="S24" s="131"/>
      <c r="T24" s="131"/>
      <c r="U24" s="126" t="s">
        <v>85</v>
      </c>
    </row>
    <row r="25" spans="1:21" x14ac:dyDescent="0.3">
      <c r="A25" s="130"/>
      <c r="B25" s="130"/>
      <c r="C25" s="131"/>
      <c r="D25" s="131"/>
      <c r="E25" s="131"/>
      <c r="F25" s="131"/>
      <c r="G25" s="131"/>
      <c r="H25" s="131"/>
      <c r="I25" s="131"/>
      <c r="J25" s="131"/>
      <c r="K25" s="131"/>
      <c r="L25" s="131"/>
      <c r="M25" s="131"/>
      <c r="N25" s="131"/>
      <c r="O25" s="131"/>
      <c r="P25" s="131"/>
      <c r="Q25" s="131"/>
      <c r="R25" s="131"/>
      <c r="S25" s="131"/>
      <c r="T25" s="131"/>
      <c r="U25" s="126"/>
    </row>
    <row r="26" spans="1:21" ht="15.6" x14ac:dyDescent="0.3">
      <c r="A26" s="127" t="s">
        <v>86</v>
      </c>
      <c r="B26" s="127"/>
      <c r="C26" s="131"/>
      <c r="D26" s="131"/>
      <c r="E26" s="131"/>
      <c r="F26" s="131"/>
      <c r="G26" s="131"/>
      <c r="H26" s="131"/>
      <c r="I26" s="131"/>
      <c r="J26" s="131"/>
      <c r="K26" s="131"/>
      <c r="L26" s="131"/>
      <c r="M26" s="131"/>
      <c r="N26" s="131"/>
      <c r="O26" s="131"/>
      <c r="P26" s="131"/>
      <c r="Q26" s="131"/>
      <c r="R26" s="131"/>
      <c r="S26" s="131"/>
      <c r="T26" s="131"/>
      <c r="U26" s="126"/>
    </row>
    <row r="27" spans="1:21" ht="15.6" x14ac:dyDescent="0.3">
      <c r="A27" s="128" t="s">
        <v>60</v>
      </c>
      <c r="B27" s="129" t="s">
        <v>61</v>
      </c>
      <c r="C27" s="129"/>
      <c r="D27" s="129"/>
      <c r="E27" s="129"/>
      <c r="F27" s="129"/>
      <c r="G27" s="129" t="s">
        <v>62</v>
      </c>
      <c r="H27" s="129"/>
      <c r="I27" s="129"/>
      <c r="J27" s="129"/>
      <c r="K27" s="129"/>
      <c r="L27" s="129" t="s">
        <v>63</v>
      </c>
      <c r="M27" s="129"/>
      <c r="N27" s="129"/>
      <c r="O27" s="129"/>
      <c r="P27" s="129"/>
      <c r="Q27" s="129" t="s">
        <v>64</v>
      </c>
      <c r="R27" s="129"/>
      <c r="S27" s="129"/>
      <c r="T27" s="129"/>
      <c r="U27" s="129"/>
    </row>
    <row r="28" spans="1:21" ht="15.6" x14ac:dyDescent="0.3">
      <c r="A28" s="128"/>
      <c r="B28" s="61" t="s">
        <v>65</v>
      </c>
      <c r="C28" s="61" t="s">
        <v>12</v>
      </c>
      <c r="D28" s="61" t="s">
        <v>11</v>
      </c>
      <c r="E28" s="61" t="s">
        <v>13</v>
      </c>
      <c r="F28" s="61" t="s">
        <v>14</v>
      </c>
      <c r="G28" s="61" t="s">
        <v>65</v>
      </c>
      <c r="H28" s="62" t="s">
        <v>12</v>
      </c>
      <c r="I28" s="61" t="s">
        <v>11</v>
      </c>
      <c r="J28" s="61" t="s">
        <v>13</v>
      </c>
      <c r="K28" s="61" t="s">
        <v>14</v>
      </c>
      <c r="L28" s="61" t="s">
        <v>65</v>
      </c>
      <c r="M28" s="61" t="s">
        <v>12</v>
      </c>
      <c r="N28" s="61" t="s">
        <v>11</v>
      </c>
      <c r="O28" s="61" t="s">
        <v>13</v>
      </c>
      <c r="P28" s="61" t="s">
        <v>14</v>
      </c>
      <c r="Q28" s="61" t="s">
        <v>65</v>
      </c>
      <c r="R28" s="61" t="s">
        <v>12</v>
      </c>
      <c r="S28" s="61" t="s">
        <v>11</v>
      </c>
      <c r="T28" s="61" t="s">
        <v>13</v>
      </c>
      <c r="U28" s="63" t="s">
        <v>14</v>
      </c>
    </row>
    <row r="29" spans="1:21" ht="171.6" x14ac:dyDescent="0.3">
      <c r="A29" s="64" t="s">
        <v>87</v>
      </c>
      <c r="B29" s="61" t="s">
        <v>67</v>
      </c>
      <c r="C29" s="61" t="s">
        <v>68</v>
      </c>
      <c r="D29" s="61">
        <v>3</v>
      </c>
      <c r="E29" s="61">
        <v>1200</v>
      </c>
      <c r="F29" s="65">
        <f>(D29*E29)</f>
        <v>3600</v>
      </c>
      <c r="G29" s="61" t="s">
        <v>56</v>
      </c>
      <c r="H29" s="62" t="s">
        <v>45</v>
      </c>
      <c r="I29" s="61">
        <v>4.13</v>
      </c>
      <c r="J29" s="61">
        <v>14231</v>
      </c>
      <c r="K29" s="61">
        <f t="shared" ref="K29:K34" si="0">(I29*J29)</f>
        <v>58774.03</v>
      </c>
      <c r="L29" s="61" t="s">
        <v>88</v>
      </c>
      <c r="M29" s="61" t="s">
        <v>70</v>
      </c>
      <c r="N29" s="61">
        <v>6</v>
      </c>
      <c r="O29" s="61">
        <v>293</v>
      </c>
      <c r="P29" s="65">
        <f>(N29*O29)</f>
        <v>1758</v>
      </c>
      <c r="Q29" s="61" t="s">
        <v>89</v>
      </c>
      <c r="R29" s="61"/>
      <c r="S29" s="57"/>
      <c r="T29" s="57"/>
      <c r="U29" s="66">
        <f>F36*4/100</f>
        <v>6419.06664</v>
      </c>
    </row>
    <row r="30" spans="1:21" ht="31.2" x14ac:dyDescent="0.3">
      <c r="A30" s="57"/>
      <c r="B30" s="61" t="s">
        <v>71</v>
      </c>
      <c r="C30" s="61" t="s">
        <v>68</v>
      </c>
      <c r="D30" s="61">
        <v>30</v>
      </c>
      <c r="E30" s="61">
        <v>900</v>
      </c>
      <c r="F30" s="65">
        <f>(D30*E30)</f>
        <v>27000</v>
      </c>
      <c r="G30" s="61" t="s">
        <v>90</v>
      </c>
      <c r="H30" s="62" t="s">
        <v>34</v>
      </c>
      <c r="I30" s="61">
        <v>6.75</v>
      </c>
      <c r="J30" s="61">
        <v>2504.88</v>
      </c>
      <c r="K30" s="61">
        <f t="shared" si="0"/>
        <v>16907.940000000002</v>
      </c>
      <c r="L30" s="61" t="s">
        <v>91</v>
      </c>
      <c r="M30" s="61" t="s">
        <v>70</v>
      </c>
      <c r="N30" s="61">
        <v>6</v>
      </c>
      <c r="O30" s="61">
        <v>841</v>
      </c>
      <c r="P30" s="65">
        <f>(N30*O30)</f>
        <v>5046</v>
      </c>
      <c r="Q30" s="57"/>
      <c r="R30" s="57"/>
      <c r="S30" s="57"/>
      <c r="T30" s="57"/>
      <c r="U30" s="56"/>
    </row>
    <row r="31" spans="1:21" ht="31.2" x14ac:dyDescent="0.3">
      <c r="A31" s="57"/>
      <c r="B31" s="57"/>
      <c r="C31" s="57"/>
      <c r="D31" s="57"/>
      <c r="E31" s="57"/>
      <c r="F31" s="57"/>
      <c r="G31" s="61" t="s">
        <v>92</v>
      </c>
      <c r="H31" s="62" t="s">
        <v>34</v>
      </c>
      <c r="I31" s="61">
        <v>8.1</v>
      </c>
      <c r="J31" s="61">
        <v>3457.44</v>
      </c>
      <c r="K31" s="61">
        <f t="shared" si="0"/>
        <v>28005.263999999999</v>
      </c>
      <c r="L31" s="57"/>
      <c r="M31" s="57"/>
      <c r="N31" s="57"/>
      <c r="O31" s="57"/>
      <c r="P31" s="57"/>
      <c r="Q31" s="57"/>
      <c r="R31" s="57"/>
      <c r="S31" s="57"/>
      <c r="T31" s="57"/>
      <c r="U31" s="56"/>
    </row>
    <row r="32" spans="1:21" ht="31.2" x14ac:dyDescent="0.3">
      <c r="A32" s="57"/>
      <c r="B32" s="57"/>
      <c r="C32" s="57"/>
      <c r="D32" s="57"/>
      <c r="E32" s="57"/>
      <c r="F32" s="57"/>
      <c r="G32" s="61" t="s">
        <v>93</v>
      </c>
      <c r="H32" s="62" t="s">
        <v>34</v>
      </c>
      <c r="I32" s="61">
        <v>4.05</v>
      </c>
      <c r="J32" s="61">
        <v>3598.56</v>
      </c>
      <c r="K32" s="61">
        <f t="shared" si="0"/>
        <v>14574.168</v>
      </c>
      <c r="L32" s="57"/>
      <c r="M32" s="57"/>
      <c r="N32" s="57"/>
      <c r="O32" s="57"/>
      <c r="P32" s="57"/>
      <c r="Q32" s="57"/>
      <c r="R32" s="57"/>
      <c r="S32" s="57"/>
      <c r="T32" s="57"/>
      <c r="U32" s="56"/>
    </row>
    <row r="33" spans="1:21" ht="31.2" x14ac:dyDescent="0.3">
      <c r="A33" s="57"/>
      <c r="B33" s="57"/>
      <c r="C33" s="57"/>
      <c r="D33" s="57"/>
      <c r="E33" s="57"/>
      <c r="F33" s="57"/>
      <c r="G33" s="61" t="s">
        <v>94</v>
      </c>
      <c r="H33" s="62" t="s">
        <v>34</v>
      </c>
      <c r="I33" s="61">
        <v>1.35</v>
      </c>
      <c r="J33" s="61">
        <v>3104.6400000000003</v>
      </c>
      <c r="K33" s="61">
        <f t="shared" si="0"/>
        <v>4191.264000000001</v>
      </c>
      <c r="L33" s="57"/>
      <c r="M33" s="57"/>
      <c r="N33" s="57"/>
      <c r="O33" s="57"/>
      <c r="P33" s="57"/>
      <c r="Q33" s="57"/>
      <c r="R33" s="57"/>
      <c r="S33" s="57"/>
      <c r="T33" s="57"/>
      <c r="U33" s="56"/>
    </row>
    <row r="34" spans="1:21" ht="15.6" x14ac:dyDescent="0.3">
      <c r="A34" s="57"/>
      <c r="B34" s="57"/>
      <c r="C34" s="57"/>
      <c r="D34" s="57"/>
      <c r="E34" s="57"/>
      <c r="F34" s="57"/>
      <c r="G34" s="61" t="s">
        <v>95</v>
      </c>
      <c r="H34" s="62" t="s">
        <v>96</v>
      </c>
      <c r="I34" s="61">
        <v>2</v>
      </c>
      <c r="J34" s="61">
        <v>310</v>
      </c>
      <c r="K34" s="61">
        <f t="shared" si="0"/>
        <v>620</v>
      </c>
      <c r="L34" s="57"/>
      <c r="M34" s="57"/>
      <c r="N34" s="57"/>
      <c r="O34" s="57"/>
      <c r="P34" s="57"/>
      <c r="Q34" s="57"/>
      <c r="R34" s="57"/>
      <c r="S34" s="57"/>
      <c r="T34" s="57"/>
      <c r="U34" s="56"/>
    </row>
    <row r="35" spans="1:21" ht="15.6" x14ac:dyDescent="0.3">
      <c r="A35" s="125" t="s">
        <v>72</v>
      </c>
      <c r="B35" s="125"/>
      <c r="C35" s="125"/>
      <c r="D35" s="125"/>
      <c r="E35" s="125"/>
      <c r="F35" s="65">
        <f>SUM(F28:F34)</f>
        <v>30600</v>
      </c>
      <c r="G35" s="125" t="s">
        <v>73</v>
      </c>
      <c r="H35" s="125"/>
      <c r="I35" s="125"/>
      <c r="J35" s="125"/>
      <c r="K35" s="65">
        <f>SUM(K28:K34)</f>
        <v>123072.666</v>
      </c>
      <c r="L35" s="125" t="s">
        <v>74</v>
      </c>
      <c r="M35" s="125"/>
      <c r="N35" s="125"/>
      <c r="O35" s="125"/>
      <c r="P35" s="65">
        <f>SUM(P28:P34)</f>
        <v>6804</v>
      </c>
      <c r="Q35" s="125" t="s">
        <v>75</v>
      </c>
      <c r="R35" s="125"/>
      <c r="S35" s="125"/>
      <c r="T35" s="125"/>
      <c r="U35" s="66">
        <f>SUM(U28:U34)</f>
        <v>6419.06664</v>
      </c>
    </row>
    <row r="36" spans="1:21" ht="15.6" x14ac:dyDescent="0.3">
      <c r="A36" s="125" t="s">
        <v>76</v>
      </c>
      <c r="B36" s="125"/>
      <c r="C36" s="125"/>
      <c r="D36" s="125"/>
      <c r="E36" s="125"/>
      <c r="F36" s="65">
        <f>SUM(F35+K35+P35)</f>
        <v>160476.666</v>
      </c>
      <c r="G36" s="125" t="s">
        <v>77</v>
      </c>
      <c r="H36" s="125"/>
      <c r="I36" s="125"/>
      <c r="J36" s="125"/>
      <c r="K36" s="65">
        <f>SUM(F35+K35+P35+U35)</f>
        <v>166895.73264</v>
      </c>
      <c r="L36" s="125" t="s">
        <v>78</v>
      </c>
      <c r="M36" s="125"/>
      <c r="N36" s="125"/>
      <c r="O36" s="125"/>
      <c r="P36" s="65">
        <f>SUM(K36*0.15)</f>
        <v>25034.359895999998</v>
      </c>
      <c r="Q36" s="125" t="s">
        <v>79</v>
      </c>
      <c r="R36" s="125"/>
      <c r="S36" s="125"/>
      <c r="T36" s="125"/>
      <c r="U36" s="66">
        <f>SUM(K36+P36)</f>
        <v>191930.09253600001</v>
      </c>
    </row>
    <row r="37" spans="1:21" ht="15.6" x14ac:dyDescent="0.3">
      <c r="A37" s="57"/>
      <c r="B37" s="57"/>
      <c r="C37" s="57"/>
      <c r="D37" s="57"/>
      <c r="E37" s="57"/>
      <c r="F37" s="57"/>
      <c r="G37" s="57"/>
      <c r="H37" s="58"/>
      <c r="I37" s="57"/>
      <c r="J37" s="57"/>
      <c r="K37" s="57"/>
      <c r="L37" s="57"/>
      <c r="M37" s="57"/>
      <c r="N37" s="57"/>
      <c r="O37" s="57"/>
      <c r="P37" s="57"/>
      <c r="Q37" s="125" t="s">
        <v>80</v>
      </c>
      <c r="R37" s="125"/>
      <c r="S37" s="125"/>
      <c r="T37" s="125"/>
      <c r="U37" s="67">
        <f>ROUND((U36/15),2)</f>
        <v>12795.34</v>
      </c>
    </row>
    <row r="38" spans="1:21" ht="15.6" x14ac:dyDescent="0.3">
      <c r="A38" s="132"/>
      <c r="B38" s="132"/>
      <c r="C38" s="132"/>
      <c r="D38" s="132"/>
      <c r="E38" s="132"/>
      <c r="F38" s="132"/>
      <c r="G38" s="132"/>
      <c r="H38" s="132"/>
      <c r="I38" s="132"/>
      <c r="J38" s="132"/>
      <c r="K38" s="132"/>
      <c r="L38" s="132"/>
      <c r="M38" s="132"/>
      <c r="N38" s="132"/>
      <c r="O38" s="132"/>
      <c r="P38" s="132"/>
      <c r="Q38" s="132"/>
      <c r="R38" s="132"/>
      <c r="S38" s="132"/>
      <c r="T38" s="132"/>
      <c r="U38" s="132"/>
    </row>
    <row r="40" spans="1:21" x14ac:dyDescent="0.3">
      <c r="A40" s="130" t="s">
        <v>57</v>
      </c>
      <c r="B40" s="130"/>
      <c r="C40" s="131" t="s">
        <v>43</v>
      </c>
      <c r="D40" s="131"/>
      <c r="E40" s="131"/>
      <c r="F40" s="131"/>
      <c r="G40" s="131"/>
      <c r="H40" s="131"/>
      <c r="I40" s="131"/>
      <c r="J40" s="131"/>
      <c r="K40" s="131"/>
      <c r="L40" s="131"/>
      <c r="M40" s="131"/>
      <c r="N40" s="131"/>
      <c r="O40" s="131"/>
      <c r="P40" s="131"/>
      <c r="Q40" s="131"/>
      <c r="R40" s="131"/>
      <c r="S40" s="131"/>
      <c r="T40" s="131"/>
      <c r="U40" s="126" t="s">
        <v>85</v>
      </c>
    </row>
    <row r="41" spans="1:21" x14ac:dyDescent="0.3">
      <c r="A41" s="130"/>
      <c r="B41" s="130"/>
      <c r="C41" s="131"/>
      <c r="D41" s="131"/>
      <c r="E41" s="131"/>
      <c r="F41" s="131"/>
      <c r="G41" s="131"/>
      <c r="H41" s="131"/>
      <c r="I41" s="131"/>
      <c r="J41" s="131"/>
      <c r="K41" s="131"/>
      <c r="L41" s="131"/>
      <c r="M41" s="131"/>
      <c r="N41" s="131"/>
      <c r="O41" s="131"/>
      <c r="P41" s="131"/>
      <c r="Q41" s="131"/>
      <c r="R41" s="131"/>
      <c r="S41" s="131"/>
      <c r="T41" s="131"/>
      <c r="U41" s="126"/>
    </row>
    <row r="42" spans="1:21" ht="15.6" x14ac:dyDescent="0.3">
      <c r="A42" s="127" t="s">
        <v>86</v>
      </c>
      <c r="B42" s="127"/>
      <c r="C42" s="131"/>
      <c r="D42" s="131"/>
      <c r="E42" s="131"/>
      <c r="F42" s="131"/>
      <c r="G42" s="131"/>
      <c r="H42" s="131"/>
      <c r="I42" s="131"/>
      <c r="J42" s="131"/>
      <c r="K42" s="131"/>
      <c r="L42" s="131"/>
      <c r="M42" s="131"/>
      <c r="N42" s="131"/>
      <c r="O42" s="131"/>
      <c r="P42" s="131"/>
      <c r="Q42" s="131"/>
      <c r="R42" s="131"/>
      <c r="S42" s="131"/>
      <c r="T42" s="131"/>
      <c r="U42" s="126"/>
    </row>
    <row r="43" spans="1:21" ht="15.6" x14ac:dyDescent="0.3">
      <c r="A43" s="128" t="s">
        <v>60</v>
      </c>
      <c r="B43" s="129" t="s">
        <v>61</v>
      </c>
      <c r="C43" s="129"/>
      <c r="D43" s="129"/>
      <c r="E43" s="129"/>
      <c r="F43" s="129"/>
      <c r="G43" s="129" t="s">
        <v>62</v>
      </c>
      <c r="H43" s="129"/>
      <c r="I43" s="129"/>
      <c r="J43" s="129"/>
      <c r="K43" s="129"/>
      <c r="L43" s="129" t="s">
        <v>63</v>
      </c>
      <c r="M43" s="129"/>
      <c r="N43" s="129"/>
      <c r="O43" s="129"/>
      <c r="P43" s="129"/>
      <c r="Q43" s="129" t="s">
        <v>64</v>
      </c>
      <c r="R43" s="129"/>
      <c r="S43" s="129"/>
      <c r="T43" s="129"/>
      <c r="U43" s="129"/>
    </row>
    <row r="44" spans="1:21" ht="15.6" x14ac:dyDescent="0.3">
      <c r="A44" s="128"/>
      <c r="B44" s="61" t="s">
        <v>65</v>
      </c>
      <c r="C44" s="61" t="s">
        <v>12</v>
      </c>
      <c r="D44" s="61" t="s">
        <v>11</v>
      </c>
      <c r="E44" s="61" t="s">
        <v>13</v>
      </c>
      <c r="F44" s="61" t="s">
        <v>14</v>
      </c>
      <c r="G44" s="61" t="s">
        <v>65</v>
      </c>
      <c r="H44" s="62" t="s">
        <v>12</v>
      </c>
      <c r="I44" s="61" t="s">
        <v>11</v>
      </c>
      <c r="J44" s="61" t="s">
        <v>13</v>
      </c>
      <c r="K44" s="61" t="s">
        <v>14</v>
      </c>
      <c r="L44" s="61" t="s">
        <v>65</v>
      </c>
      <c r="M44" s="61" t="s">
        <v>12</v>
      </c>
      <c r="N44" s="61" t="s">
        <v>11</v>
      </c>
      <c r="O44" s="61" t="s">
        <v>13</v>
      </c>
      <c r="P44" s="61" t="s">
        <v>14</v>
      </c>
      <c r="Q44" s="61" t="s">
        <v>65</v>
      </c>
      <c r="R44" s="61" t="s">
        <v>12</v>
      </c>
      <c r="S44" s="61" t="s">
        <v>11</v>
      </c>
      <c r="T44" s="61" t="s">
        <v>13</v>
      </c>
      <c r="U44" s="63" t="s">
        <v>14</v>
      </c>
    </row>
    <row r="45" spans="1:21" ht="46.8" x14ac:dyDescent="0.3">
      <c r="A45" s="64" t="s">
        <v>97</v>
      </c>
      <c r="B45" s="61" t="s">
        <v>67</v>
      </c>
      <c r="C45" s="61" t="s">
        <v>68</v>
      </c>
      <c r="D45" s="61">
        <v>3</v>
      </c>
      <c r="E45" s="61">
        <v>1200</v>
      </c>
      <c r="F45" s="65">
        <f>(D45*E45)</f>
        <v>3600</v>
      </c>
      <c r="G45" s="61" t="s">
        <v>56</v>
      </c>
      <c r="H45" s="62" t="s">
        <v>45</v>
      </c>
      <c r="I45" s="61">
        <v>5.21</v>
      </c>
      <c r="J45" s="61">
        <v>14231</v>
      </c>
      <c r="K45" s="61">
        <f>(I45*J45)</f>
        <v>74143.509999999995</v>
      </c>
      <c r="L45" s="61" t="s">
        <v>88</v>
      </c>
      <c r="M45" s="61" t="s">
        <v>70</v>
      </c>
      <c r="N45" s="61">
        <v>6</v>
      </c>
      <c r="O45" s="61">
        <v>293</v>
      </c>
      <c r="P45" s="65">
        <f>(N45*O45)</f>
        <v>1758</v>
      </c>
      <c r="Q45" s="61" t="s">
        <v>98</v>
      </c>
      <c r="R45" s="61"/>
      <c r="S45" s="57"/>
      <c r="T45" s="57"/>
      <c r="U45" s="66">
        <f>F51*4/100</f>
        <v>7005.7536799999998</v>
      </c>
    </row>
    <row r="46" spans="1:21" ht="31.2" x14ac:dyDescent="0.3">
      <c r="A46" s="57"/>
      <c r="B46" s="61" t="s">
        <v>71</v>
      </c>
      <c r="C46" s="61" t="s">
        <v>68</v>
      </c>
      <c r="D46" s="61">
        <v>30</v>
      </c>
      <c r="E46" s="61">
        <v>900</v>
      </c>
      <c r="F46" s="65">
        <f>(D46*E46)</f>
        <v>27000</v>
      </c>
      <c r="G46" s="61" t="s">
        <v>90</v>
      </c>
      <c r="H46" s="62" t="s">
        <v>34</v>
      </c>
      <c r="I46" s="61">
        <v>6.75</v>
      </c>
      <c r="J46" s="61">
        <v>2504.88</v>
      </c>
      <c r="K46" s="61">
        <f>(I46*J46)</f>
        <v>16907.940000000002</v>
      </c>
      <c r="L46" s="61" t="s">
        <v>91</v>
      </c>
      <c r="M46" s="61" t="s">
        <v>70</v>
      </c>
      <c r="N46" s="61">
        <v>6</v>
      </c>
      <c r="O46" s="61">
        <v>841</v>
      </c>
      <c r="P46" s="65">
        <f>(N46*O46)</f>
        <v>5046</v>
      </c>
      <c r="Q46" s="57"/>
      <c r="R46" s="57"/>
      <c r="S46" s="57"/>
      <c r="T46" s="57"/>
      <c r="U46" s="56"/>
    </row>
    <row r="47" spans="1:21" ht="31.2" x14ac:dyDescent="0.3">
      <c r="A47" s="57"/>
      <c r="B47" s="57"/>
      <c r="C47" s="57"/>
      <c r="D47" s="57"/>
      <c r="E47" s="57"/>
      <c r="F47" s="57"/>
      <c r="G47" s="61" t="s">
        <v>93</v>
      </c>
      <c r="H47" s="62" t="s">
        <v>34</v>
      </c>
      <c r="I47" s="61">
        <v>8.1</v>
      </c>
      <c r="J47" s="61">
        <v>3598.56</v>
      </c>
      <c r="K47" s="61">
        <f>(I47*J47)</f>
        <v>29148.335999999999</v>
      </c>
      <c r="L47" s="57"/>
      <c r="M47" s="57"/>
      <c r="N47" s="57"/>
      <c r="O47" s="57"/>
      <c r="P47" s="57"/>
      <c r="Q47" s="57"/>
      <c r="R47" s="57"/>
      <c r="S47" s="57"/>
      <c r="T47" s="57"/>
      <c r="U47" s="56"/>
    </row>
    <row r="48" spans="1:21" ht="31.2" x14ac:dyDescent="0.3">
      <c r="A48" s="57"/>
      <c r="B48" s="57"/>
      <c r="C48" s="57"/>
      <c r="D48" s="57"/>
      <c r="E48" s="57"/>
      <c r="F48" s="57"/>
      <c r="G48" s="61" t="s">
        <v>94</v>
      </c>
      <c r="H48" s="62" t="s">
        <v>34</v>
      </c>
      <c r="I48" s="61">
        <v>5.4</v>
      </c>
      <c r="J48" s="61">
        <v>3104.6400000000003</v>
      </c>
      <c r="K48" s="61">
        <f>(I48*J48)</f>
        <v>16765.056000000004</v>
      </c>
      <c r="L48" s="57"/>
      <c r="M48" s="57"/>
      <c r="N48" s="57"/>
      <c r="O48" s="57"/>
      <c r="P48" s="57"/>
      <c r="Q48" s="57"/>
      <c r="R48" s="57"/>
      <c r="S48" s="57"/>
      <c r="T48" s="57"/>
      <c r="U48" s="56"/>
    </row>
    <row r="49" spans="1:21" ht="15.6" x14ac:dyDescent="0.3">
      <c r="A49" s="57"/>
      <c r="B49" s="57"/>
      <c r="C49" s="57"/>
      <c r="D49" s="57"/>
      <c r="E49" s="57"/>
      <c r="F49" s="57"/>
      <c r="G49" s="61" t="s">
        <v>95</v>
      </c>
      <c r="H49" s="62" t="s">
        <v>96</v>
      </c>
      <c r="I49" s="61">
        <v>2.5</v>
      </c>
      <c r="J49" s="61">
        <v>310</v>
      </c>
      <c r="K49" s="61">
        <f>(I49*J49)</f>
        <v>775</v>
      </c>
      <c r="L49" s="57"/>
      <c r="M49" s="57"/>
      <c r="N49" s="57"/>
      <c r="O49" s="57"/>
      <c r="P49" s="57"/>
      <c r="Q49" s="57"/>
      <c r="R49" s="57"/>
      <c r="S49" s="57"/>
      <c r="T49" s="57"/>
      <c r="U49" s="56"/>
    </row>
    <row r="50" spans="1:21" ht="15.6" x14ac:dyDescent="0.3">
      <c r="A50" s="125" t="s">
        <v>72</v>
      </c>
      <c r="B50" s="125"/>
      <c r="C50" s="125"/>
      <c r="D50" s="125"/>
      <c r="E50" s="125"/>
      <c r="F50" s="65">
        <f>SUM(F44:F49)</f>
        <v>30600</v>
      </c>
      <c r="G50" s="125" t="s">
        <v>73</v>
      </c>
      <c r="H50" s="125"/>
      <c r="I50" s="125"/>
      <c r="J50" s="125"/>
      <c r="K50" s="65">
        <f>SUM(K44:K49)</f>
        <v>137739.842</v>
      </c>
      <c r="L50" s="125" t="s">
        <v>74</v>
      </c>
      <c r="M50" s="125"/>
      <c r="N50" s="125"/>
      <c r="O50" s="125"/>
      <c r="P50" s="65">
        <f>SUM(P44:P49)</f>
        <v>6804</v>
      </c>
      <c r="Q50" s="125" t="s">
        <v>75</v>
      </c>
      <c r="R50" s="125"/>
      <c r="S50" s="125"/>
      <c r="T50" s="125"/>
      <c r="U50" s="66">
        <f>SUM(U44:U49)</f>
        <v>7005.7536799999998</v>
      </c>
    </row>
    <row r="51" spans="1:21" ht="15.6" x14ac:dyDescent="0.3">
      <c r="A51" s="125" t="s">
        <v>76</v>
      </c>
      <c r="B51" s="125"/>
      <c r="C51" s="125"/>
      <c r="D51" s="125"/>
      <c r="E51" s="125"/>
      <c r="F51" s="65">
        <f>SUM(F50+K50+P50)</f>
        <v>175143.842</v>
      </c>
      <c r="G51" s="125" t="s">
        <v>77</v>
      </c>
      <c r="H51" s="125"/>
      <c r="I51" s="125"/>
      <c r="J51" s="125"/>
      <c r="K51" s="65">
        <f>SUM(F50+K50+P50+U50)</f>
        <v>182149.59568</v>
      </c>
      <c r="L51" s="125" t="s">
        <v>78</v>
      </c>
      <c r="M51" s="125"/>
      <c r="N51" s="125"/>
      <c r="O51" s="125"/>
      <c r="P51" s="65">
        <f>SUM(K51*0.15)</f>
        <v>27322.439351999998</v>
      </c>
      <c r="Q51" s="125" t="s">
        <v>79</v>
      </c>
      <c r="R51" s="125"/>
      <c r="S51" s="125"/>
      <c r="T51" s="125"/>
      <c r="U51" s="66">
        <f>SUM(K51+P51)</f>
        <v>209472.03503199999</v>
      </c>
    </row>
    <row r="52" spans="1:21" ht="15.6" x14ac:dyDescent="0.3">
      <c r="A52" s="57"/>
      <c r="B52" s="57"/>
      <c r="C52" s="57"/>
      <c r="D52" s="57"/>
      <c r="E52" s="57"/>
      <c r="F52" s="57"/>
      <c r="G52" s="57"/>
      <c r="H52" s="58"/>
      <c r="I52" s="57"/>
      <c r="J52" s="57"/>
      <c r="K52" s="57"/>
      <c r="L52" s="57"/>
      <c r="M52" s="57"/>
      <c r="N52" s="57"/>
      <c r="O52" s="57"/>
      <c r="P52" s="57"/>
      <c r="Q52" s="125" t="s">
        <v>80</v>
      </c>
      <c r="R52" s="125"/>
      <c r="S52" s="125"/>
      <c r="T52" s="125"/>
      <c r="U52" s="67">
        <f>ROUND((U51/15),2)</f>
        <v>13964.8</v>
      </c>
    </row>
    <row r="54" spans="1:21" x14ac:dyDescent="0.3">
      <c r="A54" s="130" t="s">
        <v>57</v>
      </c>
      <c r="B54" s="130"/>
      <c r="C54" s="131" t="s">
        <v>44</v>
      </c>
      <c r="D54" s="131"/>
      <c r="E54" s="131"/>
      <c r="F54" s="131"/>
      <c r="G54" s="131"/>
      <c r="H54" s="131"/>
      <c r="I54" s="131"/>
      <c r="J54" s="131"/>
      <c r="K54" s="131"/>
      <c r="L54" s="131"/>
      <c r="M54" s="131"/>
      <c r="N54" s="131"/>
      <c r="O54" s="131"/>
      <c r="P54" s="131"/>
      <c r="Q54" s="131"/>
      <c r="R54" s="131"/>
      <c r="S54" s="131"/>
      <c r="T54" s="131"/>
      <c r="U54" s="126" t="s">
        <v>99</v>
      </c>
    </row>
    <row r="55" spans="1:21" x14ac:dyDescent="0.3">
      <c r="A55" s="130"/>
      <c r="B55" s="130"/>
      <c r="C55" s="131"/>
      <c r="D55" s="131"/>
      <c r="E55" s="131"/>
      <c r="F55" s="131"/>
      <c r="G55" s="131"/>
      <c r="H55" s="131"/>
      <c r="I55" s="131"/>
      <c r="J55" s="131"/>
      <c r="K55" s="131"/>
      <c r="L55" s="131"/>
      <c r="M55" s="131"/>
      <c r="N55" s="131"/>
      <c r="O55" s="131"/>
      <c r="P55" s="131"/>
      <c r="Q55" s="131"/>
      <c r="R55" s="131"/>
      <c r="S55" s="131"/>
      <c r="T55" s="131"/>
      <c r="U55" s="126"/>
    </row>
    <row r="56" spans="1:21" ht="15.6" x14ac:dyDescent="0.3">
      <c r="A56" s="127" t="s">
        <v>100</v>
      </c>
      <c r="B56" s="127"/>
      <c r="C56" s="131"/>
      <c r="D56" s="131"/>
      <c r="E56" s="131"/>
      <c r="F56" s="131"/>
      <c r="G56" s="131"/>
      <c r="H56" s="131"/>
      <c r="I56" s="131"/>
      <c r="J56" s="131"/>
      <c r="K56" s="131"/>
      <c r="L56" s="131"/>
      <c r="M56" s="131"/>
      <c r="N56" s="131"/>
      <c r="O56" s="131"/>
      <c r="P56" s="131"/>
      <c r="Q56" s="131"/>
      <c r="R56" s="131"/>
      <c r="S56" s="131"/>
      <c r="T56" s="131"/>
      <c r="U56" s="126"/>
    </row>
    <row r="57" spans="1:21" ht="15.6" x14ac:dyDescent="0.3">
      <c r="A57" s="128" t="s">
        <v>60</v>
      </c>
      <c r="B57" s="129" t="s">
        <v>61</v>
      </c>
      <c r="C57" s="129"/>
      <c r="D57" s="129"/>
      <c r="E57" s="129"/>
      <c r="F57" s="129"/>
      <c r="G57" s="129" t="s">
        <v>62</v>
      </c>
      <c r="H57" s="129"/>
      <c r="I57" s="129"/>
      <c r="J57" s="129"/>
      <c r="K57" s="129"/>
      <c r="L57" s="129" t="s">
        <v>63</v>
      </c>
      <c r="M57" s="129"/>
      <c r="N57" s="129"/>
      <c r="O57" s="129"/>
      <c r="P57" s="129"/>
      <c r="Q57" s="129" t="s">
        <v>64</v>
      </c>
      <c r="R57" s="129"/>
      <c r="S57" s="129"/>
      <c r="T57" s="129"/>
      <c r="U57" s="129"/>
    </row>
    <row r="58" spans="1:21" ht="15.6" x14ac:dyDescent="0.3">
      <c r="A58" s="128"/>
      <c r="B58" s="61" t="s">
        <v>65</v>
      </c>
      <c r="C58" s="61" t="s">
        <v>12</v>
      </c>
      <c r="D58" s="61" t="s">
        <v>11</v>
      </c>
      <c r="E58" s="61" t="s">
        <v>13</v>
      </c>
      <c r="F58" s="61" t="s">
        <v>14</v>
      </c>
      <c r="G58" s="61" t="s">
        <v>65</v>
      </c>
      <c r="H58" s="62" t="s">
        <v>12</v>
      </c>
      <c r="I58" s="61" t="s">
        <v>11</v>
      </c>
      <c r="J58" s="61" t="s">
        <v>13</v>
      </c>
      <c r="K58" s="61" t="s">
        <v>14</v>
      </c>
      <c r="L58" s="61" t="s">
        <v>65</v>
      </c>
      <c r="M58" s="61" t="s">
        <v>12</v>
      </c>
      <c r="N58" s="61" t="s">
        <v>11</v>
      </c>
      <c r="O58" s="61" t="s">
        <v>13</v>
      </c>
      <c r="P58" s="61" t="s">
        <v>14</v>
      </c>
      <c r="Q58" s="61" t="s">
        <v>65</v>
      </c>
      <c r="R58" s="61" t="s">
        <v>12</v>
      </c>
      <c r="S58" s="61" t="s">
        <v>11</v>
      </c>
      <c r="T58" s="61" t="s">
        <v>13</v>
      </c>
      <c r="U58" s="63" t="s">
        <v>14</v>
      </c>
    </row>
    <row r="59" spans="1:21" ht="46.8" x14ac:dyDescent="0.3">
      <c r="A59" s="64" t="s">
        <v>101</v>
      </c>
      <c r="B59" s="61" t="s">
        <v>102</v>
      </c>
      <c r="C59" s="61" t="s">
        <v>68</v>
      </c>
      <c r="D59" s="61">
        <v>4</v>
      </c>
      <c r="E59" s="61">
        <v>1200</v>
      </c>
      <c r="F59" s="65">
        <f>(D59*E59)</f>
        <v>4800</v>
      </c>
      <c r="G59" s="61" t="s">
        <v>103</v>
      </c>
      <c r="H59" s="62" t="s">
        <v>45</v>
      </c>
      <c r="I59" s="61">
        <v>1.1000000000000001</v>
      </c>
      <c r="J59" s="61">
        <v>99000</v>
      </c>
      <c r="K59" s="61">
        <f>(I59*J59)</f>
        <v>108900.00000000001</v>
      </c>
      <c r="L59" s="57"/>
      <c r="M59" s="57"/>
      <c r="N59" s="57"/>
      <c r="O59" s="57"/>
      <c r="P59" s="57"/>
      <c r="Q59" s="57"/>
      <c r="R59" s="57"/>
      <c r="S59" s="57"/>
      <c r="T59" s="57"/>
      <c r="U59" s="56"/>
    </row>
    <row r="60" spans="1:21" ht="31.2" x14ac:dyDescent="0.3">
      <c r="A60" s="57"/>
      <c r="B60" s="61" t="s">
        <v>71</v>
      </c>
      <c r="C60" s="61" t="s">
        <v>68</v>
      </c>
      <c r="D60" s="61">
        <v>9</v>
      </c>
      <c r="E60" s="61">
        <v>900</v>
      </c>
      <c r="F60" s="65">
        <f>(D60*E60)</f>
        <v>8100</v>
      </c>
      <c r="G60" s="61" t="s">
        <v>104</v>
      </c>
      <c r="H60" s="62" t="s">
        <v>105</v>
      </c>
      <c r="I60" s="61">
        <v>8</v>
      </c>
      <c r="J60" s="61">
        <v>106</v>
      </c>
      <c r="K60" s="61">
        <f>(I60*J60)</f>
        <v>848</v>
      </c>
      <c r="L60" s="57"/>
      <c r="M60" s="57"/>
      <c r="N60" s="57"/>
      <c r="O60" s="57"/>
      <c r="P60" s="57"/>
      <c r="Q60" s="57"/>
      <c r="R60" s="57"/>
      <c r="S60" s="57"/>
      <c r="T60" s="57"/>
      <c r="U60" s="56"/>
    </row>
    <row r="61" spans="1:21" ht="15.6" x14ac:dyDescent="0.3">
      <c r="A61" s="125" t="s">
        <v>72</v>
      </c>
      <c r="B61" s="125"/>
      <c r="C61" s="125"/>
      <c r="D61" s="125"/>
      <c r="E61" s="125"/>
      <c r="F61" s="65">
        <f>SUM(F58:F60)</f>
        <v>12900</v>
      </c>
      <c r="G61" s="125" t="s">
        <v>73</v>
      </c>
      <c r="H61" s="125"/>
      <c r="I61" s="125"/>
      <c r="J61" s="125"/>
      <c r="K61" s="65">
        <f>SUM(K58:K60)</f>
        <v>109748.00000000001</v>
      </c>
      <c r="L61" s="125" t="s">
        <v>74</v>
      </c>
      <c r="M61" s="125"/>
      <c r="N61" s="125"/>
      <c r="O61" s="125"/>
      <c r="P61" s="65">
        <f>SUM(P58:P60)</f>
        <v>0</v>
      </c>
      <c r="Q61" s="125" t="s">
        <v>75</v>
      </c>
      <c r="R61" s="125"/>
      <c r="S61" s="125"/>
      <c r="T61" s="125"/>
      <c r="U61" s="66">
        <f>SUM(U58:U60)</f>
        <v>0</v>
      </c>
    </row>
    <row r="62" spans="1:21" ht="15.6" x14ac:dyDescent="0.3">
      <c r="A62" s="125" t="s">
        <v>76</v>
      </c>
      <c r="B62" s="125"/>
      <c r="C62" s="125"/>
      <c r="D62" s="125"/>
      <c r="E62" s="125"/>
      <c r="F62" s="65">
        <f>SUM(F61+K61+P61)</f>
        <v>122648.00000000001</v>
      </c>
      <c r="G62" s="125" t="s">
        <v>77</v>
      </c>
      <c r="H62" s="125"/>
      <c r="I62" s="125"/>
      <c r="J62" s="125"/>
      <c r="K62" s="65">
        <f>SUM(F61+K61+P61+U61)</f>
        <v>122648.00000000001</v>
      </c>
      <c r="L62" s="125" t="s">
        <v>78</v>
      </c>
      <c r="M62" s="125"/>
      <c r="N62" s="125"/>
      <c r="O62" s="125"/>
      <c r="P62" s="65">
        <f>SUM(K62*0.15)</f>
        <v>18397.2</v>
      </c>
      <c r="Q62" s="125" t="s">
        <v>79</v>
      </c>
      <c r="R62" s="125"/>
      <c r="S62" s="125"/>
      <c r="T62" s="125"/>
      <c r="U62" s="66">
        <f>SUM(K62+P62)</f>
        <v>141045.20000000001</v>
      </c>
    </row>
    <row r="63" spans="1:21" ht="15.6" x14ac:dyDescent="0.3">
      <c r="A63" s="57"/>
      <c r="B63" s="57"/>
      <c r="C63" s="57"/>
      <c r="D63" s="57"/>
      <c r="E63" s="57"/>
      <c r="F63" s="57"/>
      <c r="G63" s="57"/>
      <c r="H63" s="58"/>
      <c r="I63" s="57"/>
      <c r="J63" s="57"/>
      <c r="K63" s="57"/>
      <c r="L63" s="57"/>
      <c r="M63" s="57"/>
      <c r="N63" s="57"/>
      <c r="O63" s="57"/>
      <c r="P63" s="57"/>
      <c r="Q63" s="125" t="s">
        <v>80</v>
      </c>
      <c r="R63" s="125"/>
      <c r="S63" s="125"/>
      <c r="T63" s="125"/>
      <c r="U63" s="67">
        <f>ROUND((U62/1),2)</f>
        <v>141045.20000000001</v>
      </c>
    </row>
  </sheetData>
  <mergeCells count="92">
    <mergeCell ref="A1:B2"/>
    <mergeCell ref="C1:T3"/>
    <mergeCell ref="U1:U3"/>
    <mergeCell ref="A3:B3"/>
    <mergeCell ref="A4:A5"/>
    <mergeCell ref="B4:F4"/>
    <mergeCell ref="G4:K4"/>
    <mergeCell ref="L4:P4"/>
    <mergeCell ref="Q4:U4"/>
    <mergeCell ref="A8:E8"/>
    <mergeCell ref="G8:J8"/>
    <mergeCell ref="L8:O8"/>
    <mergeCell ref="Q8:T8"/>
    <mergeCell ref="A9:E9"/>
    <mergeCell ref="G9:J9"/>
    <mergeCell ref="L9:O9"/>
    <mergeCell ref="Q9:T9"/>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20:E20"/>
    <mergeCell ref="G20:J20"/>
    <mergeCell ref="L20:O20"/>
    <mergeCell ref="Q20:T20"/>
    <mergeCell ref="Q21:T21"/>
    <mergeCell ref="U24:U26"/>
    <mergeCell ref="A26:B26"/>
    <mergeCell ref="A27:A28"/>
    <mergeCell ref="B27:F27"/>
    <mergeCell ref="G27:K27"/>
    <mergeCell ref="L27:P27"/>
    <mergeCell ref="Q27:U27"/>
    <mergeCell ref="A24:B25"/>
    <mergeCell ref="C24:T26"/>
    <mergeCell ref="A35:E35"/>
    <mergeCell ref="G35:J35"/>
    <mergeCell ref="L35:O35"/>
    <mergeCell ref="Q35:T35"/>
    <mergeCell ref="A36:E36"/>
    <mergeCell ref="G36:J36"/>
    <mergeCell ref="L36:O36"/>
    <mergeCell ref="Q36:T36"/>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51:E51"/>
    <mergeCell ref="G51:J51"/>
    <mergeCell ref="L51:O51"/>
    <mergeCell ref="Q51:T51"/>
    <mergeCell ref="Q52:T52"/>
    <mergeCell ref="U54:U56"/>
    <mergeCell ref="A56:B56"/>
    <mergeCell ref="A57:A58"/>
    <mergeCell ref="B57:F57"/>
    <mergeCell ref="G57:K57"/>
    <mergeCell ref="L57:P57"/>
    <mergeCell ref="Q57:U57"/>
    <mergeCell ref="A54:B55"/>
    <mergeCell ref="C54:T56"/>
    <mergeCell ref="Q63:T63"/>
    <mergeCell ref="A61:E61"/>
    <mergeCell ref="G61:J61"/>
    <mergeCell ref="L61:O61"/>
    <mergeCell ref="Q61:T61"/>
    <mergeCell ref="A62:E62"/>
    <mergeCell ref="G62:J62"/>
    <mergeCell ref="L62:O62"/>
    <mergeCell ref="Q62:T62"/>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topLeftCell="A31" zoomScale="80" zoomScaleNormal="100" zoomScaleSheetLayoutView="80" workbookViewId="0">
      <selection activeCell="B39" sqref="B39"/>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hidden="1" customWidth="1"/>
    <col min="10" max="10" width="10.5546875" style="6" hidden="1" customWidth="1"/>
    <col min="11" max="11" width="9.88671875" bestFit="1" customWidth="1"/>
    <col min="13" max="13" width="5" bestFit="1" customWidth="1"/>
    <col min="14" max="14" width="6" bestFit="1" customWidth="1"/>
    <col min="15" max="15" width="10.5546875" customWidth="1"/>
    <col min="16" max="16" width="8" bestFit="1" customWidth="1"/>
    <col min="17" max="17" width="8" customWidth="1"/>
    <col min="18" max="18" width="6.6640625" bestFit="1" customWidth="1"/>
    <col min="19" max="19" width="7" bestFit="1" customWidth="1"/>
    <col min="20" max="20" width="5.44140625" bestFit="1" customWidth="1"/>
    <col min="21" max="21" width="17.88671875" bestFit="1" customWidth="1"/>
  </cols>
  <sheetData>
    <row r="1" spans="1:21" s="1" customFormat="1" x14ac:dyDescent="0.3">
      <c r="A1" s="109" t="s">
        <v>0</v>
      </c>
      <c r="B1" s="109"/>
      <c r="C1" s="109"/>
      <c r="D1" s="109"/>
      <c r="E1" s="109"/>
      <c r="F1" s="109"/>
      <c r="G1" s="109"/>
      <c r="H1" s="109"/>
      <c r="I1" s="109"/>
      <c r="J1" s="109"/>
      <c r="K1" s="109"/>
    </row>
    <row r="2" spans="1:21" s="1" customFormat="1" ht="22.8" x14ac:dyDescent="0.3">
      <c r="A2" s="110" t="s">
        <v>1</v>
      </c>
      <c r="B2" s="110"/>
      <c r="C2" s="110"/>
      <c r="D2" s="110"/>
      <c r="E2" s="110"/>
      <c r="F2" s="110"/>
      <c r="G2" s="110"/>
      <c r="H2" s="110"/>
      <c r="I2" s="110"/>
      <c r="J2" s="110"/>
      <c r="K2" s="110"/>
    </row>
    <row r="3" spans="1:21" s="1" customFormat="1" x14ac:dyDescent="0.3">
      <c r="A3" s="111" t="s">
        <v>2</v>
      </c>
      <c r="B3" s="111"/>
      <c r="C3" s="111"/>
      <c r="D3" s="111"/>
      <c r="E3" s="111"/>
      <c r="F3" s="111"/>
      <c r="G3" s="111"/>
      <c r="H3" s="111"/>
      <c r="I3" s="111"/>
      <c r="J3" s="111"/>
      <c r="K3" s="111"/>
    </row>
    <row r="4" spans="1:21" s="1" customFormat="1" x14ac:dyDescent="0.3">
      <c r="A4" s="111" t="s">
        <v>3</v>
      </c>
      <c r="B4" s="111"/>
      <c r="C4" s="111"/>
      <c r="D4" s="111"/>
      <c r="E4" s="111"/>
      <c r="F4" s="111"/>
      <c r="G4" s="111"/>
      <c r="H4" s="111"/>
      <c r="I4" s="111"/>
      <c r="J4" s="111"/>
      <c r="K4" s="111"/>
    </row>
    <row r="5" spans="1:21" ht="17.399999999999999" x14ac:dyDescent="0.3">
      <c r="A5" s="112" t="s">
        <v>112</v>
      </c>
      <c r="B5" s="112"/>
      <c r="C5" s="112"/>
      <c r="D5" s="112"/>
      <c r="E5" s="112"/>
      <c r="F5" s="112"/>
      <c r="G5" s="112"/>
      <c r="H5" s="112"/>
      <c r="I5" s="112"/>
      <c r="J5" s="112"/>
      <c r="K5" s="112"/>
    </row>
    <row r="6" spans="1:21" ht="18" x14ac:dyDescent="0.35">
      <c r="A6" s="108" t="s">
        <v>53</v>
      </c>
      <c r="B6" s="108"/>
      <c r="C6" s="108"/>
      <c r="D6" s="108"/>
      <c r="E6" s="108"/>
      <c r="F6" s="108"/>
      <c r="G6" s="108"/>
      <c r="H6" s="104" t="s">
        <v>39</v>
      </c>
      <c r="I6" s="104"/>
      <c r="J6" s="104"/>
      <c r="K6" s="104"/>
    </row>
    <row r="7" spans="1:21" ht="15.6" x14ac:dyDescent="0.3">
      <c r="A7" s="103" t="s">
        <v>33</v>
      </c>
      <c r="B7" s="103"/>
      <c r="C7" s="103"/>
      <c r="D7" s="103"/>
      <c r="E7" s="103"/>
      <c r="F7" s="103"/>
      <c r="G7" s="2"/>
      <c r="H7" s="104" t="s">
        <v>113</v>
      </c>
      <c r="I7" s="104"/>
      <c r="J7" s="104"/>
      <c r="K7" s="104"/>
    </row>
    <row r="8" spans="1:21" ht="15" customHeight="1" x14ac:dyDescent="0.3">
      <c r="A8" s="3" t="s">
        <v>5</v>
      </c>
      <c r="B8" s="24" t="s">
        <v>6</v>
      </c>
      <c r="C8" s="3" t="s">
        <v>7</v>
      </c>
      <c r="D8" s="25" t="s">
        <v>8</v>
      </c>
      <c r="E8" s="25" t="s">
        <v>9</v>
      </c>
      <c r="F8" s="25" t="s">
        <v>10</v>
      </c>
      <c r="G8" s="25" t="s">
        <v>11</v>
      </c>
      <c r="H8" s="3" t="s">
        <v>12</v>
      </c>
      <c r="I8" s="25" t="s">
        <v>13</v>
      </c>
      <c r="J8" s="25" t="s">
        <v>14</v>
      </c>
      <c r="K8" s="26" t="s">
        <v>15</v>
      </c>
    </row>
    <row r="9" spans="1:21" ht="156" customHeight="1" x14ac:dyDescent="0.3">
      <c r="A9" s="28">
        <v>1</v>
      </c>
      <c r="B9" s="48" t="s">
        <v>50</v>
      </c>
      <c r="C9" s="17"/>
      <c r="D9" s="17"/>
      <c r="E9" s="17"/>
      <c r="F9" s="17"/>
      <c r="G9" s="43"/>
      <c r="H9" s="32"/>
      <c r="I9" s="33"/>
      <c r="J9" s="33"/>
      <c r="K9" s="31"/>
      <c r="N9" t="s">
        <v>106</v>
      </c>
      <c r="O9" t="s">
        <v>107</v>
      </c>
      <c r="P9" t="s">
        <v>108</v>
      </c>
      <c r="Q9" s="92" t="s">
        <v>9</v>
      </c>
      <c r="R9" t="s">
        <v>109</v>
      </c>
      <c r="S9" s="92" t="s">
        <v>10</v>
      </c>
      <c r="T9" t="s">
        <v>110</v>
      </c>
      <c r="U9" s="94" t="s">
        <v>111</v>
      </c>
    </row>
    <row r="10" spans="1:21" x14ac:dyDescent="0.3">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3">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3">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3">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82.8" x14ac:dyDescent="0.3">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3">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3">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hidden="1" x14ac:dyDescent="0.3">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3">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3">
      <c r="A19" s="28">
        <v>3</v>
      </c>
      <c r="B19" s="47" t="s">
        <v>42</v>
      </c>
      <c r="C19" s="29"/>
      <c r="D19" s="30"/>
      <c r="E19" s="31"/>
      <c r="F19" s="31"/>
      <c r="G19" s="33"/>
      <c r="H19" s="32"/>
      <c r="I19" s="33"/>
      <c r="J19" s="39"/>
      <c r="K19" s="31"/>
      <c r="N19" t="e">
        <f>#REF!/#REF!</f>
        <v>#REF!</v>
      </c>
    </row>
    <row r="20" spans="1:21" x14ac:dyDescent="0.3">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3">
      <c r="A21" s="28"/>
      <c r="B21" s="34" t="s">
        <v>41</v>
      </c>
      <c r="C21" s="29"/>
      <c r="D21" s="30"/>
      <c r="E21" s="31"/>
      <c r="F21" s="31"/>
      <c r="G21" s="33">
        <f>SUM(G20)</f>
        <v>0.70005333739713516</v>
      </c>
      <c r="H21" s="32" t="s">
        <v>34</v>
      </c>
      <c r="I21" s="53">
        <v>11126.38</v>
      </c>
      <c r="J21" s="39">
        <f>G21*I21</f>
        <v>7789.0594521487365</v>
      </c>
      <c r="K21" s="31"/>
    </row>
    <row r="22" spans="1:21" hidden="1" x14ac:dyDescent="0.3">
      <c r="A22" s="28"/>
      <c r="B22" s="34" t="s">
        <v>37</v>
      </c>
      <c r="C22" s="29"/>
      <c r="D22" s="30"/>
      <c r="E22" s="31"/>
      <c r="F22" s="31"/>
      <c r="G22" s="33"/>
      <c r="H22" s="32"/>
      <c r="I22" s="33"/>
      <c r="J22" s="52">
        <f>0.13*G21*((123027.7+6419.1)/15)</f>
        <v>785.37042441328879</v>
      </c>
      <c r="K22" s="31"/>
    </row>
    <row r="23" spans="1:21" x14ac:dyDescent="0.3">
      <c r="A23" s="28"/>
      <c r="B23" s="34"/>
      <c r="C23" s="29"/>
      <c r="D23" s="30"/>
      <c r="E23" s="31"/>
      <c r="F23" s="31"/>
      <c r="G23" s="33"/>
      <c r="H23" s="32"/>
      <c r="I23" s="33"/>
      <c r="J23" s="52"/>
      <c r="K23" s="31"/>
    </row>
    <row r="24" spans="1:21" ht="78" customHeight="1" x14ac:dyDescent="0.3">
      <c r="A24" s="28">
        <v>4</v>
      </c>
      <c r="B24" s="47" t="s">
        <v>43</v>
      </c>
      <c r="C24" s="29"/>
      <c r="D24" s="30"/>
      <c r="E24" s="31"/>
      <c r="F24" s="31"/>
      <c r="G24" s="33"/>
      <c r="H24" s="32"/>
      <c r="I24" s="33"/>
      <c r="J24" s="39"/>
      <c r="K24" s="31"/>
    </row>
    <row r="25" spans="1:21" x14ac:dyDescent="0.3">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2"/>
      <c r="S25" s="92"/>
      <c r="U25" s="93"/>
    </row>
    <row r="26" spans="1:21" x14ac:dyDescent="0.3">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2"/>
      <c r="S26" s="92"/>
      <c r="U26" s="93"/>
    </row>
    <row r="27" spans="1:21" x14ac:dyDescent="0.3">
      <c r="A27" s="28"/>
      <c r="B27" s="50"/>
      <c r="C27" s="29">
        <v>1</v>
      </c>
      <c r="D27" s="30">
        <f t="shared" si="7"/>
        <v>3.8</v>
      </c>
      <c r="E27" s="31">
        <f t="shared" si="4"/>
        <v>0.61</v>
      </c>
      <c r="F27" s="31">
        <f t="shared" si="5"/>
        <v>8.8895661891699687E-2</v>
      </c>
      <c r="G27" s="40">
        <f t="shared" si="6"/>
        <v>0.20606014426495989</v>
      </c>
      <c r="H27" s="32"/>
      <c r="I27" s="33"/>
      <c r="J27" s="39"/>
      <c r="K27" s="31"/>
      <c r="Q27" s="92"/>
      <c r="S27" s="92"/>
      <c r="U27" s="93"/>
    </row>
    <row r="28" spans="1:21" x14ac:dyDescent="0.3">
      <c r="A28" s="28"/>
      <c r="B28" s="50"/>
      <c r="C28" s="29">
        <v>1</v>
      </c>
      <c r="D28" s="30">
        <f t="shared" si="7"/>
        <v>5</v>
      </c>
      <c r="E28" s="31">
        <f t="shared" si="4"/>
        <v>0.61</v>
      </c>
      <c r="F28" s="31">
        <f t="shared" si="5"/>
        <v>8.8895661891699687E-2</v>
      </c>
      <c r="G28" s="40">
        <f t="shared" si="6"/>
        <v>0.27113176876968403</v>
      </c>
      <c r="H28" s="32"/>
      <c r="I28" s="33"/>
      <c r="J28" s="39"/>
      <c r="K28" s="31"/>
      <c r="Q28" s="92"/>
      <c r="S28" s="92"/>
      <c r="U28" s="93"/>
    </row>
    <row r="29" spans="1:21" x14ac:dyDescent="0.3">
      <c r="A29" s="28"/>
      <c r="B29" s="50"/>
      <c r="C29" s="29">
        <v>1</v>
      </c>
      <c r="D29" s="30">
        <f t="shared" si="7"/>
        <v>5</v>
      </c>
      <c r="E29" s="31">
        <f t="shared" si="4"/>
        <v>0.61</v>
      </c>
      <c r="F29" s="31">
        <f t="shared" si="5"/>
        <v>8.8895661891699687E-2</v>
      </c>
      <c r="G29" s="40">
        <f t="shared" si="6"/>
        <v>0.27113176876968403</v>
      </c>
      <c r="H29" s="32"/>
      <c r="I29" s="33"/>
      <c r="J29" s="39"/>
      <c r="K29" s="31"/>
      <c r="Q29" s="92"/>
      <c r="S29" s="92"/>
      <c r="U29" s="93"/>
    </row>
    <row r="30" spans="1:21" x14ac:dyDescent="0.3">
      <c r="A30" s="28"/>
      <c r="B30" s="50"/>
      <c r="C30" s="29">
        <v>1</v>
      </c>
      <c r="D30" s="30">
        <f t="shared" si="7"/>
        <v>5</v>
      </c>
      <c r="E30" s="31">
        <f t="shared" si="4"/>
        <v>0.63</v>
      </c>
      <c r="F30" s="31">
        <f t="shared" si="5"/>
        <v>8.8895661891699687E-2</v>
      </c>
      <c r="G30" s="40">
        <f t="shared" si="6"/>
        <v>0.28002133495885401</v>
      </c>
      <c r="H30" s="32"/>
      <c r="I30" s="33"/>
      <c r="J30" s="39"/>
      <c r="K30" s="31"/>
      <c r="O30" s="59"/>
      <c r="Q30" s="92"/>
      <c r="S30" s="92"/>
      <c r="U30" s="93"/>
    </row>
    <row r="31" spans="1:21" x14ac:dyDescent="0.3">
      <c r="A31" s="28"/>
      <c r="B31" s="50"/>
      <c r="C31" s="29">
        <v>1</v>
      </c>
      <c r="D31" s="30">
        <f>D40</f>
        <v>5</v>
      </c>
      <c r="E31" s="31">
        <f t="shared" si="4"/>
        <v>0.62</v>
      </c>
      <c r="F31" s="31">
        <f t="shared" si="5"/>
        <v>8.8895661891699687E-2</v>
      </c>
      <c r="G31" s="40">
        <f t="shared" si="6"/>
        <v>0.27557655186426905</v>
      </c>
      <c r="H31" s="32"/>
      <c r="I31" s="33"/>
      <c r="J31" s="39"/>
      <c r="K31" s="31"/>
      <c r="O31" s="59"/>
      <c r="Q31" s="92"/>
      <c r="S31" s="92"/>
      <c r="U31" s="93"/>
    </row>
    <row r="32" spans="1:21" x14ac:dyDescent="0.3">
      <c r="A32" s="28"/>
      <c r="B32" s="50"/>
      <c r="C32" s="29">
        <v>1</v>
      </c>
      <c r="D32" s="30">
        <f>D41</f>
        <v>3.95</v>
      </c>
      <c r="E32" s="31">
        <f t="shared" si="4"/>
        <v>0.67</v>
      </c>
      <c r="F32" s="31">
        <f>3.5/12/3.281</f>
        <v>8.8895661891699687E-2</v>
      </c>
      <c r="G32" s="40">
        <f t="shared" si="6"/>
        <v>0.23526236919638324</v>
      </c>
      <c r="H32" s="32"/>
      <c r="I32" s="33"/>
      <c r="J32" s="39"/>
      <c r="K32" s="31"/>
      <c r="Q32" s="92"/>
      <c r="S32" s="92"/>
      <c r="U32" s="93"/>
    </row>
    <row r="33" spans="1:13" x14ac:dyDescent="0.3">
      <c r="A33" s="28"/>
      <c r="B33" s="51" t="s">
        <v>52</v>
      </c>
      <c r="C33" s="29"/>
      <c r="D33" s="30"/>
      <c r="E33" s="31"/>
      <c r="F33" s="31"/>
      <c r="G33" s="40"/>
      <c r="H33" s="32"/>
      <c r="I33" s="33"/>
      <c r="J33" s="39"/>
      <c r="K33" s="31"/>
    </row>
    <row r="34" spans="1:13" x14ac:dyDescent="0.3">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3">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3">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3">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3">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3">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3">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3">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3">
      <c r="A42" s="28"/>
      <c r="B42" s="50"/>
      <c r="C42" s="29"/>
      <c r="D42" s="30"/>
      <c r="E42" s="31"/>
      <c r="F42" s="31"/>
      <c r="G42" s="40"/>
      <c r="H42" s="32"/>
      <c r="I42" s="33"/>
      <c r="J42" s="39"/>
      <c r="K42" s="31"/>
      <c r="M42">
        <f>3.8*1.2*0.1</f>
        <v>0.45599999999999996</v>
      </c>
    </row>
    <row r="43" spans="1:13" x14ac:dyDescent="0.3">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3">
      <c r="A44" s="28"/>
      <c r="B44" s="51" t="s">
        <v>54</v>
      </c>
      <c r="C44" s="29">
        <v>1</v>
      </c>
      <c r="D44" s="30">
        <v>3.8</v>
      </c>
      <c r="E44" s="31">
        <v>1.2</v>
      </c>
      <c r="F44" s="31">
        <v>0.1</v>
      </c>
      <c r="G44" s="40">
        <f>PRODUCT(C44:F44)</f>
        <v>0.45599999999999996</v>
      </c>
      <c r="H44" s="32"/>
      <c r="I44" s="33"/>
      <c r="J44" s="39"/>
      <c r="K44" s="31"/>
      <c r="M44">
        <f>SUM(M42:M43)</f>
        <v>3.6775780434782623</v>
      </c>
    </row>
    <row r="45" spans="1:13" x14ac:dyDescent="0.3">
      <c r="A45" s="28"/>
      <c r="B45" s="34" t="s">
        <v>41</v>
      </c>
      <c r="C45" s="29"/>
      <c r="D45" s="30"/>
      <c r="E45" s="31"/>
      <c r="F45" s="31"/>
      <c r="G45" s="33">
        <f>SUM(G25:G44)</f>
        <v>9.440879803459973</v>
      </c>
      <c r="H45" s="32" t="s">
        <v>34</v>
      </c>
      <c r="I45" s="53">
        <v>12143.3</v>
      </c>
      <c r="J45" s="39">
        <f>G45*I45</f>
        <v>114643.43571735549</v>
      </c>
      <c r="K45" s="31"/>
    </row>
    <row r="46" spans="1:13" hidden="1" x14ac:dyDescent="0.3">
      <c r="A46" s="28"/>
      <c r="B46" s="34" t="s">
        <v>37</v>
      </c>
      <c r="C46" s="29"/>
      <c r="D46" s="30"/>
      <c r="E46" s="31"/>
      <c r="F46" s="31"/>
      <c r="G46" s="33"/>
      <c r="H46" s="32"/>
      <c r="I46" s="33"/>
      <c r="J46" s="52">
        <f>0.13*G45*((137739.8+7005.8)/15)</f>
        <v>11843.223701224029</v>
      </c>
      <c r="K46" s="31"/>
    </row>
    <row r="47" spans="1:13" x14ac:dyDescent="0.3">
      <c r="A47" s="28"/>
      <c r="B47" s="34"/>
      <c r="C47" s="29"/>
      <c r="D47" s="30"/>
      <c r="E47" s="31"/>
      <c r="F47" s="31"/>
      <c r="G47" s="33"/>
      <c r="H47" s="32"/>
      <c r="I47" s="33"/>
      <c r="J47" s="52"/>
      <c r="K47" s="31"/>
    </row>
    <row r="48" spans="1:13" ht="69" x14ac:dyDescent="0.3">
      <c r="A48" s="28">
        <v>5</v>
      </c>
      <c r="B48" s="47" t="s">
        <v>44</v>
      </c>
      <c r="C48" s="29" t="s">
        <v>7</v>
      </c>
      <c r="D48" s="54" t="s">
        <v>46</v>
      </c>
      <c r="E48" s="54" t="s">
        <v>47</v>
      </c>
      <c r="F48" s="54" t="s">
        <v>48</v>
      </c>
      <c r="G48" s="54" t="s">
        <v>49</v>
      </c>
      <c r="H48" s="32"/>
      <c r="I48" s="33"/>
      <c r="J48" s="52"/>
      <c r="K48" s="31"/>
    </row>
    <row r="49" spans="1:35" x14ac:dyDescent="0.3">
      <c r="A49" s="28"/>
      <c r="B49" s="50" t="str">
        <f>B25</f>
        <v>-For roadside drain</v>
      </c>
      <c r="C49" s="29">
        <f>(TRUNC(((0.6-0.1)/0.15),0)+1)+(TRUNC(((0.45-0.1)/0.15),0)*2)+2</f>
        <v>10</v>
      </c>
      <c r="D49" s="30">
        <f>SUM(M!D34:D41)-0.1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3">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3">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3">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3">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3">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3">
      <c r="A55" s="28"/>
      <c r="B55" s="34" t="s">
        <v>41</v>
      </c>
      <c r="C55" s="29"/>
      <c r="D55" s="30"/>
      <c r="E55" s="31"/>
      <c r="F55" s="31"/>
      <c r="G55" s="55">
        <f>0*SUM(G49:G54)</f>
        <v>0</v>
      </c>
      <c r="H55" s="32" t="s">
        <v>45</v>
      </c>
      <c r="I55" s="53">
        <v>122648</v>
      </c>
      <c r="J55" s="39">
        <f>G55*I55</f>
        <v>0</v>
      </c>
      <c r="K55" s="31"/>
    </row>
    <row r="56" spans="1:35" hidden="1" x14ac:dyDescent="0.3">
      <c r="A56" s="28"/>
      <c r="B56" s="34" t="s">
        <v>37</v>
      </c>
      <c r="C56" s="29"/>
      <c r="D56" s="30"/>
      <c r="E56" s="31"/>
      <c r="F56" s="31"/>
      <c r="G56" s="33"/>
      <c r="H56" s="32"/>
      <c r="I56" s="33"/>
      <c r="J56" s="52">
        <f>0.13*G55*(109748)</f>
        <v>0</v>
      </c>
      <c r="K56" s="31"/>
    </row>
    <row r="57" spans="1:35" x14ac:dyDescent="0.3">
      <c r="A57" s="28"/>
      <c r="B57" s="34"/>
      <c r="C57" s="29"/>
      <c r="D57" s="30"/>
      <c r="E57" s="31"/>
      <c r="F57" s="31"/>
      <c r="G57" s="33"/>
      <c r="H57" s="32"/>
      <c r="I57" s="33"/>
      <c r="J57" s="52"/>
      <c r="K57" s="31"/>
    </row>
    <row r="58" spans="1:35" x14ac:dyDescent="0.3">
      <c r="A58" s="43">
        <v>6</v>
      </c>
      <c r="B58" s="41" t="s">
        <v>35</v>
      </c>
      <c r="C58" s="29">
        <v>1</v>
      </c>
      <c r="D58" s="30"/>
      <c r="E58" s="31"/>
      <c r="F58" s="31"/>
      <c r="G58" s="39">
        <f>PRODUCT(C58:F58)</f>
        <v>1</v>
      </c>
      <c r="H58" s="32" t="s">
        <v>36</v>
      </c>
      <c r="I58" s="33">
        <v>500</v>
      </c>
      <c r="J58" s="8">
        <f>G58*I58</f>
        <v>500</v>
      </c>
      <c r="K58" s="31"/>
    </row>
    <row r="59" spans="1:35" x14ac:dyDescent="0.3">
      <c r="A59" s="10"/>
      <c r="B59" s="27"/>
      <c r="C59" s="9"/>
      <c r="D59" s="7"/>
      <c r="E59" s="7"/>
      <c r="F59" s="7"/>
      <c r="G59" s="8"/>
      <c r="H59" s="8"/>
      <c r="I59" s="8"/>
      <c r="J59" s="8"/>
      <c r="K59" s="4"/>
      <c r="M59" s="44"/>
    </row>
    <row r="60" spans="1:35" x14ac:dyDescent="0.3">
      <c r="A60" s="10"/>
      <c r="B60" s="27" t="s">
        <v>17</v>
      </c>
      <c r="C60" s="9"/>
      <c r="D60" s="7"/>
      <c r="E60" s="7"/>
      <c r="F60" s="7"/>
      <c r="G60" s="8"/>
      <c r="H60" s="8"/>
      <c r="I60" s="8"/>
      <c r="J60" s="8">
        <f>SUM(J9:J59)</f>
        <v>152476.70512129119</v>
      </c>
      <c r="K60" s="4"/>
      <c r="M60" s="44"/>
    </row>
    <row r="61" spans="1:35" x14ac:dyDescent="0.3">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hidden="1" x14ac:dyDescent="0.3">
      <c r="B62" s="17" t="s">
        <v>32</v>
      </c>
      <c r="C62" s="101">
        <f>J60</f>
        <v>152476.70512129119</v>
      </c>
      <c r="D62" s="102"/>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hidden="1" x14ac:dyDescent="0.3">
      <c r="B63" s="17" t="s">
        <v>27</v>
      </c>
      <c r="C63" s="105">
        <v>210000</v>
      </c>
      <c r="D63" s="106"/>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hidden="1" x14ac:dyDescent="0.3">
      <c r="B64" s="17" t="s">
        <v>28</v>
      </c>
      <c r="C64" s="105">
        <f>C63-C66-C67</f>
        <v>199500</v>
      </c>
      <c r="D64" s="106"/>
      <c r="E64" s="15">
        <f>C64/C62*100</f>
        <v>130.83965832112062</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hidden="1" x14ac:dyDescent="0.3">
      <c r="B65" s="17" t="s">
        <v>29</v>
      </c>
      <c r="C65" s="107">
        <f>C62-C64</f>
        <v>-47023.29487870881</v>
      </c>
      <c r="D65" s="107"/>
      <c r="E65" s="15">
        <f>100-E64</f>
        <v>-30.839658321120623</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hidden="1" x14ac:dyDescent="0.3">
      <c r="B66" s="17" t="s">
        <v>30</v>
      </c>
      <c r="C66" s="101">
        <f>C63*0.03</f>
        <v>6300</v>
      </c>
      <c r="D66" s="102"/>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hidden="1" x14ac:dyDescent="0.3">
      <c r="B67" s="17" t="s">
        <v>31</v>
      </c>
      <c r="C67" s="101">
        <f>C63*0.02</f>
        <v>4200</v>
      </c>
      <c r="D67" s="102"/>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C66:D66"/>
    <mergeCell ref="C67:D67"/>
    <mergeCell ref="A7:F7"/>
    <mergeCell ref="H7:K7"/>
    <mergeCell ref="C62:D62"/>
    <mergeCell ref="C63:D63"/>
    <mergeCell ref="C64:D64"/>
    <mergeCell ref="C65:D65"/>
    <mergeCell ref="A6:G6"/>
    <mergeCell ref="H6:K6"/>
    <mergeCell ref="A1:K1"/>
    <mergeCell ref="A2:K2"/>
    <mergeCell ref="A3:K3"/>
    <mergeCell ref="A4:K4"/>
    <mergeCell ref="A5:K5"/>
  </mergeCells>
  <printOptions horizontalCentered="1"/>
  <pageMargins left="0.7" right="0.7" top="0.75" bottom="0.75" header="0.3" footer="0.3"/>
  <pageSetup paperSize="9"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new</vt:lpstr>
      <vt:lpstr>WCR</vt:lpstr>
      <vt:lpstr>V</vt:lpstr>
      <vt:lpstr>Sheet1</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2024-09-08T17:44:53Z</dcterms:modified>
</cp:coreProperties>
</file>