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estimates\बेनडोल सडक नयाँबस्ती\"/>
    </mc:Choice>
  </mc:AlternateContent>
  <bookViews>
    <workbookView xWindow="-120" yWindow="-120" windowWidth="20736" windowHeight="11160" activeTab="2"/>
  </bookViews>
  <sheets>
    <sheet name="bendol estimate" sheetId="17" r:id="rId1"/>
    <sheet name="WCR" sheetId="6" r:id="rId2"/>
    <sheet name="V" sheetId="19" r:id="rId3"/>
    <sheet name="re-estimate" sheetId="18" state="hidden"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'bendol estimate'!$A$1:$K$39</definedName>
    <definedName name="_xlnm.Print_Area" localSheetId="3">'re-estimate'!$A$1:$K$39</definedName>
    <definedName name="_xlnm.Print_Area" localSheetId="2">V!$A$1:$K$61</definedName>
    <definedName name="_xlnm.Print_Titles" localSheetId="0">'bendol estimate'!$1:$8</definedName>
    <definedName name="_xlnm.Print_Titles" localSheetId="3">'re-estimate'!$1:$8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5" i="19" l="1"/>
  <c r="Q26" i="19"/>
  <c r="Q27" i="19"/>
  <c r="Q28" i="19"/>
  <c r="Q29" i="19"/>
  <c r="Q30" i="19"/>
  <c r="Q31" i="19"/>
  <c r="Q32" i="19"/>
  <c r="Q33" i="19"/>
  <c r="Q24" i="19"/>
  <c r="P33" i="19"/>
  <c r="O33" i="19"/>
  <c r="P32" i="19"/>
  <c r="O32" i="19"/>
  <c r="P31" i="19"/>
  <c r="O31" i="19"/>
  <c r="P30" i="19"/>
  <c r="O30" i="19"/>
  <c r="O29" i="19"/>
  <c r="P29" i="19" s="1"/>
  <c r="P28" i="19"/>
  <c r="O28" i="19"/>
  <c r="O27" i="19"/>
  <c r="P27" i="19" s="1"/>
  <c r="P26" i="19"/>
  <c r="O26" i="19"/>
  <c r="P24" i="19"/>
  <c r="O24" i="19"/>
  <c r="P25" i="19"/>
  <c r="O25" i="19"/>
  <c r="G11" i="19" l="1"/>
  <c r="G25" i="19"/>
  <c r="G35" i="19"/>
  <c r="G49" i="19"/>
  <c r="G22" i="6" s="1"/>
  <c r="E16" i="6"/>
  <c r="A9" i="6"/>
  <c r="A8" i="6"/>
  <c r="H25" i="6"/>
  <c r="G25" i="6"/>
  <c r="E25" i="6"/>
  <c r="D25" i="6"/>
  <c r="C25" i="6"/>
  <c r="B25" i="6"/>
  <c r="A25" i="6"/>
  <c r="H22" i="6"/>
  <c r="F23" i="6"/>
  <c r="E22" i="6"/>
  <c r="D22" i="6"/>
  <c r="C22" i="6"/>
  <c r="B23" i="6"/>
  <c r="B22" i="6"/>
  <c r="A22" i="6"/>
  <c r="H19" i="6"/>
  <c r="F20" i="6"/>
  <c r="E19" i="6"/>
  <c r="F19" i="6" s="1"/>
  <c r="D19" i="6"/>
  <c r="C19" i="6"/>
  <c r="B20" i="6"/>
  <c r="B19" i="6"/>
  <c r="A19" i="6"/>
  <c r="H16" i="6"/>
  <c r="G16" i="6"/>
  <c r="F17" i="6"/>
  <c r="D16" i="6"/>
  <c r="C16" i="6"/>
  <c r="B17" i="6"/>
  <c r="B16" i="6"/>
  <c r="A16" i="6"/>
  <c r="H13" i="6"/>
  <c r="G13" i="6"/>
  <c r="F14" i="6"/>
  <c r="E13" i="6"/>
  <c r="D13" i="6"/>
  <c r="C13" i="6"/>
  <c r="B14" i="6"/>
  <c r="B13" i="6"/>
  <c r="A13" i="6"/>
  <c r="F40" i="19"/>
  <c r="F41" i="19"/>
  <c r="F42" i="19"/>
  <c r="F43" i="19"/>
  <c r="F44" i="19"/>
  <c r="F45" i="19"/>
  <c r="F46" i="19"/>
  <c r="F47" i="19"/>
  <c r="F48" i="19"/>
  <c r="F39" i="19"/>
  <c r="E10" i="19"/>
  <c r="D10" i="19"/>
  <c r="P15" i="19"/>
  <c r="B48" i="19"/>
  <c r="C48" i="19"/>
  <c r="D48" i="19"/>
  <c r="B40" i="19"/>
  <c r="C40" i="19"/>
  <c r="D40" i="19"/>
  <c r="B41" i="19"/>
  <c r="C41" i="19"/>
  <c r="D41" i="19"/>
  <c r="B42" i="19"/>
  <c r="C42" i="19"/>
  <c r="D42" i="19"/>
  <c r="B43" i="19"/>
  <c r="C43" i="19"/>
  <c r="D43" i="19"/>
  <c r="B44" i="19"/>
  <c r="C44" i="19"/>
  <c r="D44" i="19"/>
  <c r="B45" i="19"/>
  <c r="C45" i="19"/>
  <c r="D45" i="19"/>
  <c r="B46" i="19"/>
  <c r="C46" i="19"/>
  <c r="D46" i="19"/>
  <c r="B47" i="19"/>
  <c r="C47" i="19"/>
  <c r="D47" i="19"/>
  <c r="D39" i="19"/>
  <c r="C39" i="19"/>
  <c r="B39" i="19"/>
  <c r="E31" i="19"/>
  <c r="E32" i="19"/>
  <c r="E33" i="19"/>
  <c r="E34" i="19"/>
  <c r="E30" i="19"/>
  <c r="E29" i="19"/>
  <c r="D34" i="19"/>
  <c r="D33" i="19"/>
  <c r="D32" i="19"/>
  <c r="D31" i="19"/>
  <c r="F31" i="19" s="1"/>
  <c r="G31" i="19" s="1"/>
  <c r="D30" i="19"/>
  <c r="D29" i="19"/>
  <c r="P12" i="19"/>
  <c r="P13" i="19"/>
  <c r="P14" i="19"/>
  <c r="P16" i="19"/>
  <c r="P17" i="19"/>
  <c r="P18" i="19"/>
  <c r="P19" i="19"/>
  <c r="P20" i="19"/>
  <c r="P21" i="19"/>
  <c r="O11" i="19"/>
  <c r="P11" i="19" s="1"/>
  <c r="C61" i="19"/>
  <c r="C60" i="19"/>
  <c r="C58" i="19" s="1"/>
  <c r="G52" i="19"/>
  <c r="J52" i="19" s="1"/>
  <c r="I22" i="6" l="1"/>
  <c r="F22" i="6"/>
  <c r="I16" i="6"/>
  <c r="F16" i="6"/>
  <c r="Q15" i="19"/>
  <c r="E18" i="19" s="1"/>
  <c r="F29" i="19"/>
  <c r="G29" i="19" s="1"/>
  <c r="F33" i="19"/>
  <c r="G33" i="19" s="1"/>
  <c r="F34" i="19"/>
  <c r="G34" i="19" s="1"/>
  <c r="F30" i="19"/>
  <c r="G30" i="19" s="1"/>
  <c r="F32" i="19"/>
  <c r="G32" i="19" s="1"/>
  <c r="G10" i="19"/>
  <c r="J11" i="19" s="1"/>
  <c r="Q20" i="19"/>
  <c r="E23" i="19" s="1"/>
  <c r="Q14" i="19"/>
  <c r="E17" i="19" s="1"/>
  <c r="Q17" i="19"/>
  <c r="E20" i="19" s="1"/>
  <c r="Q19" i="19"/>
  <c r="E22" i="19" s="1"/>
  <c r="Q18" i="19"/>
  <c r="E21" i="19" s="1"/>
  <c r="Q16" i="19"/>
  <c r="E19" i="19" s="1"/>
  <c r="Q21" i="19"/>
  <c r="E24" i="19" s="1"/>
  <c r="Q13" i="19"/>
  <c r="E16" i="19" s="1"/>
  <c r="Q12" i="19"/>
  <c r="E15" i="19" s="1"/>
  <c r="E10" i="18"/>
  <c r="C39" i="18"/>
  <c r="C36" i="18" s="1"/>
  <c r="C38" i="18"/>
  <c r="J30" i="18"/>
  <c r="G30" i="18"/>
  <c r="C26" i="18"/>
  <c r="E21" i="18"/>
  <c r="E20" i="18"/>
  <c r="D15" i="18"/>
  <c r="D21" i="18" s="1"/>
  <c r="C20" i="18" s="1"/>
  <c r="C15" i="18"/>
  <c r="B15" i="18"/>
  <c r="B26" i="18" s="1"/>
  <c r="G10" i="18"/>
  <c r="G11" i="18" s="1"/>
  <c r="J22" i="6" l="1"/>
  <c r="J16" i="6"/>
  <c r="G19" i="6"/>
  <c r="I19" i="6" s="1"/>
  <c r="J19" i="6" s="1"/>
  <c r="G24" i="19"/>
  <c r="E48" i="19"/>
  <c r="G48" i="19" s="1"/>
  <c r="G15" i="19"/>
  <c r="E39" i="19"/>
  <c r="G39" i="19" s="1"/>
  <c r="G23" i="19"/>
  <c r="E47" i="19"/>
  <c r="G47" i="19" s="1"/>
  <c r="G18" i="19"/>
  <c r="E42" i="19"/>
  <c r="G42" i="19" s="1"/>
  <c r="G22" i="19"/>
  <c r="E46" i="19"/>
  <c r="G46" i="19" s="1"/>
  <c r="G17" i="19"/>
  <c r="E41" i="19"/>
  <c r="G41" i="19" s="1"/>
  <c r="G16" i="19"/>
  <c r="E40" i="19"/>
  <c r="G40" i="19" s="1"/>
  <c r="G19" i="19"/>
  <c r="E43" i="19"/>
  <c r="G43" i="19" s="1"/>
  <c r="G21" i="19"/>
  <c r="E45" i="19"/>
  <c r="G45" i="19" s="1"/>
  <c r="G20" i="19"/>
  <c r="E44" i="19"/>
  <c r="G44" i="19" s="1"/>
  <c r="J12" i="19"/>
  <c r="I14" i="6" s="1"/>
  <c r="J14" i="6" s="1"/>
  <c r="D26" i="18"/>
  <c r="J11" i="18"/>
  <c r="J12" i="18"/>
  <c r="B20" i="18"/>
  <c r="E15" i="18"/>
  <c r="E20" i="17"/>
  <c r="D15" i="17"/>
  <c r="D21" i="17" s="1"/>
  <c r="E10" i="17"/>
  <c r="J26" i="19" l="1"/>
  <c r="I17" i="6" s="1"/>
  <c r="J17" i="6" s="1"/>
  <c r="J35" i="19"/>
  <c r="J36" i="19"/>
  <c r="I20" i="6" s="1"/>
  <c r="J20" i="6" s="1"/>
  <c r="E26" i="18"/>
  <c r="G26" i="18" s="1"/>
  <c r="G27" i="18" s="1"/>
  <c r="D20" i="18"/>
  <c r="G15" i="18"/>
  <c r="G16" i="18" s="1"/>
  <c r="E21" i="17"/>
  <c r="J25" i="19" l="1"/>
  <c r="J50" i="19"/>
  <c r="I23" i="6" s="1"/>
  <c r="J23" i="6" s="1"/>
  <c r="J49" i="19"/>
  <c r="C21" i="18"/>
  <c r="F21" i="18" s="1"/>
  <c r="G21" i="18" s="1"/>
  <c r="F20" i="18"/>
  <c r="G20" i="18" s="1"/>
  <c r="J16" i="18"/>
  <c r="J17" i="18"/>
  <c r="J28" i="18"/>
  <c r="J27" i="18"/>
  <c r="E15" i="17"/>
  <c r="J54" i="19" l="1"/>
  <c r="C56" i="19" s="1"/>
  <c r="C59" i="19" s="1"/>
  <c r="G22" i="18"/>
  <c r="D20" i="17"/>
  <c r="C21" i="17" s="1"/>
  <c r="C20" i="17"/>
  <c r="F20" i="17" s="1"/>
  <c r="G20" i="17" s="1"/>
  <c r="G10" i="17"/>
  <c r="E26" i="17"/>
  <c r="E58" i="19" l="1"/>
  <c r="E59" i="19" s="1"/>
  <c r="J23" i="18"/>
  <c r="J22" i="18"/>
  <c r="F21" i="17"/>
  <c r="G21" i="17" s="1"/>
  <c r="G22" i="17" s="1"/>
  <c r="J23" i="17" s="1"/>
  <c r="D26" i="17"/>
  <c r="J32" i="18" l="1"/>
  <c r="C34" i="18" s="1"/>
  <c r="J22" i="17"/>
  <c r="C37" i="18" l="1"/>
  <c r="E36" i="18"/>
  <c r="E37" i="18" s="1"/>
  <c r="C39" i="17"/>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I25" i="6" l="1"/>
  <c r="F25" i="6"/>
  <c r="J25" i="6" l="1"/>
  <c r="I13" i="6"/>
  <c r="I27" i="6" s="1"/>
  <c r="F13" i="6" l="1"/>
  <c r="J13" i="6" s="1"/>
  <c r="F27" i="6" l="1"/>
  <c r="J6" i="6" l="1"/>
  <c r="J27" i="6" l="1"/>
  <c r="C6" i="6" l="1"/>
</calcChain>
</file>

<file path=xl/sharedStrings.xml><?xml version="1.0" encoding="utf-8"?>
<sst xmlns="http://schemas.openxmlformats.org/spreadsheetml/2006/main" count="208" uniqueCount="83">
  <si>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</si>
  <si>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</si>
  <si>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</si>
  <si>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</si>
  <si>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</si>
  <si>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</si>
  <si>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</si>
  <si>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</si>
  <si>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</si>
  <si>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</si>
  <si>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</si>
  <si>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</si>
  <si>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</si>
  <si>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</si>
  <si>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</si>
  <si>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</si>
  <si>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</si>
  <si>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</si>
  <si>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</si>
  <si>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</si>
  <si>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</si>
  <si>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</si>
  <si>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</si>
  <si>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</si>
  <si>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</si>
  <si>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</si>
  <si>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</si>
  <si>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</si>
  <si>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</si>
  <si>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</si>
  <si>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</si>
  <si>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</si>
  <si>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</si>
  <si>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</si>
  <si>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</si>
  <si>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</si>
  <si>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</si>
  <si>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</si>
  <si>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</si>
  <si>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</si>
  <si>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</si>
  <si>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</si>
  <si>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</si>
  <si>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</si>
  <si>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</si>
  <si>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</si>
  <si>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</si>
  <si>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</si>
  <si>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</si>
  <si>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</si>
  <si>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</si>
  <si>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</si>
  <si>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</si>
  <si>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</si>
  <si>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</si>
  <si>
    <t>Chainage 0+002 to 0+004</t>
  </si>
  <si>
    <t>Chainage 0+000 to 0+002</t>
  </si>
  <si>
    <t>Chainage 0+004 to 0+006</t>
  </si>
  <si>
    <t>Chainage 0+006 to 0+008</t>
  </si>
  <si>
    <t>Chainage 0+008 to 0+010</t>
  </si>
  <si>
    <t>Chainage 0+010 to 0+012</t>
  </si>
  <si>
    <t>Chainage 0+012 to 0+014</t>
  </si>
  <si>
    <t>Chainage 0+014 to 0+016</t>
  </si>
  <si>
    <t>Chainage 0+016 to 0+018</t>
  </si>
  <si>
    <t>Chainage 0+018 to 0+020.2</t>
  </si>
  <si>
    <t>MT</t>
  </si>
  <si>
    <t xml:space="preserve">F.Y:2081/82                </t>
  </si>
  <si>
    <t xml:space="preserve">Date:2081/08/03       </t>
  </si>
  <si>
    <t>Total Valuated</t>
  </si>
  <si>
    <t>Detail Valuated Sheet</t>
  </si>
  <si>
    <t>VAT</t>
  </si>
  <si>
    <t>JCB</t>
  </si>
  <si>
    <t>Stone</t>
  </si>
  <si>
    <t>Total Amount with VAT</t>
  </si>
  <si>
    <t>Amount Without VAT</t>
  </si>
  <si>
    <t>Rod</t>
  </si>
  <si>
    <t>Binding wire</t>
  </si>
  <si>
    <t>Cement</t>
  </si>
  <si>
    <t>Coarse sand</t>
  </si>
  <si>
    <t xml:space="preserve">Aggregate 20mm </t>
  </si>
  <si>
    <t xml:space="preserve">Aggregate 10mm </t>
  </si>
  <si>
    <t>water</t>
  </si>
  <si>
    <t>formworks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</si>
</sst>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2" fontId="0" fillId="0" borderId="0" xfId="0" applyNumberFormat="1"/>
    <xf numFmtId="2" fontId="0" fillId="0" borderId="0" xfId="0" applyNumberFormat="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2" fillId="0" borderId="1"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5" zoomScaleNormal="100" workbookViewId="0">
      <selection activeCell="H23" sqref="H23"/>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4</v>
      </c>
      <c r="B5" s="78"/>
      <c r="C5" s="78"/>
      <c r="D5" s="78"/>
      <c r="E5" s="78"/>
      <c r="F5" s="78"/>
      <c r="G5" s="78"/>
      <c r="H5" s="78"/>
      <c r="I5" s="78"/>
      <c r="J5" s="78"/>
      <c r="K5" s="78"/>
    </row>
    <row r="6" spans="1:19" ht="15.6" x14ac:dyDescent="0.3">
      <c r="A6" s="73" t="s">
        <v>53</v>
      </c>
      <c r="B6" s="73"/>
      <c r="C6" s="73"/>
      <c r="D6" s="73"/>
      <c r="E6" s="73"/>
      <c r="F6" s="73"/>
      <c r="G6" s="2"/>
      <c r="H6" s="74" t="s">
        <v>47</v>
      </c>
      <c r="I6" s="74"/>
      <c r="J6" s="74"/>
      <c r="K6" s="74"/>
    </row>
    <row r="7" spans="1:19" ht="15.6" x14ac:dyDescent="0.3">
      <c r="A7" s="70" t="s">
        <v>28</v>
      </c>
      <c r="B7" s="70"/>
      <c r="C7" s="70"/>
      <c r="D7" s="70"/>
      <c r="E7" s="70"/>
      <c r="F7" s="70"/>
      <c r="G7" s="3"/>
      <c r="H7" s="71" t="s">
        <v>54</v>
      </c>
      <c r="I7" s="71"/>
      <c r="J7" s="71"/>
      <c r="K7" s="71"/>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v>18.399999999999999</v>
      </c>
      <c r="E10" s="39">
        <f>14/3.281</f>
        <v>4.2669917708015843</v>
      </c>
      <c r="F10" s="39">
        <v>0.15</v>
      </c>
      <c r="G10" s="40">
        <f>PRODUCT(C10:F10)</f>
        <v>11.776897287412373</v>
      </c>
      <c r="H10" s="41"/>
      <c r="I10" s="41"/>
      <c r="J10" s="41"/>
      <c r="K10" s="22"/>
      <c r="M10" s="26"/>
      <c r="N10" s="1"/>
      <c r="O10" s="1"/>
      <c r="P10" s="1"/>
      <c r="Q10" s="1"/>
      <c r="R10" s="26"/>
      <c r="S10" s="26"/>
    </row>
    <row r="11" spans="1:19" ht="15" customHeight="1" x14ac:dyDescent="0.3">
      <c r="A11" s="19"/>
      <c r="B11" s="38" t="s">
        <v>40</v>
      </c>
      <c r="C11" s="20"/>
      <c r="D11" s="21"/>
      <c r="E11" s="22"/>
      <c r="F11" s="22"/>
      <c r="G11" s="24">
        <f>SUM(G10:G10)</f>
        <v>11.776897287412373</v>
      </c>
      <c r="H11" s="23" t="s">
        <v>39</v>
      </c>
      <c r="I11" s="24">
        <v>64.63</v>
      </c>
      <c r="J11" s="42">
        <f>G11*I11</f>
        <v>761.14087168546166</v>
      </c>
      <c r="K11" s="22"/>
      <c r="M11" s="26"/>
      <c r="N11" s="1"/>
      <c r="O11" s="1"/>
      <c r="P11" s="1"/>
      <c r="Q11" s="1"/>
      <c r="R11" s="26"/>
      <c r="S11" s="26"/>
    </row>
    <row r="12" spans="1:19" ht="15" customHeight="1" x14ac:dyDescent="0.3">
      <c r="A12" s="19"/>
      <c r="B12" s="38" t="s">
        <v>38</v>
      </c>
      <c r="C12" s="20"/>
      <c r="D12" s="21"/>
      <c r="E12" s="22"/>
      <c r="F12" s="22"/>
      <c r="G12" s="24"/>
      <c r="H12" s="23"/>
      <c r="I12" s="24"/>
      <c r="J12" s="42">
        <f>0.13*G11*19284/360</f>
        <v>82.010387077110636</v>
      </c>
      <c r="K12" s="22"/>
      <c r="M12" s="26"/>
      <c r="N12" s="1"/>
      <c r="O12" s="1"/>
      <c r="P12" s="1"/>
      <c r="Q12" s="1"/>
      <c r="R12" s="26"/>
      <c r="S12" s="26"/>
    </row>
    <row r="13" spans="1:19" ht="15" customHeight="1" x14ac:dyDescent="0.3">
      <c r="A13" s="19"/>
      <c r="B13" s="38"/>
      <c r="C13" s="20"/>
      <c r="D13" s="21"/>
      <c r="E13" s="22"/>
      <c r="F13" s="22"/>
      <c r="G13" s="24"/>
      <c r="H13" s="23"/>
      <c r="I13" s="24"/>
      <c r="J13" s="42"/>
      <c r="K13" s="22"/>
      <c r="M13" s="26"/>
      <c r="N13" s="1"/>
      <c r="O13" s="1"/>
      <c r="P13" s="1"/>
      <c r="Q13" s="1"/>
      <c r="R13" s="26"/>
      <c r="S13" s="26"/>
    </row>
    <row r="14" spans="1:19" ht="82.8" x14ac:dyDescent="0.3">
      <c r="A14" s="19">
        <v>2</v>
      </c>
      <c r="B14" s="31" t="s">
        <v>43</v>
      </c>
      <c r="C14" s="20"/>
      <c r="D14" s="21"/>
      <c r="E14" s="22"/>
      <c r="F14" s="22"/>
      <c r="G14" s="24"/>
      <c r="H14" s="23"/>
      <c r="I14" s="24"/>
      <c r="J14" s="42"/>
      <c r="K14" s="22"/>
      <c r="M14" s="26"/>
      <c r="N14" s="1"/>
      <c r="O14" s="1"/>
      <c r="P14" s="1"/>
      <c r="Q14" s="1"/>
      <c r="R14" s="26"/>
      <c r="S14" s="26"/>
    </row>
    <row r="15" spans="1:19" ht="15" customHeight="1" x14ac:dyDescent="0.3">
      <c r="A15" s="19"/>
      <c r="B15" s="38" t="str">
        <f>B10</f>
        <v>-Road</v>
      </c>
      <c r="C15" s="37">
        <f>C10</f>
        <v>1</v>
      </c>
      <c r="D15" s="39">
        <f>D10</f>
        <v>18.399999999999999</v>
      </c>
      <c r="E15" s="39">
        <f>E10</f>
        <v>4.2669917708015843</v>
      </c>
      <c r="F15" s="39">
        <v>0.15</v>
      </c>
      <c r="G15" s="40">
        <f>PRODUCT(C15:F15)</f>
        <v>11.776897287412373</v>
      </c>
      <c r="H15" s="41"/>
      <c r="I15" s="41"/>
      <c r="J15" s="41"/>
      <c r="K15" s="22"/>
      <c r="M15" s="26"/>
      <c r="N15" s="1"/>
      <c r="O15" s="1"/>
      <c r="P15" s="1"/>
      <c r="Q15" s="1"/>
      <c r="R15" s="26"/>
      <c r="S15" s="26"/>
    </row>
    <row r="16" spans="1:19" ht="15" customHeight="1" x14ac:dyDescent="0.3">
      <c r="A16" s="41"/>
      <c r="B16" s="38" t="s">
        <v>40</v>
      </c>
      <c r="C16" s="43"/>
      <c r="D16" s="44"/>
      <c r="E16" s="44"/>
      <c r="F16" s="44"/>
      <c r="G16" s="34">
        <f>SUM(G15:G15)</f>
        <v>11.776897287412373</v>
      </c>
      <c r="H16" s="34" t="s">
        <v>39</v>
      </c>
      <c r="I16" s="34">
        <v>4561.53</v>
      </c>
      <c r="J16" s="45">
        <f>G16*I16</f>
        <v>53720.670283450156</v>
      </c>
      <c r="K16" s="37"/>
    </row>
    <row r="17" spans="1:19" x14ac:dyDescent="0.3">
      <c r="A17" s="41"/>
      <c r="B17" s="38" t="s">
        <v>38</v>
      </c>
      <c r="C17" s="43"/>
      <c r="D17" s="44"/>
      <c r="E17" s="44"/>
      <c r="F17" s="44"/>
      <c r="G17" s="44"/>
      <c r="H17" s="44"/>
      <c r="I17" s="44"/>
      <c r="J17" s="46">
        <f>0.13*G16*(15452.6/5)</f>
        <v>4731.575758610179</v>
      </c>
      <c r="K17" s="37"/>
    </row>
    <row r="18" spans="1:19" x14ac:dyDescent="0.3">
      <c r="A18" s="41"/>
      <c r="B18" s="38"/>
      <c r="C18" s="43"/>
      <c r="D18" s="44"/>
      <c r="E18" s="44"/>
      <c r="F18" s="44"/>
      <c r="G18" s="44"/>
      <c r="H18" s="44"/>
      <c r="I18" s="44"/>
      <c r="J18" s="46"/>
      <c r="K18" s="37"/>
    </row>
    <row r="19" spans="1:19" s="1" customFormat="1" ht="69" x14ac:dyDescent="0.3">
      <c r="A19" s="64">
        <v>3</v>
      </c>
      <c r="B19" s="31" t="s">
        <v>42</v>
      </c>
      <c r="C19" s="65" t="s">
        <v>7</v>
      </c>
      <c r="D19" s="66" t="s">
        <v>45</v>
      </c>
      <c r="E19" s="66" t="s">
        <v>51</v>
      </c>
      <c r="F19" s="66" t="s">
        <v>52</v>
      </c>
      <c r="G19" s="40"/>
      <c r="H19" s="40"/>
      <c r="I19" s="40"/>
      <c r="J19" s="46"/>
      <c r="K19" s="30"/>
    </row>
    <row r="20" spans="1:19" ht="15" customHeight="1" x14ac:dyDescent="0.3">
      <c r="A20" s="41"/>
      <c r="B20" s="38" t="str">
        <f>B15</f>
        <v>-Road</v>
      </c>
      <c r="C20" s="43">
        <f>TRUNC(D21/0.15,0)</f>
        <v>120</v>
      </c>
      <c r="D20" s="44">
        <f>E15-0.1</f>
        <v>4.1669917708015847</v>
      </c>
      <c r="E20" s="44">
        <f>10*10/162</f>
        <v>0.61728395061728392</v>
      </c>
      <c r="F20" s="44">
        <f>PRODUCT(C20:E20)</f>
        <v>308.66605709641362</v>
      </c>
      <c r="G20" s="44">
        <f>F20/1000</f>
        <v>0.30866605709641365</v>
      </c>
      <c r="H20" s="44"/>
      <c r="I20" s="44"/>
      <c r="J20" s="46"/>
      <c r="K20" s="37"/>
    </row>
    <row r="21" spans="1:19" x14ac:dyDescent="0.3">
      <c r="A21" s="5"/>
      <c r="B21" s="5"/>
      <c r="C21" s="43">
        <f>TRUNC(D20/0.15,0)</f>
        <v>27</v>
      </c>
      <c r="D21" s="7">
        <f>D15-0.1*3</f>
        <v>18.099999999999998</v>
      </c>
      <c r="E21" s="44">
        <f>8*8/162</f>
        <v>0.39506172839506171</v>
      </c>
      <c r="F21" s="44">
        <f>PRODUCT(C21:E21)</f>
        <v>193.06666666666663</v>
      </c>
      <c r="G21" s="44">
        <f>F21/1000</f>
        <v>0.19306666666666664</v>
      </c>
      <c r="H21" s="5"/>
      <c r="I21" s="5"/>
      <c r="J21" s="5"/>
      <c r="K21" s="5"/>
      <c r="M21" s="67"/>
      <c r="N21" s="67"/>
    </row>
    <row r="22" spans="1:19" ht="15" customHeight="1" x14ac:dyDescent="0.3">
      <c r="A22" s="41"/>
      <c r="B22" s="38" t="s">
        <v>40</v>
      </c>
      <c r="C22" s="43"/>
      <c r="D22" s="44"/>
      <c r="E22" s="44"/>
      <c r="F22" s="44"/>
      <c r="G22" s="34">
        <f>SUM(G20:G21)</f>
        <v>0.50173272376308031</v>
      </c>
      <c r="H22" s="34" t="s">
        <v>65</v>
      </c>
      <c r="I22" s="34">
        <v>124140</v>
      </c>
      <c r="J22" s="45">
        <f>G22*I22</f>
        <v>62285.100327948792</v>
      </c>
      <c r="K22" s="37"/>
    </row>
    <row r="23" spans="1:19" ht="15" customHeight="1" x14ac:dyDescent="0.3">
      <c r="A23" s="41"/>
      <c r="B23" s="38" t="s">
        <v>38</v>
      </c>
      <c r="C23" s="43"/>
      <c r="D23" s="44"/>
      <c r="E23" s="44"/>
      <c r="F23" s="44"/>
      <c r="G23" s="44"/>
      <c r="H23" s="44"/>
      <c r="I23" s="44"/>
      <c r="J23" s="46">
        <f>0.13*G22*110960</f>
        <v>7237.3941937376821</v>
      </c>
      <c r="K23" s="37"/>
    </row>
    <row r="24" spans="1:19" x14ac:dyDescent="0.3">
      <c r="A24" s="5"/>
      <c r="B24" s="5"/>
      <c r="C24" s="5"/>
      <c r="D24" s="5"/>
      <c r="E24" s="5"/>
      <c r="F24" s="5"/>
      <c r="G24" s="5"/>
      <c r="H24" s="5"/>
      <c r="I24" s="5"/>
      <c r="J24" s="5"/>
      <c r="K24" s="5"/>
    </row>
    <row r="25" spans="1:19" s="1" customFormat="1" ht="69" x14ac:dyDescent="0.3">
      <c r="A25" s="64">
        <v>4</v>
      </c>
      <c r="B25" s="31" t="s">
        <v>44</v>
      </c>
      <c r="C25" s="65"/>
      <c r="D25" s="40"/>
      <c r="E25" s="40"/>
      <c r="F25" s="40"/>
      <c r="G25" s="40"/>
      <c r="H25" s="40"/>
      <c r="I25" s="40"/>
      <c r="J25" s="46"/>
      <c r="K25" s="30"/>
    </row>
    <row r="26" spans="1:19" x14ac:dyDescent="0.3">
      <c r="A26" s="41"/>
      <c r="B26" s="25" t="str">
        <f>B15</f>
        <v>-Road</v>
      </c>
      <c r="C26" s="43">
        <f>C15</f>
        <v>1</v>
      </c>
      <c r="D26" s="44">
        <f>D15</f>
        <v>18.399999999999999</v>
      </c>
      <c r="E26" s="44">
        <f>E15</f>
        <v>4.2669917708015843</v>
      </c>
      <c r="F26" s="44">
        <v>0.15</v>
      </c>
      <c r="G26" s="40">
        <f>PRODUCT(C26:F26)</f>
        <v>11.776897287412373</v>
      </c>
      <c r="H26" s="44"/>
      <c r="I26" s="44"/>
      <c r="J26" s="46"/>
      <c r="K26" s="37"/>
    </row>
    <row r="27" spans="1:19" ht="15" customHeight="1" x14ac:dyDescent="0.3">
      <c r="A27" s="41"/>
      <c r="B27" s="38" t="s">
        <v>40</v>
      </c>
      <c r="C27" s="43"/>
      <c r="D27" s="44"/>
      <c r="E27" s="44"/>
      <c r="F27" s="44"/>
      <c r="G27" s="34">
        <f>SUM(G26:G26)</f>
        <v>11.776897287412373</v>
      </c>
      <c r="H27" s="34" t="s">
        <v>39</v>
      </c>
      <c r="I27" s="34">
        <v>11588.17</v>
      </c>
      <c r="J27" s="45">
        <f>G27*I27</f>
        <v>136472.68783907345</v>
      </c>
      <c r="K27" s="37"/>
    </row>
    <row r="28" spans="1:19" ht="15" customHeight="1" x14ac:dyDescent="0.3">
      <c r="A28" s="41"/>
      <c r="B28" s="38" t="s">
        <v>38</v>
      </c>
      <c r="C28" s="43"/>
      <c r="D28" s="44"/>
      <c r="E28" s="44"/>
      <c r="F28" s="44"/>
      <c r="G28" s="44"/>
      <c r="H28" s="44"/>
      <c r="I28" s="44"/>
      <c r="J28" s="46">
        <f>0.13*G27*((128662.2+6685.5)/15)</f>
        <v>13814.458328558365</v>
      </c>
      <c r="K28" s="37"/>
    </row>
    <row r="29" spans="1:19" ht="15" customHeight="1" x14ac:dyDescent="0.3">
      <c r="A29" s="41"/>
      <c r="B29" s="38"/>
      <c r="C29" s="43"/>
      <c r="D29" s="44"/>
      <c r="E29" s="44"/>
      <c r="F29" s="44"/>
      <c r="G29" s="44"/>
      <c r="H29" s="44"/>
      <c r="I29" s="44"/>
      <c r="J29" s="46"/>
      <c r="K29" s="37"/>
    </row>
    <row r="30" spans="1:19" ht="15" customHeight="1" x14ac:dyDescent="0.3">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3">
      <c r="A31" s="19"/>
      <c r="B31" s="25"/>
      <c r="C31" s="20"/>
      <c r="D31" s="21"/>
      <c r="E31" s="22"/>
      <c r="F31" s="22"/>
      <c r="G31" s="24"/>
      <c r="H31" s="23"/>
      <c r="I31" s="24"/>
      <c r="J31" s="42"/>
      <c r="K31" s="22"/>
      <c r="M31" s="26"/>
      <c r="N31" s="1"/>
      <c r="O31" s="1"/>
      <c r="P31" s="1"/>
      <c r="Q31" s="1"/>
      <c r="R31" s="26"/>
      <c r="S31" s="26"/>
    </row>
    <row r="32" spans="1:19" x14ac:dyDescent="0.3">
      <c r="A32" s="41"/>
      <c r="B32" s="47" t="s">
        <v>17</v>
      </c>
      <c r="C32" s="48"/>
      <c r="D32" s="39"/>
      <c r="E32" s="39"/>
      <c r="F32" s="39"/>
      <c r="G32" s="42"/>
      <c r="H32" s="42"/>
      <c r="I32" s="42"/>
      <c r="J32" s="42">
        <f>SUM(J10:J30)</f>
        <v>280105.03799014119</v>
      </c>
      <c r="K32" s="37"/>
    </row>
    <row r="33" spans="1:11" x14ac:dyDescent="0.3">
      <c r="A33" s="59"/>
      <c r="B33" s="62"/>
      <c r="C33" s="63"/>
      <c r="D33" s="60"/>
      <c r="E33" s="60"/>
      <c r="F33" s="60"/>
      <c r="G33" s="61"/>
      <c r="H33" s="61"/>
      <c r="I33" s="61"/>
      <c r="J33" s="61"/>
      <c r="K33" s="58"/>
    </row>
    <row r="34" spans="1:11" s="1" customFormat="1" x14ac:dyDescent="0.3">
      <c r="A34" s="51"/>
      <c r="B34" s="30" t="s">
        <v>27</v>
      </c>
      <c r="C34" s="69">
        <f>J32</f>
        <v>280105.03799014119</v>
      </c>
      <c r="D34" s="69"/>
      <c r="E34" s="40">
        <v>100</v>
      </c>
      <c r="F34" s="52"/>
      <c r="G34" s="53"/>
      <c r="H34" s="52"/>
      <c r="I34" s="54"/>
      <c r="J34" s="55"/>
      <c r="K34" s="56"/>
    </row>
    <row r="35" spans="1:11" x14ac:dyDescent="0.3">
      <c r="A35" s="57"/>
      <c r="B35" s="30" t="s">
        <v>32</v>
      </c>
      <c r="C35" s="72">
        <v>250000</v>
      </c>
      <c r="D35" s="72"/>
      <c r="E35" s="40"/>
      <c r="F35" s="50"/>
      <c r="G35" s="49"/>
      <c r="H35" s="49"/>
      <c r="I35" s="49"/>
      <c r="J35" s="49"/>
      <c r="K35" s="50"/>
    </row>
    <row r="36" spans="1:11" x14ac:dyDescent="0.3">
      <c r="A36" s="57"/>
      <c r="B36" s="30" t="s">
        <v>33</v>
      </c>
      <c r="C36" s="72">
        <f>C35-C38-C39</f>
        <v>237500</v>
      </c>
      <c r="D36" s="72"/>
      <c r="E36" s="40">
        <f>C36/C34*100</f>
        <v>84.789620959391399</v>
      </c>
      <c r="F36" s="50"/>
      <c r="G36" s="49"/>
      <c r="H36" s="49"/>
      <c r="I36" s="49"/>
      <c r="J36" s="49"/>
      <c r="K36" s="50"/>
    </row>
    <row r="37" spans="1:11" x14ac:dyDescent="0.3">
      <c r="A37" s="57"/>
      <c r="B37" s="30" t="s">
        <v>34</v>
      </c>
      <c r="C37" s="69">
        <f>C34-C36</f>
        <v>42605.037990141194</v>
      </c>
      <c r="D37" s="69"/>
      <c r="E37" s="40">
        <f>100-E36</f>
        <v>15.210379040608601</v>
      </c>
      <c r="F37" s="50"/>
      <c r="G37" s="49"/>
      <c r="H37" s="49"/>
      <c r="I37" s="49"/>
      <c r="J37" s="49"/>
      <c r="K37" s="50"/>
    </row>
    <row r="38" spans="1:11" x14ac:dyDescent="0.3">
      <c r="A38" s="57"/>
      <c r="B38" s="30" t="s">
        <v>35</v>
      </c>
      <c r="C38" s="69">
        <f>C35*0.03</f>
        <v>7500</v>
      </c>
      <c r="D38" s="69"/>
      <c r="E38" s="40">
        <v>3</v>
      </c>
      <c r="F38" s="50"/>
      <c r="G38" s="49"/>
      <c r="H38" s="49"/>
      <c r="I38" s="49"/>
      <c r="J38" s="49"/>
      <c r="K38" s="50"/>
    </row>
    <row r="39" spans="1:11" x14ac:dyDescent="0.3">
      <c r="A39" s="57"/>
      <c r="B39" s="30" t="s">
        <v>36</v>
      </c>
      <c r="C39" s="69">
        <f>C35*0.02</f>
        <v>5000</v>
      </c>
      <c r="D39" s="69"/>
      <c r="E39" s="40">
        <v>2</v>
      </c>
      <c r="F39" s="50"/>
      <c r="G39" s="49"/>
      <c r="H39" s="49"/>
      <c r="I39" s="49"/>
      <c r="J39" s="49"/>
      <c r="K39" s="50"/>
    </row>
    <row r="40" spans="1:11" s="36" customFormat="1" x14ac:dyDescent="0.3">
      <c r="A40" s="58"/>
      <c r="B40" s="58"/>
      <c r="C40" s="58"/>
      <c r="D40" s="58"/>
      <c r="E40" s="58"/>
      <c r="F40" s="58"/>
      <c r="G40" s="58"/>
      <c r="H40" s="58"/>
      <c r="I40" s="58"/>
      <c r="J40" s="58"/>
      <c r="K40" s="58"/>
    </row>
    <row r="41" spans="1:11" s="36" customFormat="1" x14ac:dyDescent="0.3"/>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6" zoomScaleNormal="100" workbookViewId="0">
      <selection activeCell="E22" sqref="E22"/>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7" t="s">
        <v>0</v>
      </c>
      <c r="B1" s="87"/>
      <c r="C1" s="87"/>
      <c r="D1" s="87"/>
      <c r="E1" s="87"/>
      <c r="F1" s="87"/>
      <c r="G1" s="87"/>
      <c r="H1" s="87"/>
      <c r="I1" s="87"/>
      <c r="J1" s="87"/>
      <c r="K1" s="87"/>
    </row>
    <row r="2" spans="1:11" ht="24.6" x14ac:dyDescent="0.4">
      <c r="A2" s="88" t="s">
        <v>1</v>
      </c>
      <c r="B2" s="88"/>
      <c r="C2" s="88"/>
      <c r="D2" s="88"/>
      <c r="E2" s="88"/>
      <c r="F2" s="88"/>
      <c r="G2" s="88"/>
      <c r="H2" s="88"/>
      <c r="I2" s="88"/>
      <c r="J2" s="88"/>
      <c r="K2" s="88"/>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8" x14ac:dyDescent="0.35">
      <c r="A5" s="89" t="s">
        <v>18</v>
      </c>
      <c r="B5" s="89"/>
      <c r="C5" s="89"/>
      <c r="D5" s="89"/>
      <c r="E5" s="89"/>
      <c r="F5" s="89"/>
      <c r="G5" s="89"/>
      <c r="H5" s="89"/>
      <c r="I5" s="89"/>
      <c r="J5" s="89"/>
      <c r="K5" s="89"/>
    </row>
    <row r="6" spans="1:11" ht="18" x14ac:dyDescent="0.35">
      <c r="A6" s="9" t="s">
        <v>19</v>
      </c>
      <c r="B6" s="9"/>
      <c r="C6" s="85">
        <f>F27</f>
        <v>280105.03799014119</v>
      </c>
      <c r="D6" s="86"/>
      <c r="E6" s="10"/>
      <c r="F6" s="9"/>
      <c r="G6" s="9"/>
      <c r="H6" s="9" t="s">
        <v>20</v>
      </c>
      <c r="I6" s="9"/>
      <c r="J6" s="85">
        <f>I27</f>
        <v>280414.15294768009</v>
      </c>
      <c r="K6" s="86"/>
    </row>
    <row r="7" spans="1:11" x14ac:dyDescent="0.3">
      <c r="A7" s="27" t="s">
        <v>29</v>
      </c>
      <c r="B7" s="11"/>
      <c r="C7" s="11"/>
      <c r="D7" s="11"/>
      <c r="F7" s="81"/>
      <c r="G7" s="81"/>
      <c r="I7" s="82" t="s">
        <v>37</v>
      </c>
      <c r="J7" s="82"/>
      <c r="K7" s="82"/>
    </row>
    <row r="8" spans="1:11" ht="15.6" x14ac:dyDescent="0.3">
      <c r="A8" s="73" t="str">
        <f>'bendol estimate'!A6:F6</f>
        <v>Project:- बेनडोल सडक नयाँबस्ती</v>
      </c>
      <c r="B8" s="73"/>
      <c r="C8" s="73"/>
      <c r="D8" s="73"/>
      <c r="E8" s="73"/>
      <c r="F8" s="73"/>
      <c r="I8" s="83" t="s">
        <v>66</v>
      </c>
      <c r="J8" s="83"/>
      <c r="K8" s="83"/>
    </row>
    <row r="9" spans="1:11" ht="15.6" x14ac:dyDescent="0.3">
      <c r="A9" s="73" t="str">
        <f>'bendol estimate'!A7:F7</f>
        <v>Location:- Shankharapur Municipality 9</v>
      </c>
      <c r="B9" s="73"/>
      <c r="C9" s="73"/>
      <c r="D9" s="73"/>
      <c r="E9" s="73"/>
      <c r="F9" s="73"/>
      <c r="I9" s="83" t="s">
        <v>67</v>
      </c>
      <c r="J9" s="83"/>
      <c r="K9" s="83"/>
    </row>
    <row r="11" spans="1:11" x14ac:dyDescent="0.3">
      <c r="A11" s="79" t="s">
        <v>21</v>
      </c>
      <c r="B11" s="79" t="s">
        <v>22</v>
      </c>
      <c r="C11" s="79" t="s">
        <v>12</v>
      </c>
      <c r="D11" s="84" t="s">
        <v>23</v>
      </c>
      <c r="E11" s="84"/>
      <c r="F11" s="84"/>
      <c r="G11" s="84" t="s">
        <v>24</v>
      </c>
      <c r="H11" s="84"/>
      <c r="I11" s="84"/>
      <c r="J11" s="79" t="s">
        <v>25</v>
      </c>
      <c r="K11" s="80" t="s">
        <v>15</v>
      </c>
    </row>
    <row r="12" spans="1:11" x14ac:dyDescent="0.3">
      <c r="A12" s="79"/>
      <c r="B12" s="79"/>
      <c r="C12" s="79"/>
      <c r="D12" s="12" t="s">
        <v>26</v>
      </c>
      <c r="E12" s="12" t="s">
        <v>13</v>
      </c>
      <c r="F12" s="12" t="s">
        <v>14</v>
      </c>
      <c r="G12" s="12" t="s">
        <v>26</v>
      </c>
      <c r="H12" s="12" t="s">
        <v>13</v>
      </c>
      <c r="I12" s="12" t="s">
        <v>14</v>
      </c>
      <c r="J12" s="79"/>
      <c r="K12" s="80"/>
    </row>
    <row r="13" spans="1:11" s="1" customFormat="1" ht="140.4" x14ac:dyDescent="0.3">
      <c r="A13" s="28">
        <f>'bendol estimate'!A9</f>
        <v>1</v>
      </c>
      <c r="B13" s="33" t="str">
        <f>'bendol 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'bendol estimate'!H11</f>
        <v>m3</v>
      </c>
      <c r="D13" s="13">
        <f>'bendol estimate'!G11</f>
        <v>11.776897287412373</v>
      </c>
      <c r="E13" s="13">
        <f>'bendol estimate'!I11</f>
        <v>64.63</v>
      </c>
      <c r="F13" s="13">
        <f>D13*E13</f>
        <v>761.14087168546166</v>
      </c>
      <c r="G13" s="13">
        <f>V!G11</f>
        <v>12.1751267292</v>
      </c>
      <c r="H13" s="13">
        <f>V!I11</f>
        <v>64.63</v>
      </c>
      <c r="I13" s="13">
        <f>G13*H13</f>
        <v>786.87844050819592</v>
      </c>
      <c r="J13" s="29">
        <f>I13-F13</f>
        <v>25.737568822734261</v>
      </c>
      <c r="K13" s="15"/>
    </row>
    <row r="14" spans="1:11" s="1" customFormat="1" ht="15.6" x14ac:dyDescent="0.3">
      <c r="A14" s="28"/>
      <c r="B14" s="68" t="str">
        <f>'bendol estimate'!B12</f>
        <v>VAT calculation</v>
      </c>
      <c r="C14" s="13"/>
      <c r="D14" s="13"/>
      <c r="E14" s="13"/>
      <c r="F14" s="13">
        <f>'bendol estimate'!J12</f>
        <v>82.010387077110636</v>
      </c>
      <c r="G14" s="13"/>
      <c r="H14" s="13"/>
      <c r="I14" s="13">
        <f>V!J12</f>
        <v>84.783524166572406</v>
      </c>
      <c r="J14" s="29">
        <f>I14-F14</f>
        <v>2.7731370894617697</v>
      </c>
      <c r="K14" s="15"/>
    </row>
    <row r="15" spans="1:11" s="1" customFormat="1" x14ac:dyDescent="0.3">
      <c r="A15" s="30"/>
      <c r="B15" s="30"/>
      <c r="C15" s="13"/>
      <c r="D15" s="13"/>
      <c r="E15" s="13"/>
      <c r="F15" s="13"/>
      <c r="G15" s="13"/>
      <c r="H15" s="13"/>
      <c r="I15" s="13"/>
      <c r="J15" s="29"/>
      <c r="K15" s="15"/>
    </row>
    <row r="16" spans="1:11" s="1" customFormat="1" ht="78" x14ac:dyDescent="0.3">
      <c r="A16" s="28">
        <f>'bendol estimate'!A14</f>
        <v>2</v>
      </c>
      <c r="B16" s="33" t="str">
        <f>'bendol estimate'!B14</f>
        <v>Providing and laying of hand pack Stone soling with 150 to 200 mm thick stones and packing with smaller stone on prepared surface as per Drawing and Technical Specifications.</v>
      </c>
      <c r="C16" s="13" t="str">
        <f>'bendol estimate'!H16</f>
        <v>m3</v>
      </c>
      <c r="D16" s="13">
        <f>'bendol estimate'!G16</f>
        <v>11.776897287412373</v>
      </c>
      <c r="E16" s="13">
        <f>'bendol estimate'!I16</f>
        <v>4561.53</v>
      </c>
      <c r="F16" s="13">
        <f>D16*E16</f>
        <v>53720.670283450156</v>
      </c>
      <c r="G16" s="13">
        <f>V!G25</f>
        <v>12.175738920000001</v>
      </c>
      <c r="H16" s="13">
        <f>V!I25</f>
        <v>4561.53</v>
      </c>
      <c r="I16" s="13">
        <f>G16*H16</f>
        <v>55539.998355747601</v>
      </c>
      <c r="J16" s="29">
        <f>I16-F16</f>
        <v>1819.328072297445</v>
      </c>
      <c r="K16" s="15"/>
    </row>
    <row r="17" spans="1:11" s="1" customFormat="1" ht="15.6" x14ac:dyDescent="0.3">
      <c r="A17" s="28"/>
      <c r="B17" s="68" t="str">
        <f>'bendol estimate'!B17</f>
        <v>VAT calculation</v>
      </c>
      <c r="C17" s="13"/>
      <c r="D17" s="13"/>
      <c r="E17" s="13"/>
      <c r="F17" s="13">
        <f>'bendol estimate'!J17</f>
        <v>4731.575758610179</v>
      </c>
      <c r="G17" s="13"/>
      <c r="H17" s="13"/>
      <c r="I17" s="13">
        <f>V!J26</f>
        <v>4891.8174041149923</v>
      </c>
      <c r="J17" s="29">
        <f>I17-F17</f>
        <v>160.24164550481328</v>
      </c>
      <c r="K17" s="15"/>
    </row>
    <row r="18" spans="1:11" s="1" customFormat="1" x14ac:dyDescent="0.3">
      <c r="A18" s="30"/>
      <c r="B18" s="30"/>
      <c r="C18" s="13"/>
      <c r="D18" s="13"/>
      <c r="E18" s="13"/>
      <c r="F18" s="13"/>
      <c r="G18" s="13"/>
      <c r="H18" s="13"/>
      <c r="I18" s="13"/>
      <c r="J18" s="29"/>
      <c r="K18" s="15"/>
    </row>
    <row r="19" spans="1:11" s="1" customFormat="1" ht="62.4" x14ac:dyDescent="0.3">
      <c r="A19" s="28">
        <f>'bendol estimate'!A19</f>
        <v>3</v>
      </c>
      <c r="B19" s="33" t="str">
        <f>'bendol estimate'!B19</f>
        <v>Providing and laying , fitting and placing HYSD bar reinforcement in sub-structure complete as per Drawing and Technical Specifications</v>
      </c>
      <c r="C19" s="13" t="str">
        <f>'bendol estimate'!H22</f>
        <v>MT</v>
      </c>
      <c r="D19" s="13">
        <f>'bendol estimate'!G22</f>
        <v>0.50173272376308031</v>
      </c>
      <c r="E19" s="13">
        <f>'bendol estimate'!I22</f>
        <v>124140</v>
      </c>
      <c r="F19" s="13">
        <f>D19*E19</f>
        <v>62285.100327948792</v>
      </c>
      <c r="G19" s="13">
        <f>V!G35</f>
        <v>0.49181516475329334</v>
      </c>
      <c r="H19" s="13">
        <f>V!I35</f>
        <v>124140</v>
      </c>
      <c r="I19" s="13">
        <f>G19*H19</f>
        <v>61053.934552473838</v>
      </c>
      <c r="J19" s="29">
        <f>I19-F19</f>
        <v>-1231.165775474954</v>
      </c>
      <c r="K19" s="15"/>
    </row>
    <row r="20" spans="1:11" s="1" customFormat="1" ht="15.6" x14ac:dyDescent="0.3">
      <c r="A20" s="28"/>
      <c r="B20" s="68" t="str">
        <f>'bendol estimate'!B23</f>
        <v>VAT calculation</v>
      </c>
      <c r="C20" s="13"/>
      <c r="D20" s="13"/>
      <c r="E20" s="13"/>
      <c r="F20" s="13">
        <f>'bendol estimate'!J23</f>
        <v>7237.3941937376821</v>
      </c>
      <c r="G20" s="13"/>
      <c r="H20" s="13"/>
      <c r="I20" s="13">
        <f>V!J36</f>
        <v>7094.3353885333054</v>
      </c>
      <c r="J20" s="29">
        <f>I20-F20</f>
        <v>-143.05880520437677</v>
      </c>
      <c r="K20" s="15"/>
    </row>
    <row r="21" spans="1:11" s="1" customFormat="1" x14ac:dyDescent="0.3">
      <c r="A21" s="30"/>
      <c r="B21" s="30"/>
      <c r="C21" s="13"/>
      <c r="D21" s="13"/>
      <c r="E21" s="13"/>
      <c r="F21" s="13"/>
      <c r="G21" s="13"/>
      <c r="H21" s="13"/>
      <c r="I21" s="13"/>
      <c r="J21" s="29"/>
      <c r="K21" s="15"/>
    </row>
    <row r="22" spans="1:11" s="1" customFormat="1" ht="78" x14ac:dyDescent="0.3">
      <c r="A22" s="28">
        <f>'bendol estimate'!A25</f>
        <v>4</v>
      </c>
      <c r="B22" s="33" t="str">
        <f>'bendol estimate'!B25</f>
        <v>Providing and laying of Plain/Reinforced Cement Concrete in Foundation complete as per Drawing and Technical Specifications., RCC Grade M 20</v>
      </c>
      <c r="C22" s="13" t="str">
        <f>'bendol estimate'!H27</f>
        <v>m3</v>
      </c>
      <c r="D22" s="13">
        <f>'bendol estimate'!G27</f>
        <v>11.776897287412373</v>
      </c>
      <c r="E22" s="13">
        <f>'bendol estimate'!I27</f>
        <v>11588.17</v>
      </c>
      <c r="F22" s="13">
        <f>D22*E22</f>
        <v>136472.68783907345</v>
      </c>
      <c r="G22" s="13">
        <f>V!G49</f>
        <v>11.751449734836939</v>
      </c>
      <c r="H22" s="13">
        <f>V!I49</f>
        <v>11588.17</v>
      </c>
      <c r="I22" s="13">
        <f>G22*H22</f>
        <v>136177.79727374538</v>
      </c>
      <c r="J22" s="29">
        <f>I22-F22</f>
        <v>-294.89056532806717</v>
      </c>
      <c r="K22" s="15"/>
    </row>
    <row r="23" spans="1:11" s="1" customFormat="1" ht="15.6" x14ac:dyDescent="0.3">
      <c r="A23" s="28"/>
      <c r="B23" s="68" t="str">
        <f>'bendol estimate'!B28</f>
        <v>VAT calculation</v>
      </c>
      <c r="C23" s="13"/>
      <c r="D23" s="13"/>
      <c r="E23" s="13"/>
      <c r="F23" s="13">
        <f>'bendol estimate'!J28</f>
        <v>13814.458328558365</v>
      </c>
      <c r="G23" s="13"/>
      <c r="H23" s="13"/>
      <c r="I23" s="13">
        <f>V!J50</f>
        <v>13784.608008390178</v>
      </c>
      <c r="J23" s="29">
        <f>I23-F23</f>
        <v>-29.850320168186954</v>
      </c>
      <c r="K23" s="15"/>
    </row>
    <row r="24" spans="1:11" s="1" customFormat="1" x14ac:dyDescent="0.3">
      <c r="A24" s="30"/>
      <c r="B24" s="30"/>
      <c r="C24" s="13"/>
      <c r="D24" s="13"/>
      <c r="E24" s="13"/>
      <c r="F24" s="13"/>
      <c r="G24" s="13"/>
      <c r="H24" s="13"/>
      <c r="I24" s="13"/>
      <c r="J24" s="29"/>
      <c r="K24" s="15"/>
    </row>
    <row r="25" spans="1:11" s="1" customFormat="1" x14ac:dyDescent="0.3">
      <c r="A25" s="28">
        <f>'bendol estimate'!A30</f>
        <v>5</v>
      </c>
      <c r="B25" s="32" t="str">
        <f>'bendol estimate'!B30</f>
        <v>Information board (सुचना पाटि)</v>
      </c>
      <c r="C25" s="13" t="str">
        <f>'bendol estimate'!H30</f>
        <v>no.</v>
      </c>
      <c r="D25" s="13">
        <f>'bendol estimate'!G30</f>
        <v>1</v>
      </c>
      <c r="E25" s="13">
        <f>'bendol estimate'!I30</f>
        <v>1000</v>
      </c>
      <c r="F25" s="13">
        <f>D25*E25</f>
        <v>1000</v>
      </c>
      <c r="G25" s="13">
        <f>V!G52</f>
        <v>1</v>
      </c>
      <c r="H25" s="13">
        <f>V!I52</f>
        <v>1000</v>
      </c>
      <c r="I25" s="13">
        <f>G25*H25</f>
        <v>1000</v>
      </c>
      <c r="J25" s="29">
        <f>I25-F25</f>
        <v>0</v>
      </c>
      <c r="K25" s="15"/>
    </row>
    <row r="26" spans="1:11" s="1" customFormat="1" x14ac:dyDescent="0.3">
      <c r="A26" s="30"/>
      <c r="B26" s="30"/>
      <c r="C26" s="13"/>
      <c r="D26" s="13"/>
      <c r="E26" s="13"/>
      <c r="F26" s="13"/>
      <c r="G26" s="13"/>
      <c r="H26" s="13"/>
      <c r="I26" s="13"/>
      <c r="J26" s="29"/>
      <c r="K26" s="15"/>
    </row>
    <row r="27" spans="1:11" x14ac:dyDescent="0.3">
      <c r="A27" s="5"/>
      <c r="B27" s="6" t="s">
        <v>16</v>
      </c>
      <c r="C27" s="6"/>
      <c r="D27" s="8"/>
      <c r="E27" s="8"/>
      <c r="F27" s="8">
        <f>SUM(F13:F25)</f>
        <v>280105.03799014119</v>
      </c>
      <c r="G27" s="8"/>
      <c r="H27" s="8"/>
      <c r="I27" s="8">
        <f>SUM(I13:I25)</f>
        <v>280414.15294768009</v>
      </c>
      <c r="J27" s="14">
        <f>I27-F27</f>
        <v>309.11495753889903</v>
      </c>
      <c r="K27"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abSelected="1" topLeftCell="A19" zoomScaleNormal="100" workbookViewId="0">
      <selection activeCell="Q34" sqref="Q34"/>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 min="14" max="14" width="15.88671875" bestFit="1" customWidth="1"/>
    <col min="15" max="15" width="19.33203125" bestFit="1" customWidth="1"/>
    <col min="16" max="16" width="9.5546875" bestFit="1" customWidth="1"/>
    <col min="17" max="17" width="20.7773437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69</v>
      </c>
      <c r="B5" s="78"/>
      <c r="C5" s="78"/>
      <c r="D5" s="78"/>
      <c r="E5" s="78"/>
      <c r="F5" s="78"/>
      <c r="G5" s="78"/>
      <c r="H5" s="78"/>
      <c r="I5" s="78"/>
      <c r="J5" s="78"/>
      <c r="K5" s="78"/>
    </row>
    <row r="6" spans="1:19" ht="15.6" x14ac:dyDescent="0.3">
      <c r="A6" s="73" t="s">
        <v>53</v>
      </c>
      <c r="B6" s="73"/>
      <c r="C6" s="73"/>
      <c r="D6" s="73"/>
      <c r="E6" s="73"/>
      <c r="F6" s="73"/>
      <c r="G6" s="2"/>
      <c r="H6" s="74" t="s">
        <v>47</v>
      </c>
      <c r="I6" s="74"/>
      <c r="J6" s="74"/>
      <c r="K6" s="74"/>
    </row>
    <row r="7" spans="1:19" ht="15.6" x14ac:dyDescent="0.3">
      <c r="A7" s="70" t="s">
        <v>28</v>
      </c>
      <c r="B7" s="70"/>
      <c r="C7" s="70"/>
      <c r="D7" s="70"/>
      <c r="E7" s="70"/>
      <c r="F7" s="70"/>
      <c r="G7" s="3"/>
      <c r="H7" s="71" t="s">
        <v>54</v>
      </c>
      <c r="I7" s="71"/>
      <c r="J7" s="71"/>
      <c r="K7" s="71"/>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f>SUM(D15:D24)</f>
        <v>20.2</v>
      </c>
      <c r="E10" s="39">
        <f>(SUM(E15:E24))/10</f>
        <v>4.0181936400000007</v>
      </c>
      <c r="F10" s="39">
        <v>0.15</v>
      </c>
      <c r="G10" s="40">
        <f>PRODUCT(C10:F10)</f>
        <v>12.1751267292</v>
      </c>
      <c r="H10" s="41"/>
      <c r="I10" s="41"/>
      <c r="J10" s="41"/>
      <c r="K10" s="22"/>
      <c r="M10" s="26"/>
      <c r="N10" s="1"/>
      <c r="O10" s="1"/>
      <c r="P10" s="1"/>
      <c r="Q10" s="1"/>
      <c r="R10" s="26"/>
      <c r="S10" s="26"/>
    </row>
    <row r="11" spans="1:19" ht="15" customHeight="1" x14ac:dyDescent="0.3">
      <c r="A11" s="19"/>
      <c r="B11" s="38" t="s">
        <v>40</v>
      </c>
      <c r="C11" s="20"/>
      <c r="D11" s="21"/>
      <c r="E11" s="22"/>
      <c r="F11" s="22"/>
      <c r="G11" s="24">
        <f>SUM(G10:G10)</f>
        <v>12.1751267292</v>
      </c>
      <c r="H11" s="23" t="s">
        <v>39</v>
      </c>
      <c r="I11" s="24">
        <v>64.63</v>
      </c>
      <c r="J11" s="42">
        <f>G11*I11</f>
        <v>786.87844050819592</v>
      </c>
      <c r="K11" s="22"/>
      <c r="M11" s="26"/>
      <c r="N11" s="1">
        <v>0</v>
      </c>
      <c r="O11" s="1">
        <f>13.917</f>
        <v>13.917</v>
      </c>
      <c r="P11" s="1">
        <f>CONVERT(O11,"ft","m")</f>
        <v>4.2419016000000003</v>
      </c>
      <c r="Q11" s="1"/>
      <c r="R11" s="26"/>
      <c r="S11" s="26"/>
    </row>
    <row r="12" spans="1:19" ht="15" customHeight="1" x14ac:dyDescent="0.3">
      <c r="A12" s="19"/>
      <c r="B12" s="38" t="s">
        <v>38</v>
      </c>
      <c r="C12" s="20"/>
      <c r="D12" s="21"/>
      <c r="E12" s="22"/>
      <c r="F12" s="22"/>
      <c r="G12" s="24"/>
      <c r="H12" s="23"/>
      <c r="I12" s="24"/>
      <c r="J12" s="42">
        <f>0.13*G11*19284/360</f>
        <v>84.783524166572406</v>
      </c>
      <c r="K12" s="22"/>
      <c r="M12" s="26"/>
      <c r="N12" s="1">
        <v>2</v>
      </c>
      <c r="O12" s="1">
        <v>13.917</v>
      </c>
      <c r="P12" s="1">
        <f t="shared" ref="P12:P14" si="0">CONVERT(O12,"ft","m")</f>
        <v>4.2419016000000003</v>
      </c>
      <c r="Q12" s="1">
        <f>(P11+P12)/2</f>
        <v>4.2419016000000003</v>
      </c>
      <c r="R12" s="26"/>
      <c r="S12" s="26"/>
    </row>
    <row r="13" spans="1:19" ht="15" customHeight="1" x14ac:dyDescent="0.3">
      <c r="A13" s="19"/>
      <c r="B13" s="38"/>
      <c r="C13" s="20"/>
      <c r="D13" s="21"/>
      <c r="E13" s="22"/>
      <c r="F13" s="22"/>
      <c r="G13" s="24"/>
      <c r="H13" s="23"/>
      <c r="I13" s="24"/>
      <c r="J13" s="42"/>
      <c r="K13" s="22"/>
      <c r="M13" s="26"/>
      <c r="N13" s="1">
        <v>2</v>
      </c>
      <c r="O13" s="1">
        <v>13.5</v>
      </c>
      <c r="P13" s="1">
        <f t="shared" si="0"/>
        <v>4.1147999999999998</v>
      </c>
      <c r="Q13" s="1">
        <f t="shared" ref="Q13:Q14" si="1">(P12+P13)/2</f>
        <v>4.1783508000000005</v>
      </c>
      <c r="R13" s="26"/>
      <c r="S13" s="26"/>
    </row>
    <row r="14" spans="1:19" ht="82.8" x14ac:dyDescent="0.3">
      <c r="A14" s="19">
        <v>2</v>
      </c>
      <c r="B14" s="31" t="s">
        <v>43</v>
      </c>
      <c r="C14" s="20"/>
      <c r="D14" s="21"/>
      <c r="E14" s="22"/>
      <c r="F14" s="22"/>
      <c r="G14" s="24"/>
      <c r="H14" s="23"/>
      <c r="I14" s="24"/>
      <c r="J14" s="42"/>
      <c r="K14" s="22"/>
      <c r="M14" s="26"/>
      <c r="N14" s="1">
        <v>2</v>
      </c>
      <c r="O14" s="1">
        <v>13.083</v>
      </c>
      <c r="P14" s="1">
        <f t="shared" si="0"/>
        <v>3.9876984000000002</v>
      </c>
      <c r="Q14" s="1">
        <f t="shared" si="1"/>
        <v>4.0512492</v>
      </c>
      <c r="R14" s="26"/>
      <c r="S14" s="26"/>
    </row>
    <row r="15" spans="1:19" ht="15" customHeight="1" x14ac:dyDescent="0.3">
      <c r="A15" s="19"/>
      <c r="B15" s="38" t="s">
        <v>56</v>
      </c>
      <c r="C15" s="37">
        <v>1</v>
      </c>
      <c r="D15" s="39">
        <v>2</v>
      </c>
      <c r="E15" s="39">
        <f t="shared" ref="E15:E24" si="2">Q12</f>
        <v>4.2419016000000003</v>
      </c>
      <c r="F15" s="39">
        <v>0.15</v>
      </c>
      <c r="G15" s="40">
        <f t="shared" ref="G15:G24" si="3">PRODUCT(C15:F15)</f>
        <v>1.2725704799999999</v>
      </c>
      <c r="H15" s="41"/>
      <c r="I15" s="41"/>
      <c r="J15" s="41"/>
      <c r="K15" s="22"/>
      <c r="M15" s="26"/>
      <c r="N15" s="1">
        <v>2</v>
      </c>
      <c r="O15" s="1">
        <v>12.25</v>
      </c>
      <c r="P15" s="1">
        <f t="shared" ref="P15:P21" si="4">CONVERT(O15,"ft","m")</f>
        <v>3.7338</v>
      </c>
      <c r="Q15" s="1">
        <f t="shared" ref="Q15:Q21" si="5">(P14+P15)/2</f>
        <v>3.8607491999999999</v>
      </c>
      <c r="R15" s="26"/>
      <c r="S15" s="26"/>
    </row>
    <row r="16" spans="1:19" ht="15" customHeight="1" x14ac:dyDescent="0.3">
      <c r="A16" s="19"/>
      <c r="B16" s="38" t="s">
        <v>55</v>
      </c>
      <c r="C16" s="37">
        <v>1</v>
      </c>
      <c r="D16" s="39">
        <v>2</v>
      </c>
      <c r="E16" s="39">
        <f t="shared" si="2"/>
        <v>4.1783508000000005</v>
      </c>
      <c r="F16" s="39">
        <v>0.15</v>
      </c>
      <c r="G16" s="40">
        <f t="shared" si="3"/>
        <v>1.2535052400000002</v>
      </c>
      <c r="H16" s="41"/>
      <c r="I16" s="41"/>
      <c r="J16" s="41"/>
      <c r="K16" s="22"/>
      <c r="M16" s="26"/>
      <c r="N16" s="1">
        <v>2</v>
      </c>
      <c r="O16" s="1">
        <v>12.33</v>
      </c>
      <c r="P16" s="1">
        <f t="shared" si="4"/>
        <v>3.758184</v>
      </c>
      <c r="Q16" s="1">
        <f t="shared" si="5"/>
        <v>3.7459920000000002</v>
      </c>
      <c r="R16" s="26"/>
      <c r="S16" s="26"/>
    </row>
    <row r="17" spans="1:19" ht="15" customHeight="1" x14ac:dyDescent="0.3">
      <c r="A17" s="19"/>
      <c r="B17" s="38" t="s">
        <v>57</v>
      </c>
      <c r="C17" s="37">
        <v>1</v>
      </c>
      <c r="D17" s="39">
        <v>2</v>
      </c>
      <c r="E17" s="39">
        <f t="shared" si="2"/>
        <v>4.0512492</v>
      </c>
      <c r="F17" s="39">
        <v>0.15</v>
      </c>
      <c r="G17" s="40">
        <f t="shared" si="3"/>
        <v>1.21537476</v>
      </c>
      <c r="H17" s="41"/>
      <c r="I17" s="41"/>
      <c r="J17" s="41"/>
      <c r="K17" s="22"/>
      <c r="M17" s="26"/>
      <c r="N17" s="1">
        <v>2</v>
      </c>
      <c r="O17" s="1">
        <v>12.917</v>
      </c>
      <c r="P17" s="1">
        <f t="shared" si="4"/>
        <v>3.9371016000000001</v>
      </c>
      <c r="Q17" s="1">
        <f t="shared" si="5"/>
        <v>3.8476428</v>
      </c>
      <c r="R17" s="26"/>
      <c r="S17" s="26"/>
    </row>
    <row r="18" spans="1:19" ht="15" customHeight="1" x14ac:dyDescent="0.3">
      <c r="A18" s="19"/>
      <c r="B18" s="38" t="s">
        <v>58</v>
      </c>
      <c r="C18" s="37">
        <v>1</v>
      </c>
      <c r="D18" s="39">
        <v>2</v>
      </c>
      <c r="E18" s="39">
        <f t="shared" si="2"/>
        <v>3.8607491999999999</v>
      </c>
      <c r="F18" s="39">
        <v>0.15</v>
      </c>
      <c r="G18" s="40">
        <f t="shared" si="3"/>
        <v>1.15822476</v>
      </c>
      <c r="H18" s="41"/>
      <c r="I18" s="41"/>
      <c r="J18" s="41"/>
      <c r="K18" s="22"/>
      <c r="M18" s="26"/>
      <c r="N18" s="1">
        <v>2</v>
      </c>
      <c r="O18" s="1">
        <v>13.5</v>
      </c>
      <c r="P18" s="1">
        <f t="shared" si="4"/>
        <v>4.1147999999999998</v>
      </c>
      <c r="Q18" s="1">
        <f t="shared" si="5"/>
        <v>4.0259508000000004</v>
      </c>
      <c r="R18" s="26"/>
      <c r="S18" s="26"/>
    </row>
    <row r="19" spans="1:19" ht="15" customHeight="1" x14ac:dyDescent="0.3">
      <c r="A19" s="19"/>
      <c r="B19" s="38" t="s">
        <v>59</v>
      </c>
      <c r="C19" s="37">
        <v>1</v>
      </c>
      <c r="D19" s="39">
        <v>2</v>
      </c>
      <c r="E19" s="39">
        <f t="shared" si="2"/>
        <v>3.7459920000000002</v>
      </c>
      <c r="F19" s="39">
        <v>0.15</v>
      </c>
      <c r="G19" s="40">
        <f t="shared" si="3"/>
        <v>1.1237976000000001</v>
      </c>
      <c r="H19" s="41"/>
      <c r="I19" s="41"/>
      <c r="J19" s="41"/>
      <c r="K19" s="22"/>
      <c r="M19" s="26"/>
      <c r="N19" s="1">
        <v>2</v>
      </c>
      <c r="O19" s="1">
        <v>13.5</v>
      </c>
      <c r="P19" s="1">
        <f t="shared" si="4"/>
        <v>4.1147999999999998</v>
      </c>
      <c r="Q19" s="1">
        <f t="shared" si="5"/>
        <v>4.1147999999999998</v>
      </c>
      <c r="R19" s="26"/>
      <c r="S19" s="26"/>
    </row>
    <row r="20" spans="1:19" ht="15" customHeight="1" x14ac:dyDescent="0.3">
      <c r="A20" s="19"/>
      <c r="B20" s="38" t="s">
        <v>60</v>
      </c>
      <c r="C20" s="37">
        <v>1</v>
      </c>
      <c r="D20" s="39">
        <v>2</v>
      </c>
      <c r="E20" s="39">
        <f t="shared" si="2"/>
        <v>3.8476428</v>
      </c>
      <c r="F20" s="39">
        <v>0.15</v>
      </c>
      <c r="G20" s="40">
        <f t="shared" si="3"/>
        <v>1.1542928399999999</v>
      </c>
      <c r="H20" s="41"/>
      <c r="I20" s="41"/>
      <c r="J20" s="41"/>
      <c r="K20" s="22"/>
      <c r="M20" s="26"/>
      <c r="N20" s="1">
        <v>2</v>
      </c>
      <c r="O20" s="1">
        <v>13.25</v>
      </c>
      <c r="P20" s="1">
        <f t="shared" si="4"/>
        <v>4.0385999999999997</v>
      </c>
      <c r="Q20" s="1">
        <f t="shared" si="5"/>
        <v>4.0766999999999998</v>
      </c>
      <c r="R20" s="26"/>
      <c r="S20" s="26"/>
    </row>
    <row r="21" spans="1:19" ht="15" customHeight="1" x14ac:dyDescent="0.3">
      <c r="A21" s="19"/>
      <c r="B21" s="38" t="s">
        <v>61</v>
      </c>
      <c r="C21" s="37">
        <v>1</v>
      </c>
      <c r="D21" s="39">
        <v>2</v>
      </c>
      <c r="E21" s="39">
        <f t="shared" si="2"/>
        <v>4.0259508000000004</v>
      </c>
      <c r="F21" s="39">
        <v>0.15</v>
      </c>
      <c r="G21" s="40">
        <f t="shared" si="3"/>
        <v>1.20778524</v>
      </c>
      <c r="H21" s="41"/>
      <c r="I21" s="41"/>
      <c r="J21" s="41"/>
      <c r="K21" s="22"/>
      <c r="M21" s="26"/>
      <c r="N21" s="67">
        <v>2.2000000000000002</v>
      </c>
      <c r="O21" s="1">
        <v>13.25</v>
      </c>
      <c r="P21" s="1">
        <f t="shared" si="4"/>
        <v>4.0385999999999997</v>
      </c>
      <c r="Q21" s="1">
        <f t="shared" si="5"/>
        <v>4.0385999999999997</v>
      </c>
      <c r="R21" s="26"/>
      <c r="S21" s="26"/>
    </row>
    <row r="22" spans="1:19" ht="15" customHeight="1" x14ac:dyDescent="0.3">
      <c r="A22" s="19"/>
      <c r="B22" s="38" t="s">
        <v>62</v>
      </c>
      <c r="C22" s="37">
        <v>1</v>
      </c>
      <c r="D22" s="39">
        <v>2</v>
      </c>
      <c r="E22" s="39">
        <f t="shared" si="2"/>
        <v>4.1147999999999998</v>
      </c>
      <c r="F22" s="39">
        <v>0.15</v>
      </c>
      <c r="G22" s="40">
        <f t="shared" si="3"/>
        <v>1.23444</v>
      </c>
      <c r="H22" s="41"/>
      <c r="I22" s="41"/>
      <c r="J22" s="41"/>
      <c r="K22" s="22"/>
      <c r="M22" s="26"/>
      <c r="N22" s="1"/>
      <c r="O22" s="1"/>
      <c r="P22" s="1"/>
      <c r="Q22" s="1"/>
      <c r="R22" s="26"/>
      <c r="S22" s="26"/>
    </row>
    <row r="23" spans="1:19" ht="15" customHeight="1" x14ac:dyDescent="0.3">
      <c r="A23" s="19"/>
      <c r="B23" s="38" t="s">
        <v>63</v>
      </c>
      <c r="C23" s="37">
        <v>1</v>
      </c>
      <c r="D23" s="39">
        <v>2</v>
      </c>
      <c r="E23" s="39">
        <f t="shared" si="2"/>
        <v>4.0766999999999998</v>
      </c>
      <c r="F23" s="39">
        <v>0.15</v>
      </c>
      <c r="G23" s="40">
        <f t="shared" si="3"/>
        <v>1.2230099999999999</v>
      </c>
      <c r="H23" s="41"/>
      <c r="I23" s="41"/>
      <c r="J23" s="41"/>
      <c r="K23" s="22"/>
      <c r="M23" s="26"/>
      <c r="N23" s="92"/>
      <c r="O23" s="93" t="s">
        <v>74</v>
      </c>
      <c r="P23" s="93" t="s">
        <v>70</v>
      </c>
      <c r="Q23" s="94" t="s">
        <v>73</v>
      </c>
      <c r="R23" s="26"/>
      <c r="S23" s="26"/>
    </row>
    <row r="24" spans="1:19" ht="15" customHeight="1" x14ac:dyDescent="0.3">
      <c r="A24" s="19"/>
      <c r="B24" s="38" t="s">
        <v>64</v>
      </c>
      <c r="C24" s="37">
        <v>1</v>
      </c>
      <c r="D24" s="39">
        <v>2.2000000000000002</v>
      </c>
      <c r="E24" s="39">
        <f t="shared" si="2"/>
        <v>4.0385999999999997</v>
      </c>
      <c r="F24" s="39">
        <v>0.15</v>
      </c>
      <c r="G24" s="40">
        <f t="shared" si="3"/>
        <v>1.3327380000000002</v>
      </c>
      <c r="H24" s="41"/>
      <c r="I24" s="41"/>
      <c r="J24" s="41"/>
      <c r="K24" s="22"/>
      <c r="M24" s="26"/>
      <c r="N24" s="93" t="s">
        <v>71</v>
      </c>
      <c r="O24" s="13">
        <f>(19284/360)*G11</f>
        <v>652.18095512748005</v>
      </c>
      <c r="P24" s="7">
        <f>13%*O24</f>
        <v>84.783524166572406</v>
      </c>
      <c r="Q24" s="7">
        <f>O24+P24</f>
        <v>736.96447929405247</v>
      </c>
      <c r="R24" s="26"/>
      <c r="S24" s="26"/>
    </row>
    <row r="25" spans="1:19" ht="15" customHeight="1" x14ac:dyDescent="0.3">
      <c r="A25" s="41"/>
      <c r="B25" s="38" t="s">
        <v>40</v>
      </c>
      <c r="C25" s="43"/>
      <c r="D25" s="44"/>
      <c r="E25" s="44"/>
      <c r="F25" s="44"/>
      <c r="G25" s="34">
        <f>SUM(G15:G24)</f>
        <v>12.175738920000001</v>
      </c>
      <c r="H25" s="34" t="s">
        <v>39</v>
      </c>
      <c r="I25" s="34">
        <v>4561.53</v>
      </c>
      <c r="J25" s="45">
        <f>G25*I25</f>
        <v>55539.998355747601</v>
      </c>
      <c r="K25" s="37"/>
      <c r="N25" s="94" t="s">
        <v>72</v>
      </c>
      <c r="O25" s="7">
        <f>(15452.64/5)*G25</f>
        <v>37629.462052949762</v>
      </c>
      <c r="P25" s="7">
        <f>O25*13%</f>
        <v>4891.830066883469</v>
      </c>
      <c r="Q25" s="7">
        <f t="shared" ref="Q25:Q33" si="6">O25+P25</f>
        <v>42521.292119833233</v>
      </c>
    </row>
    <row r="26" spans="1:19" x14ac:dyDescent="0.3">
      <c r="A26" s="41"/>
      <c r="B26" s="38" t="s">
        <v>38</v>
      </c>
      <c r="C26" s="43"/>
      <c r="D26" s="44"/>
      <c r="E26" s="44"/>
      <c r="F26" s="44"/>
      <c r="G26" s="44"/>
      <c r="H26" s="44"/>
      <c r="I26" s="44"/>
      <c r="J26" s="46">
        <f>0.13*G25*(15452.6/5)</f>
        <v>4891.8174041149923</v>
      </c>
      <c r="K26" s="37"/>
      <c r="N26" s="94" t="s">
        <v>75</v>
      </c>
      <c r="O26" s="7">
        <f>110000*G35</f>
        <v>54099.668122862269</v>
      </c>
      <c r="P26" s="7">
        <f>O26*13%</f>
        <v>7032.9568559720956</v>
      </c>
      <c r="Q26" s="7">
        <f t="shared" si="6"/>
        <v>61132.624978834363</v>
      </c>
    </row>
    <row r="27" spans="1:19" x14ac:dyDescent="0.3">
      <c r="A27" s="41"/>
      <c r="B27" s="38"/>
      <c r="C27" s="43"/>
      <c r="D27" s="44"/>
      <c r="E27" s="44"/>
      <c r="F27" s="44"/>
      <c r="G27" s="44"/>
      <c r="H27" s="44"/>
      <c r="I27" s="44"/>
      <c r="J27" s="46"/>
      <c r="K27" s="37"/>
      <c r="N27" s="94" t="s">
        <v>76</v>
      </c>
      <c r="O27" s="7">
        <f>960*G35</f>
        <v>472.1425581631616</v>
      </c>
      <c r="P27" s="7">
        <f>O27*13%</f>
        <v>61.37853256121101</v>
      </c>
      <c r="Q27" s="7">
        <f t="shared" si="6"/>
        <v>533.52109072437258</v>
      </c>
    </row>
    <row r="28" spans="1:19" s="1" customFormat="1" ht="69" x14ac:dyDescent="0.3">
      <c r="A28" s="64">
        <v>3</v>
      </c>
      <c r="B28" s="31" t="s">
        <v>42</v>
      </c>
      <c r="C28" s="65" t="s">
        <v>7</v>
      </c>
      <c r="D28" s="66" t="s">
        <v>45</v>
      </c>
      <c r="E28" s="66" t="s">
        <v>51</v>
      </c>
      <c r="F28" s="66" t="s">
        <v>52</v>
      </c>
      <c r="G28" s="40"/>
      <c r="H28" s="40"/>
      <c r="I28" s="40"/>
      <c r="J28" s="46"/>
      <c r="K28" s="30"/>
      <c r="N28" s="93" t="s">
        <v>77</v>
      </c>
      <c r="O28" s="13">
        <f>G49*62160.51/15</f>
        <v>48698.407250455261</v>
      </c>
      <c r="P28" s="13">
        <f>13%*O28</f>
        <v>6330.7929425591838</v>
      </c>
      <c r="Q28" s="7">
        <f t="shared" si="6"/>
        <v>55029.200193014447</v>
      </c>
    </row>
    <row r="29" spans="1:19" ht="15" customHeight="1" x14ac:dyDescent="0.3">
      <c r="A29" s="41"/>
      <c r="B29" s="38" t="s">
        <v>41</v>
      </c>
      <c r="C29" s="43">
        <v>53</v>
      </c>
      <c r="D29" s="44">
        <f>12.5/3.281</f>
        <v>3.8098140810728434</v>
      </c>
      <c r="E29" s="44">
        <f>10*10/162</f>
        <v>0.61728395061728392</v>
      </c>
      <c r="F29" s="44">
        <f t="shared" ref="F29:F34" si="7">PRODUCT(C29:E29)</f>
        <v>124.64206561534611</v>
      </c>
      <c r="G29" s="44">
        <f t="shared" ref="G29:G34" si="8">F29/1000</f>
        <v>0.12464206561534612</v>
      </c>
      <c r="H29" s="44"/>
      <c r="I29" s="44"/>
      <c r="J29" s="46"/>
      <c r="K29" s="37"/>
      <c r="N29" s="94" t="s">
        <v>78</v>
      </c>
      <c r="O29" s="13">
        <f>G49*21432.6/15</f>
        <v>16790.94143912441</v>
      </c>
      <c r="P29" s="13">
        <f>13%*O29</f>
        <v>2182.8223870861734</v>
      </c>
      <c r="Q29" s="7">
        <f t="shared" si="6"/>
        <v>18973.763826210583</v>
      </c>
    </row>
    <row r="30" spans="1:19" ht="15" customHeight="1" x14ac:dyDescent="0.3">
      <c r="A30" s="41"/>
      <c r="B30" s="38"/>
      <c r="C30" s="43">
        <v>26</v>
      </c>
      <c r="D30" s="44">
        <f>19.42/3.281</f>
        <v>5.9189271563547701</v>
      </c>
      <c r="E30" s="44">
        <f>8*8/162</f>
        <v>0.39506172839506171</v>
      </c>
      <c r="F30" s="44">
        <f t="shared" si="7"/>
        <v>60.796881408483564</v>
      </c>
      <c r="G30" s="44">
        <f t="shared" si="8"/>
        <v>6.0796881408483563E-2</v>
      </c>
      <c r="H30" s="44"/>
      <c r="I30" s="44"/>
      <c r="J30" s="46"/>
      <c r="K30" s="37"/>
      <c r="N30" s="94" t="s">
        <v>79</v>
      </c>
      <c r="O30" s="7">
        <f>27147.96*G49/15</f>
        <v>21268.525822890922</v>
      </c>
      <c r="P30" s="13">
        <f>13%*O30</f>
        <v>2764.90835697582</v>
      </c>
      <c r="Q30" s="7">
        <f t="shared" si="6"/>
        <v>24033.434179866741</v>
      </c>
    </row>
    <row r="31" spans="1:19" ht="15" customHeight="1" x14ac:dyDescent="0.3">
      <c r="A31" s="41"/>
      <c r="B31" s="38"/>
      <c r="C31" s="43">
        <v>39</v>
      </c>
      <c r="D31" s="44">
        <f>12.75/3.281</f>
        <v>3.8860103626943006</v>
      </c>
      <c r="E31" s="44">
        <f t="shared" ref="E31" si="9">10*10/162</f>
        <v>0.61728395061728392</v>
      </c>
      <c r="F31" s="44">
        <f t="shared" si="7"/>
        <v>93.552101324122034</v>
      </c>
      <c r="G31" s="44">
        <f t="shared" si="8"/>
        <v>9.3552101324122033E-2</v>
      </c>
      <c r="H31" s="44"/>
      <c r="I31" s="44"/>
      <c r="J31" s="46"/>
      <c r="K31" s="37"/>
      <c r="N31" s="94" t="s">
        <v>80</v>
      </c>
      <c r="O31" s="7">
        <f>17146.08*G49/15</f>
        <v>13432.75315129953</v>
      </c>
      <c r="P31" s="13">
        <f>13%*O31</f>
        <v>1746.257909668939</v>
      </c>
      <c r="Q31" s="7">
        <f t="shared" si="6"/>
        <v>15179.011060968469</v>
      </c>
    </row>
    <row r="32" spans="1:19" ht="15" customHeight="1" x14ac:dyDescent="0.3">
      <c r="A32" s="41"/>
      <c r="B32" s="38"/>
      <c r="C32" s="43">
        <v>25</v>
      </c>
      <c r="D32" s="44">
        <f>19.42/3.281</f>
        <v>5.9189271563547701</v>
      </c>
      <c r="E32" s="44">
        <f t="shared" ref="E32" si="10">8*8/162</f>
        <v>0.39506172839506171</v>
      </c>
      <c r="F32" s="44">
        <f t="shared" si="7"/>
        <v>58.458539815849576</v>
      </c>
      <c r="G32" s="44">
        <f t="shared" si="8"/>
        <v>5.8458539815849579E-2</v>
      </c>
      <c r="H32" s="44"/>
      <c r="I32" s="44"/>
      <c r="J32" s="46"/>
      <c r="K32" s="37"/>
      <c r="N32" s="94" t="s">
        <v>81</v>
      </c>
      <c r="O32" s="7">
        <f>775/15*G49</f>
        <v>607.15823629990848</v>
      </c>
      <c r="P32" s="13">
        <f>13%*O32</f>
        <v>78.930570718988108</v>
      </c>
      <c r="Q32" s="7">
        <f t="shared" si="6"/>
        <v>686.08880701889655</v>
      </c>
    </row>
    <row r="33" spans="1:17" ht="15" customHeight="1" x14ac:dyDescent="0.3">
      <c r="A33" s="41"/>
      <c r="B33" s="38"/>
      <c r="C33" s="43">
        <v>39</v>
      </c>
      <c r="D33" s="44">
        <f>12.833/3.281</f>
        <v>3.9113075281926242</v>
      </c>
      <c r="E33" s="44">
        <f t="shared" ref="E33" si="11">10*10/162</f>
        <v>0.61728395061728392</v>
      </c>
      <c r="F33" s="44">
        <f t="shared" si="7"/>
        <v>94.161107160192799</v>
      </c>
      <c r="G33" s="44">
        <f t="shared" si="8"/>
        <v>9.4161107160192797E-2</v>
      </c>
      <c r="H33" s="44"/>
      <c r="I33" s="44"/>
      <c r="J33" s="46"/>
      <c r="K33" s="37"/>
      <c r="N33" s="94" t="s">
        <v>82</v>
      </c>
      <c r="O33" s="7">
        <f>6685.5/15*G49</f>
        <v>5237.621146816824</v>
      </c>
      <c r="P33" s="13">
        <f>13%*O33</f>
        <v>680.89074908618716</v>
      </c>
      <c r="Q33" s="7">
        <f t="shared" si="6"/>
        <v>5918.5118959030115</v>
      </c>
    </row>
    <row r="34" spans="1:17" ht="15" customHeight="1" x14ac:dyDescent="0.3">
      <c r="A34" s="41"/>
      <c r="B34" s="38"/>
      <c r="C34" s="43">
        <v>25</v>
      </c>
      <c r="D34" s="44">
        <f>20/3.281</f>
        <v>6.0957025297165499</v>
      </c>
      <c r="E34" s="44">
        <f t="shared" ref="E34" si="12">8*8/162</f>
        <v>0.39506172839506171</v>
      </c>
      <c r="F34" s="44">
        <f t="shared" si="7"/>
        <v>60.204469429299259</v>
      </c>
      <c r="G34" s="44">
        <f t="shared" si="8"/>
        <v>6.0204469429299259E-2</v>
      </c>
      <c r="H34" s="44"/>
      <c r="I34" s="44"/>
      <c r="J34" s="46"/>
      <c r="K34" s="37"/>
      <c r="O34" s="90"/>
      <c r="P34" s="90"/>
      <c r="Q34" s="90"/>
    </row>
    <row r="35" spans="1:17" ht="15" customHeight="1" x14ac:dyDescent="0.3">
      <c r="A35" s="41"/>
      <c r="B35" s="38" t="s">
        <v>40</v>
      </c>
      <c r="C35" s="43"/>
      <c r="D35" s="44"/>
      <c r="E35" s="44"/>
      <c r="F35" s="44"/>
      <c r="G35" s="34">
        <f>SUM(G29:G34)</f>
        <v>0.49181516475329334</v>
      </c>
      <c r="H35" s="34" t="s">
        <v>65</v>
      </c>
      <c r="I35" s="34">
        <v>124140</v>
      </c>
      <c r="J35" s="45">
        <f>G35*I35</f>
        <v>61053.934552473838</v>
      </c>
      <c r="K35" s="37"/>
      <c r="N35" s="1"/>
      <c r="O35" s="90"/>
      <c r="P35" s="90"/>
    </row>
    <row r="36" spans="1:17" ht="15" customHeight="1" x14ac:dyDescent="0.3">
      <c r="A36" s="41"/>
      <c r="B36" s="38" t="s">
        <v>38</v>
      </c>
      <c r="C36" s="43"/>
      <c r="D36" s="44"/>
      <c r="E36" s="44"/>
      <c r="F36" s="44"/>
      <c r="G36" s="44"/>
      <c r="H36" s="44"/>
      <c r="I36" s="44"/>
      <c r="J36" s="46">
        <f>0.13*G35*110960</f>
        <v>7094.3353885333054</v>
      </c>
      <c r="K36" s="37"/>
      <c r="O36" s="90"/>
      <c r="P36" s="90"/>
    </row>
    <row r="37" spans="1:17" x14ac:dyDescent="0.3">
      <c r="A37" s="5"/>
      <c r="B37" s="5"/>
      <c r="C37" s="5"/>
      <c r="D37" s="5"/>
      <c r="E37" s="5"/>
      <c r="F37" s="5"/>
      <c r="G37" s="5"/>
      <c r="H37" s="5"/>
      <c r="I37" s="5"/>
      <c r="J37" s="5"/>
      <c r="K37" s="5"/>
      <c r="O37" s="90"/>
      <c r="P37" s="90"/>
    </row>
    <row r="38" spans="1:17" s="1" customFormat="1" ht="69" x14ac:dyDescent="0.3">
      <c r="A38" s="64">
        <v>4</v>
      </c>
      <c r="B38" s="31" t="s">
        <v>44</v>
      </c>
      <c r="C38" s="65"/>
      <c r="D38" s="40"/>
      <c r="E38" s="40"/>
      <c r="F38" s="40"/>
      <c r="G38" s="40"/>
      <c r="H38" s="40"/>
      <c r="I38" s="40"/>
      <c r="J38" s="46"/>
      <c r="K38" s="30"/>
      <c r="O38" s="91"/>
      <c r="P38" s="91"/>
    </row>
    <row r="39" spans="1:17" x14ac:dyDescent="0.3">
      <c r="A39" s="41"/>
      <c r="B39" s="25" t="str">
        <f>B15</f>
        <v>Chainage 0+000 to 0+002</v>
      </c>
      <c r="C39" s="43">
        <f>C15</f>
        <v>1</v>
      </c>
      <c r="D39" s="44">
        <f>D15</f>
        <v>2</v>
      </c>
      <c r="E39" s="44">
        <f t="shared" ref="E39" si="13">E15</f>
        <v>4.2419016000000003</v>
      </c>
      <c r="F39" s="44">
        <f>5.7/12/3.281</f>
        <v>0.14477293508076805</v>
      </c>
      <c r="G39" s="40">
        <f>PRODUCT(C39:F39)</f>
        <v>1.2282250899116123</v>
      </c>
      <c r="H39" s="44"/>
      <c r="I39" s="44"/>
      <c r="J39" s="46"/>
      <c r="K39" s="37"/>
    </row>
    <row r="40" spans="1:17" x14ac:dyDescent="0.3">
      <c r="A40" s="41"/>
      <c r="B40" s="25" t="str">
        <f t="shared" ref="B40:E40" si="14">B16</f>
        <v>Chainage 0+002 to 0+004</v>
      </c>
      <c r="C40" s="43">
        <f t="shared" si="14"/>
        <v>1</v>
      </c>
      <c r="D40" s="44">
        <f t="shared" si="14"/>
        <v>2</v>
      </c>
      <c r="E40" s="44">
        <f t="shared" si="14"/>
        <v>4.1783508000000005</v>
      </c>
      <c r="F40" s="44">
        <f t="shared" ref="F40:F48" si="15">5.7/12/3.281</f>
        <v>0.14477293508076805</v>
      </c>
      <c r="G40" s="40">
        <f t="shared" ref="G40:G47" si="16">PRODUCT(C40:F40)</f>
        <v>1.2098242182261507</v>
      </c>
      <c r="H40" s="44"/>
      <c r="I40" s="44"/>
      <c r="J40" s="46"/>
      <c r="K40" s="37"/>
    </row>
    <row r="41" spans="1:17" x14ac:dyDescent="0.3">
      <c r="A41" s="41"/>
      <c r="B41" s="25" t="str">
        <f t="shared" ref="B41:E41" si="17">B17</f>
        <v>Chainage 0+004 to 0+006</v>
      </c>
      <c r="C41" s="43">
        <f t="shared" si="17"/>
        <v>1</v>
      </c>
      <c r="D41" s="44">
        <f t="shared" si="17"/>
        <v>2</v>
      </c>
      <c r="E41" s="44">
        <f t="shared" si="17"/>
        <v>4.0512492</v>
      </c>
      <c r="F41" s="44">
        <f t="shared" si="15"/>
        <v>0.14477293508076805</v>
      </c>
      <c r="G41" s="40">
        <f t="shared" si="16"/>
        <v>1.1730224748552269</v>
      </c>
      <c r="H41" s="44"/>
      <c r="I41" s="44"/>
      <c r="J41" s="46"/>
      <c r="K41" s="37"/>
    </row>
    <row r="42" spans="1:17" x14ac:dyDescent="0.3">
      <c r="A42" s="41"/>
      <c r="B42" s="25" t="str">
        <f t="shared" ref="B42:E42" si="18">B18</f>
        <v>Chainage 0+006 to 0+008</v>
      </c>
      <c r="C42" s="43">
        <f t="shared" si="18"/>
        <v>1</v>
      </c>
      <c r="D42" s="44">
        <f t="shared" si="18"/>
        <v>2</v>
      </c>
      <c r="E42" s="44">
        <f t="shared" si="18"/>
        <v>3.8607491999999999</v>
      </c>
      <c r="F42" s="44">
        <f t="shared" si="15"/>
        <v>0.14477293508076805</v>
      </c>
      <c r="G42" s="40">
        <f t="shared" si="16"/>
        <v>1.1178639865894544</v>
      </c>
      <c r="H42" s="44"/>
      <c r="I42" s="44"/>
      <c r="J42" s="46"/>
      <c r="K42" s="37"/>
    </row>
    <row r="43" spans="1:17" x14ac:dyDescent="0.3">
      <c r="A43" s="41"/>
      <c r="B43" s="25" t="str">
        <f t="shared" ref="B43:E43" si="19">B19</f>
        <v>Chainage 0+008 to 0+010</v>
      </c>
      <c r="C43" s="43">
        <f t="shared" si="19"/>
        <v>1</v>
      </c>
      <c r="D43" s="44">
        <f t="shared" si="19"/>
        <v>2</v>
      </c>
      <c r="E43" s="44">
        <f t="shared" si="19"/>
        <v>3.7459920000000002</v>
      </c>
      <c r="F43" s="44">
        <f t="shared" si="15"/>
        <v>0.14477293508076805</v>
      </c>
      <c r="G43" s="40">
        <f t="shared" si="16"/>
        <v>1.084636513258153</v>
      </c>
      <c r="H43" s="44"/>
      <c r="I43" s="44"/>
      <c r="J43" s="46"/>
      <c r="K43" s="37"/>
    </row>
    <row r="44" spans="1:17" x14ac:dyDescent="0.3">
      <c r="A44" s="41"/>
      <c r="B44" s="25" t="str">
        <f t="shared" ref="B44:E44" si="20">B20</f>
        <v>Chainage 0+010 to 0+012</v>
      </c>
      <c r="C44" s="43">
        <f t="shared" si="20"/>
        <v>1</v>
      </c>
      <c r="D44" s="44">
        <f t="shared" si="20"/>
        <v>2</v>
      </c>
      <c r="E44" s="44">
        <f t="shared" si="20"/>
        <v>3.8476428</v>
      </c>
      <c r="F44" s="44">
        <f t="shared" si="15"/>
        <v>0.14477293508076805</v>
      </c>
      <c r="G44" s="40">
        <f t="shared" si="16"/>
        <v>1.1140690825967692</v>
      </c>
      <c r="H44" s="44"/>
      <c r="I44" s="44"/>
      <c r="J44" s="46"/>
      <c r="K44" s="37"/>
    </row>
    <row r="45" spans="1:17" x14ac:dyDescent="0.3">
      <c r="A45" s="41"/>
      <c r="B45" s="25" t="str">
        <f t="shared" ref="B45:E45" si="21">B21</f>
        <v>Chainage 0+012 to 0+014</v>
      </c>
      <c r="C45" s="43">
        <f t="shared" si="21"/>
        <v>1</v>
      </c>
      <c r="D45" s="44">
        <f t="shared" si="21"/>
        <v>2</v>
      </c>
      <c r="E45" s="44">
        <f t="shared" si="21"/>
        <v>4.0259508000000004</v>
      </c>
      <c r="F45" s="44">
        <f t="shared" si="15"/>
        <v>0.14477293508076805</v>
      </c>
      <c r="G45" s="40">
        <f t="shared" si="16"/>
        <v>1.1656974276135326</v>
      </c>
      <c r="H45" s="44"/>
      <c r="I45" s="44"/>
      <c r="J45" s="46"/>
      <c r="K45" s="37"/>
    </row>
    <row r="46" spans="1:17" x14ac:dyDescent="0.3">
      <c r="A46" s="41"/>
      <c r="B46" s="25" t="str">
        <f t="shared" ref="B46:E46" si="22">B22</f>
        <v>Chainage 0+014 to 0+016</v>
      </c>
      <c r="C46" s="43">
        <f t="shared" si="22"/>
        <v>1</v>
      </c>
      <c r="D46" s="44">
        <f t="shared" si="22"/>
        <v>2</v>
      </c>
      <c r="E46" s="44">
        <f t="shared" si="22"/>
        <v>4.1147999999999998</v>
      </c>
      <c r="F46" s="44">
        <f t="shared" si="15"/>
        <v>0.14477293508076805</v>
      </c>
      <c r="G46" s="40">
        <f t="shared" si="16"/>
        <v>1.1914233465406887</v>
      </c>
      <c r="H46" s="44"/>
      <c r="I46" s="44"/>
      <c r="J46" s="46"/>
      <c r="K46" s="37"/>
    </row>
    <row r="47" spans="1:17" x14ac:dyDescent="0.3">
      <c r="A47" s="41"/>
      <c r="B47" s="25" t="str">
        <f t="shared" ref="B47:E48" si="23">B23</f>
        <v>Chainage 0+016 to 0+018</v>
      </c>
      <c r="C47" s="43">
        <f t="shared" si="23"/>
        <v>1</v>
      </c>
      <c r="D47" s="44">
        <f t="shared" si="23"/>
        <v>2</v>
      </c>
      <c r="E47" s="44">
        <f t="shared" si="23"/>
        <v>4.0766999999999998</v>
      </c>
      <c r="F47" s="44">
        <f t="shared" si="15"/>
        <v>0.14477293508076805</v>
      </c>
      <c r="G47" s="40">
        <f t="shared" si="16"/>
        <v>1.1803916488875341</v>
      </c>
      <c r="H47" s="44"/>
      <c r="I47" s="44"/>
      <c r="J47" s="46"/>
      <c r="K47" s="37"/>
    </row>
    <row r="48" spans="1:17" x14ac:dyDescent="0.3">
      <c r="A48" s="41"/>
      <c r="B48" s="25" t="str">
        <f t="shared" si="23"/>
        <v>Chainage 0+018 to 0+020.2</v>
      </c>
      <c r="C48" s="43">
        <f t="shared" si="23"/>
        <v>1</v>
      </c>
      <c r="D48" s="44">
        <f t="shared" si="23"/>
        <v>2.2000000000000002</v>
      </c>
      <c r="E48" s="44">
        <f t="shared" si="23"/>
        <v>4.0385999999999997</v>
      </c>
      <c r="F48" s="44">
        <f t="shared" si="15"/>
        <v>0.14477293508076805</v>
      </c>
      <c r="G48" s="40">
        <f>PRODUCT(C48:F48)</f>
        <v>1.2862959463578179</v>
      </c>
      <c r="H48" s="44"/>
      <c r="I48" s="44"/>
      <c r="J48" s="46"/>
      <c r="K48" s="37"/>
    </row>
    <row r="49" spans="1:19" ht="15" customHeight="1" x14ac:dyDescent="0.3">
      <c r="A49" s="41"/>
      <c r="B49" s="38" t="s">
        <v>40</v>
      </c>
      <c r="C49" s="43"/>
      <c r="D49" s="44"/>
      <c r="E49" s="44"/>
      <c r="F49" s="44"/>
      <c r="G49" s="34">
        <f>SUM(G39:G48)</f>
        <v>11.751449734836939</v>
      </c>
      <c r="H49" s="34" t="s">
        <v>39</v>
      </c>
      <c r="I49" s="34">
        <v>11588.17</v>
      </c>
      <c r="J49" s="45">
        <f>G49*I49</f>
        <v>136177.79727374538</v>
      </c>
      <c r="K49" s="37"/>
    </row>
    <row r="50" spans="1:19" ht="15" customHeight="1" x14ac:dyDescent="0.3">
      <c r="A50" s="41"/>
      <c r="B50" s="38" t="s">
        <v>38</v>
      </c>
      <c r="C50" s="43"/>
      <c r="D50" s="44"/>
      <c r="E50" s="44"/>
      <c r="F50" s="44"/>
      <c r="G50" s="44"/>
      <c r="H50" s="44"/>
      <c r="I50" s="44"/>
      <c r="J50" s="46">
        <f>0.13*G49*((128662.2+6685.5)/15)</f>
        <v>13784.608008390178</v>
      </c>
      <c r="K50" s="37"/>
    </row>
    <row r="51" spans="1:19" ht="15" customHeight="1" x14ac:dyDescent="0.3">
      <c r="A51" s="41"/>
      <c r="B51" s="38"/>
      <c r="C51" s="43"/>
      <c r="D51" s="44"/>
      <c r="E51" s="44"/>
      <c r="F51" s="44"/>
      <c r="G51" s="44"/>
      <c r="H51" s="44"/>
      <c r="I51" s="44"/>
      <c r="J51" s="46"/>
      <c r="K51" s="37"/>
    </row>
    <row r="52" spans="1:19" ht="15" customHeight="1" x14ac:dyDescent="0.3">
      <c r="A52" s="19">
        <v>5</v>
      </c>
      <c r="B52" s="31" t="s">
        <v>30</v>
      </c>
      <c r="C52" s="20">
        <v>1</v>
      </c>
      <c r="D52" s="21"/>
      <c r="E52" s="22"/>
      <c r="F52" s="22"/>
      <c r="G52" s="35">
        <f t="shared" ref="G52" si="24">PRODUCT(C52:F52)</f>
        <v>1</v>
      </c>
      <c r="H52" s="23" t="s">
        <v>31</v>
      </c>
      <c r="I52" s="24">
        <v>1000</v>
      </c>
      <c r="J52" s="35">
        <f>G52*I52</f>
        <v>1000</v>
      </c>
      <c r="K52" s="22"/>
      <c r="M52" s="26"/>
      <c r="N52" s="1"/>
      <c r="O52" s="1"/>
      <c r="P52" s="1"/>
      <c r="Q52" s="1"/>
      <c r="R52" s="26"/>
      <c r="S52" s="26"/>
    </row>
    <row r="53" spans="1:19" ht="15" customHeight="1" x14ac:dyDescent="0.3">
      <c r="A53" s="19"/>
      <c r="B53" s="25"/>
      <c r="C53" s="20"/>
      <c r="D53" s="21"/>
      <c r="E53" s="22"/>
      <c r="F53" s="22"/>
      <c r="G53" s="24"/>
      <c r="H53" s="23"/>
      <c r="I53" s="24"/>
      <c r="J53" s="42"/>
      <c r="K53" s="22"/>
      <c r="M53" s="26"/>
      <c r="N53" s="1"/>
      <c r="O53" s="1"/>
      <c r="P53" s="1"/>
      <c r="Q53" s="1"/>
      <c r="R53" s="26"/>
      <c r="S53" s="26"/>
    </row>
    <row r="54" spans="1:19" x14ac:dyDescent="0.3">
      <c r="A54" s="41"/>
      <c r="B54" s="47" t="s">
        <v>17</v>
      </c>
      <c r="C54" s="48"/>
      <c r="D54" s="39"/>
      <c r="E54" s="39"/>
      <c r="F54" s="39"/>
      <c r="G54" s="42"/>
      <c r="H54" s="42"/>
      <c r="I54" s="42"/>
      <c r="J54" s="42">
        <f>SUM(J10:J52)</f>
        <v>280414.15294768009</v>
      </c>
      <c r="K54" s="37"/>
    </row>
    <row r="55" spans="1:19" x14ac:dyDescent="0.3">
      <c r="A55" s="59"/>
      <c r="B55" s="62"/>
      <c r="C55" s="63"/>
      <c r="D55" s="60"/>
      <c r="E55" s="60"/>
      <c r="F55" s="60"/>
      <c r="G55" s="61"/>
      <c r="H55" s="61"/>
      <c r="I55" s="61"/>
      <c r="J55" s="61"/>
      <c r="K55" s="58"/>
    </row>
    <row r="56" spans="1:19" s="1" customFormat="1" x14ac:dyDescent="0.3">
      <c r="A56" s="51"/>
      <c r="B56" s="30" t="s">
        <v>68</v>
      </c>
      <c r="C56" s="69">
        <f>J54</f>
        <v>280414.15294768009</v>
      </c>
      <c r="D56" s="69"/>
      <c r="E56" s="40">
        <v>100</v>
      </c>
      <c r="F56" s="52"/>
      <c r="G56" s="53"/>
      <c r="H56" s="52"/>
      <c r="I56" s="54"/>
      <c r="J56" s="55"/>
      <c r="K56" s="56"/>
    </row>
    <row r="57" spans="1:19" x14ac:dyDescent="0.3">
      <c r="A57" s="57"/>
      <c r="B57" s="30" t="s">
        <v>32</v>
      </c>
      <c r="C57" s="72">
        <v>250000</v>
      </c>
      <c r="D57" s="72"/>
      <c r="E57" s="40"/>
      <c r="F57" s="50"/>
      <c r="G57" s="49"/>
      <c r="H57" s="49"/>
      <c r="I57" s="49"/>
      <c r="J57" s="49"/>
      <c r="K57" s="50"/>
    </row>
    <row r="58" spans="1:19" x14ac:dyDescent="0.3">
      <c r="A58" s="57"/>
      <c r="B58" s="30" t="s">
        <v>33</v>
      </c>
      <c r="C58" s="72">
        <f>C57-C60-C61</f>
        <v>237500</v>
      </c>
      <c r="D58" s="72"/>
      <c r="E58" s="40">
        <f>C58/C56*100</f>
        <v>84.696152994928525</v>
      </c>
      <c r="F58" s="50"/>
      <c r="G58" s="49"/>
      <c r="H58" s="49"/>
      <c r="I58" s="49"/>
      <c r="J58" s="49"/>
      <c r="K58" s="50"/>
    </row>
    <row r="59" spans="1:19" x14ac:dyDescent="0.3">
      <c r="A59" s="57"/>
      <c r="B59" s="30" t="s">
        <v>34</v>
      </c>
      <c r="C59" s="69">
        <f>C56-C58</f>
        <v>42914.152947680093</v>
      </c>
      <c r="D59" s="69"/>
      <c r="E59" s="40">
        <f>100-E58</f>
        <v>15.303847005071475</v>
      </c>
      <c r="F59" s="50"/>
      <c r="G59" s="49"/>
      <c r="H59" s="49"/>
      <c r="I59" s="49"/>
      <c r="J59" s="49"/>
      <c r="K59" s="50"/>
    </row>
    <row r="60" spans="1:19" x14ac:dyDescent="0.3">
      <c r="A60" s="57"/>
      <c r="B60" s="30" t="s">
        <v>35</v>
      </c>
      <c r="C60" s="69">
        <f>C57*0.03</f>
        <v>7500</v>
      </c>
      <c r="D60" s="69"/>
      <c r="E60" s="40">
        <v>3</v>
      </c>
      <c r="F60" s="50"/>
      <c r="G60" s="49"/>
      <c r="H60" s="49"/>
      <c r="I60" s="49"/>
      <c r="J60" s="49"/>
      <c r="K60" s="50"/>
    </row>
    <row r="61" spans="1:19" x14ac:dyDescent="0.3">
      <c r="A61" s="57"/>
      <c r="B61" s="30" t="s">
        <v>36</v>
      </c>
      <c r="C61" s="69">
        <f>C57*0.02</f>
        <v>5000</v>
      </c>
      <c r="D61" s="69"/>
      <c r="E61" s="40">
        <v>2</v>
      </c>
      <c r="F61" s="50"/>
      <c r="G61" s="49"/>
      <c r="H61" s="49"/>
      <c r="I61" s="49"/>
      <c r="J61" s="49"/>
      <c r="K61" s="50"/>
    </row>
    <row r="62" spans="1:19" s="36" customFormat="1" x14ac:dyDescent="0.3">
      <c r="A62" s="58"/>
      <c r="B62" s="58"/>
      <c r="C62" s="58"/>
      <c r="D62" s="58"/>
      <c r="E62" s="58"/>
      <c r="F62" s="58"/>
      <c r="G62" s="58"/>
      <c r="H62" s="58"/>
      <c r="I62" s="58"/>
      <c r="J62" s="58"/>
      <c r="K62" s="58"/>
    </row>
    <row r="63" spans="1:19" s="36" customFormat="1" x14ac:dyDescent="0.3"/>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sheetData>
  <mergeCells count="15">
    <mergeCell ref="A6:F6"/>
    <mergeCell ref="H6:K6"/>
    <mergeCell ref="A1:K1"/>
    <mergeCell ref="A2:K2"/>
    <mergeCell ref="A3:K3"/>
    <mergeCell ref="A4:K4"/>
    <mergeCell ref="A5:K5"/>
    <mergeCell ref="C60:D60"/>
    <mergeCell ref="C61:D61"/>
    <mergeCell ref="A7:F7"/>
    <mergeCell ref="H7:K7"/>
    <mergeCell ref="C56:D56"/>
    <mergeCell ref="C57:D57"/>
    <mergeCell ref="C58:D58"/>
    <mergeCell ref="C59:D59"/>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2" zoomScaleNormal="100" workbookViewId="0">
      <selection activeCell="D11" sqref="D11"/>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4</v>
      </c>
      <c r="B5" s="78"/>
      <c r="C5" s="78"/>
      <c r="D5" s="78"/>
      <c r="E5" s="78"/>
      <c r="F5" s="78"/>
      <c r="G5" s="78"/>
      <c r="H5" s="78"/>
      <c r="I5" s="78"/>
      <c r="J5" s="78"/>
      <c r="K5" s="78"/>
    </row>
    <row r="6" spans="1:19" ht="15.6" x14ac:dyDescent="0.3">
      <c r="A6" s="73" t="s">
        <v>53</v>
      </c>
      <c r="B6" s="73"/>
      <c r="C6" s="73"/>
      <c r="D6" s="73"/>
      <c r="E6" s="73"/>
      <c r="F6" s="73"/>
      <c r="G6" s="2"/>
      <c r="H6" s="74" t="s">
        <v>47</v>
      </c>
      <c r="I6" s="74"/>
      <c r="J6" s="74"/>
      <c r="K6" s="74"/>
    </row>
    <row r="7" spans="1:19" ht="15.6" x14ac:dyDescent="0.3">
      <c r="A7" s="70" t="s">
        <v>28</v>
      </c>
      <c r="B7" s="70"/>
      <c r="C7" s="70"/>
      <c r="D7" s="70"/>
      <c r="E7" s="70"/>
      <c r="F7" s="70"/>
      <c r="G7" s="3"/>
      <c r="H7" s="71" t="s">
        <v>54</v>
      </c>
      <c r="I7" s="71"/>
      <c r="J7" s="71"/>
      <c r="K7" s="71"/>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v>19.850000000000001</v>
      </c>
      <c r="E10" s="39">
        <f>13/3.281</f>
        <v>3.9622066443157573</v>
      </c>
      <c r="F10" s="39">
        <v>0.15</v>
      </c>
      <c r="G10" s="40">
        <f>PRODUCT(C10:F10)</f>
        <v>11.797470283450167</v>
      </c>
      <c r="H10" s="41"/>
      <c r="I10" s="41"/>
      <c r="J10" s="41"/>
      <c r="K10" s="22"/>
      <c r="M10" s="26"/>
      <c r="N10" s="1"/>
      <c r="O10" s="1"/>
      <c r="P10" s="1"/>
      <c r="Q10" s="1"/>
      <c r="R10" s="26"/>
      <c r="S10" s="26"/>
    </row>
    <row r="11" spans="1:19" ht="15" customHeight="1" x14ac:dyDescent="0.3">
      <c r="A11" s="19"/>
      <c r="B11" s="38" t="s">
        <v>40</v>
      </c>
      <c r="C11" s="20"/>
      <c r="D11" s="21"/>
      <c r="E11" s="22"/>
      <c r="F11" s="22"/>
      <c r="G11" s="24">
        <f>SUM(G10:G10)</f>
        <v>11.797470283450167</v>
      </c>
      <c r="H11" s="23" t="s">
        <v>39</v>
      </c>
      <c r="I11" s="24">
        <v>64.63</v>
      </c>
      <c r="J11" s="42">
        <f>G11*I11</f>
        <v>762.47050441938427</v>
      </c>
      <c r="K11" s="22"/>
      <c r="M11" s="26"/>
      <c r="N11" s="1"/>
      <c r="O11" s="1"/>
      <c r="P11" s="1"/>
      <c r="Q11" s="1"/>
      <c r="R11" s="26"/>
      <c r="S11" s="26"/>
    </row>
    <row r="12" spans="1:19" ht="15" customHeight="1" x14ac:dyDescent="0.3">
      <c r="A12" s="19"/>
      <c r="B12" s="38" t="s">
        <v>38</v>
      </c>
      <c r="C12" s="20"/>
      <c r="D12" s="21"/>
      <c r="E12" s="22"/>
      <c r="F12" s="22"/>
      <c r="G12" s="24"/>
      <c r="H12" s="23"/>
      <c r="I12" s="24"/>
      <c r="J12" s="42">
        <f>0.13*G11*19284/360</f>
        <v>82.15365056385248</v>
      </c>
      <c r="K12" s="22"/>
      <c r="M12" s="26"/>
      <c r="N12" s="1"/>
      <c r="O12" s="1"/>
      <c r="P12" s="1"/>
      <c r="Q12" s="1"/>
      <c r="R12" s="26"/>
      <c r="S12" s="26"/>
    </row>
    <row r="13" spans="1:19" ht="15" customHeight="1" x14ac:dyDescent="0.3">
      <c r="A13" s="19"/>
      <c r="B13" s="38"/>
      <c r="C13" s="20"/>
      <c r="D13" s="21"/>
      <c r="E13" s="22"/>
      <c r="F13" s="22"/>
      <c r="G13" s="24"/>
      <c r="H13" s="23"/>
      <c r="I13" s="24"/>
      <c r="J13" s="42"/>
      <c r="K13" s="22"/>
      <c r="M13" s="26"/>
      <c r="N13" s="1"/>
      <c r="O13" s="1"/>
      <c r="P13" s="1"/>
      <c r="Q13" s="1"/>
      <c r="R13" s="26"/>
      <c r="S13" s="26"/>
    </row>
    <row r="14" spans="1:19" ht="82.8" x14ac:dyDescent="0.3">
      <c r="A14" s="19">
        <v>2</v>
      </c>
      <c r="B14" s="31" t="s">
        <v>43</v>
      </c>
      <c r="C14" s="20"/>
      <c r="D14" s="21"/>
      <c r="E14" s="22"/>
      <c r="F14" s="22"/>
      <c r="G14" s="24"/>
      <c r="H14" s="23"/>
      <c r="I14" s="24"/>
      <c r="J14" s="42"/>
      <c r="K14" s="22"/>
      <c r="M14" s="26"/>
      <c r="N14" s="1"/>
      <c r="O14" s="1"/>
      <c r="P14" s="1"/>
      <c r="Q14" s="1"/>
      <c r="R14" s="26"/>
      <c r="S14" s="26"/>
    </row>
    <row r="15" spans="1:19" ht="15" customHeight="1" x14ac:dyDescent="0.3">
      <c r="A15" s="19"/>
      <c r="B15" s="38" t="str">
        <f>B10</f>
        <v>-Road</v>
      </c>
      <c r="C15" s="37">
        <f>C10</f>
        <v>1</v>
      </c>
      <c r="D15" s="39">
        <f>D10</f>
        <v>19.850000000000001</v>
      </c>
      <c r="E15" s="39">
        <f>E10</f>
        <v>3.9622066443157573</v>
      </c>
      <c r="F15" s="39">
        <v>0.15</v>
      </c>
      <c r="G15" s="40">
        <f>PRODUCT(C15:F15)</f>
        <v>11.797470283450167</v>
      </c>
      <c r="H15" s="41"/>
      <c r="I15" s="41"/>
      <c r="J15" s="41"/>
      <c r="K15" s="22"/>
      <c r="M15" s="26"/>
      <c r="N15" s="1"/>
      <c r="O15" s="1"/>
      <c r="P15" s="1"/>
      <c r="Q15" s="1"/>
      <c r="R15" s="26"/>
      <c r="S15" s="26"/>
    </row>
    <row r="16" spans="1:19" ht="15" customHeight="1" x14ac:dyDescent="0.3">
      <c r="A16" s="41"/>
      <c r="B16" s="38" t="s">
        <v>40</v>
      </c>
      <c r="C16" s="43"/>
      <c r="D16" s="44"/>
      <c r="E16" s="44"/>
      <c r="F16" s="44"/>
      <c r="G16" s="34">
        <f>SUM(G15:G15)</f>
        <v>11.797470283450167</v>
      </c>
      <c r="H16" s="34" t="s">
        <v>39</v>
      </c>
      <c r="I16" s="34">
        <v>4561.53</v>
      </c>
      <c r="J16" s="45">
        <f>G16*I16</f>
        <v>53814.514622066439</v>
      </c>
      <c r="K16" s="37"/>
    </row>
    <row r="17" spans="1:19" x14ac:dyDescent="0.3">
      <c r="A17" s="41"/>
      <c r="B17" s="38" t="s">
        <v>38</v>
      </c>
      <c r="C17" s="43"/>
      <c r="D17" s="44"/>
      <c r="E17" s="44"/>
      <c r="F17" s="44"/>
      <c r="G17" s="44"/>
      <c r="H17" s="44"/>
      <c r="I17" s="44"/>
      <c r="J17" s="46">
        <f>0.13*G16*(15452.6/5)</f>
        <v>4739.8413218530941</v>
      </c>
      <c r="K17" s="37"/>
    </row>
    <row r="18" spans="1:19" x14ac:dyDescent="0.3">
      <c r="A18" s="41"/>
      <c r="B18" s="38"/>
      <c r="C18" s="43"/>
      <c r="D18" s="44"/>
      <c r="E18" s="44"/>
      <c r="F18" s="44"/>
      <c r="G18" s="44"/>
      <c r="H18" s="44"/>
      <c r="I18" s="44"/>
      <c r="J18" s="46"/>
      <c r="K18" s="37"/>
    </row>
    <row r="19" spans="1:19" s="1" customFormat="1" ht="69" x14ac:dyDescent="0.3">
      <c r="A19" s="64">
        <v>3</v>
      </c>
      <c r="B19" s="31" t="s">
        <v>42</v>
      </c>
      <c r="C19" s="65" t="s">
        <v>7</v>
      </c>
      <c r="D19" s="66" t="s">
        <v>45</v>
      </c>
      <c r="E19" s="66" t="s">
        <v>51</v>
      </c>
      <c r="F19" s="66" t="s">
        <v>52</v>
      </c>
      <c r="G19" s="40"/>
      <c r="H19" s="40"/>
      <c r="I19" s="40"/>
      <c r="J19" s="46"/>
      <c r="K19" s="30"/>
    </row>
    <row r="20" spans="1:19" ht="15" customHeight="1" x14ac:dyDescent="0.3">
      <c r="A20" s="41"/>
      <c r="B20" s="38" t="str">
        <f>B15</f>
        <v>-Road</v>
      </c>
      <c r="C20" s="43">
        <f>TRUNC(D21/0.15,0)</f>
        <v>130</v>
      </c>
      <c r="D20" s="44">
        <f>E15-0.1</f>
        <v>3.8622066443157572</v>
      </c>
      <c r="E20" s="44">
        <f>10*10/162</f>
        <v>0.61728395061728392</v>
      </c>
      <c r="F20" s="44">
        <f>PRODUCT(C20:E20)</f>
        <v>309.93016281546198</v>
      </c>
      <c r="G20" s="44">
        <f>F20/1000</f>
        <v>0.30993016281546198</v>
      </c>
      <c r="H20" s="44"/>
      <c r="I20" s="44"/>
      <c r="J20" s="46"/>
      <c r="K20" s="37"/>
    </row>
    <row r="21" spans="1:19" x14ac:dyDescent="0.3">
      <c r="A21" s="5"/>
      <c r="B21" s="5"/>
      <c r="C21" s="43">
        <f>TRUNC(D20/0.15,0)</f>
        <v>25</v>
      </c>
      <c r="D21" s="7">
        <f>D15-0.1*3</f>
        <v>19.55</v>
      </c>
      <c r="E21" s="44">
        <f>8*8/162</f>
        <v>0.39506172839506171</v>
      </c>
      <c r="F21" s="44">
        <f>PRODUCT(C21:E21)</f>
        <v>193.0864197530864</v>
      </c>
      <c r="G21" s="44">
        <f>F21/1000</f>
        <v>0.19308641975308641</v>
      </c>
      <c r="H21" s="5"/>
      <c r="I21" s="5"/>
      <c r="J21" s="5"/>
      <c r="K21" s="5"/>
      <c r="M21" s="67"/>
      <c r="N21" s="67"/>
    </row>
    <row r="22" spans="1:19" ht="15" customHeight="1" x14ac:dyDescent="0.3">
      <c r="A22" s="41"/>
      <c r="B22" s="38" t="s">
        <v>40</v>
      </c>
      <c r="C22" s="43"/>
      <c r="D22" s="44"/>
      <c r="E22" s="44"/>
      <c r="F22" s="44"/>
      <c r="G22" s="34">
        <f>SUM(G20:G21)</f>
        <v>0.50301658256854842</v>
      </c>
      <c r="H22" s="34" t="s">
        <v>39</v>
      </c>
      <c r="I22" s="34">
        <v>124140</v>
      </c>
      <c r="J22" s="45">
        <f>G22*I22</f>
        <v>62444.478560059601</v>
      </c>
      <c r="K22" s="37"/>
    </row>
    <row r="23" spans="1:19" ht="15" customHeight="1" x14ac:dyDescent="0.3">
      <c r="A23" s="41"/>
      <c r="B23" s="38" t="s">
        <v>38</v>
      </c>
      <c r="C23" s="43"/>
      <c r="D23" s="44"/>
      <c r="E23" s="44"/>
      <c r="F23" s="44"/>
      <c r="G23" s="44"/>
      <c r="H23" s="44"/>
      <c r="I23" s="44"/>
      <c r="J23" s="46">
        <f>0.13*G22*110960</f>
        <v>7255.9136002347977</v>
      </c>
      <c r="K23" s="37"/>
    </row>
    <row r="24" spans="1:19" x14ac:dyDescent="0.3">
      <c r="A24" s="5"/>
      <c r="B24" s="5"/>
      <c r="C24" s="5"/>
      <c r="D24" s="5"/>
      <c r="E24" s="5"/>
      <c r="F24" s="5"/>
      <c r="G24" s="5"/>
      <c r="H24" s="5"/>
      <c r="I24" s="5"/>
      <c r="J24" s="5"/>
      <c r="K24" s="5"/>
    </row>
    <row r="25" spans="1:19" s="1" customFormat="1" ht="69" x14ac:dyDescent="0.3">
      <c r="A25" s="64">
        <v>4</v>
      </c>
      <c r="B25" s="31" t="s">
        <v>44</v>
      </c>
      <c r="C25" s="65"/>
      <c r="D25" s="40"/>
      <c r="E25" s="40"/>
      <c r="F25" s="40"/>
      <c r="G25" s="40"/>
      <c r="H25" s="40"/>
      <c r="I25" s="40"/>
      <c r="J25" s="46"/>
      <c r="K25" s="30"/>
    </row>
    <row r="26" spans="1:19" x14ac:dyDescent="0.3">
      <c r="A26" s="41"/>
      <c r="B26" s="25" t="str">
        <f>B15</f>
        <v>-Road</v>
      </c>
      <c r="C26" s="43">
        <f>C15</f>
        <v>1</v>
      </c>
      <c r="D26" s="44">
        <f>D15</f>
        <v>19.850000000000001</v>
      </c>
      <c r="E26" s="44">
        <f>E15</f>
        <v>3.9622066443157573</v>
      </c>
      <c r="F26" s="44">
        <v>0.15</v>
      </c>
      <c r="G26" s="40">
        <f>PRODUCT(C26:F26)</f>
        <v>11.797470283450167</v>
      </c>
      <c r="H26" s="44"/>
      <c r="I26" s="44"/>
      <c r="J26" s="46"/>
      <c r="K26" s="37"/>
    </row>
    <row r="27" spans="1:19" ht="15" customHeight="1" x14ac:dyDescent="0.3">
      <c r="A27" s="41"/>
      <c r="B27" s="38" t="s">
        <v>40</v>
      </c>
      <c r="C27" s="43"/>
      <c r="D27" s="44"/>
      <c r="E27" s="44"/>
      <c r="F27" s="44"/>
      <c r="G27" s="34">
        <f>SUM(G26:G26)</f>
        <v>11.797470283450167</v>
      </c>
      <c r="H27" s="34" t="s">
        <v>39</v>
      </c>
      <c r="I27" s="34">
        <v>11588.17</v>
      </c>
      <c r="J27" s="45">
        <f>G27*I27</f>
        <v>136711.09121456873</v>
      </c>
      <c r="K27" s="37"/>
    </row>
    <row r="28" spans="1:19" ht="15" customHeight="1" x14ac:dyDescent="0.3">
      <c r="A28" s="41"/>
      <c r="B28" s="38" t="s">
        <v>38</v>
      </c>
      <c r="C28" s="43"/>
      <c r="D28" s="44"/>
      <c r="E28" s="44"/>
      <c r="F28" s="44"/>
      <c r="G28" s="44"/>
      <c r="H28" s="44"/>
      <c r="I28" s="44"/>
      <c r="J28" s="46">
        <f>0.13*G27*((128662.2+6685.5)/15)</f>
        <v>13838.590728588846</v>
      </c>
      <c r="K28" s="37"/>
    </row>
    <row r="29" spans="1:19" ht="15" customHeight="1" x14ac:dyDescent="0.3">
      <c r="A29" s="41"/>
      <c r="B29" s="38"/>
      <c r="C29" s="43"/>
      <c r="D29" s="44"/>
      <c r="E29" s="44"/>
      <c r="F29" s="44"/>
      <c r="G29" s="44"/>
      <c r="H29" s="44"/>
      <c r="I29" s="44"/>
      <c r="J29" s="46"/>
      <c r="K29" s="37"/>
    </row>
    <row r="30" spans="1:19" ht="15" customHeight="1" x14ac:dyDescent="0.3">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3">
      <c r="A31" s="19"/>
      <c r="B31" s="25"/>
      <c r="C31" s="20"/>
      <c r="D31" s="21"/>
      <c r="E31" s="22"/>
      <c r="F31" s="22"/>
      <c r="G31" s="24"/>
      <c r="H31" s="23"/>
      <c r="I31" s="24"/>
      <c r="J31" s="42"/>
      <c r="K31" s="22"/>
      <c r="M31" s="26"/>
      <c r="N31" s="1"/>
      <c r="O31" s="1"/>
      <c r="P31" s="1"/>
      <c r="Q31" s="1"/>
      <c r="R31" s="26"/>
      <c r="S31" s="26"/>
    </row>
    <row r="32" spans="1:19" x14ac:dyDescent="0.3">
      <c r="A32" s="41"/>
      <c r="B32" s="47" t="s">
        <v>17</v>
      </c>
      <c r="C32" s="48"/>
      <c r="D32" s="39"/>
      <c r="E32" s="39"/>
      <c r="F32" s="39"/>
      <c r="G32" s="42"/>
      <c r="H32" s="42"/>
      <c r="I32" s="42"/>
      <c r="J32" s="42">
        <f>SUM(J10:J30)</f>
        <v>280649.05420235475</v>
      </c>
      <c r="K32" s="37"/>
    </row>
    <row r="33" spans="1:11" x14ac:dyDescent="0.3">
      <c r="A33" s="59"/>
      <c r="B33" s="62"/>
      <c r="C33" s="63"/>
      <c r="D33" s="60"/>
      <c r="E33" s="60"/>
      <c r="F33" s="60"/>
      <c r="G33" s="61"/>
      <c r="H33" s="61"/>
      <c r="I33" s="61"/>
      <c r="J33" s="61"/>
      <c r="K33" s="58"/>
    </row>
    <row r="34" spans="1:11" s="1" customFormat="1" x14ac:dyDescent="0.3">
      <c r="A34" s="51"/>
      <c r="B34" s="30" t="s">
        <v>27</v>
      </c>
      <c r="C34" s="69">
        <f>J32</f>
        <v>280649.05420235475</v>
      </c>
      <c r="D34" s="69"/>
      <c r="E34" s="40">
        <v>100</v>
      </c>
      <c r="F34" s="52"/>
      <c r="G34" s="53"/>
      <c r="H34" s="52"/>
      <c r="I34" s="54"/>
      <c r="J34" s="55"/>
      <c r="K34" s="56"/>
    </row>
    <row r="35" spans="1:11" x14ac:dyDescent="0.3">
      <c r="A35" s="57"/>
      <c r="B35" s="30" t="s">
        <v>32</v>
      </c>
      <c r="C35" s="72">
        <v>250000</v>
      </c>
      <c r="D35" s="72"/>
      <c r="E35" s="40"/>
      <c r="F35" s="50"/>
      <c r="G35" s="49"/>
      <c r="H35" s="49"/>
      <c r="I35" s="49"/>
      <c r="J35" s="49"/>
      <c r="K35" s="50"/>
    </row>
    <row r="36" spans="1:11" x14ac:dyDescent="0.3">
      <c r="A36" s="57"/>
      <c r="B36" s="30" t="s">
        <v>33</v>
      </c>
      <c r="C36" s="72">
        <f>C35-C38-C39</f>
        <v>237500</v>
      </c>
      <c r="D36" s="72"/>
      <c r="E36" s="40">
        <f>C36/C34*100</f>
        <v>84.625262919559589</v>
      </c>
      <c r="F36" s="50"/>
      <c r="G36" s="49"/>
      <c r="H36" s="49"/>
      <c r="I36" s="49"/>
      <c r="J36" s="49"/>
      <c r="K36" s="50"/>
    </row>
    <row r="37" spans="1:11" x14ac:dyDescent="0.3">
      <c r="A37" s="57"/>
      <c r="B37" s="30" t="s">
        <v>34</v>
      </c>
      <c r="C37" s="69">
        <f>C34-C36</f>
        <v>43149.054202354746</v>
      </c>
      <c r="D37" s="69"/>
      <c r="E37" s="40">
        <f>100-E36</f>
        <v>15.374737080440411</v>
      </c>
      <c r="F37" s="50"/>
      <c r="G37" s="49"/>
      <c r="H37" s="49"/>
      <c r="I37" s="49"/>
      <c r="J37" s="49"/>
      <c r="K37" s="50"/>
    </row>
    <row r="38" spans="1:11" x14ac:dyDescent="0.3">
      <c r="A38" s="57"/>
      <c r="B38" s="30" t="s">
        <v>35</v>
      </c>
      <c r="C38" s="69">
        <f>C35*0.03</f>
        <v>7500</v>
      </c>
      <c r="D38" s="69"/>
      <c r="E38" s="40">
        <v>3</v>
      </c>
      <c r="F38" s="50"/>
      <c r="G38" s="49"/>
      <c r="H38" s="49"/>
      <c r="I38" s="49"/>
      <c r="J38" s="49"/>
      <c r="K38" s="50"/>
    </row>
    <row r="39" spans="1:11" x14ac:dyDescent="0.3">
      <c r="A39" s="57"/>
      <c r="B39" s="30" t="s">
        <v>36</v>
      </c>
      <c r="C39" s="69">
        <f>C35*0.02</f>
        <v>5000</v>
      </c>
      <c r="D39" s="69"/>
      <c r="E39" s="40">
        <v>2</v>
      </c>
      <c r="F39" s="50"/>
      <c r="G39" s="49"/>
      <c r="H39" s="49"/>
      <c r="I39" s="49"/>
      <c r="J39" s="49"/>
      <c r="K39" s="50"/>
    </row>
    <row r="40" spans="1:11" s="36" customFormat="1" x14ac:dyDescent="0.3">
      <c r="A40" s="58"/>
      <c r="B40" s="58"/>
      <c r="C40" s="58"/>
      <c r="D40" s="58"/>
      <c r="E40" s="58"/>
      <c r="F40" s="58"/>
      <c r="G40" s="58"/>
      <c r="H40" s="58"/>
      <c r="I40" s="58"/>
      <c r="J40" s="58"/>
      <c r="K40" s="58"/>
    </row>
    <row r="41" spans="1:11" s="36" customFormat="1" x14ac:dyDescent="0.3"/>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bendol estimate</vt:lpstr>
      <vt:lpstr>WCR</vt:lpstr>
      <vt:lpstr>V</vt:lpstr>
      <vt:lpstr>re-estimate</vt:lpstr>
      <vt:lpstr>'bendol estimate'!Print_Area</vt:lpstr>
      <vt:lpstr>'re-estimate'!Print_Area</vt:lpstr>
      <vt:lpstr>V!Print_Area</vt:lpstr>
      <vt:lpstr>'bendol estimate'!Print_Titles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2024-11-18T08:42:21Z</dcterms:modified>
</cp:coreProperties>
</file>