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final" sheetId="3" r:id="rId1"/>
  </sheets>
  <externalReferences>
    <externalReference r:id="rId2"/>
    <externalReference r:id="rId3"/>
  </externalReferences>
  <definedNames>
    <definedName name="description_103">[1]Abstract!$B$16</definedName>
    <definedName name="description_124" localSheetId="0">#REF!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0">final!$A$1:$K$252</definedName>
    <definedName name="_xlnm.Print_Titles" localSheetId="0">final!$1:$8</definedName>
  </definedNames>
  <calcPr calcId="162913"/>
</workbook>
</file>

<file path=xl/calcChain.xml><?xml version="1.0" encoding="utf-8"?>
<calcChain xmlns="http://schemas.openxmlformats.org/spreadsheetml/2006/main">
  <c r="E223" i="3" l="1"/>
  <c r="D223" i="3"/>
  <c r="J216" i="3"/>
  <c r="C209" i="3"/>
  <c r="G197" i="3"/>
  <c r="C204" i="3"/>
  <c r="C196" i="3"/>
  <c r="D46" i="3"/>
  <c r="G177" i="3"/>
  <c r="G170" i="3"/>
  <c r="D81" i="3"/>
  <c r="D80" i="3"/>
  <c r="G59" i="3"/>
  <c r="J60" i="3" s="1"/>
  <c r="J54" i="3"/>
  <c r="G53" i="3"/>
  <c r="C46" i="3"/>
  <c r="C39" i="3"/>
  <c r="C40" i="3"/>
  <c r="D39" i="3"/>
  <c r="D40" i="3"/>
  <c r="J33" i="3"/>
  <c r="J28" i="3"/>
  <c r="I14" i="3"/>
  <c r="C252" i="3" l="1"/>
  <c r="C251" i="3"/>
  <c r="G243" i="3"/>
  <c r="J243" i="3" s="1"/>
  <c r="G241" i="3"/>
  <c r="J241" i="3" s="1"/>
  <c r="C237" i="3"/>
  <c r="G237" i="3" s="1"/>
  <c r="J238" i="3" s="1"/>
  <c r="G233" i="3"/>
  <c r="G234" i="3" s="1"/>
  <c r="J234" i="3" s="1"/>
  <c r="J235" i="3" s="1"/>
  <c r="C228" i="3"/>
  <c r="I224" i="3"/>
  <c r="D228" i="3"/>
  <c r="I220" i="3"/>
  <c r="F219" i="3"/>
  <c r="E219" i="3"/>
  <c r="F214" i="3"/>
  <c r="E214" i="3"/>
  <c r="G214" i="3" s="1"/>
  <c r="G215" i="3" s="1"/>
  <c r="I210" i="3"/>
  <c r="F209" i="3"/>
  <c r="E209" i="3"/>
  <c r="G209" i="3" s="1"/>
  <c r="E208" i="3"/>
  <c r="D208" i="3"/>
  <c r="G208" i="3" s="1"/>
  <c r="I205" i="3"/>
  <c r="E204" i="3"/>
  <c r="D203" i="3"/>
  <c r="G203" i="3" s="1"/>
  <c r="D202" i="3"/>
  <c r="B202" i="3"/>
  <c r="D201" i="3"/>
  <c r="G201" i="3" s="1"/>
  <c r="D196" i="3"/>
  <c r="D204" i="3" s="1"/>
  <c r="G204" i="3" s="1"/>
  <c r="G195" i="3"/>
  <c r="D195" i="3"/>
  <c r="D194" i="3"/>
  <c r="G194" i="3" s="1"/>
  <c r="D193" i="3"/>
  <c r="G193" i="3" s="1"/>
  <c r="D192" i="3"/>
  <c r="F202" i="3" s="1"/>
  <c r="G191" i="3"/>
  <c r="D191" i="3"/>
  <c r="I187" i="3"/>
  <c r="G186" i="3"/>
  <c r="G187" i="3" s="1"/>
  <c r="I182" i="3"/>
  <c r="B181" i="3"/>
  <c r="I177"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I159" i="3"/>
  <c r="G158" i="3"/>
  <c r="D157" i="3"/>
  <c r="G157" i="3" s="1"/>
  <c r="G159" i="3" s="1"/>
  <c r="I153" i="3"/>
  <c r="E152" i="3"/>
  <c r="C152" i="3"/>
  <c r="G152" i="3" s="1"/>
  <c r="D151" i="3"/>
  <c r="C151" i="3"/>
  <c r="G151" i="3" s="1"/>
  <c r="I147" i="3"/>
  <c r="D146" i="3"/>
  <c r="C146" i="3"/>
  <c r="G146" i="3" s="1"/>
  <c r="C145" i="3"/>
  <c r="I141" i="3"/>
  <c r="D140" i="3"/>
  <c r="C140" i="3"/>
  <c r="C139" i="3"/>
  <c r="I135" i="3"/>
  <c r="D134" i="3"/>
  <c r="C134" i="3"/>
  <c r="C133" i="3"/>
  <c r="D128" i="3"/>
  <c r="C128" i="3"/>
  <c r="G128" i="3" s="1"/>
  <c r="C127" i="3"/>
  <c r="I123" i="3"/>
  <c r="D122" i="3"/>
  <c r="G122" i="3" s="1"/>
  <c r="C122" i="3"/>
  <c r="C121" i="3"/>
  <c r="D116" i="3"/>
  <c r="C116" i="3"/>
  <c r="C115" i="3"/>
  <c r="I111" i="3"/>
  <c r="D110" i="3"/>
  <c r="C110" i="3"/>
  <c r="D109" i="3"/>
  <c r="G109" i="3" s="1"/>
  <c r="D108" i="3"/>
  <c r="G108" i="3" s="1"/>
  <c r="I103" i="3"/>
  <c r="D102" i="3"/>
  <c r="C102" i="3"/>
  <c r="D101" i="3"/>
  <c r="G101" i="3" s="1"/>
  <c r="D100" i="3"/>
  <c r="G100" i="3" s="1"/>
  <c r="C99" i="3"/>
  <c r="I95" i="3"/>
  <c r="D94" i="3"/>
  <c r="G94" i="3" s="1"/>
  <c r="C93" i="3"/>
  <c r="I89" i="3"/>
  <c r="D88" i="3"/>
  <c r="G88" i="3" s="1"/>
  <c r="C87" i="3"/>
  <c r="I83"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G76" i="3" s="1"/>
  <c r="F65" i="3"/>
  <c r="D65" i="3"/>
  <c r="F64" i="3"/>
  <c r="D64" i="3"/>
  <c r="F63" i="3"/>
  <c r="F82" i="3" s="1"/>
  <c r="E63" i="3"/>
  <c r="F58" i="3"/>
  <c r="E58" i="3"/>
  <c r="D58" i="3"/>
  <c r="F57" i="3"/>
  <c r="E57" i="3"/>
  <c r="D57" i="3"/>
  <c r="D52" i="3"/>
  <c r="G52" i="3" s="1"/>
  <c r="E51" i="3"/>
  <c r="G51" i="3" s="1"/>
  <c r="D51" i="3"/>
  <c r="N50" i="3"/>
  <c r="E46" i="3"/>
  <c r="E181" i="3" s="1"/>
  <c r="D181" i="3"/>
  <c r="F45" i="3"/>
  <c r="G45" i="3" s="1"/>
  <c r="E40" i="3"/>
  <c r="E39" i="3"/>
  <c r="E38" i="3"/>
  <c r="D38" i="3"/>
  <c r="C38" i="3"/>
  <c r="E37" i="3"/>
  <c r="D37" i="3"/>
  <c r="C37" i="3"/>
  <c r="E36" i="3"/>
  <c r="D36" i="3"/>
  <c r="C36" i="3"/>
  <c r="E26" i="3"/>
  <c r="E31" i="3" s="1"/>
  <c r="D26" i="3"/>
  <c r="D31" i="3" s="1"/>
  <c r="C26" i="3"/>
  <c r="C31" i="3" s="1"/>
  <c r="G22" i="3"/>
  <c r="G23" i="3" s="1"/>
  <c r="J23" i="3" s="1"/>
  <c r="D22" i="3"/>
  <c r="F18" i="3"/>
  <c r="E18" i="3"/>
  <c r="D18" i="3"/>
  <c r="F17" i="3"/>
  <c r="E17" i="3"/>
  <c r="D17" i="3"/>
  <c r="G13" i="3"/>
  <c r="F13" i="3"/>
  <c r="E13" i="3"/>
  <c r="F12" i="3"/>
  <c r="D12" i="3"/>
  <c r="D11" i="3"/>
  <c r="G11" i="3" s="1"/>
  <c r="F10" i="3"/>
  <c r="E10" i="3"/>
  <c r="G17" i="3" l="1"/>
  <c r="G19" i="3" s="1"/>
  <c r="J19" i="3" s="1"/>
  <c r="G18" i="3"/>
  <c r="G64" i="3"/>
  <c r="F36" i="3"/>
  <c r="G36" i="3" s="1"/>
  <c r="G174" i="3"/>
  <c r="G70" i="3"/>
  <c r="G80" i="3"/>
  <c r="G82" i="3"/>
  <c r="G210" i="3"/>
  <c r="J210" i="3" s="1"/>
  <c r="G10" i="3"/>
  <c r="F37" i="3"/>
  <c r="G37" i="3" s="1"/>
  <c r="F40" i="3"/>
  <c r="G40" i="3" s="1"/>
  <c r="G71" i="3"/>
  <c r="G75" i="3"/>
  <c r="G102" i="3"/>
  <c r="G140" i="3"/>
  <c r="G219" i="3"/>
  <c r="G220" i="3" s="1"/>
  <c r="J220" i="3" s="1"/>
  <c r="G66" i="3"/>
  <c r="F38" i="3"/>
  <c r="G38" i="3" s="1"/>
  <c r="G116" i="3"/>
  <c r="G228" i="3"/>
  <c r="G229" i="3" s="1"/>
  <c r="J229" i="3" s="1"/>
  <c r="F39" i="3"/>
  <c r="G39" i="3" s="1"/>
  <c r="G65" i="3"/>
  <c r="G134" i="3"/>
  <c r="G223" i="3"/>
  <c r="G224" i="3" s="1"/>
  <c r="J224" i="3" s="1"/>
  <c r="C249" i="3"/>
  <c r="G58" i="3"/>
  <c r="G163" i="3"/>
  <c r="G165" i="3"/>
  <c r="G167" i="3"/>
  <c r="G169" i="3"/>
  <c r="G72" i="3"/>
  <c r="D87" i="3"/>
  <c r="D93" i="3" s="1"/>
  <c r="D73" i="3"/>
  <c r="G73" i="3" s="1"/>
  <c r="G81" i="3"/>
  <c r="G110" i="3"/>
  <c r="G175" i="3"/>
  <c r="G192" i="3"/>
  <c r="G196" i="3"/>
  <c r="G46" i="3"/>
  <c r="G47" i="3" s="1"/>
  <c r="J48" i="3" s="1"/>
  <c r="G57" i="3"/>
  <c r="G63" i="3"/>
  <c r="G74" i="3"/>
  <c r="G79" i="3"/>
  <c r="G164" i="3"/>
  <c r="G166" i="3"/>
  <c r="G168" i="3"/>
  <c r="C181" i="3"/>
  <c r="G181" i="3" s="1"/>
  <c r="G182" i="3" s="1"/>
  <c r="G12" i="3"/>
  <c r="G69" i="3"/>
  <c r="G176" i="3"/>
  <c r="J187" i="3"/>
  <c r="J188" i="3" s="1"/>
  <c r="J159" i="3"/>
  <c r="J160" i="3"/>
  <c r="J211" i="3"/>
  <c r="J53" i="3"/>
  <c r="G153" i="3"/>
  <c r="G31" i="3"/>
  <c r="G32" i="3" s="1"/>
  <c r="G202" i="3"/>
  <c r="G205" i="3" s="1"/>
  <c r="J205" i="3" s="1"/>
  <c r="G26" i="3"/>
  <c r="G27" i="3" s="1"/>
  <c r="D67" i="3"/>
  <c r="G238" i="3"/>
  <c r="J239" i="3" s="1"/>
  <c r="J215" i="3"/>
  <c r="J225" i="3" l="1"/>
  <c r="G87" i="3"/>
  <c r="G89" i="3" s="1"/>
  <c r="G14" i="3"/>
  <c r="G41" i="3"/>
  <c r="J42" i="3" s="1"/>
  <c r="J14" i="3"/>
  <c r="J198" i="3"/>
  <c r="J230" i="3"/>
  <c r="J178" i="3"/>
  <c r="J177" i="3"/>
  <c r="G67" i="3"/>
  <c r="D68" i="3"/>
  <c r="G68" i="3" s="1"/>
  <c r="J153" i="3"/>
  <c r="J154" i="3"/>
  <c r="J27" i="3"/>
  <c r="J32" i="3"/>
  <c r="J47" i="3"/>
  <c r="J89" i="3"/>
  <c r="J90" i="3"/>
  <c r="J183" i="3"/>
  <c r="J182" i="3"/>
  <c r="D99" i="3"/>
  <c r="G93" i="3"/>
  <c r="G95" i="3" s="1"/>
  <c r="J41" i="3" l="1"/>
  <c r="J197" i="3"/>
  <c r="J59" i="3"/>
  <c r="J171" i="3"/>
  <c r="J170" i="3"/>
  <c r="J96" i="3"/>
  <c r="J95" i="3"/>
  <c r="D107" i="3"/>
  <c r="G99" i="3"/>
  <c r="G103" i="3" s="1"/>
  <c r="G83" i="3"/>
  <c r="D145" i="3" l="1"/>
  <c r="D115" i="3"/>
  <c r="G115" i="3" s="1"/>
  <c r="G117" i="3" s="1"/>
  <c r="G107" i="3"/>
  <c r="G111" i="3" s="1"/>
  <c r="J83" i="3"/>
  <c r="J84" i="3"/>
  <c r="J103" i="3"/>
  <c r="J104" i="3"/>
  <c r="J111" i="3" l="1"/>
  <c r="J112" i="3"/>
  <c r="J118" i="3"/>
  <c r="J117" i="3"/>
  <c r="G145" i="3"/>
  <c r="G147" i="3" s="1"/>
  <c r="D121" i="3"/>
  <c r="D127" i="3" l="1"/>
  <c r="G121" i="3"/>
  <c r="G123" i="3" s="1"/>
  <c r="J148" i="3"/>
  <c r="J147" i="3"/>
  <c r="J123" i="3" l="1"/>
  <c r="J124" i="3"/>
  <c r="D133" i="3"/>
  <c r="G127" i="3"/>
  <c r="G129" i="3" s="1"/>
  <c r="G133" i="3" l="1"/>
  <c r="G135" i="3" s="1"/>
  <c r="D139" i="3"/>
  <c r="G139" i="3" s="1"/>
  <c r="G141" i="3" s="1"/>
  <c r="J130" i="3"/>
  <c r="J129" i="3"/>
  <c r="J136" i="3" l="1"/>
  <c r="J135" i="3"/>
  <c r="J141" i="3"/>
  <c r="J142" i="3"/>
  <c r="J245" i="3" l="1"/>
  <c r="C247" i="3" s="1"/>
  <c r="C250" i="3" s="1"/>
  <c r="E249" i="3" l="1"/>
  <c r="E250" i="3" s="1"/>
</calcChain>
</file>

<file path=xl/sharedStrings.xml><?xml version="1.0" encoding="utf-8"?>
<sst xmlns="http://schemas.openxmlformats.org/spreadsheetml/2006/main" count="246" uniqueCount="121">
  <si>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</si>
  <si>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</si>
  <si>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</si>
  <si>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</si>
  <si>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</si>
  <si>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</si>
  <si>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</si>
  <si>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</si>
  <si>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</si>
  <si>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</si>
  <si>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</si>
  <si>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</si>
  <si>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</si>
  <si>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</si>
  <si>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</si>
  <si>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</si>
  <si>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</si>
  <si>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</si>
  <si>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</si>
  <si>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</si>
  <si>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</si>
  <si>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</si>
  <si>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</si>
  <si>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</si>
  <si>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</si>
  <si>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</si>
  <si>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</si>
  <si>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</si>
  <si>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</si>
  <si>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</si>
  <si>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</si>
  <si>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</si>
  <si>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</si>
  <si>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</si>
  <si>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</si>
  <si>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</si>
  <si>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</si>
  <si>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</si>
  <si>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</si>
  <si>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</si>
  <si>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</si>
  <si>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</si>
  <si>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</si>
  <si>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</si>
  <si>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</si>
  <si>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</si>
  <si>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</si>
  <si>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</si>
  <si>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</si>
  <si>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</si>
  <si>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</si>
  <si>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</si>
  <si>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</si>
  <si>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</si>
  <si>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</si>
  <si>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</si>
  <si>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</si>
  <si>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</si>
  <si>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</si>
  <si>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</si>
  <si>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</si>
  <si>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</si>
  <si>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</si>
  <si>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</si>
  <si>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</si>
  <si>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</si>
  <si>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</si>
  <si>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</si>
  <si>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</si>
  <si>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</si>
  <si>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</si>
  <si>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</si>
  <si>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</si>
  <si>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</si>
  <si>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</si>
  <si>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</si>
  <si>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</si>
  <si>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</si>
  <si>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</si>
  <si>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</si>
  <si>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</si>
  <si>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</si>
  <si>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</si>
  <si>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</si>
  <si>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</si>
  <si>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</si>
  <si>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</si>
  <si>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</si>
  <si>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</si>
  <si>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</si>
  <si>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</si>
  <si>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</si>
  <si>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</si>
  <si>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</si>
  <si>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</si>
  <si>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Wooden Column carving work excluding wood</t>
  </si>
  <si>
    <t>-Window</t>
  </si>
  <si>
    <t>Carved salwood Lattice (jali) of Carved Window (second type) including wood</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</si>
  <si>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</si>
  <si>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</si>
  <si>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</si>
  <si>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</si>
  <si>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</si>
  <si>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</si>
  <si>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</si>
  <si>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</si>
  <si>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</si>
  <si>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20/22 /26 gauge brass sheet of 1mm thickness gajur making and fixing on roof with Gajur size height 24"</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</si>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</sst>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5">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0" fontId="0" fillId="0" borderId="1" xfId="0" applyBorder="1" applyAlignment="1">
      <alignment wrapText="1"/>
    </xf>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2"/>
  <sheetViews>
    <sheetView tabSelected="1" topLeftCell="A231" zoomScaleNormal="100" zoomScaleSheetLayoutView="80" workbookViewId="0">
      <selection activeCell="I242" sqref="I242"/>
    </sheetView>
  </sheetViews>
  <sheetFormatPr defaultRowHeight="14.4" x14ac:dyDescent="0.3"/>
  <cols>
    <col min="1" max="1" width="4.44140625" style="71" customWidth="1"/>
    <col min="2" max="2" width="31.33203125" customWidth="1"/>
    <col min="3" max="3" width="4.5546875" bestFit="1" customWidth="1"/>
    <col min="4" max="4" width="9.33203125" customWidth="1"/>
    <col min="5" max="5" width="7.88671875" customWidth="1"/>
    <col min="6" max="6" width="8.33203125" customWidth="1"/>
    <col min="7" max="7" width="8.5546875" style="72" customWidth="1"/>
    <col min="8" max="8" width="5.33203125" style="72" bestFit="1" customWidth="1"/>
    <col min="9" max="9" width="10.44140625" style="72" customWidth="1"/>
    <col min="10" max="10" width="10.5546875" style="72" bestFit="1" customWidth="1"/>
    <col min="11" max="11" width="8.88671875" customWidth="1"/>
  </cols>
  <sheetData>
    <row r="1" spans="1:14" s="1" customFormat="1" x14ac:dyDescent="0.3">
      <c r="A1" s="75" t="s">
        <v>0</v>
      </c>
      <c r="B1" s="75"/>
      <c r="C1" s="75"/>
      <c r="D1" s="75"/>
      <c r="E1" s="75"/>
      <c r="F1" s="75"/>
      <c r="G1" s="75"/>
      <c r="H1" s="75"/>
      <c r="I1" s="75"/>
      <c r="J1" s="75"/>
      <c r="K1" s="75"/>
    </row>
    <row r="2" spans="1:14" s="1" customFormat="1" ht="22.8" x14ac:dyDescent="0.3">
      <c r="A2" s="76" t="s">
        <v>1</v>
      </c>
      <c r="B2" s="76"/>
      <c r="C2" s="76"/>
      <c r="D2" s="76"/>
      <c r="E2" s="76"/>
      <c r="F2" s="76"/>
      <c r="G2" s="76"/>
      <c r="H2" s="76"/>
      <c r="I2" s="76"/>
      <c r="J2" s="76"/>
      <c r="K2" s="76"/>
    </row>
    <row r="3" spans="1:14" s="1" customFormat="1" x14ac:dyDescent="0.3">
      <c r="A3" s="77" t="s">
        <v>2</v>
      </c>
      <c r="B3" s="77"/>
      <c r="C3" s="77"/>
      <c r="D3" s="77"/>
      <c r="E3" s="77"/>
      <c r="F3" s="77"/>
      <c r="G3" s="77"/>
      <c r="H3" s="77"/>
      <c r="I3" s="77"/>
      <c r="J3" s="77"/>
      <c r="K3" s="77"/>
    </row>
    <row r="4" spans="1:14" s="1" customFormat="1" x14ac:dyDescent="0.3">
      <c r="A4" s="77" t="s">
        <v>3</v>
      </c>
      <c r="B4" s="77"/>
      <c r="C4" s="77"/>
      <c r="D4" s="77"/>
      <c r="E4" s="77"/>
      <c r="F4" s="77"/>
      <c r="G4" s="77"/>
      <c r="H4" s="77"/>
      <c r="I4" s="77"/>
      <c r="J4" s="77"/>
      <c r="K4" s="77"/>
    </row>
    <row r="5" spans="1:14" ht="17.399999999999999" x14ac:dyDescent="0.3">
      <c r="A5" s="78" t="s">
        <v>4</v>
      </c>
      <c r="B5" s="78"/>
      <c r="C5" s="78"/>
      <c r="D5" s="78"/>
      <c r="E5" s="78"/>
      <c r="F5" s="78"/>
      <c r="G5" s="78"/>
      <c r="H5" s="78"/>
      <c r="I5" s="78"/>
      <c r="J5" s="78"/>
      <c r="K5" s="78"/>
    </row>
    <row r="6" spans="1:14" ht="15.6" x14ac:dyDescent="0.3">
      <c r="A6" s="73" t="s">
        <v>5</v>
      </c>
      <c r="B6" s="73"/>
      <c r="C6" s="73"/>
      <c r="D6" s="73"/>
      <c r="E6" s="73"/>
      <c r="F6" s="73"/>
      <c r="G6" s="2"/>
      <c r="H6" s="74" t="s">
        <v>6</v>
      </c>
      <c r="I6" s="74"/>
      <c r="J6" s="74"/>
      <c r="K6" s="74"/>
    </row>
    <row r="7" spans="1:14" ht="15.6" x14ac:dyDescent="0.3">
      <c r="A7" s="81" t="s">
        <v>7</v>
      </c>
      <c r="B7" s="81"/>
      <c r="C7" s="81"/>
      <c r="D7" s="81"/>
      <c r="E7" s="81"/>
      <c r="F7" s="81"/>
      <c r="G7" s="3"/>
      <c r="H7" s="74" t="s">
        <v>8</v>
      </c>
      <c r="I7" s="74"/>
      <c r="J7" s="74"/>
      <c r="K7" s="74"/>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1</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119</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120</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3">
      <c r="A72" s="47"/>
      <c r="B72" s="48" t="s">
        <v>60</v>
      </c>
      <c r="C72" s="49">
        <v>2</v>
      </c>
      <c r="D72" s="50">
        <f>2.6</f>
        <v>2.6</v>
      </c>
      <c r="E72" s="50"/>
      <c r="F72" s="50">
        <f>2.6</f>
        <v>2.6</v>
      </c>
      <c r="G72" s="50">
        <f t="shared" si="4"/>
        <v>13.520000000000001</v>
      </c>
      <c r="H72" s="50"/>
      <c r="I72" s="50"/>
      <c r="J72" s="51"/>
      <c r="K72" s="52"/>
    </row>
    <row r="73" spans="1:14" s="53" customFormat="1" ht="15" customHeight="1" x14ac:dyDescent="0.3">
      <c r="A73" s="47"/>
      <c r="B73" s="48"/>
      <c r="C73" s="49">
        <v>2</v>
      </c>
      <c r="D73" s="50">
        <f>6.2-D72</f>
        <v>3.6</v>
      </c>
      <c r="E73" s="50"/>
      <c r="F73" s="50">
        <f>2.6</f>
        <v>2.6</v>
      </c>
      <c r="G73" s="50">
        <f t="shared" si="4"/>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3">
      <c r="A76" s="47"/>
      <c r="B76" s="48"/>
      <c r="C76" s="49">
        <f>1</f>
        <v>1</v>
      </c>
      <c r="D76" s="50"/>
      <c r="E76" s="50">
        <f>E66</f>
        <v>1.752514477293508</v>
      </c>
      <c r="F76" s="50">
        <v>0.9</v>
      </c>
      <c r="G76" s="50">
        <f t="shared" si="4"/>
        <v>1.5772630295641572</v>
      </c>
      <c r="H76" s="50"/>
      <c r="I76" s="50"/>
      <c r="J76" s="51"/>
      <c r="K76" s="52"/>
    </row>
    <row r="77" spans="1:14" s="53" customFormat="1" ht="15" customHeight="1" x14ac:dyDescent="0.3">
      <c r="A77" s="47"/>
      <c r="B77" s="48" t="s">
        <v>62</v>
      </c>
      <c r="C77" s="49">
        <v>2</v>
      </c>
      <c r="D77" s="50">
        <f>D72</f>
        <v>2.6</v>
      </c>
      <c r="E77" s="50"/>
      <c r="F77" s="50">
        <v>0.9</v>
      </c>
      <c r="G77" s="50">
        <f t="shared" si="4"/>
        <v>4.6800000000000006</v>
      </c>
      <c r="H77" s="50"/>
      <c r="I77" s="50"/>
      <c r="J77" s="51"/>
      <c r="K77" s="52"/>
    </row>
    <row r="78" spans="1:14" s="53" customFormat="1" ht="15" customHeight="1" x14ac:dyDescent="0.3">
      <c r="A78" s="47"/>
      <c r="B78" s="48"/>
      <c r="C78" s="49">
        <v>2</v>
      </c>
      <c r="D78" s="50"/>
      <c r="E78" s="50">
        <v>6.2</v>
      </c>
      <c r="F78" s="50">
        <v>0.9</v>
      </c>
      <c r="G78" s="50">
        <f t="shared" si="4"/>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3">
      <c r="A83" s="12"/>
      <c r="B83" s="22" t="s">
        <v>25</v>
      </c>
      <c r="C83" s="14"/>
      <c r="D83" s="15"/>
      <c r="E83" s="16"/>
      <c r="F83" s="16"/>
      <c r="G83" s="19">
        <f>SUM(G63:G82)</f>
        <v>131.8448252960074</v>
      </c>
      <c r="H83" s="18" t="s">
        <v>26</v>
      </c>
      <c r="I83" s="19">
        <f>515448.67/100</f>
        <v>5154.4866999999995</v>
      </c>
      <c r="J83" s="20">
        <f>G83*I83</f>
        <v>679592.39845209359</v>
      </c>
      <c r="K83" s="16"/>
      <c r="M83" s="21"/>
      <c r="N83" s="21"/>
    </row>
    <row r="84" spans="1:14" ht="15" customHeight="1" x14ac:dyDescent="0.3">
      <c r="A84" s="12"/>
      <c r="B84" s="22" t="s">
        <v>44</v>
      </c>
      <c r="C84" s="14"/>
      <c r="D84" s="15"/>
      <c r="E84" s="16"/>
      <c r="F84" s="16"/>
      <c r="G84" s="19"/>
      <c r="H84" s="18"/>
      <c r="I84" s="19"/>
      <c r="J84" s="20">
        <f>G83*0.13*(328838.67/100)</f>
        <v>56362.380095737863</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3932.81/10</f>
        <v>393.28100000000001</v>
      </c>
      <c r="J89" s="20">
        <f>G89*I89</f>
        <v>7851.2360560804636</v>
      </c>
      <c r="K89" s="16"/>
      <c r="M89" s="21"/>
      <c r="N89" s="21"/>
    </row>
    <row r="90" spans="1:14" ht="15" customHeight="1" x14ac:dyDescent="0.3">
      <c r="A90" s="12"/>
      <c r="B90" s="22" t="s">
        <v>44</v>
      </c>
      <c r="C90" s="14"/>
      <c r="D90" s="15"/>
      <c r="E90" s="16"/>
      <c r="F90" s="16"/>
      <c r="G90" s="19"/>
      <c r="H90" s="18"/>
      <c r="I90" s="19"/>
      <c r="J90" s="20">
        <f>G89*0.13*(2165.31/10)</f>
        <v>561.95107131971963</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4676.81/10</f>
        <v>467.68100000000004</v>
      </c>
      <c r="J95" s="20">
        <f>G95*I95</f>
        <v>4632.6219140505946</v>
      </c>
      <c r="K95" s="16"/>
      <c r="M95" s="21"/>
      <c r="N95" s="21"/>
    </row>
    <row r="96" spans="1:14" ht="15" customHeight="1" x14ac:dyDescent="0.3">
      <c r="A96" s="12"/>
      <c r="B96" s="22" t="s">
        <v>44</v>
      </c>
      <c r="C96" s="14"/>
      <c r="D96" s="15"/>
      <c r="E96" s="16"/>
      <c r="F96" s="16"/>
      <c r="G96" s="19"/>
      <c r="H96" s="18"/>
      <c r="I96" s="19"/>
      <c r="J96" s="20">
        <f>G95*0.13*(2909.31/10)</f>
        <v>374.63684090216395</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4118.81/10</f>
        <v>411.88100000000003</v>
      </c>
      <c r="J103" s="20">
        <f>G103*I103</f>
        <v>11381.900221578788</v>
      </c>
      <c r="K103" s="16"/>
      <c r="M103" s="21"/>
      <c r="N103" s="21"/>
    </row>
    <row r="104" spans="1:14" ht="15" customHeight="1" x14ac:dyDescent="0.3">
      <c r="A104" s="12"/>
      <c r="B104" s="22" t="s">
        <v>44</v>
      </c>
      <c r="C104" s="14"/>
      <c r="D104" s="15"/>
      <c r="E104" s="16"/>
      <c r="F104" s="16"/>
      <c r="G104" s="19"/>
      <c r="H104" s="18"/>
      <c r="I104" s="19"/>
      <c r="J104" s="20">
        <f>G103*0.13*(2351.31/10)</f>
        <v>844.68787229807981</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4490.81/10</f>
        <v>449.08100000000002</v>
      </c>
      <c r="J111" s="20">
        <f>G111*I111</f>
        <v>5703.0960155440416</v>
      </c>
      <c r="K111" s="16"/>
      <c r="M111" s="21"/>
      <c r="N111" s="21"/>
    </row>
    <row r="112" spans="1:14" ht="15" customHeight="1" x14ac:dyDescent="0.3">
      <c r="A112" s="12"/>
      <c r="B112" s="22" t="s">
        <v>44</v>
      </c>
      <c r="C112" s="14"/>
      <c r="D112" s="15"/>
      <c r="E112" s="16"/>
      <c r="F112" s="16"/>
      <c r="G112" s="19"/>
      <c r="H112" s="18"/>
      <c r="I112" s="19"/>
      <c r="J112" s="20">
        <f>G111*0.13*(2723.31/10)</f>
        <v>449.60013746113987</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v>462.97</v>
      </c>
      <c r="J117" s="20">
        <f>G117*I117</f>
        <v>6914.2121304480343</v>
      </c>
      <c r="K117" s="16"/>
      <c r="M117" s="21"/>
      <c r="N117" s="21"/>
    </row>
    <row r="118" spans="1:14" ht="15" customHeight="1" x14ac:dyDescent="0.3">
      <c r="A118" s="12"/>
      <c r="B118" s="22" t="s">
        <v>44</v>
      </c>
      <c r="C118" s="14"/>
      <c r="D118" s="15"/>
      <c r="E118" s="16"/>
      <c r="F118" s="16"/>
      <c r="G118" s="19"/>
      <c r="H118" s="18"/>
      <c r="I118" s="19"/>
      <c r="J118" s="20">
        <f>G117*0.13*(2258.31/10)</f>
        <v>438.44665345931116</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4738.81/10</f>
        <v>473.88100000000003</v>
      </c>
      <c r="J123" s="20">
        <f>G123*I123</f>
        <v>7077.1621456872908</v>
      </c>
      <c r="K123" s="16"/>
      <c r="M123" s="21"/>
      <c r="N123" s="21"/>
    </row>
    <row r="124" spans="1:14" ht="15" customHeight="1" x14ac:dyDescent="0.3">
      <c r="A124" s="12"/>
      <c r="B124" s="22" t="s">
        <v>44</v>
      </c>
      <c r="C124" s="14"/>
      <c r="D124" s="15"/>
      <c r="E124" s="16"/>
      <c r="F124" s="16"/>
      <c r="G124" s="19"/>
      <c r="H124" s="18"/>
      <c r="I124" s="19"/>
      <c r="J124" s="20">
        <f>G123*0.13*(2971.31/10)</f>
        <v>576.87426699177081</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v>623.04999999999995</v>
      </c>
      <c r="J129" s="20">
        <f>G129*I129</f>
        <v>9304.922279792745</v>
      </c>
      <c r="K129" s="16"/>
      <c r="M129" s="21"/>
      <c r="N129" s="21"/>
    </row>
    <row r="130" spans="1:14" ht="15" customHeight="1" x14ac:dyDescent="0.3">
      <c r="A130" s="12"/>
      <c r="B130" s="22" t="s">
        <v>44</v>
      </c>
      <c r="C130" s="14"/>
      <c r="D130" s="15"/>
      <c r="E130" s="16"/>
      <c r="F130" s="16"/>
      <c r="G130" s="19"/>
      <c r="H130" s="18"/>
      <c r="I130" s="19"/>
      <c r="J130" s="20">
        <f>G129*0.13*(3650.31/10)</f>
        <v>708.70084425480036</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4862.81/10</f>
        <v>486.28100000000006</v>
      </c>
      <c r="J135" s="20">
        <f>G135*I135</f>
        <v>7262.3495885400798</v>
      </c>
      <c r="K135" s="16"/>
      <c r="M135" s="21"/>
      <c r="N135" s="21"/>
    </row>
    <row r="136" spans="1:14" ht="15" customHeight="1" x14ac:dyDescent="0.3">
      <c r="A136" s="12"/>
      <c r="B136" s="22" t="s">
        <v>44</v>
      </c>
      <c r="C136" s="14"/>
      <c r="D136" s="15"/>
      <c r="E136" s="16"/>
      <c r="F136" s="16"/>
      <c r="G136" s="19"/>
      <c r="H136" s="18"/>
      <c r="I136" s="19"/>
      <c r="J136" s="20">
        <f>G135*0.13*(3095.31/10)</f>
        <v>600.9486345626334</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4676.81/10</f>
        <v>467.68100000000004</v>
      </c>
      <c r="J141" s="20">
        <f>G141*I141</f>
        <v>6984.5684242608968</v>
      </c>
      <c r="K141" s="16"/>
      <c r="M141" s="21"/>
      <c r="N141" s="21"/>
    </row>
    <row r="142" spans="1:14" ht="15" customHeight="1" x14ac:dyDescent="0.3">
      <c r="A142" s="12"/>
      <c r="B142" s="22" t="s">
        <v>44</v>
      </c>
      <c r="C142" s="14"/>
      <c r="D142" s="15"/>
      <c r="E142" s="16"/>
      <c r="F142" s="16"/>
      <c r="G142" s="19"/>
      <c r="H142" s="18"/>
      <c r="I142" s="19"/>
      <c r="J142" s="20">
        <f>G141*0.13*(2909.31/10)</f>
        <v>564.83708320633957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3932.81/10</f>
        <v>393.28100000000001</v>
      </c>
      <c r="J147" s="20">
        <f>G147*I147</f>
        <v>9829.0283450167626</v>
      </c>
      <c r="K147" s="16"/>
      <c r="M147" s="21"/>
      <c r="N147" s="21"/>
    </row>
    <row r="148" spans="1:14" ht="15" customHeight="1" x14ac:dyDescent="0.3">
      <c r="A148" s="12"/>
      <c r="B148" s="22" t="s">
        <v>44</v>
      </c>
      <c r="C148" s="14"/>
      <c r="D148" s="15"/>
      <c r="E148" s="16"/>
      <c r="F148" s="16"/>
      <c r="G148" s="19"/>
      <c r="H148" s="18"/>
      <c r="I148" s="19"/>
      <c r="J148" s="20">
        <f>G147*0.13*(2165.31/10)</f>
        <v>703.5112648582749</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27795.91/10</f>
        <v>2779.5909999999999</v>
      </c>
      <c r="J153" s="29">
        <f>G153*I153</f>
        <v>92199.033469999995</v>
      </c>
      <c r="K153" s="30"/>
    </row>
    <row r="154" spans="1:14" ht="15" customHeight="1" x14ac:dyDescent="0.3">
      <c r="A154" s="12"/>
      <c r="B154" s="22" t="s">
        <v>44</v>
      </c>
      <c r="C154" s="14"/>
      <c r="D154" s="15"/>
      <c r="E154" s="16"/>
      <c r="F154" s="16"/>
      <c r="G154" s="19"/>
      <c r="H154" s="18"/>
      <c r="I154" s="19"/>
      <c r="J154" s="20">
        <f>G153*0.13*(17805.91/10)</f>
        <v>7678.0864511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50406.04/100</f>
        <v>504.06040000000002</v>
      </c>
      <c r="J159" s="57">
        <f>G159*I159</f>
        <v>20961.351734</v>
      </c>
      <c r="K159" s="52"/>
    </row>
    <row r="160" spans="1:14" ht="15" customHeight="1" x14ac:dyDescent="0.3">
      <c r="A160" s="12"/>
      <c r="B160" s="22" t="s">
        <v>44</v>
      </c>
      <c r="C160" s="14"/>
      <c r="D160" s="15"/>
      <c r="E160" s="16"/>
      <c r="F160" s="16"/>
      <c r="G160" s="19"/>
      <c r="H160" s="18"/>
      <c r="I160" s="19"/>
      <c r="J160" s="20">
        <f>G159*0.13*(20166.04/100)</f>
        <v>1090.1862054200001</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x14ac:dyDescent="0.3">
      <c r="A162" s="25">
        <v>23</v>
      </c>
      <c r="B162" s="54" t="s">
        <v>83</v>
      </c>
      <c r="C162" s="26"/>
      <c r="D162" s="17"/>
      <c r="E162" s="17"/>
      <c r="F162" s="17"/>
      <c r="G162" s="45"/>
      <c r="H162" s="45"/>
      <c r="I162" s="45"/>
      <c r="J162" s="39"/>
      <c r="K162" s="30"/>
    </row>
    <row r="163" spans="1:14" ht="15" customHeight="1" x14ac:dyDescent="0.3">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customHeight="1" x14ac:dyDescent="0.3">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customHeight="1" x14ac:dyDescent="0.3">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customHeight="1" x14ac:dyDescent="0.3">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customHeight="1" x14ac:dyDescent="0.3">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customHeight="1" x14ac:dyDescent="0.3">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customHeight="1" x14ac:dyDescent="0.3">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customHeight="1" x14ac:dyDescent="0.3">
      <c r="A170" s="25"/>
      <c r="B170" s="22" t="s">
        <v>25</v>
      </c>
      <c r="C170" s="26"/>
      <c r="D170" s="17"/>
      <c r="E170" s="17"/>
      <c r="F170" s="17"/>
      <c r="G170" s="27">
        <f>0*SUM(G163:G169)</f>
        <v>0</v>
      </c>
      <c r="H170" s="27" t="s">
        <v>29</v>
      </c>
      <c r="I170" s="28">
        <f>369833.1/1.15</f>
        <v>321594</v>
      </c>
      <c r="J170" s="29">
        <f>G170*I170</f>
        <v>0</v>
      </c>
      <c r="K170" s="30"/>
    </row>
    <row r="171" spans="1:14" ht="15" customHeight="1" x14ac:dyDescent="0.3">
      <c r="A171" s="25"/>
      <c r="B171" s="22" t="s">
        <v>85</v>
      </c>
      <c r="C171" s="26"/>
      <c r="D171" s="17"/>
      <c r="E171" s="17"/>
      <c r="F171" s="17"/>
      <c r="G171" s="45"/>
      <c r="H171" s="45"/>
      <c r="I171" s="45"/>
      <c r="J171" s="39">
        <f>0.13*G170*(296712)</f>
        <v>0</v>
      </c>
      <c r="K171" s="30"/>
      <c r="M171" s="58"/>
    </row>
    <row r="172" spans="1:14" ht="15" customHeight="1" x14ac:dyDescent="0.3">
      <c r="A172" s="25"/>
      <c r="B172" s="22"/>
      <c r="C172" s="26"/>
      <c r="D172" s="17"/>
      <c r="E172" s="17"/>
      <c r="F172" s="17"/>
      <c r="G172" s="45"/>
      <c r="H172" s="45"/>
      <c r="I172" s="45"/>
      <c r="J172" s="39"/>
      <c r="K172" s="30"/>
      <c r="M172" s="58"/>
    </row>
    <row r="173" spans="1:14" ht="28.8" x14ac:dyDescent="0.3">
      <c r="A173" s="47">
        <v>24</v>
      </c>
      <c r="B173" s="54" t="s">
        <v>86</v>
      </c>
      <c r="C173" s="49"/>
      <c r="D173" s="50"/>
      <c r="E173" s="50"/>
      <c r="F173" s="50"/>
      <c r="G173" s="55"/>
      <c r="H173" s="55"/>
      <c r="I173" s="56"/>
      <c r="J173" s="57"/>
      <c r="K173" s="52"/>
    </row>
    <row r="174" spans="1:14" ht="15"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25</v>
      </c>
      <c r="C177" s="26"/>
      <c r="D177" s="17"/>
      <c r="E177" s="17"/>
      <c r="F177" s="17"/>
      <c r="G177" s="27">
        <f>0*SUM(G174:G176)</f>
        <v>0</v>
      </c>
      <c r="H177" s="27" t="s">
        <v>29</v>
      </c>
      <c r="I177" s="28">
        <f>348511.67/1.15</f>
        <v>303053.62608695653</v>
      </c>
      <c r="J177" s="29">
        <f>G177*I177</f>
        <v>0</v>
      </c>
      <c r="K177" s="30"/>
    </row>
    <row r="178" spans="1:19" ht="15" customHeight="1" x14ac:dyDescent="0.3">
      <c r="A178" s="25"/>
      <c r="B178" s="22" t="s">
        <v>85</v>
      </c>
      <c r="C178" s="26"/>
      <c r="D178" s="17"/>
      <c r="E178" s="17"/>
      <c r="F178" s="17"/>
      <c r="G178" s="45"/>
      <c r="H178" s="45"/>
      <c r="I178" s="45"/>
      <c r="J178" s="39">
        <f>0.13*G177*(296712)</f>
        <v>0</v>
      </c>
      <c r="K178" s="30"/>
      <c r="M178" s="58"/>
    </row>
    <row r="179" spans="1:19" ht="15" customHeight="1" x14ac:dyDescent="0.3">
      <c r="A179" s="25"/>
      <c r="B179" s="22"/>
      <c r="C179" s="26"/>
      <c r="D179" s="17"/>
      <c r="E179" s="17"/>
      <c r="F179" s="17"/>
      <c r="G179" s="45"/>
      <c r="H179" s="45"/>
      <c r="I179" s="45"/>
      <c r="J179" s="39"/>
      <c r="K179" s="30"/>
      <c r="M179" s="58"/>
    </row>
    <row r="180" spans="1:19" ht="28.8" x14ac:dyDescent="0.3">
      <c r="A180" s="12">
        <v>25</v>
      </c>
      <c r="B180" s="59" t="s">
        <v>87</v>
      </c>
      <c r="C180" s="14"/>
      <c r="D180" s="15"/>
      <c r="E180" s="16"/>
      <c r="F180" s="16"/>
      <c r="G180" s="19"/>
      <c r="H180" s="18"/>
      <c r="I180" s="19"/>
      <c r="J180" s="20"/>
      <c r="K180" s="16"/>
      <c r="M180" s="21"/>
      <c r="N180" s="1"/>
      <c r="O180" s="1"/>
      <c r="P180" s="1"/>
      <c r="Q180" s="1"/>
      <c r="R180" s="21"/>
      <c r="S180" s="21"/>
    </row>
    <row r="181" spans="1:19" ht="15" customHeight="1" x14ac:dyDescent="0.3">
      <c r="A181" s="12"/>
      <c r="B181" s="13" t="str">
        <f>B46</f>
        <v>-at new roof</v>
      </c>
      <c r="C181" s="26">
        <f t="shared" ref="C181:E181" si="14">C46</f>
        <v>2</v>
      </c>
      <c r="D181" s="17">
        <f t="shared" si="14"/>
        <v>4.8639134410240779</v>
      </c>
      <c r="E181" s="17">
        <f t="shared" si="14"/>
        <v>3.2764401097226452</v>
      </c>
      <c r="F181" s="17"/>
      <c r="G181" s="17">
        <f t="shared" ref="G181" si="15">PRODUCT(C181:F181)</f>
        <v>31.872642176780758</v>
      </c>
      <c r="H181" s="18"/>
      <c r="I181" s="19"/>
      <c r="J181" s="20"/>
      <c r="K181" s="16"/>
      <c r="M181" s="21"/>
      <c r="N181" s="1"/>
      <c r="O181" s="1"/>
      <c r="P181" s="1"/>
      <c r="Q181" s="1"/>
      <c r="R181" s="21"/>
      <c r="S181" s="21"/>
    </row>
    <row r="182" spans="1:19" ht="15" customHeight="1" x14ac:dyDescent="0.3">
      <c r="A182" s="25"/>
      <c r="B182" s="22" t="s">
        <v>25</v>
      </c>
      <c r="C182" s="26"/>
      <c r="D182" s="17"/>
      <c r="E182" s="17"/>
      <c r="F182" s="17"/>
      <c r="G182" s="27">
        <f>SUM(G181:G181)</f>
        <v>31.872642176780758</v>
      </c>
      <c r="H182" s="27" t="s">
        <v>26</v>
      </c>
      <c r="I182" s="28">
        <f>5999.55/10</f>
        <v>599.95500000000004</v>
      </c>
      <c r="J182" s="29">
        <f>G182*I182</f>
        <v>19122.151037170501</v>
      </c>
      <c r="K182" s="30"/>
    </row>
    <row r="183" spans="1:19" ht="15" customHeight="1" x14ac:dyDescent="0.3">
      <c r="A183" s="25"/>
      <c r="B183" s="22" t="s">
        <v>85</v>
      </c>
      <c r="C183" s="26"/>
      <c r="D183" s="17"/>
      <c r="E183" s="17"/>
      <c r="F183" s="17"/>
      <c r="G183" s="45"/>
      <c r="H183" s="45"/>
      <c r="I183" s="45"/>
      <c r="J183" s="39">
        <f>0.13*G182*((1397.55)/10)</f>
        <v>579.06694396407931</v>
      </c>
      <c r="K183" s="30"/>
    </row>
    <row r="184" spans="1:19" ht="15" customHeight="1" x14ac:dyDescent="0.3">
      <c r="A184" s="12"/>
      <c r="B184" s="60"/>
      <c r="C184" s="14"/>
      <c r="D184" s="15"/>
      <c r="E184" s="16"/>
      <c r="F184" s="16"/>
      <c r="G184" s="19"/>
      <c r="H184" s="18"/>
      <c r="I184" s="19"/>
      <c r="J184" s="20"/>
      <c r="K184" s="16"/>
      <c r="M184" s="21"/>
      <c r="N184" s="1"/>
      <c r="O184" s="1"/>
      <c r="P184" s="1"/>
      <c r="Q184" s="1"/>
      <c r="R184" s="21"/>
      <c r="S184" s="21"/>
    </row>
    <row r="185" spans="1:19" x14ac:dyDescent="0.3">
      <c r="A185" s="12">
        <v>26</v>
      </c>
      <c r="B185" s="24" t="s">
        <v>88</v>
      </c>
      <c r="C185" s="26"/>
      <c r="D185" s="17"/>
      <c r="E185" s="17"/>
      <c r="F185" s="17"/>
      <c r="G185" s="45"/>
      <c r="H185" s="45"/>
      <c r="I185" s="45"/>
      <c r="J185" s="39"/>
      <c r="K185" s="30"/>
    </row>
    <row r="186" spans="1:19" ht="15" customHeight="1" x14ac:dyDescent="0.3">
      <c r="A186" s="25"/>
      <c r="B186" s="22" t="s">
        <v>89</v>
      </c>
      <c r="C186" s="26">
        <v>2</v>
      </c>
      <c r="D186" s="17"/>
      <c r="E186" s="17"/>
      <c r="F186" s="17"/>
      <c r="G186" s="17">
        <f>PRODUCT(C186:F186)</f>
        <v>2</v>
      </c>
      <c r="H186" s="45"/>
      <c r="I186" s="45"/>
      <c r="J186" s="39"/>
      <c r="K186" s="30"/>
    </row>
    <row r="187" spans="1:19" ht="15" customHeight="1" x14ac:dyDescent="0.3">
      <c r="A187" s="25"/>
      <c r="B187" s="22" t="s">
        <v>25</v>
      </c>
      <c r="C187" s="26"/>
      <c r="D187" s="17"/>
      <c r="E187" s="17"/>
      <c r="F187" s="17"/>
      <c r="G187" s="27">
        <f>SUM(G186:G186)</f>
        <v>2</v>
      </c>
      <c r="H187" s="27" t="s">
        <v>90</v>
      </c>
      <c r="I187" s="28">
        <f>2365*1.15</f>
        <v>2719.75</v>
      </c>
      <c r="J187" s="29">
        <f>G187*I187</f>
        <v>5439.5</v>
      </c>
      <c r="K187" s="30"/>
    </row>
    <row r="188" spans="1:19" ht="15" customHeight="1" x14ac:dyDescent="0.3">
      <c r="A188" s="12"/>
      <c r="B188" s="22" t="s">
        <v>44</v>
      </c>
      <c r="C188" s="14"/>
      <c r="D188" s="15"/>
      <c r="E188" s="16"/>
      <c r="F188" s="16"/>
      <c r="G188" s="19"/>
      <c r="H188" s="18"/>
      <c r="I188" s="19"/>
      <c r="J188" s="20">
        <f>J187*0.13</f>
        <v>707.13499999999999</v>
      </c>
      <c r="K188" s="16"/>
      <c r="M188" s="21"/>
      <c r="N188" s="21"/>
    </row>
    <row r="189" spans="1:19" ht="15" customHeight="1" x14ac:dyDescent="0.3">
      <c r="A189" s="25"/>
      <c r="B189" s="22"/>
      <c r="C189" s="26"/>
      <c r="D189" s="17"/>
      <c r="E189" s="17"/>
      <c r="F189" s="17"/>
      <c r="G189" s="27"/>
      <c r="H189" s="27"/>
      <c r="I189" s="28"/>
      <c r="J189" s="29"/>
      <c r="K189" s="30"/>
    </row>
    <row r="190" spans="1:19" ht="15.6" x14ac:dyDescent="0.3">
      <c r="A190" s="25">
        <v>27</v>
      </c>
      <c r="B190" s="11" t="s">
        <v>91</v>
      </c>
      <c r="C190" s="26"/>
      <c r="D190" s="17"/>
      <c r="E190" s="17"/>
      <c r="F190" s="17"/>
      <c r="G190" s="45"/>
      <c r="H190" s="45"/>
      <c r="I190" s="45"/>
      <c r="J190" s="39"/>
      <c r="K190" s="30"/>
    </row>
    <row r="191" spans="1:19" x14ac:dyDescent="0.3">
      <c r="A191" s="25"/>
      <c r="B191" s="22" t="s">
        <v>92</v>
      </c>
      <c r="C191" s="26">
        <v>2</v>
      </c>
      <c r="D191" s="17">
        <f>3.833/3.281</f>
        <v>1.1682413898201769</v>
      </c>
      <c r="E191" s="17">
        <v>7.4999999999999997E-2</v>
      </c>
      <c r="F191" s="17">
        <v>0.125</v>
      </c>
      <c r="G191" s="17">
        <f t="shared" ref="G191:G196" si="16">PRODUCT(C191:F191)</f>
        <v>2.1904526059128317E-2</v>
      </c>
      <c r="H191" s="45"/>
      <c r="I191" s="45"/>
      <c r="J191" s="39"/>
      <c r="K191" s="30"/>
    </row>
    <row r="192" spans="1:19" x14ac:dyDescent="0.3">
      <c r="A192" s="25"/>
      <c r="B192" s="22"/>
      <c r="C192" s="26">
        <v>2</v>
      </c>
      <c r="D192" s="17">
        <f>6/3.281</f>
        <v>1.8287107589149649</v>
      </c>
      <c r="E192" s="17">
        <v>7.4999999999999997E-2</v>
      </c>
      <c r="F192" s="17">
        <v>0.125</v>
      </c>
      <c r="G192" s="17">
        <f t="shared" si="16"/>
        <v>3.4288326729655594E-2</v>
      </c>
      <c r="H192" s="45"/>
      <c r="I192" s="45"/>
      <c r="J192" s="39"/>
      <c r="K192" s="30"/>
    </row>
    <row r="193" spans="1:14" x14ac:dyDescent="0.3">
      <c r="A193" s="25"/>
      <c r="B193" s="22"/>
      <c r="C193" s="26">
        <v>2</v>
      </c>
      <c r="D193" s="17">
        <f>6/3.281</f>
        <v>1.8287107589149649</v>
      </c>
      <c r="E193" s="17">
        <v>7.4999999999999997E-2</v>
      </c>
      <c r="F193" s="17">
        <v>7.4999999999999997E-2</v>
      </c>
      <c r="G193" s="17">
        <f t="shared" si="16"/>
        <v>2.0572996037793355E-2</v>
      </c>
      <c r="H193" s="45"/>
      <c r="I193" s="45"/>
      <c r="J193" s="39"/>
      <c r="K193" s="30"/>
    </row>
    <row r="194" spans="1:14" x14ac:dyDescent="0.3">
      <c r="A194" s="25"/>
      <c r="B194" s="22" t="s">
        <v>93</v>
      </c>
      <c r="C194" s="26">
        <v>2</v>
      </c>
      <c r="D194" s="17">
        <f>3.5/3.281</f>
        <v>1.0667479427003961</v>
      </c>
      <c r="E194" s="17">
        <v>7.4999999999999997E-2</v>
      </c>
      <c r="F194" s="17">
        <v>0.125</v>
      </c>
      <c r="G194" s="17">
        <f t="shared" si="16"/>
        <v>2.0001523925632425E-2</v>
      </c>
      <c r="H194" s="45"/>
      <c r="I194" s="45"/>
      <c r="J194" s="39"/>
      <c r="K194" s="30"/>
    </row>
    <row r="195" spans="1:14" x14ac:dyDescent="0.3">
      <c r="A195" s="25"/>
      <c r="B195" s="22"/>
      <c r="C195" s="26">
        <v>2</v>
      </c>
      <c r="D195" s="17">
        <f>4.5/3.281</f>
        <v>1.3715330691862238</v>
      </c>
      <c r="E195" s="17">
        <v>7.4999999999999997E-2</v>
      </c>
      <c r="F195" s="17">
        <v>0.125</v>
      </c>
      <c r="G195" s="17">
        <f t="shared" si="16"/>
        <v>2.5716245047241695E-2</v>
      </c>
      <c r="H195" s="45"/>
      <c r="I195" s="45"/>
      <c r="J195" s="39"/>
      <c r="K195" s="30"/>
    </row>
    <row r="196" spans="1:14" x14ac:dyDescent="0.3">
      <c r="A196" s="25"/>
      <c r="B196" s="22" t="s">
        <v>94</v>
      </c>
      <c r="C196" s="26">
        <f>0*2</f>
        <v>0</v>
      </c>
      <c r="D196" s="17">
        <f>(2*2+2.5*2)/3.281</f>
        <v>2.7430661383724475</v>
      </c>
      <c r="E196" s="17">
        <v>7.4999999999999997E-2</v>
      </c>
      <c r="F196" s="17">
        <v>0.125</v>
      </c>
      <c r="G196" s="17">
        <f t="shared" si="16"/>
        <v>0</v>
      </c>
      <c r="H196" s="45"/>
      <c r="I196" s="45"/>
      <c r="J196" s="39"/>
      <c r="K196" s="30"/>
    </row>
    <row r="197" spans="1:14" ht="15" customHeight="1" x14ac:dyDescent="0.3">
      <c r="A197" s="25"/>
      <c r="B197" s="22" t="s">
        <v>25</v>
      </c>
      <c r="C197" s="26"/>
      <c r="D197" s="17"/>
      <c r="E197" s="17"/>
      <c r="F197" s="17"/>
      <c r="G197" s="27">
        <f>SUM(G191:G196)</f>
        <v>0.1224836177994514</v>
      </c>
      <c r="H197" s="27" t="s">
        <v>90</v>
      </c>
      <c r="I197" s="28">
        <v>284000.83</v>
      </c>
      <c r="J197" s="29">
        <f>G197*I197</f>
        <v>34785.449116446973</v>
      </c>
      <c r="K197" s="30"/>
    </row>
    <row r="198" spans="1:14" ht="15" customHeight="1" x14ac:dyDescent="0.3">
      <c r="A198" s="12"/>
      <c r="B198" s="22" t="s">
        <v>44</v>
      </c>
      <c r="C198" s="14"/>
      <c r="D198" s="15"/>
      <c r="E198" s="16"/>
      <c r="F198" s="16"/>
      <c r="G198" s="19"/>
      <c r="H198" s="18"/>
      <c r="I198" s="19"/>
      <c r="J198" s="20">
        <f>0.13*G197*239222.83</f>
        <v>3809.1140982210081</v>
      </c>
      <c r="K198" s="16"/>
      <c r="M198" s="21"/>
      <c r="N198" s="21"/>
    </row>
    <row r="199" spans="1:14" ht="15" customHeight="1" x14ac:dyDescent="0.3">
      <c r="A199" s="25"/>
      <c r="B199" s="22"/>
      <c r="C199" s="26"/>
      <c r="D199" s="17"/>
      <c r="E199" s="17"/>
      <c r="F199" s="17"/>
      <c r="G199" s="45"/>
      <c r="H199" s="45"/>
      <c r="I199" s="45"/>
      <c r="J199" s="39"/>
      <c r="K199" s="30"/>
    </row>
    <row r="200" spans="1:14" ht="28.8" x14ac:dyDescent="0.3">
      <c r="A200" s="12">
        <v>28</v>
      </c>
      <c r="B200" s="54" t="s">
        <v>95</v>
      </c>
      <c r="C200" s="14"/>
      <c r="D200" s="15"/>
      <c r="E200" s="16"/>
      <c r="F200" s="16"/>
      <c r="G200" s="19"/>
      <c r="H200" s="18"/>
      <c r="I200" s="19"/>
      <c r="J200" s="37"/>
      <c r="K200" s="16"/>
    </row>
    <row r="201" spans="1:14" x14ac:dyDescent="0.3">
      <c r="A201" s="12"/>
      <c r="B201" s="43" t="s">
        <v>96</v>
      </c>
      <c r="C201" s="14">
        <v>1</v>
      </c>
      <c r="D201" s="15">
        <f>15/3.281</f>
        <v>4.5717768972874122</v>
      </c>
      <c r="E201" s="16">
        <v>7.4999999999999997E-2</v>
      </c>
      <c r="F201" s="30"/>
      <c r="G201" s="33">
        <f>PRODUCT(C201:E201)</f>
        <v>0.34288326729655588</v>
      </c>
      <c r="H201" s="18"/>
      <c r="I201" s="19"/>
      <c r="J201" s="37"/>
      <c r="K201" s="16"/>
    </row>
    <row r="202" spans="1:14" x14ac:dyDescent="0.3">
      <c r="A202" s="12"/>
      <c r="B202" s="43" t="str">
        <f>B191</f>
        <v>-For Door</v>
      </c>
      <c r="C202" s="14">
        <v>2</v>
      </c>
      <c r="D202" s="15">
        <f>0.3</f>
        <v>0.3</v>
      </c>
      <c r="E202" s="16"/>
      <c r="F202" s="16">
        <f>D192</f>
        <v>1.8287107589149649</v>
      </c>
      <c r="G202" s="33">
        <f>PRODUCT(C202:F202)</f>
        <v>1.097226455348979</v>
      </c>
      <c r="H202" s="18"/>
      <c r="I202" s="19"/>
      <c r="J202" s="37"/>
      <c r="K202" s="16"/>
    </row>
    <row r="203" spans="1:14" x14ac:dyDescent="0.3">
      <c r="A203" s="12"/>
      <c r="B203" s="43"/>
      <c r="C203" s="14">
        <v>1</v>
      </c>
      <c r="D203" s="15">
        <f>(6*2+4*2)/3.281</f>
        <v>6.0957025297165499</v>
      </c>
      <c r="E203" s="16">
        <v>7.4999999999999997E-2</v>
      </c>
      <c r="F203" s="16"/>
      <c r="G203" s="33">
        <f>PRODUCT(C203:F203)</f>
        <v>0.45717768972874123</v>
      </c>
      <c r="H203" s="18"/>
      <c r="I203" s="19"/>
      <c r="J203" s="37"/>
      <c r="K203" s="16"/>
    </row>
    <row r="204" spans="1:14" x14ac:dyDescent="0.3">
      <c r="A204" s="12"/>
      <c r="B204" s="43" t="s">
        <v>94</v>
      </c>
      <c r="C204" s="14">
        <f>0*2</f>
        <v>0</v>
      </c>
      <c r="D204" s="15">
        <f>D196</f>
        <v>2.7430661383724475</v>
      </c>
      <c r="E204" s="16">
        <f>E196</f>
        <v>7.4999999999999997E-2</v>
      </c>
      <c r="F204" s="16"/>
      <c r="G204" s="33">
        <f>PRODUCT(C204:F204)</f>
        <v>0</v>
      </c>
      <c r="H204" s="18"/>
      <c r="I204" s="19"/>
      <c r="J204" s="37"/>
      <c r="K204" s="16"/>
    </row>
    <row r="205" spans="1:14" ht="15" customHeight="1" x14ac:dyDescent="0.3">
      <c r="A205" s="25"/>
      <c r="B205" s="43" t="s">
        <v>25</v>
      </c>
      <c r="C205" s="32"/>
      <c r="D205" s="33"/>
      <c r="E205" s="33"/>
      <c r="F205" s="33"/>
      <c r="G205" s="37">
        <f>SUM(G201:G204)</f>
        <v>1.897287412374276</v>
      </c>
      <c r="H205" s="37" t="s">
        <v>26</v>
      </c>
      <c r="I205" s="38">
        <f>39251.14/1.15</f>
        <v>34131.426086956526</v>
      </c>
      <c r="J205" s="39">
        <f>G205*I205</f>
        <v>64757.125081165606</v>
      </c>
      <c r="K205" s="34"/>
    </row>
    <row r="206" spans="1:14" x14ac:dyDescent="0.3">
      <c r="A206" s="12"/>
      <c r="B206" s="54"/>
      <c r="C206" s="14"/>
      <c r="D206" s="15"/>
      <c r="E206" s="16"/>
      <c r="F206" s="16"/>
      <c r="G206" s="19"/>
      <c r="H206" s="18"/>
      <c r="I206" s="19"/>
      <c r="J206" s="37"/>
      <c r="K206" s="16"/>
    </row>
    <row r="207" spans="1:14" ht="43.2" x14ac:dyDescent="0.3">
      <c r="A207" s="25">
        <v>29</v>
      </c>
      <c r="B207" s="24" t="s">
        <v>97</v>
      </c>
      <c r="C207" s="26"/>
      <c r="D207" s="17"/>
      <c r="E207" s="17"/>
      <c r="F207" s="17"/>
      <c r="G207" s="45"/>
      <c r="H207" s="45"/>
      <c r="I207" s="45"/>
      <c r="J207" s="39"/>
      <c r="K207" s="30"/>
    </row>
    <row r="208" spans="1:14" ht="15" customHeight="1" x14ac:dyDescent="0.3">
      <c r="A208" s="25"/>
      <c r="B208" s="22" t="s">
        <v>98</v>
      </c>
      <c r="C208" s="26">
        <v>1</v>
      </c>
      <c r="D208" s="17">
        <f>3/3.281</f>
        <v>0.91435537945748246</v>
      </c>
      <c r="E208" s="17">
        <f>4/3.281</f>
        <v>1.2191405059433098</v>
      </c>
      <c r="F208" s="17"/>
      <c r="G208" s="17">
        <f>PRODUCT(C208:F208)</f>
        <v>1.1147276799237822</v>
      </c>
      <c r="H208" s="45"/>
      <c r="I208" s="45"/>
      <c r="J208" s="39"/>
      <c r="K208" s="30"/>
    </row>
    <row r="209" spans="1:19" ht="15" customHeight="1" x14ac:dyDescent="0.3">
      <c r="A209" s="25"/>
      <c r="B209" s="22" t="s">
        <v>94</v>
      </c>
      <c r="C209" s="26">
        <f>0*2</f>
        <v>0</v>
      </c>
      <c r="D209" s="17"/>
      <c r="E209" s="17">
        <f>2.5/3.281</f>
        <v>0.76196281621456874</v>
      </c>
      <c r="F209" s="17">
        <f>1.5/3.281</f>
        <v>0.45717768972874123</v>
      </c>
      <c r="G209" s="17">
        <f>PRODUCT(C209:F209)</f>
        <v>0</v>
      </c>
      <c r="H209" s="45"/>
      <c r="I209" s="45"/>
      <c r="J209" s="39"/>
      <c r="K209" s="30"/>
    </row>
    <row r="210" spans="1:19" ht="15" customHeight="1" x14ac:dyDescent="0.3">
      <c r="A210" s="25"/>
      <c r="B210" s="22" t="s">
        <v>25</v>
      </c>
      <c r="C210" s="26"/>
      <c r="D210" s="17"/>
      <c r="E210" s="17"/>
      <c r="F210" s="17"/>
      <c r="G210" s="27">
        <f>SUM(G208:G209)</f>
        <v>1.1147276799237822</v>
      </c>
      <c r="H210" s="27" t="s">
        <v>26</v>
      </c>
      <c r="I210" s="28">
        <f>31552.5/0.92</f>
        <v>34296.195652173912</v>
      </c>
      <c r="J210" s="29">
        <f>G210*I210</f>
        <v>38230.918609559929</v>
      </c>
      <c r="K210" s="30"/>
    </row>
    <row r="211" spans="1:19" ht="15" customHeight="1" x14ac:dyDescent="0.3">
      <c r="A211" s="25"/>
      <c r="B211" s="22" t="s">
        <v>85</v>
      </c>
      <c r="C211" s="26"/>
      <c r="D211" s="17"/>
      <c r="E211" s="17"/>
      <c r="F211" s="17"/>
      <c r="G211" s="45"/>
      <c r="H211" s="45"/>
      <c r="I211" s="45"/>
      <c r="J211" s="39">
        <f>0.13*G210*((9742.5)/0.92)</f>
        <v>1534.5983421907263</v>
      </c>
      <c r="K211" s="30"/>
      <c r="M211" s="58"/>
    </row>
    <row r="212" spans="1:19" ht="15" customHeight="1" x14ac:dyDescent="0.3">
      <c r="A212" s="25"/>
      <c r="B212" s="22"/>
      <c r="C212" s="26"/>
      <c r="D212" s="17"/>
      <c r="E212" s="17"/>
      <c r="F212" s="17"/>
      <c r="G212" s="45"/>
      <c r="H212" s="45"/>
      <c r="I212" s="45"/>
      <c r="J212" s="39"/>
      <c r="K212" s="30"/>
      <c r="M212" s="58"/>
    </row>
    <row r="213" spans="1:19" ht="30.6" x14ac:dyDescent="0.3">
      <c r="A213" s="25">
        <v>30</v>
      </c>
      <c r="B213" s="11" t="s">
        <v>99</v>
      </c>
      <c r="C213" s="26"/>
      <c r="D213" s="17"/>
      <c r="E213" s="17"/>
      <c r="F213" s="17"/>
      <c r="G213" s="45"/>
      <c r="H213" s="45"/>
      <c r="I213" s="45"/>
      <c r="J213" s="39"/>
      <c r="K213" s="30"/>
      <c r="M213" s="58"/>
    </row>
    <row r="214" spans="1:19" ht="15" customHeight="1" x14ac:dyDescent="0.3">
      <c r="A214" s="25"/>
      <c r="B214" s="22" t="s">
        <v>100</v>
      </c>
      <c r="C214" s="26">
        <v>1</v>
      </c>
      <c r="D214" s="17"/>
      <c r="E214" s="17">
        <f>3.5/3.281</f>
        <v>1.0667479427003961</v>
      </c>
      <c r="F214" s="17">
        <f>6/3.281</f>
        <v>1.8287107589149649</v>
      </c>
      <c r="G214" s="17">
        <f>PRODUCT(C214:F214)</f>
        <v>1.9507734398666188</v>
      </c>
      <c r="H214" s="45"/>
      <c r="I214" s="45"/>
      <c r="J214" s="39"/>
      <c r="K214" s="30"/>
    </row>
    <row r="215" spans="1:19" ht="15" customHeight="1" x14ac:dyDescent="0.3">
      <c r="A215" s="25"/>
      <c r="B215" s="22" t="s">
        <v>25</v>
      </c>
      <c r="C215" s="26"/>
      <c r="D215" s="17"/>
      <c r="E215" s="17"/>
      <c r="F215" s="17"/>
      <c r="G215" s="27">
        <f>SUM(G214:G214)</f>
        <v>1.9507734398666188</v>
      </c>
      <c r="H215" s="27" t="s">
        <v>26</v>
      </c>
      <c r="I215" s="28">
        <v>15859.11</v>
      </c>
      <c r="J215" s="29">
        <f>G215*I215</f>
        <v>30937.530567923095</v>
      </c>
      <c r="K215" s="30"/>
    </row>
    <row r="216" spans="1:19" ht="15" customHeight="1" x14ac:dyDescent="0.3">
      <c r="A216" s="25"/>
      <c r="B216" s="22" t="s">
        <v>85</v>
      </c>
      <c r="C216" s="26"/>
      <c r="D216" s="17"/>
      <c r="E216" s="17"/>
      <c r="F216" s="17"/>
      <c r="G216" s="45"/>
      <c r="H216" s="45"/>
      <c r="I216" s="45"/>
      <c r="J216" s="39">
        <f>0.13*G215*((20356.18)/2.114)</f>
        <v>2441.9765310069674</v>
      </c>
      <c r="K216" s="30"/>
      <c r="M216" s="58"/>
    </row>
    <row r="217" spans="1:19" ht="15.6" x14ac:dyDescent="0.3">
      <c r="A217" s="25"/>
      <c r="B217" s="11"/>
      <c r="C217" s="26"/>
      <c r="D217" s="17"/>
      <c r="E217" s="17"/>
      <c r="F217" s="17"/>
      <c r="G217" s="45"/>
      <c r="H217" s="45"/>
      <c r="I217" s="45"/>
      <c r="J217" s="39"/>
      <c r="K217" s="30"/>
      <c r="M217" s="58"/>
    </row>
    <row r="218" spans="1:19" ht="28.8" x14ac:dyDescent="0.3">
      <c r="A218" s="25">
        <v>31</v>
      </c>
      <c r="B218" s="24" t="s">
        <v>101</v>
      </c>
      <c r="C218" s="26"/>
      <c r="D218" s="17"/>
      <c r="E218" s="17"/>
      <c r="F218" s="17"/>
      <c r="G218" s="45"/>
      <c r="H218" s="45"/>
      <c r="I218" s="45"/>
      <c r="J218" s="39"/>
      <c r="K218" s="30"/>
    </row>
    <row r="219" spans="1:19" ht="15" customHeight="1" x14ac:dyDescent="0.3">
      <c r="A219" s="25"/>
      <c r="B219" s="22" t="s">
        <v>100</v>
      </c>
      <c r="C219" s="26">
        <v>1</v>
      </c>
      <c r="D219" s="17"/>
      <c r="E219" s="17">
        <f>3.5/3.281</f>
        <v>1.0667479427003961</v>
      </c>
      <c r="F219" s="17">
        <f>6/3.281</f>
        <v>1.8287107589149649</v>
      </c>
      <c r="G219" s="17">
        <f>PRODUCT(C219:F219)</f>
        <v>1.9507734398666188</v>
      </c>
      <c r="H219" s="45"/>
      <c r="I219" s="45"/>
      <c r="J219" s="39"/>
      <c r="K219" s="30"/>
    </row>
    <row r="220" spans="1:19" ht="15" customHeight="1" x14ac:dyDescent="0.3">
      <c r="A220" s="25"/>
      <c r="B220" s="22" t="s">
        <v>25</v>
      </c>
      <c r="C220" s="26"/>
      <c r="D220" s="17"/>
      <c r="E220" s="17"/>
      <c r="F220" s="17"/>
      <c r="G220" s="27">
        <f>SUM(G219:G219)</f>
        <v>1.9507734398666188</v>
      </c>
      <c r="H220" s="27" t="s">
        <v>26</v>
      </c>
      <c r="I220" s="28">
        <f>45908.09/1.15</f>
        <v>39920.078260869566</v>
      </c>
      <c r="J220" s="29">
        <f>G220*I220</f>
        <v>77875.028388701146</v>
      </c>
      <c r="K220" s="30"/>
    </row>
    <row r="221" spans="1:19" x14ac:dyDescent="0.3">
      <c r="A221" s="25"/>
      <c r="B221" s="24"/>
      <c r="C221" s="26"/>
      <c r="D221" s="17"/>
      <c r="E221" s="17"/>
      <c r="F221" s="17"/>
      <c r="G221" s="45"/>
      <c r="H221" s="45"/>
      <c r="I221" s="45"/>
      <c r="J221" s="39"/>
      <c r="K221" s="30"/>
    </row>
    <row r="222" spans="1:19" ht="28.8" x14ac:dyDescent="0.3">
      <c r="A222" s="12">
        <v>32</v>
      </c>
      <c r="B222" s="59" t="s">
        <v>102</v>
      </c>
      <c r="C222" s="14"/>
      <c r="D222" s="15"/>
      <c r="E222" s="16"/>
      <c r="F222" s="16"/>
      <c r="G222" s="19"/>
      <c r="H222" s="18"/>
      <c r="I222" s="19"/>
      <c r="J222" s="20"/>
      <c r="K222" s="16"/>
      <c r="M222" s="21"/>
      <c r="N222" s="1"/>
      <c r="O222" s="1"/>
      <c r="P222" s="1"/>
      <c r="Q222" s="1"/>
      <c r="R222" s="21"/>
      <c r="S222" s="21"/>
    </row>
    <row r="223" spans="1:19" ht="15" customHeight="1" x14ac:dyDescent="0.3">
      <c r="A223" s="12"/>
      <c r="B223" s="13" t="s">
        <v>103</v>
      </c>
      <c r="C223" s="14">
        <v>2</v>
      </c>
      <c r="D223" s="15">
        <f>((15.667+16.25)/2)/3.281</f>
        <v>4.8639134410240779</v>
      </c>
      <c r="E223" s="16">
        <f>((10.75)/3.281)</f>
        <v>3.2764401097226452</v>
      </c>
      <c r="F223" s="16"/>
      <c r="G223" s="17">
        <f t="shared" ref="G223" si="17">PRODUCT(C223:F223)</f>
        <v>31.872642176780758</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31.872642176780758</v>
      </c>
      <c r="H224" s="27" t="s">
        <v>26</v>
      </c>
      <c r="I224" s="28">
        <f>(325188.75/100)</f>
        <v>3251.8874999999998</v>
      </c>
      <c r="J224" s="29">
        <f>G224*I224</f>
        <v>103646.24668664613</v>
      </c>
      <c r="K224" s="30"/>
    </row>
    <row r="225" spans="1:19" ht="15" customHeight="1" x14ac:dyDescent="0.3">
      <c r="A225" s="25"/>
      <c r="B225" s="22" t="s">
        <v>85</v>
      </c>
      <c r="C225" s="26"/>
      <c r="D225" s="17"/>
      <c r="E225" s="17"/>
      <c r="F225" s="17"/>
      <c r="G225" s="45"/>
      <c r="H225" s="45"/>
      <c r="I225" s="45"/>
      <c r="J225" s="39">
        <f>0.13*G224*((221748.75)/100)</f>
        <v>9188.0341304679368</v>
      </c>
      <c r="K225" s="30"/>
    </row>
    <row r="226" spans="1:19" ht="15" customHeight="1" x14ac:dyDescent="0.3">
      <c r="A226" s="25"/>
      <c r="B226" s="22"/>
      <c r="C226" s="26"/>
      <c r="D226" s="17"/>
      <c r="E226" s="17"/>
      <c r="F226" s="17"/>
      <c r="G226" s="45"/>
      <c r="H226" s="45"/>
      <c r="I226" s="45"/>
      <c r="J226" s="39"/>
      <c r="K226" s="30"/>
    </row>
    <row r="227" spans="1:19" ht="28.8" x14ac:dyDescent="0.3">
      <c r="A227" s="12">
        <v>33</v>
      </c>
      <c r="B227" s="59" t="s">
        <v>104</v>
      </c>
      <c r="C227" s="26"/>
      <c r="D227" s="17"/>
      <c r="E227" s="17"/>
      <c r="F227" s="17"/>
      <c r="G227" s="45"/>
      <c r="H227" s="45"/>
      <c r="I227" s="45"/>
      <c r="J227" s="39"/>
      <c r="K227" s="30"/>
    </row>
    <row r="228" spans="1:19" ht="15" customHeight="1" x14ac:dyDescent="0.3">
      <c r="A228" s="12"/>
      <c r="B228" s="13" t="s">
        <v>103</v>
      </c>
      <c r="C228" s="14">
        <f>2*2</f>
        <v>4</v>
      </c>
      <c r="D228" s="15">
        <f>D223</f>
        <v>4.8639134410240779</v>
      </c>
      <c r="E228" s="16"/>
      <c r="F228" s="16"/>
      <c r="G228" s="17">
        <f>PRODUCT(C228:F228)</f>
        <v>19.455653764096311</v>
      </c>
      <c r="H228" s="18"/>
      <c r="I228" s="19"/>
      <c r="J228" s="20"/>
      <c r="K228" s="16"/>
      <c r="M228" s="21"/>
      <c r="N228" s="1"/>
      <c r="O228" s="1"/>
      <c r="P228" s="1"/>
      <c r="Q228" s="1"/>
      <c r="R228" s="21"/>
      <c r="S228" s="21"/>
    </row>
    <row r="229" spans="1:19" ht="15" customHeight="1" x14ac:dyDescent="0.3">
      <c r="A229" s="25"/>
      <c r="B229" s="22" t="s">
        <v>25</v>
      </c>
      <c r="C229" s="26"/>
      <c r="D229" s="17"/>
      <c r="E229" s="17"/>
      <c r="F229" s="17"/>
      <c r="G229" s="27">
        <f>SUM(G228:G228)</f>
        <v>19.455653764096311</v>
      </c>
      <c r="H229" s="27" t="s">
        <v>68</v>
      </c>
      <c r="I229" s="28">
        <v>1842.85</v>
      </c>
      <c r="J229" s="29">
        <f>G229*I229</f>
        <v>35853.851539164883</v>
      </c>
      <c r="K229" s="30"/>
    </row>
    <row r="230" spans="1:19" ht="15" customHeight="1" x14ac:dyDescent="0.3">
      <c r="A230" s="25"/>
      <c r="B230" s="22" t="s">
        <v>85</v>
      </c>
      <c r="C230" s="26"/>
      <c r="D230" s="17"/>
      <c r="E230" s="17"/>
      <c r="F230" s="17"/>
      <c r="G230" s="45"/>
      <c r="H230" s="45"/>
      <c r="I230" s="45"/>
      <c r="J230" s="39">
        <f>0.13*G229*((164000)/100)</f>
        <v>4147.9453825053333</v>
      </c>
      <c r="K230" s="30"/>
    </row>
    <row r="231" spans="1:19" ht="15" customHeight="1" x14ac:dyDescent="0.3">
      <c r="A231" s="25"/>
      <c r="B231" s="22"/>
      <c r="C231" s="26"/>
      <c r="D231" s="17"/>
      <c r="E231" s="17"/>
      <c r="F231" s="17"/>
      <c r="G231" s="45"/>
      <c r="H231" s="45"/>
      <c r="I231" s="45"/>
      <c r="J231" s="39"/>
      <c r="K231" s="30"/>
    </row>
    <row r="232" spans="1:19" ht="28.8" x14ac:dyDescent="0.3">
      <c r="A232" s="25">
        <v>34</v>
      </c>
      <c r="B232" s="59" t="s">
        <v>105</v>
      </c>
      <c r="C232" s="26"/>
      <c r="D232" s="17"/>
      <c r="E232" s="17"/>
      <c r="F232" s="17"/>
      <c r="G232" s="45"/>
      <c r="H232" s="45"/>
      <c r="I232" s="45"/>
      <c r="J232" s="39"/>
      <c r="K232" s="30"/>
    </row>
    <row r="233" spans="1:19" x14ac:dyDescent="0.3">
      <c r="A233" s="25"/>
      <c r="B233" s="22" t="s">
        <v>106</v>
      </c>
      <c r="C233" s="26">
        <v>4</v>
      </c>
      <c r="D233" s="17"/>
      <c r="E233" s="17"/>
      <c r="F233" s="17"/>
      <c r="G233" s="17">
        <f t="shared" ref="G233" si="18">PRODUCT(C233:F233)</f>
        <v>4</v>
      </c>
      <c r="H233" s="45"/>
      <c r="I233" s="45"/>
      <c r="J233" s="39"/>
      <c r="K233" s="30"/>
    </row>
    <row r="234" spans="1:19" ht="15" customHeight="1" x14ac:dyDescent="0.3">
      <c r="A234" s="25"/>
      <c r="B234" s="22" t="s">
        <v>25</v>
      </c>
      <c r="C234" s="26"/>
      <c r="D234" s="17"/>
      <c r="E234" s="17"/>
      <c r="F234" s="17"/>
      <c r="G234" s="27">
        <f>SUM(G233)</f>
        <v>4</v>
      </c>
      <c r="H234" s="27" t="s">
        <v>90</v>
      </c>
      <c r="I234" s="28">
        <v>279</v>
      </c>
      <c r="J234" s="29">
        <f>G234*I234</f>
        <v>1116</v>
      </c>
      <c r="K234" s="30"/>
    </row>
    <row r="235" spans="1:19" ht="15" customHeight="1" x14ac:dyDescent="0.3">
      <c r="A235" s="25"/>
      <c r="B235" s="22" t="s">
        <v>85</v>
      </c>
      <c r="C235" s="26"/>
      <c r="D235" s="17"/>
      <c r="E235" s="17"/>
      <c r="F235" s="17"/>
      <c r="G235" s="45"/>
      <c r="H235" s="45"/>
      <c r="I235" s="45"/>
      <c r="J235" s="39">
        <f>0.13*J234</f>
        <v>145.08000000000001</v>
      </c>
      <c r="K235" s="30"/>
    </row>
    <row r="236" spans="1:19" x14ac:dyDescent="0.3">
      <c r="A236" s="25"/>
      <c r="B236" s="24"/>
      <c r="C236" s="26"/>
      <c r="D236" s="17"/>
      <c r="E236" s="17"/>
      <c r="F236" s="17"/>
      <c r="G236" s="45"/>
      <c r="H236" s="45"/>
      <c r="I236" s="45"/>
      <c r="J236" s="39"/>
      <c r="K236" s="30"/>
    </row>
    <row r="237" spans="1:19" s="1" customFormat="1" ht="43.2" x14ac:dyDescent="0.3">
      <c r="A237" s="25">
        <v>35</v>
      </c>
      <c r="B237" s="61" t="s">
        <v>107</v>
      </c>
      <c r="C237" s="32">
        <f>3</f>
        <v>3</v>
      </c>
      <c r="D237" s="33">
        <v>3.5</v>
      </c>
      <c r="E237" s="33"/>
      <c r="F237" s="33"/>
      <c r="G237" s="33">
        <f>PRODUCT(C237:F237)</f>
        <v>10.5</v>
      </c>
      <c r="H237" s="25"/>
      <c r="I237" s="25"/>
      <c r="J237" s="25"/>
      <c r="K237" s="34"/>
    </row>
    <row r="238" spans="1:19" ht="15" customHeight="1" x14ac:dyDescent="0.3">
      <c r="A238" s="25"/>
      <c r="B238" s="22" t="s">
        <v>25</v>
      </c>
      <c r="C238" s="26"/>
      <c r="D238" s="17"/>
      <c r="E238" s="17"/>
      <c r="F238" s="17"/>
      <c r="G238" s="27">
        <f>SUM(G237:G237)</f>
        <v>10.5</v>
      </c>
      <c r="H238" s="27" t="s">
        <v>108</v>
      </c>
      <c r="I238" s="27">
        <v>3914.14</v>
      </c>
      <c r="J238" s="29">
        <f>G237*I238</f>
        <v>41098.47</v>
      </c>
      <c r="K238" s="30"/>
    </row>
    <row r="239" spans="1:19" ht="15" customHeight="1" x14ac:dyDescent="0.3">
      <c r="A239" s="25"/>
      <c r="B239" s="22" t="s">
        <v>85</v>
      </c>
      <c r="C239" s="26"/>
      <c r="D239" s="17"/>
      <c r="E239" s="17"/>
      <c r="F239" s="17"/>
      <c r="G239" s="45"/>
      <c r="H239" s="45"/>
      <c r="I239" s="45"/>
      <c r="J239" s="39">
        <f>0.13*G238*5918/5</f>
        <v>1615.614</v>
      </c>
      <c r="K239" s="30"/>
      <c r="M239" s="58"/>
    </row>
    <row r="240" spans="1:19" ht="15" customHeight="1" x14ac:dyDescent="0.3">
      <c r="A240" s="25"/>
      <c r="B240" s="22"/>
      <c r="C240" s="26"/>
      <c r="D240" s="17"/>
      <c r="E240" s="17"/>
      <c r="F240" s="17"/>
      <c r="G240" s="45"/>
      <c r="H240" s="45"/>
      <c r="I240" s="45"/>
      <c r="J240" s="39"/>
      <c r="K240" s="30"/>
    </row>
    <row r="241" spans="1:14" s="1" customFormat="1" x14ac:dyDescent="0.3">
      <c r="A241" s="12">
        <v>36</v>
      </c>
      <c r="B241" s="54" t="s">
        <v>109</v>
      </c>
      <c r="C241" s="32">
        <v>1</v>
      </c>
      <c r="D241" s="33"/>
      <c r="E241" s="33"/>
      <c r="F241" s="33"/>
      <c r="G241" s="37">
        <f>PRODUCT(C241:F241)</f>
        <v>1</v>
      </c>
      <c r="H241" s="37" t="s">
        <v>110</v>
      </c>
      <c r="I241" s="37">
        <v>50000</v>
      </c>
      <c r="J241" s="39">
        <f>G241*I241</f>
        <v>50000</v>
      </c>
      <c r="K241" s="34"/>
    </row>
    <row r="242" spans="1:14" ht="15" customHeight="1" x14ac:dyDescent="0.3">
      <c r="A242" s="25"/>
      <c r="B242" s="41"/>
      <c r="C242" s="26"/>
      <c r="D242" s="17"/>
      <c r="E242" s="17"/>
      <c r="F242" s="17"/>
      <c r="G242" s="45"/>
      <c r="H242" s="45"/>
      <c r="I242" s="45"/>
      <c r="J242" s="39"/>
      <c r="K242" s="30"/>
    </row>
    <row r="243" spans="1:14" ht="15" customHeight="1" x14ac:dyDescent="0.3">
      <c r="A243" s="12">
        <v>37</v>
      </c>
      <c r="B243" s="62" t="s">
        <v>111</v>
      </c>
      <c r="C243" s="14">
        <v>1</v>
      </c>
      <c r="D243" s="15"/>
      <c r="E243" s="16"/>
      <c r="F243" s="16"/>
      <c r="G243" s="37">
        <f t="shared" ref="G243" si="19">PRODUCT(C243:F243)</f>
        <v>1</v>
      </c>
      <c r="H243" s="18" t="s">
        <v>90</v>
      </c>
      <c r="I243" s="19">
        <v>1000</v>
      </c>
      <c r="J243" s="37">
        <f>G243*I243</f>
        <v>1000</v>
      </c>
      <c r="K243" s="16"/>
      <c r="M243" s="21"/>
      <c r="N243" s="21"/>
    </row>
    <row r="244" spans="1:14" ht="15" customHeight="1" x14ac:dyDescent="0.3">
      <c r="A244" s="12"/>
      <c r="B244" s="60"/>
      <c r="C244" s="14"/>
      <c r="D244" s="15"/>
      <c r="E244" s="16"/>
      <c r="F244" s="16"/>
      <c r="G244" s="19"/>
      <c r="H244" s="18"/>
      <c r="I244" s="19"/>
      <c r="J244" s="20"/>
      <c r="K244" s="16"/>
      <c r="M244" s="21"/>
      <c r="N244" s="21"/>
    </row>
    <row r="245" spans="1:14" x14ac:dyDescent="0.3">
      <c r="A245" s="25"/>
      <c r="B245" s="63" t="s">
        <v>112</v>
      </c>
      <c r="C245" s="64"/>
      <c r="D245" s="65"/>
      <c r="E245" s="65"/>
      <c r="F245" s="65"/>
      <c r="G245" s="20"/>
      <c r="H245" s="20"/>
      <c r="I245" s="20"/>
      <c r="J245" s="20">
        <f>SUM(J14:J243)</f>
        <v>1544282.5490286313</v>
      </c>
      <c r="K245" s="30"/>
    </row>
    <row r="247" spans="1:14" s="1" customFormat="1" x14ac:dyDescent="0.3">
      <c r="B247" s="34" t="s">
        <v>113</v>
      </c>
      <c r="C247" s="79">
        <f>J245</f>
        <v>1544282.5490286313</v>
      </c>
      <c r="D247" s="80"/>
      <c r="E247" s="33">
        <v>100</v>
      </c>
      <c r="F247" s="66"/>
      <c r="G247" s="67"/>
      <c r="H247" s="66"/>
      <c r="I247" s="68"/>
      <c r="J247" s="69"/>
      <c r="K247" s="70"/>
    </row>
    <row r="248" spans="1:14" x14ac:dyDescent="0.3">
      <c r="B248" s="34" t="s">
        <v>114</v>
      </c>
      <c r="C248" s="82">
        <v>2250000</v>
      </c>
      <c r="D248" s="83"/>
      <c r="E248" s="33"/>
    </row>
    <row r="249" spans="1:14" x14ac:dyDescent="0.3">
      <c r="B249" s="34" t="s">
        <v>115</v>
      </c>
      <c r="C249" s="82">
        <f>C248-C251-C252</f>
        <v>2137500</v>
      </c>
      <c r="D249" s="83"/>
      <c r="E249" s="33">
        <f>C249/C247*100</f>
        <v>138.41378971383884</v>
      </c>
    </row>
    <row r="250" spans="1:14" x14ac:dyDescent="0.3">
      <c r="B250" s="34" t="s">
        <v>116</v>
      </c>
      <c r="C250" s="84">
        <f>C247-C249</f>
        <v>-593217.4509713687</v>
      </c>
      <c r="D250" s="84"/>
      <c r="E250" s="33">
        <f>100-E249</f>
        <v>-38.413789713838838</v>
      </c>
    </row>
    <row r="251" spans="1:14" x14ac:dyDescent="0.3">
      <c r="B251" s="34" t="s">
        <v>117</v>
      </c>
      <c r="C251" s="79">
        <f>C248*0.03</f>
        <v>67500</v>
      </c>
      <c r="D251" s="80"/>
      <c r="E251" s="33">
        <v>3</v>
      </c>
    </row>
    <row r="252" spans="1:14" x14ac:dyDescent="0.3">
      <c r="B252" s="34" t="s">
        <v>118</v>
      </c>
      <c r="C252" s="79">
        <f>C248*0.02</f>
        <v>45000</v>
      </c>
      <c r="D252" s="80"/>
      <c r="E252" s="33">
        <v>2</v>
      </c>
    </row>
  </sheetData>
  <mergeCells count="15">
    <mergeCell ref="C251:D251"/>
    <mergeCell ref="C252:D252"/>
    <mergeCell ref="A7:F7"/>
    <mergeCell ref="H7:K7"/>
    <mergeCell ref="C247:D247"/>
    <mergeCell ref="C248:D248"/>
    <mergeCell ref="C249:D249"/>
    <mergeCell ref="C250:D250"/>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final</vt:lpstr>
      <vt:lpstr>final!Print_Area</vt:lpstr>
      <vt:lpstr>final!Print_Titles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2024-08-28T02:27:01Z</dcterms:modified>
</cp:coreProperties>
</file>