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H:\081_082\ofc\ofc\estimates\kalimasta mandir\"/>
    </mc:Choice>
  </mc:AlternateContent>
  <bookViews>
    <workbookView xWindow="-120" yWindow="-120" windowWidth="20736" windowHeight="11160" firstSheet="1" activeTab="3"/>
  </bookViews>
  <sheets>
    <sheet name="kalimasta mandir final" sheetId="17" state="hidden" r:id="rId1"/>
    <sheet name="kalimasta mandir final (2)" sheetId="18" r:id="rId2"/>
    <sheet name="WCR" sheetId="6" r:id="rId3"/>
    <sheet name="valuated" sheetId="19" r:id="rId4"/>
  </sheets>
  <externalReferences>
    <externalReference r:id="rId5"/>
    <externalReference r:id="rId6"/>
    <externalReference r:id="rId7"/>
    <externalReference r:id="rId8"/>
    <externalReference r:id="rId9"/>
  </externalReferences>
  <definedNames>
    <definedName name="description_103">[1]Abstract!$B$16</definedName>
    <definedName name="description_124" localSheetId="0">#REF!</definedName>
    <definedName name="description_124" localSheetId="1">#REF!</definedName>
    <definedName name="description_124" localSheetId="3">#REF!</definedName>
    <definedName name="description_124">#REF!</definedName>
    <definedName name="description_247">[1]Abstract!$B$22</definedName>
    <definedName name="description_248">[1]Abstract!$B$23</definedName>
    <definedName name="description_261">[2]Abstract!$B$33</definedName>
    <definedName name="description_262">[1]Abstract!$B$34</definedName>
    <definedName name="description_3">[1]Abstract!$B$169</definedName>
    <definedName name="description_310">[3]Abstract!$B$60</definedName>
    <definedName name="description_312">[4]Abstract!$B$61</definedName>
    <definedName name="description_5">[1]Abstract!$B$171</definedName>
    <definedName name="description_6">[3]Abstract!$B$172</definedName>
    <definedName name="description_759">[1]Abstract!$B$278</definedName>
    <definedName name="description_781">[5]Abstract!$B$299</definedName>
    <definedName name="description_783">[1]Abstract!$B$301</definedName>
    <definedName name="_xlnm.Print_Area" localSheetId="0">'kalimasta mandir final'!$A$1:$K$52</definedName>
    <definedName name="_xlnm.Print_Area" localSheetId="1">'kalimasta mandir final (2)'!$A$1:$K$55</definedName>
    <definedName name="_xlnm.Print_Area" localSheetId="3">valuated!$A$1:$K$62</definedName>
    <definedName name="_xlnm.Print_Titles" localSheetId="0">'kalimasta mandir final'!$1:$8</definedName>
    <definedName name="_xlnm.Print_Titles" localSheetId="1">'kalimasta mandir final (2)'!$1:$8</definedName>
    <definedName name="_xlnm.Print_Titles" localSheetId="3">valuated!$1:$8</definedName>
    <definedName name="_xlnm.Print_Titles" localSheetId="2">WCR!$1:$12</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A9" i="6" l="1"/>
  <c r="A8" i="6"/>
  <c r="I24" i="6"/>
  <c r="J24" i="6" s="1"/>
  <c r="J20" i="6"/>
  <c r="J17" i="6"/>
  <c r="J14" i="6"/>
  <c r="H22" i="6"/>
  <c r="G22" i="6"/>
  <c r="E22" i="6"/>
  <c r="D22" i="6"/>
  <c r="C22" i="6"/>
  <c r="B22" i="6"/>
  <c r="A22" i="6"/>
  <c r="I20" i="6"/>
  <c r="H19" i="6"/>
  <c r="G19" i="6"/>
  <c r="F20" i="6"/>
  <c r="E19" i="6"/>
  <c r="D19" i="6"/>
  <c r="C19" i="6"/>
  <c r="B20" i="6"/>
  <c r="B19" i="6"/>
  <c r="A19" i="6"/>
  <c r="H16" i="6"/>
  <c r="I17" i="6"/>
  <c r="G16" i="6"/>
  <c r="F17" i="6"/>
  <c r="E16" i="6"/>
  <c r="D16" i="6"/>
  <c r="C16" i="6"/>
  <c r="B17" i="6"/>
  <c r="B16" i="6"/>
  <c r="A16" i="6"/>
  <c r="I14" i="6"/>
  <c r="H13" i="6"/>
  <c r="G13" i="6"/>
  <c r="F14" i="6"/>
  <c r="E13" i="6"/>
  <c r="D13" i="6"/>
  <c r="C13" i="6"/>
  <c r="B14" i="6"/>
  <c r="B13" i="6"/>
  <c r="A13" i="6"/>
  <c r="G50" i="19"/>
  <c r="G26" i="19"/>
  <c r="G27" i="19"/>
  <c r="G28" i="19"/>
  <c r="G29" i="19"/>
  <c r="G30" i="19"/>
  <c r="G31" i="19"/>
  <c r="G32" i="19"/>
  <c r="G33" i="19"/>
  <c r="G34" i="19"/>
  <c r="G35" i="19"/>
  <c r="G36" i="19"/>
  <c r="E43" i="19"/>
  <c r="F43" i="19"/>
  <c r="G43" i="19" s="1"/>
  <c r="E44" i="19"/>
  <c r="F44" i="19" s="1"/>
  <c r="G44" i="19" s="1"/>
  <c r="E45" i="19"/>
  <c r="F45" i="19"/>
  <c r="G45" i="19" s="1"/>
  <c r="E46" i="19"/>
  <c r="F46" i="19"/>
  <c r="G46" i="19"/>
  <c r="D46" i="19"/>
  <c r="D45" i="19"/>
  <c r="D47" i="19"/>
  <c r="D44" i="19"/>
  <c r="D42" i="19"/>
  <c r="C37" i="19"/>
  <c r="D41" i="19"/>
  <c r="C38" i="19"/>
  <c r="C40" i="19"/>
  <c r="C39" i="19"/>
  <c r="O28" i="19"/>
  <c r="E27" i="19"/>
  <c r="E28" i="19"/>
  <c r="E29" i="19"/>
  <c r="E30" i="19"/>
  <c r="E31" i="19"/>
  <c r="E32" i="19"/>
  <c r="E33" i="19"/>
  <c r="F33" i="19" s="1"/>
  <c r="E34" i="19"/>
  <c r="E35" i="19"/>
  <c r="E36" i="19"/>
  <c r="E26" i="19"/>
  <c r="D36" i="19"/>
  <c r="D35" i="19"/>
  <c r="D34" i="19"/>
  <c r="D33" i="19"/>
  <c r="D32" i="19"/>
  <c r="D31" i="19"/>
  <c r="D30" i="19"/>
  <c r="C28" i="19"/>
  <c r="D29" i="19"/>
  <c r="D28" i="19"/>
  <c r="D27" i="19"/>
  <c r="D26" i="19"/>
  <c r="C27" i="19"/>
  <c r="C26" i="19"/>
  <c r="D12" i="19"/>
  <c r="D20" i="19" s="1"/>
  <c r="D11" i="19"/>
  <c r="D19" i="19" s="1"/>
  <c r="E10" i="19"/>
  <c r="E18" i="19" s="1"/>
  <c r="C62" i="19"/>
  <c r="C61" i="19"/>
  <c r="G53" i="19"/>
  <c r="J53" i="19" s="1"/>
  <c r="E49" i="19"/>
  <c r="D49" i="19"/>
  <c r="C49" i="19"/>
  <c r="E48" i="19"/>
  <c r="D48" i="19"/>
  <c r="C48" i="19"/>
  <c r="E47" i="19"/>
  <c r="C47" i="19"/>
  <c r="E42" i="19"/>
  <c r="E41" i="19"/>
  <c r="E40" i="19"/>
  <c r="D40" i="19"/>
  <c r="E39" i="19"/>
  <c r="D39" i="19"/>
  <c r="E38" i="19"/>
  <c r="E37" i="19"/>
  <c r="F21" i="19"/>
  <c r="D21" i="19"/>
  <c r="C21" i="19"/>
  <c r="B21" i="19"/>
  <c r="F20" i="19"/>
  <c r="C20" i="19"/>
  <c r="F19" i="19"/>
  <c r="C19" i="19"/>
  <c r="B19" i="19"/>
  <c r="B37" i="19" s="1"/>
  <c r="C18" i="19"/>
  <c r="B18" i="19"/>
  <c r="G13" i="19"/>
  <c r="D10" i="19"/>
  <c r="I19" i="6" l="1"/>
  <c r="F19" i="6"/>
  <c r="I16" i="6"/>
  <c r="J16" i="6" s="1"/>
  <c r="F16" i="6"/>
  <c r="F34" i="19"/>
  <c r="F29" i="19"/>
  <c r="F26" i="19"/>
  <c r="F31" i="19"/>
  <c r="F36" i="19"/>
  <c r="F32" i="19"/>
  <c r="F30" i="19"/>
  <c r="F28" i="19"/>
  <c r="F35" i="19"/>
  <c r="F27" i="19"/>
  <c r="C59" i="19"/>
  <c r="G10" i="19"/>
  <c r="F48" i="19"/>
  <c r="G48" i="19" s="1"/>
  <c r="G21" i="19"/>
  <c r="F42" i="19"/>
  <c r="G42" i="19" s="1"/>
  <c r="G19" i="19"/>
  <c r="F40" i="19"/>
  <c r="G40" i="19" s="1"/>
  <c r="D37" i="19"/>
  <c r="F37" i="19" s="1"/>
  <c r="F49" i="19"/>
  <c r="G49" i="19" s="1"/>
  <c r="D18" i="19"/>
  <c r="G18" i="19" s="1"/>
  <c r="G11" i="19"/>
  <c r="D38" i="19"/>
  <c r="F41" i="19"/>
  <c r="G41" i="19" s="1"/>
  <c r="F47" i="19"/>
  <c r="G47" i="19" s="1"/>
  <c r="F39" i="19"/>
  <c r="G20" i="19"/>
  <c r="G12" i="19"/>
  <c r="C42" i="18"/>
  <c r="C41" i="18"/>
  <c r="C40" i="18"/>
  <c r="B21" i="18"/>
  <c r="D39" i="18"/>
  <c r="D38" i="18"/>
  <c r="D37" i="18"/>
  <c r="E39" i="18"/>
  <c r="E38" i="18"/>
  <c r="E37" i="18"/>
  <c r="J19" i="6" l="1"/>
  <c r="N28" i="19"/>
  <c r="F38" i="19"/>
  <c r="G38" i="19" s="1"/>
  <c r="D43" i="19"/>
  <c r="O37" i="19"/>
  <c r="G39" i="19"/>
  <c r="G14" i="19"/>
  <c r="J15" i="19" s="1"/>
  <c r="G37" i="19"/>
  <c r="N37" i="19"/>
  <c r="P37" i="19"/>
  <c r="G22" i="19"/>
  <c r="J22" i="19" s="1"/>
  <c r="F38" i="18"/>
  <c r="G38" i="18" s="1"/>
  <c r="F39" i="18"/>
  <c r="G39" i="18" s="1"/>
  <c r="F37" i="18"/>
  <c r="G37" i="18" s="1"/>
  <c r="D42" i="18"/>
  <c r="D41" i="18"/>
  <c r="E42" i="18"/>
  <c r="E41" i="18"/>
  <c r="F41" i="18" s="1"/>
  <c r="D40" i="18"/>
  <c r="E36" i="18"/>
  <c r="E35" i="18"/>
  <c r="E40" i="18"/>
  <c r="D21" i="18"/>
  <c r="F21" i="18"/>
  <c r="C21" i="18"/>
  <c r="G13" i="18"/>
  <c r="C36" i="18"/>
  <c r="C35" i="18"/>
  <c r="E28" i="18"/>
  <c r="E29" i="18"/>
  <c r="E30" i="18"/>
  <c r="E31" i="18"/>
  <c r="E32" i="18"/>
  <c r="D32" i="18"/>
  <c r="C32" i="18"/>
  <c r="D31" i="18"/>
  <c r="C31" i="18"/>
  <c r="O31" i="18"/>
  <c r="N31" i="18"/>
  <c r="M31" i="18"/>
  <c r="D30" i="18"/>
  <c r="C30" i="18"/>
  <c r="D29" i="18"/>
  <c r="C29" i="18"/>
  <c r="D28" i="18"/>
  <c r="C28" i="18"/>
  <c r="N28" i="18"/>
  <c r="O29" i="18"/>
  <c r="O28" i="18"/>
  <c r="M28" i="18"/>
  <c r="E27" i="18"/>
  <c r="D27" i="18"/>
  <c r="C27" i="18"/>
  <c r="E26" i="18"/>
  <c r="D26" i="18"/>
  <c r="D12" i="18"/>
  <c r="D20" i="18" s="1"/>
  <c r="D11" i="18"/>
  <c r="D19" i="18" s="1"/>
  <c r="E10" i="18"/>
  <c r="D34" i="18" s="1"/>
  <c r="D10" i="18"/>
  <c r="C55" i="18"/>
  <c r="C54" i="18"/>
  <c r="G46" i="18"/>
  <c r="J46" i="18" s="1"/>
  <c r="D36" i="18"/>
  <c r="D35" i="18"/>
  <c r="E34" i="18"/>
  <c r="C34" i="18"/>
  <c r="E33" i="18"/>
  <c r="C33" i="18"/>
  <c r="F20" i="18"/>
  <c r="C20" i="18"/>
  <c r="F19" i="18"/>
  <c r="C19" i="18"/>
  <c r="B19" i="18"/>
  <c r="B33" i="18" s="1"/>
  <c r="C18" i="18"/>
  <c r="B18" i="18"/>
  <c r="G12" i="18"/>
  <c r="N38" i="19" l="1"/>
  <c r="J50" i="19"/>
  <c r="Q37" i="19"/>
  <c r="J14" i="19"/>
  <c r="J23" i="19"/>
  <c r="F42" i="18"/>
  <c r="F40" i="18"/>
  <c r="G40" i="18" s="1"/>
  <c r="P33" i="18"/>
  <c r="F36" i="18"/>
  <c r="G36" i="18" s="1"/>
  <c r="F35" i="18"/>
  <c r="F32" i="18"/>
  <c r="G32" i="18" s="1"/>
  <c r="F30" i="18"/>
  <c r="G30" i="18" s="1"/>
  <c r="G41" i="18"/>
  <c r="G10" i="18"/>
  <c r="F29" i="18"/>
  <c r="G29" i="18" s="1"/>
  <c r="C52" i="18"/>
  <c r="F28" i="18"/>
  <c r="G28" i="18" s="1"/>
  <c r="F31" i="18"/>
  <c r="G31" i="18" s="1"/>
  <c r="G21" i="18"/>
  <c r="F27" i="18"/>
  <c r="G27" i="18" s="1"/>
  <c r="G42" i="18"/>
  <c r="F26" i="18"/>
  <c r="G20" i="18"/>
  <c r="F34" i="18"/>
  <c r="G34" i="18" s="1"/>
  <c r="G19" i="18"/>
  <c r="G11" i="18"/>
  <c r="D18" i="18"/>
  <c r="D33" i="18"/>
  <c r="F33" i="18" s="1"/>
  <c r="E18" i="18"/>
  <c r="C38" i="17"/>
  <c r="C39" i="17"/>
  <c r="D39" i="17"/>
  <c r="D38" i="17"/>
  <c r="E38" i="17"/>
  <c r="F38" i="17" s="1"/>
  <c r="G38" i="17" s="1"/>
  <c r="E39" i="17"/>
  <c r="E37" i="17"/>
  <c r="E36" i="17"/>
  <c r="C37" i="17"/>
  <c r="C36" i="17"/>
  <c r="D35" i="17"/>
  <c r="D34" i="17"/>
  <c r="E35" i="17"/>
  <c r="E34" i="17"/>
  <c r="D22" i="17"/>
  <c r="D29" i="17" s="1"/>
  <c r="D21" i="17"/>
  <c r="D28" i="17" s="1"/>
  <c r="E20" i="17"/>
  <c r="E27" i="17" s="1"/>
  <c r="D20" i="17"/>
  <c r="D36" i="17" s="1"/>
  <c r="F29" i="17"/>
  <c r="F28" i="17"/>
  <c r="C29" i="17"/>
  <c r="C28" i="17"/>
  <c r="C27" i="17"/>
  <c r="B28" i="17"/>
  <c r="B36" i="17" s="1"/>
  <c r="B27" i="17"/>
  <c r="B34" i="17" s="1"/>
  <c r="E15" i="17"/>
  <c r="D15" i="17"/>
  <c r="G15" i="17" s="1"/>
  <c r="G16" i="17" s="1"/>
  <c r="J17" i="17" s="1"/>
  <c r="E10" i="17"/>
  <c r="G10" i="17" s="1"/>
  <c r="G11" i="17" s="1"/>
  <c r="J12" i="17" s="1"/>
  <c r="D10" i="17"/>
  <c r="J51" i="19" l="1"/>
  <c r="J55" i="19" s="1"/>
  <c r="C57" i="19" s="1"/>
  <c r="C60" i="19" s="1"/>
  <c r="C34" i="17"/>
  <c r="F34" i="17" s="1"/>
  <c r="G34" i="17" s="1"/>
  <c r="O33" i="18"/>
  <c r="C35" i="17"/>
  <c r="F35" i="17" s="1"/>
  <c r="G35" i="17" s="1"/>
  <c r="G14" i="18"/>
  <c r="J15" i="18" s="1"/>
  <c r="N39" i="18"/>
  <c r="G35" i="18"/>
  <c r="G33" i="18"/>
  <c r="N34" i="18"/>
  <c r="G26" i="18"/>
  <c r="N33" i="18"/>
  <c r="Q33" i="18" s="1"/>
  <c r="G18" i="18"/>
  <c r="G22" i="18" s="1"/>
  <c r="F36" i="17"/>
  <c r="G36" i="17" s="1"/>
  <c r="D27" i="17"/>
  <c r="G20" i="17"/>
  <c r="F39" i="17"/>
  <c r="G39" i="17" s="1"/>
  <c r="G22" i="17"/>
  <c r="G21" i="17"/>
  <c r="D37" i="17"/>
  <c r="F37" i="17" s="1"/>
  <c r="G37" i="17" s="1"/>
  <c r="G29" i="17"/>
  <c r="G28" i="17"/>
  <c r="G27" i="17"/>
  <c r="J16" i="17"/>
  <c r="E59" i="19" l="1"/>
  <c r="E60" i="19" s="1"/>
  <c r="J14" i="18"/>
  <c r="G43" i="18"/>
  <c r="J44" i="18"/>
  <c r="J22" i="18"/>
  <c r="J23" i="18"/>
  <c r="G40" i="17"/>
  <c r="G23" i="17"/>
  <c r="J24" i="17" s="1"/>
  <c r="G30" i="17"/>
  <c r="J30" i="17"/>
  <c r="J23" i="17" l="1"/>
  <c r="J43" i="18"/>
  <c r="J40" i="17"/>
  <c r="J41" i="17"/>
  <c r="J31" i="17"/>
  <c r="J48" i="18" l="1"/>
  <c r="C50" i="18" s="1"/>
  <c r="C52" i="17"/>
  <c r="C51" i="17"/>
  <c r="G43" i="17"/>
  <c r="J43" i="17" s="1"/>
  <c r="C53" i="18" l="1"/>
  <c r="E52" i="18"/>
  <c r="E53" i="18" s="1"/>
  <c r="C49" i="17"/>
  <c r="J11" i="17" l="1"/>
  <c r="J45" i="17" s="1"/>
  <c r="C47" i="17" l="1"/>
  <c r="E49" i="17" s="1"/>
  <c r="E50" i="17" s="1"/>
  <c r="C50" i="17" l="1"/>
  <c r="I22" i="6" l="1"/>
  <c r="F22" i="6"/>
  <c r="J22" i="6" l="1"/>
  <c r="I13" i="6"/>
  <c r="F13" i="6" l="1"/>
  <c r="J13" i="6" s="1"/>
  <c r="F24" i="6" l="1"/>
  <c r="J6" i="6" l="1"/>
  <c r="C6" i="6" l="1"/>
</calcChain>
</file>

<file path=xl/sharedStrings.xml><?xml version="1.0" encoding="utf-8"?>
<sst xmlns="http://schemas.openxmlformats.org/spreadsheetml/2006/main" count="196" uniqueCount="75">
  <si>
    <t>Government of Nepal</t>
  </si>
  <si>
    <t>Shankharapur Municipality Office</t>
  </si>
  <si>
    <t>Bagmati Province</t>
  </si>
  <si>
    <t>Sankhu, Kathmandu</t>
  </si>
  <si>
    <t>Detail Estimated Sheet</t>
  </si>
  <si>
    <t>S.N.</t>
  </si>
  <si>
    <t>Description of work</t>
  </si>
  <si>
    <t>No.</t>
  </si>
  <si>
    <t>Length</t>
  </si>
  <si>
    <t>Breadth</t>
  </si>
  <si>
    <t>Height</t>
  </si>
  <si>
    <t>Quantity</t>
  </si>
  <si>
    <t>Unit</t>
  </si>
  <si>
    <t>Rate</t>
  </si>
  <si>
    <t>Amount</t>
  </si>
  <si>
    <t>Remarks</t>
  </si>
  <si>
    <t>Total</t>
  </si>
  <si>
    <t>Grand Total</t>
  </si>
  <si>
    <t>Work Completion Report</t>
  </si>
  <si>
    <t>Total Estimated Amount:</t>
  </si>
  <si>
    <t>Total Valuated Amount :</t>
  </si>
  <si>
    <t>S.No.</t>
  </si>
  <si>
    <t>Description</t>
  </si>
  <si>
    <t>Estimated</t>
  </si>
  <si>
    <t>Valuated</t>
  </si>
  <si>
    <t>Difference</t>
  </si>
  <si>
    <t xml:space="preserve">Quantity </t>
  </si>
  <si>
    <t>Total Estimated</t>
  </si>
  <si>
    <t>Location:- Shankharapur Municipality 9</t>
  </si>
  <si>
    <t xml:space="preserve">Work Started : </t>
  </si>
  <si>
    <t>Information board (सुचना पाटि)</t>
  </si>
  <si>
    <t>no.</t>
  </si>
  <si>
    <t>Budget allocated</t>
  </si>
  <si>
    <t>Municipal payment</t>
  </si>
  <si>
    <t>User Contribution</t>
  </si>
  <si>
    <t xml:space="preserve">Contingencies </t>
  </si>
  <si>
    <t xml:space="preserve">Maintanince </t>
  </si>
  <si>
    <t>VAT calculation</t>
  </si>
  <si>
    <t>m3</t>
  </si>
  <si>
    <t>Sub-total</t>
  </si>
  <si>
    <t>Total weight (kg)</t>
  </si>
  <si>
    <t>Length (m)</t>
  </si>
  <si>
    <t>F.Y.: 2081/2082</t>
  </si>
  <si>
    <t>Date:2081/06/08</t>
  </si>
  <si>
    <t xml:space="preserve">Project:- सुन्दरबस्ती सडक ग्राबेल र ढलान (ढल निर्माण कार्य) </t>
  </si>
  <si>
    <t>husf] vf8ndf 9'+uf eg]{ / n]en ug]{ sfddf</t>
  </si>
  <si>
    <t>-For plinth level floor</t>
  </si>
  <si>
    <t>d]lzgsf] k|of]u u/L hu leQf kvf{ndf l;d]G6 s+lqm6 ug]{ sfd -!M@M$_</t>
  </si>
  <si>
    <t>d]lzgsf] k|of]u u/L ;'k/ :6«Sr/df l;d]G6 s+lqm6 ug]{ sfd -!M!=%M#_</t>
  </si>
  <si>
    <t>-slab</t>
  </si>
  <si>
    <t>-beam</t>
  </si>
  <si>
    <t>kmnfd]sf] kfOk / KnfOaf]8{af6 kmdf{ agfpg] sfd</t>
  </si>
  <si>
    <t>cf/=;L=;L= nflu kmnfd] 808L sf6\g], df]8\g] #) dL6/ ;Dd</t>
  </si>
  <si>
    <t>Unit length (kg/m)</t>
  </si>
  <si>
    <t>-stirrups</t>
  </si>
  <si>
    <t>-slab bottom bars</t>
  </si>
  <si>
    <t>-slab top bars along x-axis</t>
  </si>
  <si>
    <t>-slab top bars along y-axis</t>
  </si>
  <si>
    <t>MT</t>
  </si>
  <si>
    <t>-column</t>
  </si>
  <si>
    <t>-extra bars</t>
  </si>
  <si>
    <t>Project:- कालीमस्ट मन्दिर निर्माण</t>
  </si>
  <si>
    <t>Date:2081/07/11</t>
  </si>
  <si>
    <t>-slab bottom bars along short sides</t>
  </si>
  <si>
    <t>-slab bottom bars along long sides</t>
  </si>
  <si>
    <t>-slab top bars along long sides</t>
  </si>
  <si>
    <t>-slab top bars along short sides</t>
  </si>
  <si>
    <t>-slab top extra bars along long sides</t>
  </si>
  <si>
    <t>-slab top extra bars along short sides</t>
  </si>
  <si>
    <t xml:space="preserve">Date:2081/07/14       </t>
  </si>
  <si>
    <t xml:space="preserve">F.Y:2081/2082            </t>
  </si>
  <si>
    <t xml:space="preserve">Work Finished:            </t>
  </si>
  <si>
    <t>Date:2081/07/14</t>
  </si>
  <si>
    <t>Detail Valuated Sheet</t>
  </si>
  <si>
    <t>Total Valuated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</si>
</sst>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_(* #,##0.00_);_(* \(#,##0.00\);_(* &quot;-&quot;??_);_(@_)"/>
    <numFmt numFmtId="165" formatCode="0.0"/>
  </numFmts>
  <fonts count="17" x14ac:knownFonts="1">
    <font>
      <sz val="11"/>
      <color theme="1"/>
      <name val="Calibri"/>
      <family val="2"/>
      <scheme val="minor"/>
    </font>
    <font>
      <sz val="11"/>
      <color theme="1"/>
      <name val="Calibri"/>
      <family val="2"/>
      <scheme val="minor"/>
    </font>
    <font>
      <b/>
      <sz val="11"/>
      <color theme="1"/>
      <name val="Calibri"/>
      <family val="2"/>
      <scheme val="minor"/>
    </font>
    <font>
      <b/>
      <sz val="11"/>
      <color theme="1"/>
      <name val="Times New Roman"/>
      <family val="1"/>
    </font>
    <font>
      <b/>
      <sz val="18"/>
      <color theme="1"/>
      <name val="Times New Roman"/>
      <family val="1"/>
    </font>
    <font>
      <b/>
      <sz val="14"/>
      <color theme="1"/>
      <name val="Times New Roman"/>
      <family val="1"/>
    </font>
    <font>
      <sz val="12"/>
      <color theme="1"/>
      <name val="Times New Roman"/>
      <family val="1"/>
    </font>
    <font>
      <b/>
      <sz val="12"/>
      <color theme="1"/>
      <name val="Times New Roman"/>
      <family val="1"/>
    </font>
    <font>
      <b/>
      <sz val="20"/>
      <color theme="1"/>
      <name val="Times New Roman"/>
      <family val="1"/>
    </font>
    <font>
      <b/>
      <sz val="14"/>
      <color theme="1"/>
      <name val="Calibri"/>
      <family val="2"/>
      <scheme val="minor"/>
    </font>
    <font>
      <sz val="12"/>
      <color theme="1"/>
      <name val="Calibri"/>
      <family val="2"/>
      <scheme val="minor"/>
    </font>
    <font>
      <sz val="14"/>
      <color theme="1"/>
      <name val="Calibri"/>
      <family val="2"/>
      <scheme val="minor"/>
    </font>
    <font>
      <b/>
      <sz val="11"/>
      <name val="Times New Roman"/>
      <family val="1"/>
    </font>
    <font>
      <sz val="11"/>
      <name val="Times New Roman"/>
      <family val="1"/>
    </font>
    <font>
      <sz val="16"/>
      <name val="Preeti"/>
    </font>
    <font>
      <sz val="11"/>
      <color theme="1"/>
      <name val="Times New Roman"/>
      <family val="1"/>
    </font>
    <font>
      <b/>
      <sz val="12"/>
      <name val="Preeti"/>
    </font>
  </fonts>
  <fills count="4">
    <fill>
      <patternFill patternType="none"/>
    </fill>
    <fill>
      <patternFill patternType="gray125"/>
    </fill>
    <fill>
      <patternFill patternType="solid">
        <fgColor theme="0" tint="-0.14999847407452621"/>
        <bgColor indexed="64"/>
      </patternFill>
    </fill>
    <fill>
      <patternFill patternType="solid">
        <fgColor theme="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2">
    <xf numFmtId="0" fontId="0" fillId="0" borderId="0"/>
    <xf numFmtId="164" fontId="1" fillId="0" borderId="0" applyFont="0" applyFill="0" applyBorder="0" applyAlignment="0" applyProtection="0"/>
  </cellStyleXfs>
  <cellXfs count="88">
    <xf numFmtId="0" fontId="0" fillId="0" borderId="0" xfId="0"/>
    <xf numFmtId="0" fontId="0" fillId="0" borderId="0" xfId="0" applyAlignment="1">
      <alignment vertical="center"/>
    </xf>
    <xf numFmtId="0" fontId="7" fillId="0" borderId="0" xfId="0" applyFont="1" applyAlignment="1">
      <alignment horizontal="center"/>
    </xf>
    <xf numFmtId="164" fontId="7" fillId="0" borderId="0" xfId="1" applyFont="1"/>
    <xf numFmtId="0" fontId="7" fillId="0" borderId="1" xfId="0" applyFont="1" applyBorder="1" applyAlignment="1">
      <alignment horizontal="center"/>
    </xf>
    <xf numFmtId="0" fontId="0" fillId="0" borderId="1" xfId="0" applyBorder="1"/>
    <xf numFmtId="0" fontId="2" fillId="0" borderId="1" xfId="0" applyFont="1" applyBorder="1" applyAlignment="1">
      <alignment horizontal="right"/>
    </xf>
    <xf numFmtId="2" fontId="2" fillId="0" borderId="1" xfId="0" applyNumberFormat="1" applyFont="1" applyBorder="1"/>
    <xf numFmtId="0" fontId="10" fillId="0" borderId="0" xfId="0" applyFont="1"/>
    <xf numFmtId="0" fontId="11" fillId="0" borderId="0" xfId="0" applyFont="1" applyAlignment="1">
      <alignment horizontal="center"/>
    </xf>
    <xf numFmtId="0" fontId="0" fillId="0" borderId="0" xfId="0" applyAlignment="1">
      <alignment horizontal="left"/>
    </xf>
    <xf numFmtId="0" fontId="0" fillId="2" borderId="1" xfId="0" applyFill="1" applyBorder="1"/>
    <xf numFmtId="2" fontId="0" fillId="0" borderId="1" xfId="0" applyNumberFormat="1" applyBorder="1" applyAlignment="1">
      <alignment vertical="center"/>
    </xf>
    <xf numFmtId="164" fontId="2" fillId="0" borderId="1" xfId="1" applyFont="1" applyBorder="1"/>
    <xf numFmtId="0" fontId="0" fillId="0" borderId="1" xfId="0" applyBorder="1" applyAlignment="1">
      <alignment vertical="center" wrapText="1"/>
    </xf>
    <xf numFmtId="0" fontId="7" fillId="0" borderId="1" xfId="0" applyFont="1" applyBorder="1" applyAlignment="1">
      <alignment horizontal="center" vertical="top" wrapText="1"/>
    </xf>
    <xf numFmtId="164" fontId="7" fillId="0" borderId="1" xfId="1" applyFont="1" applyBorder="1" applyAlignment="1">
      <alignment horizontal="center"/>
    </xf>
    <xf numFmtId="0" fontId="7" fillId="0" borderId="1" xfId="0" applyFont="1" applyBorder="1" applyAlignment="1">
      <alignment horizontal="center" wrapText="1"/>
    </xf>
    <xf numFmtId="1" fontId="12" fillId="0" borderId="1" xfId="0" applyNumberFormat="1" applyFont="1" applyFill="1" applyBorder="1" applyAlignment="1">
      <alignment vertical="center"/>
    </xf>
    <xf numFmtId="165" fontId="13" fillId="0" borderId="1" xfId="0" applyNumberFormat="1" applyFont="1" applyFill="1" applyBorder="1" applyAlignment="1">
      <alignment vertical="center"/>
    </xf>
    <xf numFmtId="2" fontId="13" fillId="0" borderId="1" xfId="1" applyNumberFormat="1" applyFont="1" applyFill="1" applyBorder="1" applyAlignment="1">
      <alignment vertical="center"/>
    </xf>
    <xf numFmtId="2" fontId="13" fillId="0" borderId="1" xfId="0" applyNumberFormat="1" applyFont="1" applyFill="1" applyBorder="1" applyAlignment="1">
      <alignment vertical="center"/>
    </xf>
    <xf numFmtId="2" fontId="12" fillId="0" borderId="1" xfId="0" applyNumberFormat="1" applyFont="1" applyFill="1" applyBorder="1" applyAlignment="1">
      <alignment vertical="center"/>
    </xf>
    <xf numFmtId="2" fontId="12" fillId="0" borderId="1" xfId="1" applyNumberFormat="1" applyFont="1" applyFill="1" applyBorder="1" applyAlignment="1">
      <alignment vertical="center"/>
    </xf>
    <xf numFmtId="1" fontId="13" fillId="0" borderId="1" xfId="0" applyNumberFormat="1" applyFont="1" applyFill="1" applyBorder="1" applyAlignment="1">
      <alignment horizontal="right" vertical="center" wrapText="1"/>
    </xf>
    <xf numFmtId="0" fontId="14" fillId="0" borderId="0" xfId="0" applyFont="1" applyBorder="1" applyAlignment="1"/>
    <xf numFmtId="0" fontId="0" fillId="0" borderId="0" xfId="0" applyAlignment="1">
      <alignment horizontal="left"/>
    </xf>
    <xf numFmtId="1" fontId="15" fillId="0" borderId="1" xfId="0" applyNumberFormat="1" applyFont="1" applyBorder="1" applyAlignment="1">
      <alignment vertical="center"/>
    </xf>
    <xf numFmtId="164" fontId="2" fillId="0" borderId="1" xfId="1" applyFont="1" applyBorder="1" applyAlignment="1">
      <alignment vertical="center"/>
    </xf>
    <xf numFmtId="0" fontId="15" fillId="0" borderId="1" xfId="0" applyFont="1" applyBorder="1" applyAlignment="1">
      <alignment vertical="center"/>
    </xf>
    <xf numFmtId="1" fontId="13" fillId="0" borderId="1" xfId="0" applyNumberFormat="1" applyFont="1" applyFill="1" applyBorder="1" applyAlignment="1">
      <alignment vertical="center" wrapText="1"/>
    </xf>
    <xf numFmtId="1" fontId="15" fillId="0" borderId="1" xfId="0" applyNumberFormat="1" applyFont="1" applyBorder="1" applyAlignment="1">
      <alignment vertical="center" wrapText="1"/>
    </xf>
    <xf numFmtId="0" fontId="6" fillId="0" borderId="1" xfId="0" applyFont="1" applyFill="1" applyBorder="1" applyAlignment="1">
      <alignment horizontal="left" vertical="center" wrapText="1"/>
    </xf>
    <xf numFmtId="1" fontId="6" fillId="0" borderId="1" xfId="0" applyNumberFormat="1" applyFont="1" applyFill="1" applyBorder="1" applyAlignment="1">
      <alignment horizontal="left" vertical="center" wrapText="1"/>
    </xf>
    <xf numFmtId="2" fontId="3" fillId="0" borderId="1" xfId="0" applyNumberFormat="1" applyFont="1" applyBorder="1" applyAlignment="1">
      <alignment vertical="center"/>
    </xf>
    <xf numFmtId="2" fontId="13" fillId="0" borderId="1" xfId="1" applyNumberFormat="1" applyFont="1" applyFill="1" applyBorder="1" applyAlignment="1">
      <alignment vertical="center" wrapText="1"/>
    </xf>
    <xf numFmtId="2" fontId="13" fillId="0" borderId="1" xfId="0" applyNumberFormat="1" applyFont="1" applyFill="1" applyBorder="1" applyAlignment="1">
      <alignment vertical="center" wrapText="1"/>
    </xf>
    <xf numFmtId="0" fontId="0" fillId="0" borderId="0" xfId="0" applyBorder="1"/>
    <xf numFmtId="0" fontId="15" fillId="0" borderId="1" xfId="0" applyFont="1" applyBorder="1"/>
    <xf numFmtId="0" fontId="15" fillId="0" borderId="1" xfId="0" quotePrefix="1" applyFont="1" applyBorder="1" applyAlignment="1">
      <alignment horizontal="right" wrapText="1"/>
    </xf>
    <xf numFmtId="2" fontId="15" fillId="0" borderId="1" xfId="0" applyNumberFormat="1" applyFont="1" applyBorder="1"/>
    <xf numFmtId="2" fontId="15" fillId="0" borderId="1" xfId="0" applyNumberFormat="1" applyFont="1" applyBorder="1" applyAlignment="1">
      <alignment vertical="center"/>
    </xf>
    <xf numFmtId="0" fontId="3" fillId="0" borderId="1" xfId="0" applyFont="1" applyBorder="1"/>
    <xf numFmtId="2" fontId="3" fillId="0" borderId="1" xfId="0" applyNumberFormat="1" applyFont="1" applyBorder="1"/>
    <xf numFmtId="0" fontId="3" fillId="0" borderId="1" xfId="0" applyFont="1" applyBorder="1" applyAlignment="1">
      <alignment horizontal="right" wrapText="1"/>
    </xf>
    <xf numFmtId="165" fontId="15" fillId="0" borderId="1" xfId="0" applyNumberFormat="1" applyFont="1" applyBorder="1"/>
    <xf numFmtId="0" fontId="3" fillId="0" borderId="0" xfId="0" applyFont="1"/>
    <xf numFmtId="0" fontId="15" fillId="0" borderId="0" xfId="0" applyFont="1"/>
    <xf numFmtId="0" fontId="15" fillId="0" borderId="0" xfId="0" applyFont="1" applyAlignment="1">
      <alignment vertical="center"/>
    </xf>
    <xf numFmtId="0" fontId="15" fillId="0" borderId="0" xfId="0" applyFont="1" applyBorder="1" applyAlignment="1">
      <alignment vertical="center"/>
    </xf>
    <xf numFmtId="2" fontId="15" fillId="0" borderId="0" xfId="0" applyNumberFormat="1" applyFont="1" applyBorder="1" applyAlignment="1">
      <alignment vertical="center"/>
    </xf>
    <xf numFmtId="0" fontId="3" fillId="0" borderId="0" xfId="0" applyFont="1" applyBorder="1" applyAlignment="1">
      <alignment horizontal="right" vertical="center"/>
    </xf>
    <xf numFmtId="164" fontId="3" fillId="0" borderId="0" xfId="1" applyFont="1" applyBorder="1" applyAlignment="1">
      <alignment vertical="center"/>
    </xf>
    <xf numFmtId="0" fontId="3" fillId="0" borderId="0" xfId="0" applyFont="1" applyBorder="1" applyAlignment="1">
      <alignment vertical="center"/>
    </xf>
    <xf numFmtId="0" fontId="3" fillId="0" borderId="0" xfId="0" applyFont="1" applyAlignment="1">
      <alignment vertical="center"/>
    </xf>
    <xf numFmtId="0" fontId="15" fillId="0" borderId="0" xfId="0" applyFont="1" applyBorder="1"/>
    <xf numFmtId="0" fontId="3" fillId="0" borderId="0" xfId="0" applyFont="1" applyBorder="1"/>
    <xf numFmtId="2" fontId="15" fillId="0" borderId="0" xfId="0" applyNumberFormat="1" applyFont="1" applyBorder="1"/>
    <xf numFmtId="2" fontId="3" fillId="0" borderId="0" xfId="0" applyNumberFormat="1" applyFont="1" applyBorder="1"/>
    <xf numFmtId="0" fontId="3" fillId="0" borderId="0" xfId="0" applyFont="1" applyBorder="1" applyAlignment="1">
      <alignment horizontal="right" wrapText="1"/>
    </xf>
    <xf numFmtId="165" fontId="15" fillId="0" borderId="0" xfId="0" applyNumberFormat="1" applyFont="1" applyBorder="1"/>
    <xf numFmtId="0" fontId="16" fillId="3" borderId="1" xfId="0" applyFont="1" applyFill="1" applyBorder="1" applyAlignment="1">
      <alignment wrapText="1"/>
    </xf>
    <xf numFmtId="2" fontId="0" fillId="0" borderId="0" xfId="0" applyNumberFormat="1" applyAlignment="1">
      <alignment vertical="center"/>
    </xf>
    <xf numFmtId="2" fontId="0" fillId="0" borderId="0" xfId="0" applyNumberFormat="1"/>
    <xf numFmtId="164" fontId="10" fillId="0" borderId="0" xfId="0" applyNumberFormat="1" applyFont="1" applyAlignment="1">
      <alignment horizontal="center"/>
    </xf>
    <xf numFmtId="0" fontId="10" fillId="0" borderId="0" xfId="0" applyFont="1" applyAlignment="1">
      <alignment horizontal="center"/>
    </xf>
    <xf numFmtId="0" fontId="3" fillId="0" borderId="0" xfId="0" applyFont="1" applyAlignment="1">
      <alignment horizontal="center"/>
    </xf>
    <xf numFmtId="0" fontId="8" fillId="0" borderId="0" xfId="0" applyFont="1" applyAlignment="1">
      <alignment horizontal="center"/>
    </xf>
    <xf numFmtId="0" fontId="2" fillId="0" borderId="0" xfId="0" applyFont="1" applyAlignment="1">
      <alignment horizontal="center" vertical="center"/>
    </xf>
    <xf numFmtId="0" fontId="9" fillId="0" borderId="0" xfId="0" applyFont="1" applyAlignment="1">
      <alignment horizontal="center"/>
    </xf>
    <xf numFmtId="0" fontId="0" fillId="2" borderId="1" xfId="0" applyFill="1" applyBorder="1" applyAlignment="1">
      <alignment horizontal="center" vertical="center"/>
    </xf>
    <xf numFmtId="0" fontId="0" fillId="2" borderId="1" xfId="0" applyFill="1" applyBorder="1" applyAlignment="1">
      <alignment horizontal="center" vertical="center" wrapText="1"/>
    </xf>
    <xf numFmtId="0" fontId="6" fillId="0" borderId="0" xfId="0" applyFont="1" applyAlignment="1">
      <alignment horizontal="left"/>
    </xf>
    <xf numFmtId="0" fontId="0" fillId="0" borderId="0" xfId="0" applyAlignment="1">
      <alignment horizontal="center"/>
    </xf>
    <xf numFmtId="0" fontId="0" fillId="0" borderId="0" xfId="0" applyAlignment="1">
      <alignment horizontal="right" vertical="center"/>
    </xf>
    <xf numFmtId="0" fontId="0" fillId="0" borderId="0" xfId="0" applyAlignment="1">
      <alignment horizontal="right"/>
    </xf>
    <xf numFmtId="0" fontId="0" fillId="0" borderId="0" xfId="0" applyAlignment="1">
      <alignment horizontal="left"/>
    </xf>
    <xf numFmtId="0" fontId="0" fillId="2" borderId="1" xfId="0" applyFill="1" applyBorder="1" applyAlignment="1">
      <alignment horizontal="center"/>
    </xf>
    <xf numFmtId="0" fontId="6" fillId="0" borderId="0" xfId="0" applyFont="1" applyAlignment="1">
      <alignment horizontal="right"/>
    </xf>
    <xf numFmtId="0" fontId="3" fillId="0" borderId="0" xfId="0" applyFont="1" applyAlignment="1">
      <alignment horizontal="center" vertical="center"/>
    </xf>
    <xf numFmtId="0" fontId="4" fillId="0" borderId="0" xfId="0" applyFont="1" applyAlignment="1">
      <alignment horizontal="center" vertical="center"/>
    </xf>
    <xf numFmtId="0" fontId="5" fillId="0" borderId="0" xfId="0" applyFont="1" applyAlignment="1">
      <alignment horizontal="center"/>
    </xf>
    <xf numFmtId="2" fontId="15" fillId="0" borderId="1" xfId="0" applyNumberFormat="1" applyFont="1" applyBorder="1" applyAlignment="1">
      <alignment horizontal="center" vertical="center"/>
    </xf>
    <xf numFmtId="0" fontId="6" fillId="0" borderId="2" xfId="0" applyFont="1" applyBorder="1"/>
    <xf numFmtId="0" fontId="6" fillId="0" borderId="2" xfId="0" applyFont="1" applyBorder="1" applyAlignment="1">
      <alignment horizontal="right"/>
    </xf>
    <xf numFmtId="2" fontId="15" fillId="0" borderId="1" xfId="1" applyNumberFormat="1" applyFont="1" applyBorder="1" applyAlignment="1">
      <alignment horizontal="center" vertical="center"/>
    </xf>
    <xf numFmtId="0" fontId="0" fillId="2" borderId="3" xfId="0" applyFill="1" applyBorder="1" applyAlignment="1">
      <alignment horizontal="center" vertical="center"/>
    </xf>
    <xf numFmtId="0" fontId="0" fillId="2" borderId="4" xfId="0" applyFill="1" applyBorder="1" applyAlignment="1">
      <alignment horizontal="center" vertical="center"/>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4.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externalLink" Target="externalLinks/externalLink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styles" Target="styles.xml"/><Relationship Id="rId5" Type="http://schemas.openxmlformats.org/officeDocument/2006/relationships/externalLink" Target="externalLinks/externalLink1.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5.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079-080/Rate%20Analysis/Road-rate-analysis-079-80-shankharapur-as-per-dor-norms-nnnn.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Dell\Desktop\Ward%209\RATE%20ANALYSIS\Road-rate-analysis-078-79-shankharapur.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081_082/ofc/ofc/For-all-Road-rate-analysis-81-82-shankharapur-as-per-dor-norms.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D:\081-082\ofc\For-all-Road-rate-analysis-81-82-shankharapur-as-per-dor-norms.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D:\081-082\ofc\Rate%20analysis\For-all-Road-rate-analysis-81-82-shankharapur-as-per-dor-norm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16">
          <cell r="B16" t="str">
            <v>Clearing and Grubbing Road Land ., Clearing and grubbing road land including uprooting rank vegetation, grass, bushes, shrubs, saplings and trees girth up to 300 mm, removal of stumps of trees cut earlier and disposal of unserviceable materials and stacking of serviceable Material to be used or auctioned, up to a lead of 30 meters including removal and disposal of top organic soil not exceeding 150 mm in thickness., By Mechanical Means, In area of light jungle (less than 15 number per 100 sqm )</v>
          </cell>
        </row>
        <row r="22">
          <cell r="B22" t="str">
            <v>Providing and Laying Reinforced cement concrete NP3 Flush jointed pipe for culverts including fixing with cement mortar 1:2 as per Drawing and Technical Specifications., 450 mm  internal dia.</v>
          </cell>
        </row>
        <row r="23">
          <cell r="B23" t="str">
            <v>Providing and Laying Reinforced cement concrete NP3 Flush jointed pipe for culverts including fixing with cement mortar 1:2 as per Drawing and Technical Specifications., 600 mm  internal dia.</v>
          </cell>
        </row>
        <row r="34">
          <cell r="B34" t="str">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v>
          </cell>
        </row>
        <row r="169">
          <cell r="B169" t="str">
            <v>Providing and laying of Plain/Reinforced Cement Concrete in Foundation complete as per Drawing and Technical Specifications, PCC Grade M 15</v>
          </cell>
        </row>
        <row r="171">
          <cell r="B171" t="str">
            <v>Providing and laying of Plain/Reinforced Cement Concrete in Foundation complete as per Drawing and Technical Specifications, PCC Grade M 20</v>
          </cell>
        </row>
        <row r="278">
          <cell r="B278" t="str">
            <v>Providing and laying Brick Masonry Work in Cement mortar  in Foundation / structure complete excluding Pointing and Plastering, as per Drawing and Technical Specifications., Cement sand mortar (1:6)</v>
          </cell>
        </row>
        <row r="301">
          <cell r="B301" t="str">
            <v>Random Rubble Masonry, Providing and laying of Stone Masonry Work in Cement Mortar 1:6 in Foundation complete as per Drawing and Technical Specifications.</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33">
          <cell r="B33" t="str">
            <v>Earthwork Excavation in Cutting., Roadway Excavation in all types of Soil by Manual Means ., Roadway Excavation in all types of soil as per drawing and technical specification, including removal of stumps and other deleterious matter, with all lifts and lead as per Drawing and instruction of the Engineer.</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60">
          <cell r="B60" t="str">
            <v>Providing and laying of hand pack Stone soling with 150 to 200 mm thick stones and packing with smaller stone on prepared surface as per Drawing and Technical Specifications.</v>
          </cell>
        </row>
        <row r="172">
          <cell r="B172" t="str">
            <v>Providing and laying of Plain/Reinforced Cement Concrete in Foundation complete as per Drawing and Technical Specifications., RCC Grade M 20</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61">
          <cell r="B61" t="str">
            <v>Providing and laying  granular sub-base   on prepared surface, mixing  at OMC, and compacting  to achieve the desired density, complete as per Drawing and Technical Specifications., By Mechanical means</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ow r="299">
          <cell r="B299" t="str">
            <v>Random Rubble Masonry, Providing and laying of Stone Masonry Work in Cement Mortar 1:4 in Foundation complete as per Drawing and Technical Specifications.</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09"/>
  <sheetViews>
    <sheetView topLeftCell="A22" zoomScaleNormal="100" workbookViewId="0">
      <selection activeCell="F12" sqref="F12"/>
    </sheetView>
  </sheetViews>
  <sheetFormatPr defaultRowHeight="14.4" x14ac:dyDescent="0.3"/>
  <cols>
    <col min="1" max="1" width="4.6640625" customWidth="1"/>
    <col min="2" max="2" width="31.33203125" customWidth="1"/>
    <col min="3" max="3" width="5.5546875" bestFit="1" customWidth="1"/>
    <col min="4" max="4" width="7.5546875" customWidth="1"/>
    <col min="5" max="5" width="8.5546875" customWidth="1"/>
    <col min="6" max="6" width="8" customWidth="1"/>
    <col min="7" max="7" width="8.5546875" customWidth="1"/>
    <col min="8" max="8" width="5" bestFit="1" customWidth="1"/>
    <col min="9" max="9" width="10.44140625" customWidth="1"/>
    <col min="10" max="10" width="11.33203125" customWidth="1"/>
    <col min="11" max="11" width="8.33203125" customWidth="1"/>
  </cols>
  <sheetData>
    <row r="1" spans="1:18" s="1" customFormat="1" x14ac:dyDescent="0.3">
      <c r="A1" s="79" t="s">
        <v>0</v>
      </c>
      <c r="B1" s="79"/>
      <c r="C1" s="79"/>
      <c r="D1" s="79"/>
      <c r="E1" s="79"/>
      <c r="F1" s="79"/>
      <c r="G1" s="79"/>
      <c r="H1" s="79"/>
      <c r="I1" s="79"/>
      <c r="J1" s="79"/>
      <c r="K1" s="79"/>
    </row>
    <row r="2" spans="1:18" s="1" customFormat="1" ht="22.8" x14ac:dyDescent="0.3">
      <c r="A2" s="80" t="s">
        <v>1</v>
      </c>
      <c r="B2" s="80"/>
      <c r="C2" s="80"/>
      <c r="D2" s="80"/>
      <c r="E2" s="80"/>
      <c r="F2" s="80"/>
      <c r="G2" s="80"/>
      <c r="H2" s="80"/>
      <c r="I2" s="80"/>
      <c r="J2" s="80"/>
      <c r="K2" s="80"/>
    </row>
    <row r="3" spans="1:18" s="1" customFormat="1" x14ac:dyDescent="0.3">
      <c r="A3" s="68" t="s">
        <v>2</v>
      </c>
      <c r="B3" s="68"/>
      <c r="C3" s="68"/>
      <c r="D3" s="68"/>
      <c r="E3" s="68"/>
      <c r="F3" s="68"/>
      <c r="G3" s="68"/>
      <c r="H3" s="68"/>
      <c r="I3" s="68"/>
      <c r="J3" s="68"/>
      <c r="K3" s="68"/>
    </row>
    <row r="4" spans="1:18" s="1" customFormat="1" x14ac:dyDescent="0.3">
      <c r="A4" s="68" t="s">
        <v>3</v>
      </c>
      <c r="B4" s="68"/>
      <c r="C4" s="68"/>
      <c r="D4" s="68"/>
      <c r="E4" s="68"/>
      <c r="F4" s="68"/>
      <c r="G4" s="68"/>
      <c r="H4" s="68"/>
      <c r="I4" s="68"/>
      <c r="J4" s="68"/>
      <c r="K4" s="68"/>
    </row>
    <row r="5" spans="1:18" ht="17.399999999999999" x14ac:dyDescent="0.3">
      <c r="A5" s="81" t="s">
        <v>4</v>
      </c>
      <c r="B5" s="81"/>
      <c r="C5" s="81"/>
      <c r="D5" s="81"/>
      <c r="E5" s="81"/>
      <c r="F5" s="81"/>
      <c r="G5" s="81"/>
      <c r="H5" s="81"/>
      <c r="I5" s="81"/>
      <c r="J5" s="81"/>
      <c r="K5" s="81"/>
    </row>
    <row r="6" spans="1:18" ht="15.6" x14ac:dyDescent="0.3">
      <c r="A6" s="72" t="s">
        <v>44</v>
      </c>
      <c r="B6" s="72"/>
      <c r="C6" s="72"/>
      <c r="D6" s="72"/>
      <c r="E6" s="72"/>
      <c r="F6" s="72"/>
      <c r="G6" s="2"/>
      <c r="H6" s="78" t="s">
        <v>42</v>
      </c>
      <c r="I6" s="78"/>
      <c r="J6" s="78"/>
      <c r="K6" s="78"/>
    </row>
    <row r="7" spans="1:18" ht="15.6" x14ac:dyDescent="0.3">
      <c r="A7" s="83" t="s">
        <v>28</v>
      </c>
      <c r="B7" s="83"/>
      <c r="C7" s="83"/>
      <c r="D7" s="83"/>
      <c r="E7" s="83"/>
      <c r="F7" s="83"/>
      <c r="G7" s="3"/>
      <c r="H7" s="84" t="s">
        <v>43</v>
      </c>
      <c r="I7" s="84"/>
      <c r="J7" s="84"/>
      <c r="K7" s="84"/>
    </row>
    <row r="8" spans="1:18" ht="15" customHeight="1" x14ac:dyDescent="0.3">
      <c r="A8" s="4" t="s">
        <v>5</v>
      </c>
      <c r="B8" s="15" t="s">
        <v>6</v>
      </c>
      <c r="C8" s="4" t="s">
        <v>7</v>
      </c>
      <c r="D8" s="16" t="s">
        <v>8</v>
      </c>
      <c r="E8" s="16" t="s">
        <v>9</v>
      </c>
      <c r="F8" s="16" t="s">
        <v>10</v>
      </c>
      <c r="G8" s="16" t="s">
        <v>11</v>
      </c>
      <c r="H8" s="4" t="s">
        <v>12</v>
      </c>
      <c r="I8" s="16" t="s">
        <v>13</v>
      </c>
      <c r="J8" s="16" t="s">
        <v>14</v>
      </c>
      <c r="K8" s="17" t="s">
        <v>15</v>
      </c>
    </row>
    <row r="9" spans="1:18" ht="30.6" x14ac:dyDescent="0.3">
      <c r="A9" s="29">
        <v>1</v>
      </c>
      <c r="B9" s="61" t="s">
        <v>45</v>
      </c>
      <c r="C9" s="38"/>
      <c r="D9" s="38"/>
      <c r="E9" s="38"/>
      <c r="F9" s="38"/>
      <c r="G9" s="38"/>
      <c r="H9" s="38"/>
      <c r="I9" s="38"/>
      <c r="J9" s="38"/>
      <c r="K9" s="38"/>
    </row>
    <row r="10" spans="1:18" ht="15" customHeight="1" x14ac:dyDescent="0.3">
      <c r="A10" s="18"/>
      <c r="B10" s="39" t="s">
        <v>46</v>
      </c>
      <c r="C10" s="38">
        <v>2</v>
      </c>
      <c r="D10" s="40">
        <f>12.25/3.281</f>
        <v>3.7336177994513866</v>
      </c>
      <c r="E10" s="40">
        <f>12.25/3.281</f>
        <v>3.7336177994513866</v>
      </c>
      <c r="F10" s="40">
        <v>0.15</v>
      </c>
      <c r="G10" s="41">
        <f>PRODUCT(C10:F10)</f>
        <v>4.1819705617140643</v>
      </c>
      <c r="H10" s="42"/>
      <c r="I10" s="42"/>
      <c r="J10" s="42"/>
      <c r="K10" s="21"/>
      <c r="M10" s="1"/>
      <c r="N10" s="1"/>
      <c r="O10" s="1"/>
      <c r="P10" s="1"/>
      <c r="Q10" s="25"/>
      <c r="R10" s="25"/>
    </row>
    <row r="11" spans="1:18" ht="15" customHeight="1" x14ac:dyDescent="0.3">
      <c r="A11" s="18"/>
      <c r="B11" s="39" t="s">
        <v>39</v>
      </c>
      <c r="C11" s="19"/>
      <c r="D11" s="20"/>
      <c r="E11" s="21"/>
      <c r="F11" s="21"/>
      <c r="G11" s="23">
        <f>SUM(G10:G10)</f>
        <v>4.1819705617140643</v>
      </c>
      <c r="H11" s="22" t="s">
        <v>38</v>
      </c>
      <c r="I11" s="23">
        <v>4473.1499999999996</v>
      </c>
      <c r="J11" s="43">
        <f>G11*I11</f>
        <v>18706.581618131266</v>
      </c>
      <c r="K11" s="21"/>
      <c r="M11" s="1"/>
      <c r="N11" s="1"/>
      <c r="O11" s="1"/>
      <c r="P11" s="1"/>
      <c r="Q11" s="25"/>
      <c r="R11" s="25"/>
    </row>
    <row r="12" spans="1:18" ht="15" customHeight="1" x14ac:dyDescent="0.3">
      <c r="A12" s="18"/>
      <c r="B12" s="39" t="s">
        <v>37</v>
      </c>
      <c r="C12" s="19"/>
      <c r="D12" s="20"/>
      <c r="E12" s="21"/>
      <c r="F12" s="21"/>
      <c r="G12" s="23"/>
      <c r="H12" s="22"/>
      <c r="I12" s="23"/>
      <c r="J12" s="43">
        <f>0.13*G11*3093.15</f>
        <v>1681.6100915855618</v>
      </c>
      <c r="K12" s="21"/>
      <c r="M12" s="1"/>
      <c r="N12" s="1"/>
      <c r="O12" s="1"/>
      <c r="P12" s="1"/>
      <c r="Q12" s="25"/>
      <c r="R12" s="25"/>
    </row>
    <row r="13" spans="1:18" ht="15" customHeight="1" x14ac:dyDescent="0.3">
      <c r="A13" s="18"/>
      <c r="B13" s="39"/>
      <c r="C13" s="19"/>
      <c r="D13" s="20"/>
      <c r="E13" s="21"/>
      <c r="F13" s="21"/>
      <c r="G13" s="23"/>
      <c r="H13" s="22"/>
      <c r="I13" s="23"/>
      <c r="J13" s="43"/>
      <c r="K13" s="21"/>
      <c r="M13" s="1"/>
      <c r="N13" s="1"/>
      <c r="O13" s="1"/>
      <c r="P13" s="1"/>
      <c r="Q13" s="25"/>
      <c r="R13" s="25"/>
    </row>
    <row r="14" spans="1:18" ht="30.6" x14ac:dyDescent="0.3">
      <c r="A14" s="29">
        <v>2</v>
      </c>
      <c r="B14" s="61" t="s">
        <v>47</v>
      </c>
      <c r="C14" s="38"/>
      <c r="D14" s="38"/>
      <c r="E14" s="38"/>
      <c r="F14" s="38"/>
      <c r="G14" s="38"/>
      <c r="H14" s="38"/>
      <c r="I14" s="38"/>
      <c r="J14" s="38"/>
      <c r="K14" s="38"/>
    </row>
    <row r="15" spans="1:18" ht="15" customHeight="1" x14ac:dyDescent="0.3">
      <c r="A15" s="18"/>
      <c r="B15" s="39" t="s">
        <v>46</v>
      </c>
      <c r="C15" s="38">
        <v>2</v>
      </c>
      <c r="D15" s="40">
        <f>12.25/3.281</f>
        <v>3.7336177994513866</v>
      </c>
      <c r="E15" s="40">
        <f>12.25/3.281</f>
        <v>3.7336177994513866</v>
      </c>
      <c r="F15" s="40">
        <v>7.4999999999999997E-2</v>
      </c>
      <c r="G15" s="41">
        <f>PRODUCT(C15:F15)</f>
        <v>2.0909852808570322</v>
      </c>
      <c r="H15" s="42"/>
      <c r="I15" s="42"/>
      <c r="J15" s="42"/>
      <c r="K15" s="21"/>
      <c r="M15" s="1"/>
      <c r="N15" s="1"/>
      <c r="O15" s="1"/>
      <c r="P15" s="1"/>
      <c r="Q15" s="25"/>
      <c r="R15" s="25"/>
    </row>
    <row r="16" spans="1:18" ht="15" customHeight="1" x14ac:dyDescent="0.3">
      <c r="A16" s="18"/>
      <c r="B16" s="39" t="s">
        <v>39</v>
      </c>
      <c r="C16" s="19"/>
      <c r="D16" s="20"/>
      <c r="E16" s="21"/>
      <c r="F16" s="21"/>
      <c r="G16" s="23">
        <f>SUM(G15:G15)</f>
        <v>2.0909852808570322</v>
      </c>
      <c r="H16" s="22" t="s">
        <v>38</v>
      </c>
      <c r="I16" s="23">
        <v>12568.22</v>
      </c>
      <c r="J16" s="43">
        <f>G16*I16</f>
        <v>26279.963026572968</v>
      </c>
      <c r="K16" s="21"/>
      <c r="M16" s="1"/>
      <c r="N16" s="1"/>
      <c r="O16" s="1"/>
      <c r="P16" s="1"/>
      <c r="Q16" s="25"/>
      <c r="R16" s="25"/>
    </row>
    <row r="17" spans="1:18" ht="15" customHeight="1" x14ac:dyDescent="0.3">
      <c r="A17" s="18"/>
      <c r="B17" s="39" t="s">
        <v>37</v>
      </c>
      <c r="C17" s="19"/>
      <c r="D17" s="20"/>
      <c r="E17" s="21"/>
      <c r="F17" s="21"/>
      <c r="G17" s="23"/>
      <c r="H17" s="22"/>
      <c r="I17" s="23"/>
      <c r="J17" s="43">
        <f>0.13*G16*8523.52</f>
        <v>2316.9321319417695</v>
      </c>
      <c r="K17" s="21"/>
      <c r="M17" s="1"/>
      <c r="N17" s="1"/>
      <c r="O17" s="1"/>
      <c r="P17" s="1"/>
      <c r="Q17" s="25"/>
      <c r="R17" s="25"/>
    </row>
    <row r="18" spans="1:18" ht="15" customHeight="1" x14ac:dyDescent="0.3">
      <c r="A18" s="18"/>
      <c r="B18" s="39"/>
      <c r="C18" s="19"/>
      <c r="D18" s="20"/>
      <c r="E18" s="21"/>
      <c r="F18" s="21"/>
      <c r="G18" s="23"/>
      <c r="H18" s="22"/>
      <c r="I18" s="23"/>
      <c r="J18" s="43"/>
      <c r="K18" s="21"/>
      <c r="M18" s="1"/>
      <c r="N18" s="1"/>
      <c r="O18" s="1"/>
      <c r="P18" s="1"/>
      <c r="Q18" s="25"/>
      <c r="R18" s="25"/>
    </row>
    <row r="19" spans="1:18" ht="30.6" x14ac:dyDescent="0.3">
      <c r="A19" s="18">
        <v>3</v>
      </c>
      <c r="B19" s="61" t="s">
        <v>48</v>
      </c>
      <c r="C19" s="19"/>
      <c r="D19" s="20"/>
      <c r="E19" s="21"/>
      <c r="F19" s="21"/>
      <c r="G19" s="23"/>
      <c r="H19" s="22"/>
      <c r="I19" s="23"/>
      <c r="J19" s="43"/>
      <c r="K19" s="21"/>
      <c r="M19" s="1"/>
      <c r="N19" s="1"/>
      <c r="O19" s="1"/>
      <c r="P19" s="1"/>
      <c r="Q19" s="25"/>
      <c r="R19" s="25"/>
    </row>
    <row r="20" spans="1:18" ht="15" customHeight="1" x14ac:dyDescent="0.3">
      <c r="A20" s="18"/>
      <c r="B20" s="39" t="s">
        <v>49</v>
      </c>
      <c r="C20" s="19">
        <v>1</v>
      </c>
      <c r="D20" s="20">
        <f>31/3.281</f>
        <v>9.4483389210606514</v>
      </c>
      <c r="E20" s="21">
        <f>17.75/3.281</f>
        <v>5.4099359951234378</v>
      </c>
      <c r="F20" s="21">
        <v>0.125</v>
      </c>
      <c r="G20" s="41">
        <f>PRODUCT(C20:F20)</f>
        <v>6.3893636028964709</v>
      </c>
      <c r="H20" s="22"/>
      <c r="I20" s="23"/>
      <c r="J20" s="43"/>
      <c r="K20" s="21"/>
      <c r="M20" s="1"/>
      <c r="N20" s="1"/>
      <c r="O20" s="1"/>
      <c r="P20" s="1"/>
      <c r="Q20" s="25"/>
      <c r="R20" s="25"/>
    </row>
    <row r="21" spans="1:18" ht="15" customHeight="1" x14ac:dyDescent="0.3">
      <c r="A21" s="18"/>
      <c r="B21" s="39" t="s">
        <v>50</v>
      </c>
      <c r="C21" s="19">
        <v>4</v>
      </c>
      <c r="D21" s="20">
        <f>14/3.281</f>
        <v>4.2669917708015843</v>
      </c>
      <c r="E21" s="21">
        <v>0.23</v>
      </c>
      <c r="F21" s="21">
        <v>0.23</v>
      </c>
      <c r="G21" s="41">
        <f t="shared" ref="G21:G22" si="0">PRODUCT(C21:F21)</f>
        <v>0.90289545870161536</v>
      </c>
      <c r="H21" s="22"/>
      <c r="I21" s="23"/>
      <c r="J21" s="43"/>
      <c r="K21" s="21"/>
      <c r="M21" s="1"/>
      <c r="N21" s="1"/>
      <c r="O21" s="1"/>
      <c r="P21" s="1"/>
      <c r="Q21" s="25"/>
      <c r="R21" s="25"/>
    </row>
    <row r="22" spans="1:18" ht="15" customHeight="1" x14ac:dyDescent="0.3">
      <c r="A22" s="18"/>
      <c r="B22" s="39"/>
      <c r="C22" s="19">
        <v>3</v>
      </c>
      <c r="D22" s="20">
        <f>15.75/3.281</f>
        <v>4.8003657421517829</v>
      </c>
      <c r="E22" s="21">
        <v>0.23</v>
      </c>
      <c r="F22" s="21">
        <v>0.23</v>
      </c>
      <c r="G22" s="41">
        <f t="shared" si="0"/>
        <v>0.76181804327948799</v>
      </c>
      <c r="H22" s="22"/>
      <c r="I22" s="23"/>
      <c r="J22" s="43"/>
      <c r="K22" s="21"/>
      <c r="M22" s="1"/>
      <c r="N22" s="1"/>
      <c r="O22" s="1"/>
      <c r="P22" s="1"/>
      <c r="Q22" s="25"/>
      <c r="R22" s="25"/>
    </row>
    <row r="23" spans="1:18" ht="15" customHeight="1" x14ac:dyDescent="0.3">
      <c r="A23" s="18"/>
      <c r="B23" s="39" t="s">
        <v>39</v>
      </c>
      <c r="C23" s="19"/>
      <c r="D23" s="20"/>
      <c r="E23" s="21"/>
      <c r="F23" s="21"/>
      <c r="G23" s="23">
        <f>SUM(G20:G22)</f>
        <v>8.0540771048775746</v>
      </c>
      <c r="H23" s="22" t="s">
        <v>38</v>
      </c>
      <c r="I23" s="23">
        <v>13568.9</v>
      </c>
      <c r="J23" s="43">
        <f>G23*I23</f>
        <v>109284.96682837332</v>
      </c>
      <c r="K23" s="21"/>
      <c r="M23" s="1"/>
      <c r="N23" s="1"/>
      <c r="O23" s="1"/>
      <c r="P23" s="1"/>
      <c r="Q23" s="25"/>
      <c r="R23" s="25"/>
    </row>
    <row r="24" spans="1:18" ht="15" customHeight="1" x14ac:dyDescent="0.3">
      <c r="A24" s="18"/>
      <c r="B24" s="39" t="s">
        <v>37</v>
      </c>
      <c r="C24" s="19"/>
      <c r="D24" s="20"/>
      <c r="E24" s="21"/>
      <c r="F24" s="21"/>
      <c r="G24" s="23"/>
      <c r="H24" s="22"/>
      <c r="I24" s="23"/>
      <c r="J24" s="43">
        <f>0.13*G23*9524.2</f>
        <v>9972.1233510957518</v>
      </c>
      <c r="K24" s="21"/>
      <c r="M24" s="1"/>
      <c r="N24" s="1"/>
      <c r="O24" s="1"/>
      <c r="P24" s="1"/>
      <c r="Q24" s="25"/>
      <c r="R24" s="25"/>
    </row>
    <row r="25" spans="1:18" ht="15" customHeight="1" x14ac:dyDescent="0.3">
      <c r="A25" s="18"/>
      <c r="B25" s="39"/>
      <c r="C25" s="19"/>
      <c r="D25" s="20"/>
      <c r="E25" s="21"/>
      <c r="F25" s="21"/>
      <c r="G25" s="23"/>
      <c r="H25" s="22"/>
      <c r="I25" s="23"/>
      <c r="J25" s="43"/>
      <c r="K25" s="21"/>
      <c r="M25" s="1"/>
      <c r="N25" s="1"/>
      <c r="O25" s="1"/>
      <c r="P25" s="1"/>
      <c r="Q25" s="25"/>
      <c r="R25" s="25"/>
    </row>
    <row r="26" spans="1:18" ht="30.6" x14ac:dyDescent="0.3">
      <c r="A26" s="18">
        <v>4</v>
      </c>
      <c r="B26" s="61" t="s">
        <v>51</v>
      </c>
      <c r="C26" s="19"/>
      <c r="D26" s="20"/>
      <c r="E26" s="21"/>
      <c r="F26" s="21"/>
      <c r="G26" s="23"/>
      <c r="H26" s="22"/>
      <c r="I26" s="23"/>
      <c r="J26" s="43"/>
      <c r="K26" s="21"/>
      <c r="M26" s="1"/>
      <c r="N26" s="1"/>
      <c r="O26" s="1"/>
      <c r="P26" s="1"/>
      <c r="Q26" s="25"/>
      <c r="R26" s="25"/>
    </row>
    <row r="27" spans="1:18" ht="15" customHeight="1" x14ac:dyDescent="0.3">
      <c r="A27" s="18"/>
      <c r="B27" s="39" t="str">
        <f>B20</f>
        <v>-slab</v>
      </c>
      <c r="C27" s="19">
        <f>C20</f>
        <v>1</v>
      </c>
      <c r="D27" s="20">
        <f>D20</f>
        <v>9.4483389210606514</v>
      </c>
      <c r="E27" s="21">
        <f>E20</f>
        <v>5.4099359951234378</v>
      </c>
      <c r="F27" s="21"/>
      <c r="G27" s="41">
        <f>PRODUCT(C27:F27)</f>
        <v>51.114908823171767</v>
      </c>
      <c r="H27" s="22"/>
      <c r="I27" s="23"/>
      <c r="J27" s="43"/>
      <c r="K27" s="21"/>
      <c r="M27" s="1"/>
      <c r="N27" s="1"/>
      <c r="O27" s="1"/>
      <c r="P27" s="1"/>
      <c r="Q27" s="25"/>
      <c r="R27" s="25"/>
    </row>
    <row r="28" spans="1:18" ht="15" customHeight="1" x14ac:dyDescent="0.3">
      <c r="A28" s="18"/>
      <c r="B28" s="39" t="str">
        <f>B21</f>
        <v>-beam</v>
      </c>
      <c r="C28" s="19">
        <f>C21</f>
        <v>4</v>
      </c>
      <c r="D28" s="20">
        <f>D21</f>
        <v>4.2669917708015843</v>
      </c>
      <c r="E28" s="21"/>
      <c r="F28" s="21">
        <f>F21*2</f>
        <v>0.46</v>
      </c>
      <c r="G28" s="41">
        <f t="shared" ref="G28:G29" si="1">PRODUCT(C28:F28)</f>
        <v>7.8512648582749156</v>
      </c>
      <c r="H28" s="22"/>
      <c r="I28" s="23"/>
      <c r="J28" s="43"/>
      <c r="K28" s="21"/>
      <c r="M28" s="1"/>
      <c r="N28" s="1"/>
      <c r="O28" s="1"/>
      <c r="P28" s="1"/>
      <c r="Q28" s="25"/>
      <c r="R28" s="25"/>
    </row>
    <row r="29" spans="1:18" ht="15" customHeight="1" x14ac:dyDescent="0.3">
      <c r="A29" s="18"/>
      <c r="B29" s="39"/>
      <c r="C29" s="19">
        <f>C22</f>
        <v>3</v>
      </c>
      <c r="D29" s="20">
        <f>D22</f>
        <v>4.8003657421517829</v>
      </c>
      <c r="E29" s="21"/>
      <c r="F29" s="21">
        <f>F22*2</f>
        <v>0.46</v>
      </c>
      <c r="G29" s="41">
        <f t="shared" si="1"/>
        <v>6.6245047241694603</v>
      </c>
      <c r="H29" s="22"/>
      <c r="I29" s="23"/>
      <c r="J29" s="43"/>
      <c r="K29" s="21"/>
      <c r="M29" s="1"/>
      <c r="N29" s="1"/>
      <c r="O29" s="1"/>
      <c r="P29" s="1"/>
      <c r="Q29" s="25"/>
      <c r="R29" s="25"/>
    </row>
    <row r="30" spans="1:18" ht="15" customHeight="1" x14ac:dyDescent="0.3">
      <c r="A30" s="18"/>
      <c r="B30" s="39" t="s">
        <v>39</v>
      </c>
      <c r="C30" s="19"/>
      <c r="D30" s="20"/>
      <c r="E30" s="21"/>
      <c r="F30" s="21"/>
      <c r="G30" s="23">
        <f>SUM(G27:G29)</f>
        <v>65.590678405616146</v>
      </c>
      <c r="H30" s="22" t="s">
        <v>38</v>
      </c>
      <c r="I30" s="23">
        <v>915.42</v>
      </c>
      <c r="J30" s="43">
        <f>G30*I30</f>
        <v>60043.018826069128</v>
      </c>
      <c r="K30" s="21"/>
      <c r="M30" s="1"/>
      <c r="N30" s="1"/>
      <c r="O30" s="1"/>
      <c r="P30" s="1"/>
      <c r="Q30" s="25"/>
      <c r="R30" s="25"/>
    </row>
    <row r="31" spans="1:18" ht="15" customHeight="1" x14ac:dyDescent="0.3">
      <c r="A31" s="18"/>
      <c r="B31" s="39" t="s">
        <v>37</v>
      </c>
      <c r="C31" s="19"/>
      <c r="D31" s="20"/>
      <c r="E31" s="21"/>
      <c r="F31" s="21"/>
      <c r="G31" s="23"/>
      <c r="H31" s="22"/>
      <c r="I31" s="23"/>
      <c r="J31" s="43">
        <f>0.13*G30*46827.87/100</f>
        <v>3992.9132900670002</v>
      </c>
      <c r="K31" s="21"/>
      <c r="M31" s="1"/>
      <c r="N31" s="1"/>
      <c r="O31" s="1"/>
      <c r="P31" s="1"/>
      <c r="Q31" s="25"/>
      <c r="R31" s="25"/>
    </row>
    <row r="32" spans="1:18" ht="15" customHeight="1" x14ac:dyDescent="0.3">
      <c r="A32" s="18"/>
      <c r="B32" s="39"/>
      <c r="C32" s="19"/>
      <c r="D32" s="20"/>
      <c r="E32" s="21"/>
      <c r="F32" s="21"/>
      <c r="G32" s="23"/>
      <c r="H32" s="22"/>
      <c r="I32" s="23"/>
      <c r="J32" s="43"/>
      <c r="K32" s="21"/>
      <c r="M32" s="1"/>
      <c r="N32" s="1"/>
      <c r="O32" s="1"/>
      <c r="P32" s="1"/>
      <c r="Q32" s="25"/>
      <c r="R32" s="25"/>
    </row>
    <row r="33" spans="1:18" ht="41.4" x14ac:dyDescent="0.3">
      <c r="A33" s="18">
        <v>5</v>
      </c>
      <c r="B33" s="61" t="s">
        <v>52</v>
      </c>
      <c r="C33" s="19" t="s">
        <v>7</v>
      </c>
      <c r="D33" s="35" t="s">
        <v>41</v>
      </c>
      <c r="E33" s="36" t="s">
        <v>53</v>
      </c>
      <c r="F33" s="36" t="s">
        <v>40</v>
      </c>
      <c r="G33" s="23"/>
      <c r="H33" s="22"/>
      <c r="I33" s="23"/>
      <c r="J33" s="43"/>
      <c r="K33" s="21"/>
      <c r="M33" s="1"/>
      <c r="N33" s="1"/>
      <c r="O33" s="1"/>
      <c r="P33" s="1"/>
      <c r="Q33" s="25"/>
      <c r="R33" s="25"/>
    </row>
    <row r="34" spans="1:18" ht="15" customHeight="1" x14ac:dyDescent="0.3">
      <c r="A34" s="18"/>
      <c r="B34" s="39" t="str">
        <f>B27</f>
        <v>-slab</v>
      </c>
      <c r="C34" s="19">
        <f>2*(TRUNC((E20-0.3-0.3)/0.15,0)+1)</f>
        <v>66</v>
      </c>
      <c r="D34" s="20">
        <f>31/3.281</f>
        <v>9.4483389210606514</v>
      </c>
      <c r="E34" s="21">
        <f>8*8/162</f>
        <v>0.39506172839506171</v>
      </c>
      <c r="F34" s="41">
        <f>PRODUCT(C34:E34)</f>
        <v>246.35668890469253</v>
      </c>
      <c r="G34" s="41">
        <f>F34/1000</f>
        <v>0.24635668890469253</v>
      </c>
      <c r="H34" s="22"/>
      <c r="I34" s="23"/>
      <c r="J34" s="43"/>
      <c r="K34" s="21"/>
      <c r="M34" s="1"/>
      <c r="N34" s="1"/>
      <c r="O34" s="1"/>
      <c r="P34" s="1"/>
      <c r="Q34" s="25"/>
      <c r="R34" s="25"/>
    </row>
    <row r="35" spans="1:18" ht="15" customHeight="1" x14ac:dyDescent="0.3">
      <c r="A35" s="18"/>
      <c r="B35" s="39"/>
      <c r="C35" s="19">
        <f>2*(TRUNC((D20-0.3-0.3-0.3)/0.15,0)+1)</f>
        <v>114</v>
      </c>
      <c r="D35" s="20">
        <f>17.75/3.281</f>
        <v>5.4099359951234378</v>
      </c>
      <c r="E35" s="21">
        <f>8*8/162</f>
        <v>0.39506172839506171</v>
      </c>
      <c r="F35" s="41">
        <f>PRODUCT(C35:E35)</f>
        <v>243.64748778037409</v>
      </c>
      <c r="G35" s="41">
        <f>F35/1000</f>
        <v>0.24364748778037409</v>
      </c>
      <c r="H35" s="22"/>
      <c r="I35" s="23"/>
      <c r="J35" s="43"/>
      <c r="K35" s="21"/>
      <c r="M35" s="1"/>
      <c r="N35" s="1"/>
      <c r="O35" s="1"/>
      <c r="P35" s="1"/>
      <c r="Q35" s="25"/>
      <c r="R35" s="25"/>
    </row>
    <row r="36" spans="1:18" ht="15" customHeight="1" x14ac:dyDescent="0.3">
      <c r="A36" s="18"/>
      <c r="B36" s="39" t="str">
        <f>B28</f>
        <v>-beam</v>
      </c>
      <c r="C36" s="19">
        <f>2*5</f>
        <v>10</v>
      </c>
      <c r="D36" s="20">
        <f>D20</f>
        <v>9.4483389210606514</v>
      </c>
      <c r="E36" s="21">
        <f>12*12/162</f>
        <v>0.88888888888888884</v>
      </c>
      <c r="F36" s="41">
        <f t="shared" ref="F36:F37" si="2">PRODUCT(C36:E36)</f>
        <v>83.985234853872456</v>
      </c>
      <c r="G36" s="41">
        <f t="shared" ref="G36:G39" si="3">F36/1000</f>
        <v>8.3985234853872451E-2</v>
      </c>
      <c r="H36" s="22"/>
      <c r="I36" s="23"/>
      <c r="J36" s="43"/>
      <c r="K36" s="21"/>
      <c r="M36" s="1"/>
      <c r="N36" s="1"/>
      <c r="O36" s="1"/>
      <c r="P36" s="1"/>
      <c r="Q36" s="25"/>
      <c r="R36" s="25"/>
    </row>
    <row r="37" spans="1:18" ht="15" customHeight="1" x14ac:dyDescent="0.3">
      <c r="A37" s="18"/>
      <c r="B37" s="39"/>
      <c r="C37" s="19">
        <f>3*5</f>
        <v>15</v>
      </c>
      <c r="D37" s="20">
        <f>E20</f>
        <v>5.4099359951234378</v>
      </c>
      <c r="E37" s="21">
        <f>12*12/162</f>
        <v>0.88888888888888884</v>
      </c>
      <c r="F37" s="41">
        <f t="shared" si="2"/>
        <v>72.132479934979173</v>
      </c>
      <c r="G37" s="41">
        <f t="shared" si="3"/>
        <v>7.2132479934979177E-2</v>
      </c>
      <c r="H37" s="22"/>
      <c r="I37" s="23"/>
      <c r="J37" s="43"/>
      <c r="K37" s="21"/>
      <c r="M37" s="1"/>
      <c r="N37" s="1"/>
      <c r="O37" s="1"/>
      <c r="P37" s="1"/>
      <c r="Q37" s="25"/>
      <c r="R37" s="25"/>
    </row>
    <row r="38" spans="1:18" ht="15" customHeight="1" x14ac:dyDescent="0.3">
      <c r="A38" s="18"/>
      <c r="B38" s="39" t="s">
        <v>54</v>
      </c>
      <c r="C38" s="19">
        <f>23*4+4*3</f>
        <v>104</v>
      </c>
      <c r="D38" s="20">
        <f>(0.3*2+(0.583/3.281)*2+0.075*2)</f>
        <v>1.1053794574824747</v>
      </c>
      <c r="E38" s="21">
        <f t="shared" ref="E38:E39" si="4">12*12/162</f>
        <v>0.88888888888888884</v>
      </c>
      <c r="F38" s="41">
        <f t="shared" ref="F38:F39" si="5">PRODUCT(C38:E38)</f>
        <v>102.18618984726876</v>
      </c>
      <c r="G38" s="41">
        <f t="shared" si="3"/>
        <v>0.10218618984726877</v>
      </c>
      <c r="H38" s="22"/>
      <c r="I38" s="23"/>
      <c r="J38" s="43"/>
      <c r="K38" s="21"/>
      <c r="M38" s="1"/>
      <c r="N38" s="1"/>
      <c r="O38" s="1"/>
      <c r="P38" s="1"/>
      <c r="Q38" s="25"/>
      <c r="R38" s="25"/>
    </row>
    <row r="39" spans="1:18" ht="15" customHeight="1" x14ac:dyDescent="0.3">
      <c r="A39" s="18"/>
      <c r="B39" s="39"/>
      <c r="C39" s="19">
        <f>23+3+3</f>
        <v>29</v>
      </c>
      <c r="D39" s="20">
        <f>(0.3*2+(0.583/3.281)*2+0.075*2)</f>
        <v>1.1053794574824747</v>
      </c>
      <c r="E39" s="21">
        <f t="shared" si="4"/>
        <v>0.88888888888888884</v>
      </c>
      <c r="F39" s="41">
        <f t="shared" si="5"/>
        <v>28.494226015103788</v>
      </c>
      <c r="G39" s="41">
        <f t="shared" si="3"/>
        <v>2.8494226015103787E-2</v>
      </c>
      <c r="H39" s="22"/>
      <c r="I39" s="23"/>
      <c r="J39" s="43"/>
      <c r="K39" s="21"/>
      <c r="M39" s="1"/>
      <c r="N39" s="1"/>
      <c r="O39" s="1"/>
      <c r="P39" s="1"/>
      <c r="Q39" s="25"/>
      <c r="R39" s="25"/>
    </row>
    <row r="40" spans="1:18" ht="15" customHeight="1" x14ac:dyDescent="0.3">
      <c r="A40" s="18"/>
      <c r="B40" s="39" t="s">
        <v>39</v>
      </c>
      <c r="C40" s="19"/>
      <c r="D40" s="20"/>
      <c r="E40" s="21"/>
      <c r="F40" s="21"/>
      <c r="G40" s="23">
        <f>SUM(G34:G39)</f>
        <v>0.77680230733629085</v>
      </c>
      <c r="H40" s="22" t="s">
        <v>38</v>
      </c>
      <c r="I40" s="23">
        <v>131940</v>
      </c>
      <c r="J40" s="43">
        <f>G40*I40</f>
        <v>102491.29642995022</v>
      </c>
      <c r="K40" s="21"/>
      <c r="M40" s="1"/>
      <c r="N40" s="1"/>
      <c r="O40" s="1"/>
      <c r="P40" s="1"/>
      <c r="Q40" s="25"/>
      <c r="R40" s="25"/>
    </row>
    <row r="41" spans="1:18" ht="15" customHeight="1" x14ac:dyDescent="0.3">
      <c r="A41" s="18"/>
      <c r="B41" s="39" t="s">
        <v>37</v>
      </c>
      <c r="C41" s="19"/>
      <c r="D41" s="20"/>
      <c r="E41" s="21"/>
      <c r="F41" s="21"/>
      <c r="G41" s="23"/>
      <c r="H41" s="22"/>
      <c r="I41" s="23"/>
      <c r="J41" s="43">
        <f>0.13*G40*106200</f>
        <v>10724.532655084831</v>
      </c>
      <c r="K41" s="21"/>
      <c r="M41" s="1"/>
      <c r="N41" s="1"/>
      <c r="O41" s="1"/>
      <c r="P41" s="1"/>
      <c r="Q41" s="25"/>
      <c r="R41" s="25"/>
    </row>
    <row r="42" spans="1:18" ht="15" customHeight="1" x14ac:dyDescent="0.3">
      <c r="A42" s="18"/>
      <c r="B42" s="39"/>
      <c r="C42" s="19"/>
      <c r="D42" s="20"/>
      <c r="E42" s="21"/>
      <c r="F42" s="21"/>
      <c r="G42" s="23"/>
      <c r="H42" s="22"/>
      <c r="I42" s="23"/>
      <c r="J42" s="43"/>
      <c r="K42" s="21"/>
      <c r="M42" s="1"/>
      <c r="N42" s="1"/>
      <c r="O42" s="1"/>
      <c r="P42" s="1"/>
      <c r="Q42" s="25"/>
      <c r="R42" s="25"/>
    </row>
    <row r="43" spans="1:18" ht="15" customHeight="1" x14ac:dyDescent="0.3">
      <c r="A43" s="18">
        <v>6</v>
      </c>
      <c r="B43" s="30" t="s">
        <v>30</v>
      </c>
      <c r="C43" s="19">
        <v>1</v>
      </c>
      <c r="D43" s="20"/>
      <c r="E43" s="21"/>
      <c r="F43" s="21"/>
      <c r="G43" s="34">
        <f t="shared" ref="G43" si="6">PRODUCT(C43:F43)</f>
        <v>1</v>
      </c>
      <c r="H43" s="22" t="s">
        <v>31</v>
      </c>
      <c r="I43" s="23">
        <v>500</v>
      </c>
      <c r="J43" s="34">
        <f>G43*I43</f>
        <v>500</v>
      </c>
      <c r="K43" s="21"/>
      <c r="M43" s="1"/>
      <c r="N43" s="1"/>
      <c r="O43" s="1"/>
      <c r="P43" s="1"/>
      <c r="Q43" s="25"/>
      <c r="R43" s="25"/>
    </row>
    <row r="44" spans="1:18" ht="15" customHeight="1" x14ac:dyDescent="0.3">
      <c r="A44" s="18"/>
      <c r="B44" s="24"/>
      <c r="C44" s="19"/>
      <c r="D44" s="20"/>
      <c r="E44" s="21"/>
      <c r="F44" s="21"/>
      <c r="G44" s="23"/>
      <c r="H44" s="22"/>
      <c r="I44" s="23"/>
      <c r="J44" s="43"/>
      <c r="K44" s="21"/>
      <c r="M44" s="1"/>
      <c r="N44" s="1"/>
      <c r="O44" s="1"/>
      <c r="P44" s="1"/>
      <c r="Q44" s="25"/>
      <c r="R44" s="25"/>
    </row>
    <row r="45" spans="1:18" x14ac:dyDescent="0.3">
      <c r="A45" s="42"/>
      <c r="B45" s="44" t="s">
        <v>17</v>
      </c>
      <c r="C45" s="45"/>
      <c r="D45" s="40"/>
      <c r="E45" s="40"/>
      <c r="F45" s="40"/>
      <c r="G45" s="43"/>
      <c r="H45" s="43"/>
      <c r="I45" s="43"/>
      <c r="J45" s="43">
        <f>SUM(J10:J43)</f>
        <v>345993.93824887183</v>
      </c>
      <c r="K45" s="38"/>
    </row>
    <row r="46" spans="1:18" x14ac:dyDescent="0.3">
      <c r="A46" s="56"/>
      <c r="B46" s="59"/>
      <c r="C46" s="60"/>
      <c r="D46" s="57"/>
      <c r="E46" s="57"/>
      <c r="F46" s="57"/>
      <c r="G46" s="58"/>
      <c r="H46" s="58"/>
      <c r="I46" s="58"/>
      <c r="J46" s="58"/>
      <c r="K46" s="55"/>
    </row>
    <row r="47" spans="1:18" s="1" customFormat="1" x14ac:dyDescent="0.3">
      <c r="A47" s="48"/>
      <c r="B47" s="29" t="s">
        <v>27</v>
      </c>
      <c r="C47" s="82">
        <f>J45</f>
        <v>345993.93824887183</v>
      </c>
      <c r="D47" s="82"/>
      <c r="E47" s="41">
        <v>100</v>
      </c>
      <c r="F47" s="49"/>
      <c r="G47" s="50"/>
      <c r="H47" s="49"/>
      <c r="I47" s="51"/>
      <c r="J47" s="52"/>
      <c r="K47" s="53"/>
    </row>
    <row r="48" spans="1:18" x14ac:dyDescent="0.3">
      <c r="A48" s="54"/>
      <c r="B48" s="29" t="s">
        <v>32</v>
      </c>
      <c r="C48" s="85">
        <v>300000</v>
      </c>
      <c r="D48" s="85"/>
      <c r="E48" s="41"/>
      <c r="F48" s="47"/>
      <c r="G48" s="46"/>
      <c r="H48" s="46"/>
      <c r="I48" s="46"/>
      <c r="J48" s="46"/>
      <c r="K48" s="47"/>
    </row>
    <row r="49" spans="1:11" x14ac:dyDescent="0.3">
      <c r="A49" s="54"/>
      <c r="B49" s="29" t="s">
        <v>33</v>
      </c>
      <c r="C49" s="85">
        <f>C48-C51-C52</f>
        <v>285000</v>
      </c>
      <c r="D49" s="85"/>
      <c r="E49" s="41">
        <f>C49/C47*100</f>
        <v>82.371385302999386</v>
      </c>
      <c r="F49" s="47"/>
      <c r="G49" s="46"/>
      <c r="H49" s="46"/>
      <c r="I49" s="46"/>
      <c r="J49" s="46"/>
      <c r="K49" s="47"/>
    </row>
    <row r="50" spans="1:11" x14ac:dyDescent="0.3">
      <c r="A50" s="54"/>
      <c r="B50" s="29" t="s">
        <v>34</v>
      </c>
      <c r="C50" s="82">
        <f>C47-C49</f>
        <v>60993.938248871826</v>
      </c>
      <c r="D50" s="82"/>
      <c r="E50" s="41">
        <f>100-E49</f>
        <v>17.628614697000614</v>
      </c>
      <c r="F50" s="47"/>
      <c r="G50" s="46"/>
      <c r="H50" s="46"/>
      <c r="I50" s="46"/>
      <c r="J50" s="46"/>
      <c r="K50" s="47"/>
    </row>
    <row r="51" spans="1:11" x14ac:dyDescent="0.3">
      <c r="A51" s="54"/>
      <c r="B51" s="29" t="s">
        <v>35</v>
      </c>
      <c r="C51" s="82">
        <f>C48*0.03</f>
        <v>9000</v>
      </c>
      <c r="D51" s="82"/>
      <c r="E51" s="41">
        <v>3</v>
      </c>
      <c r="F51" s="47"/>
      <c r="G51" s="46"/>
      <c r="H51" s="46"/>
      <c r="I51" s="46"/>
      <c r="J51" s="46"/>
      <c r="K51" s="47"/>
    </row>
    <row r="52" spans="1:11" x14ac:dyDescent="0.3">
      <c r="A52" s="54"/>
      <c r="B52" s="29" t="s">
        <v>36</v>
      </c>
      <c r="C52" s="82">
        <f>C48*0.02</f>
        <v>6000</v>
      </c>
      <c r="D52" s="82"/>
      <c r="E52" s="41">
        <v>2</v>
      </c>
      <c r="F52" s="47"/>
      <c r="G52" s="46"/>
      <c r="H52" s="46"/>
      <c r="I52" s="46"/>
      <c r="J52" s="46"/>
      <c r="K52" s="47"/>
    </row>
    <row r="53" spans="1:11" s="37" customFormat="1" x14ac:dyDescent="0.3">
      <c r="A53" s="55"/>
      <c r="B53" s="55"/>
      <c r="C53" s="55"/>
      <c r="D53" s="55"/>
      <c r="E53" s="55"/>
      <c r="F53" s="55"/>
      <c r="G53" s="55"/>
      <c r="H53" s="55"/>
      <c r="I53" s="55"/>
      <c r="J53" s="55"/>
      <c r="K53" s="55"/>
    </row>
    <row r="54" spans="1:11" s="37" customFormat="1" x14ac:dyDescent="0.3"/>
    <row r="55" spans="1:11" s="37" customFormat="1" x14ac:dyDescent="0.3"/>
    <row r="56" spans="1:11" s="37" customFormat="1" x14ac:dyDescent="0.3"/>
    <row r="57" spans="1:11" s="37" customFormat="1" x14ac:dyDescent="0.3"/>
    <row r="58" spans="1:11" s="37" customFormat="1" x14ac:dyDescent="0.3"/>
    <row r="59" spans="1:11" s="37" customFormat="1" x14ac:dyDescent="0.3"/>
    <row r="60" spans="1:11" s="37" customFormat="1" x14ac:dyDescent="0.3"/>
    <row r="61" spans="1:11" s="37" customFormat="1" x14ac:dyDescent="0.3"/>
    <row r="62" spans="1:11" s="37" customFormat="1" x14ac:dyDescent="0.3"/>
    <row r="63" spans="1:11" s="37" customFormat="1" x14ac:dyDescent="0.3"/>
    <row r="64" spans="1:11" s="37" customFormat="1" x14ac:dyDescent="0.3"/>
    <row r="65" s="37" customFormat="1" x14ac:dyDescent="0.3"/>
    <row r="66" s="37" customFormat="1" x14ac:dyDescent="0.3"/>
    <row r="67" s="37" customFormat="1" x14ac:dyDescent="0.3"/>
    <row r="68" s="37" customFormat="1" x14ac:dyDescent="0.3"/>
    <row r="69" s="37" customFormat="1" x14ac:dyDescent="0.3"/>
    <row r="70" s="37" customFormat="1" x14ac:dyDescent="0.3"/>
    <row r="71" s="37" customFormat="1" x14ac:dyDescent="0.3"/>
    <row r="72" s="37" customFormat="1" x14ac:dyDescent="0.3"/>
    <row r="73" s="37" customFormat="1" x14ac:dyDescent="0.3"/>
    <row r="74" s="37" customFormat="1" x14ac:dyDescent="0.3"/>
    <row r="75" s="37" customFormat="1" x14ac:dyDescent="0.3"/>
    <row r="76" s="37" customFormat="1" x14ac:dyDescent="0.3"/>
    <row r="77" s="37" customFormat="1" x14ac:dyDescent="0.3"/>
    <row r="78" s="37" customFormat="1" x14ac:dyDescent="0.3"/>
    <row r="79" s="37" customFormat="1" x14ac:dyDescent="0.3"/>
    <row r="80" s="37" customFormat="1" x14ac:dyDescent="0.3"/>
    <row r="81" s="37" customFormat="1" x14ac:dyDescent="0.3"/>
    <row r="82" s="37" customFormat="1" x14ac:dyDescent="0.3"/>
    <row r="83" s="37" customFormat="1" x14ac:dyDescent="0.3"/>
    <row r="84" s="37" customFormat="1" x14ac:dyDescent="0.3"/>
    <row r="85" s="37" customFormat="1" x14ac:dyDescent="0.3"/>
    <row r="86" s="37" customFormat="1" x14ac:dyDescent="0.3"/>
    <row r="87" s="37" customFormat="1" x14ac:dyDescent="0.3"/>
    <row r="88" s="37" customFormat="1" x14ac:dyDescent="0.3"/>
    <row r="89" s="37" customFormat="1" x14ac:dyDescent="0.3"/>
    <row r="90" s="37" customFormat="1" x14ac:dyDescent="0.3"/>
    <row r="91" s="37" customFormat="1" x14ac:dyDescent="0.3"/>
    <row r="92" s="37" customFormat="1" x14ac:dyDescent="0.3"/>
    <row r="93" s="37" customFormat="1" x14ac:dyDescent="0.3"/>
    <row r="94" s="37" customFormat="1" x14ac:dyDescent="0.3"/>
    <row r="95" s="37" customFormat="1" x14ac:dyDescent="0.3"/>
    <row r="96" s="37" customFormat="1" x14ac:dyDescent="0.3"/>
    <row r="97" s="37" customFormat="1" x14ac:dyDescent="0.3"/>
    <row r="98" s="37" customFormat="1" x14ac:dyDescent="0.3"/>
    <row r="99" s="37" customFormat="1" x14ac:dyDescent="0.3"/>
    <row r="100" s="37" customFormat="1" x14ac:dyDescent="0.3"/>
    <row r="101" s="37" customFormat="1" x14ac:dyDescent="0.3"/>
    <row r="102" s="37" customFormat="1" x14ac:dyDescent="0.3"/>
    <row r="103" s="37" customFormat="1" x14ac:dyDescent="0.3"/>
    <row r="104" s="37" customFormat="1" x14ac:dyDescent="0.3"/>
    <row r="105" s="37" customFormat="1" x14ac:dyDescent="0.3"/>
    <row r="106" s="37" customFormat="1" x14ac:dyDescent="0.3"/>
    <row r="107" s="37" customFormat="1" x14ac:dyDescent="0.3"/>
    <row r="108" s="37" customFormat="1" x14ac:dyDescent="0.3"/>
    <row r="109" s="37" customFormat="1" x14ac:dyDescent="0.3"/>
  </sheetData>
  <mergeCells count="15">
    <mergeCell ref="C51:D51"/>
    <mergeCell ref="C52:D52"/>
    <mergeCell ref="A7:F7"/>
    <mergeCell ref="H7:K7"/>
    <mergeCell ref="C47:D47"/>
    <mergeCell ref="C48:D48"/>
    <mergeCell ref="C49:D49"/>
    <mergeCell ref="C50:D50"/>
    <mergeCell ref="A6:F6"/>
    <mergeCell ref="H6:K6"/>
    <mergeCell ref="A1:K1"/>
    <mergeCell ref="A2:K2"/>
    <mergeCell ref="A3:K3"/>
    <mergeCell ref="A4:K4"/>
    <mergeCell ref="A5:K5"/>
  </mergeCells>
  <pageMargins left="0.7" right="0.7" top="0.75" bottom="0.75" header="0.3" footer="0.3"/>
  <pageSetup paperSize="9" scale="80" orientation="portrait" r:id="rId1"/>
  <headerFooter>
    <oddFooter>&amp;LPrepared By:
Kristal Suwal&amp;CChecked By:
Er. Milan Phuyal&amp;RApproved By:
Er. Prakash Singh Saud</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12"/>
  <sheetViews>
    <sheetView zoomScaleNormal="100" workbookViewId="0">
      <selection activeCell="B9" sqref="B9"/>
    </sheetView>
  </sheetViews>
  <sheetFormatPr defaultRowHeight="14.4" x14ac:dyDescent="0.3"/>
  <cols>
    <col min="1" max="1" width="4.6640625" customWidth="1"/>
    <col min="2" max="2" width="31.33203125" customWidth="1"/>
    <col min="3" max="3" width="5.5546875" bestFit="1" customWidth="1"/>
    <col min="4" max="4" width="7.5546875" customWidth="1"/>
    <col min="5" max="5" width="8.5546875" customWidth="1"/>
    <col min="6" max="6" width="8" customWidth="1"/>
    <col min="7" max="7" width="8.5546875" customWidth="1"/>
    <col min="8" max="8" width="5" bestFit="1" customWidth="1"/>
    <col min="9" max="9" width="10.44140625" customWidth="1"/>
    <col min="10" max="10" width="11.33203125" customWidth="1"/>
    <col min="11" max="11" width="8.33203125" customWidth="1"/>
  </cols>
  <sheetData>
    <row r="1" spans="1:16" s="1" customFormat="1" x14ac:dyDescent="0.3">
      <c r="A1" s="79" t="s">
        <v>0</v>
      </c>
      <c r="B1" s="79"/>
      <c r="C1" s="79"/>
      <c r="D1" s="79"/>
      <c r="E1" s="79"/>
      <c r="F1" s="79"/>
      <c r="G1" s="79"/>
      <c r="H1" s="79"/>
      <c r="I1" s="79"/>
      <c r="J1" s="79"/>
      <c r="K1" s="79"/>
    </row>
    <row r="2" spans="1:16" s="1" customFormat="1" ht="22.8" x14ac:dyDescent="0.3">
      <c r="A2" s="80" t="s">
        <v>1</v>
      </c>
      <c r="B2" s="80"/>
      <c r="C2" s="80"/>
      <c r="D2" s="80"/>
      <c r="E2" s="80"/>
      <c r="F2" s="80"/>
      <c r="G2" s="80"/>
      <c r="H2" s="80"/>
      <c r="I2" s="80"/>
      <c r="J2" s="80"/>
      <c r="K2" s="80"/>
    </row>
    <row r="3" spans="1:16" s="1" customFormat="1" x14ac:dyDescent="0.3">
      <c r="A3" s="68" t="s">
        <v>2</v>
      </c>
      <c r="B3" s="68"/>
      <c r="C3" s="68"/>
      <c r="D3" s="68"/>
      <c r="E3" s="68"/>
      <c r="F3" s="68"/>
      <c r="G3" s="68"/>
      <c r="H3" s="68"/>
      <c r="I3" s="68"/>
      <c r="J3" s="68"/>
      <c r="K3" s="68"/>
    </row>
    <row r="4" spans="1:16" s="1" customFormat="1" x14ac:dyDescent="0.3">
      <c r="A4" s="68" t="s">
        <v>3</v>
      </c>
      <c r="B4" s="68"/>
      <c r="C4" s="68"/>
      <c r="D4" s="68"/>
      <c r="E4" s="68"/>
      <c r="F4" s="68"/>
      <c r="G4" s="68"/>
      <c r="H4" s="68"/>
      <c r="I4" s="68"/>
      <c r="J4" s="68"/>
      <c r="K4" s="68"/>
    </row>
    <row r="5" spans="1:16" ht="17.399999999999999" x14ac:dyDescent="0.3">
      <c r="A5" s="81" t="s">
        <v>4</v>
      </c>
      <c r="B5" s="81"/>
      <c r="C5" s="81"/>
      <c r="D5" s="81"/>
      <c r="E5" s="81"/>
      <c r="F5" s="81"/>
      <c r="G5" s="81"/>
      <c r="H5" s="81"/>
      <c r="I5" s="81"/>
      <c r="J5" s="81"/>
      <c r="K5" s="81"/>
    </row>
    <row r="6" spans="1:16" ht="15.6" x14ac:dyDescent="0.3">
      <c r="A6" s="72" t="s">
        <v>61</v>
      </c>
      <c r="B6" s="72"/>
      <c r="C6" s="72"/>
      <c r="D6" s="72"/>
      <c r="E6" s="72"/>
      <c r="F6" s="72"/>
      <c r="G6" s="2"/>
      <c r="H6" s="78" t="s">
        <v>42</v>
      </c>
      <c r="I6" s="78"/>
      <c r="J6" s="78"/>
      <c r="K6" s="78"/>
    </row>
    <row r="7" spans="1:16" ht="15.6" x14ac:dyDescent="0.3">
      <c r="A7" s="83" t="s">
        <v>28</v>
      </c>
      <c r="B7" s="83"/>
      <c r="C7" s="83"/>
      <c r="D7" s="83"/>
      <c r="E7" s="83"/>
      <c r="F7" s="83"/>
      <c r="G7" s="3"/>
      <c r="H7" s="84" t="s">
        <v>62</v>
      </c>
      <c r="I7" s="84"/>
      <c r="J7" s="84"/>
      <c r="K7" s="84"/>
    </row>
    <row r="8" spans="1:16" ht="15" customHeight="1" x14ac:dyDescent="0.3">
      <c r="A8" s="4" t="s">
        <v>5</v>
      </c>
      <c r="B8" s="15" t="s">
        <v>6</v>
      </c>
      <c r="C8" s="4" t="s">
        <v>7</v>
      </c>
      <c r="D8" s="16" t="s">
        <v>8</v>
      </c>
      <c r="E8" s="16" t="s">
        <v>9</v>
      </c>
      <c r="F8" s="16" t="s">
        <v>10</v>
      </c>
      <c r="G8" s="16" t="s">
        <v>11</v>
      </c>
      <c r="H8" s="4" t="s">
        <v>12</v>
      </c>
      <c r="I8" s="16" t="s">
        <v>13</v>
      </c>
      <c r="J8" s="16" t="s">
        <v>14</v>
      </c>
      <c r="K8" s="17" t="s">
        <v>15</v>
      </c>
    </row>
    <row r="9" spans="1:16" ht="30.6" x14ac:dyDescent="0.3">
      <c r="A9" s="18">
        <v>1</v>
      </c>
      <c r="B9" s="61" t="s">
        <v>48</v>
      </c>
      <c r="C9" s="19"/>
      <c r="D9" s="20"/>
      <c r="E9" s="21"/>
      <c r="F9" s="21"/>
      <c r="G9" s="23"/>
      <c r="H9" s="22"/>
      <c r="I9" s="23"/>
      <c r="J9" s="43"/>
      <c r="K9" s="21"/>
      <c r="M9" s="1"/>
      <c r="N9" s="1"/>
      <c r="O9" s="1"/>
      <c r="P9" s="1"/>
    </row>
    <row r="10" spans="1:16" ht="15" customHeight="1" x14ac:dyDescent="0.3">
      <c r="A10" s="18"/>
      <c r="B10" s="39" t="s">
        <v>49</v>
      </c>
      <c r="C10" s="19">
        <v>1</v>
      </c>
      <c r="D10" s="20">
        <f>32/3.281</f>
        <v>9.7531240475464784</v>
      </c>
      <c r="E10" s="21">
        <f>18.75/3.281</f>
        <v>5.7147211216092648</v>
      </c>
      <c r="F10" s="21">
        <v>0.125</v>
      </c>
      <c r="G10" s="41">
        <f>PRODUCT(C10:F10)</f>
        <v>6.9670479995236381</v>
      </c>
      <c r="H10" s="22"/>
      <c r="I10" s="23"/>
      <c r="J10" s="43"/>
      <c r="K10" s="21"/>
      <c r="M10" s="1"/>
      <c r="N10" s="1"/>
      <c r="O10" s="1"/>
      <c r="P10" s="1"/>
    </row>
    <row r="11" spans="1:16" ht="15" customHeight="1" x14ac:dyDescent="0.3">
      <c r="A11" s="18"/>
      <c r="B11" s="39" t="s">
        <v>50</v>
      </c>
      <c r="C11" s="19">
        <v>4</v>
      </c>
      <c r="D11" s="20">
        <f>14.5/3.281</f>
        <v>4.4193843340444987</v>
      </c>
      <c r="E11" s="21">
        <v>0.23</v>
      </c>
      <c r="F11" s="21">
        <v>0.23</v>
      </c>
      <c r="G11" s="41">
        <f t="shared" ref="G11:G13" si="0">PRODUCT(C11:F11)</f>
        <v>0.93514172508381599</v>
      </c>
      <c r="H11" s="22"/>
      <c r="I11" s="23"/>
      <c r="J11" s="43"/>
      <c r="K11" s="21"/>
      <c r="M11" s="1"/>
      <c r="N11" s="1"/>
      <c r="O11" s="1"/>
      <c r="P11" s="1"/>
    </row>
    <row r="12" spans="1:16" ht="15" customHeight="1" x14ac:dyDescent="0.3">
      <c r="A12" s="18"/>
      <c r="B12" s="39"/>
      <c r="C12" s="19">
        <v>3</v>
      </c>
      <c r="D12" s="20">
        <f>16.75/3.281</f>
        <v>5.1051508686376099</v>
      </c>
      <c r="E12" s="21">
        <v>0.23</v>
      </c>
      <c r="F12" s="21">
        <v>0.23</v>
      </c>
      <c r="G12" s="41">
        <f t="shared" si="0"/>
        <v>0.81018744285278876</v>
      </c>
      <c r="H12" s="22"/>
      <c r="I12" s="23"/>
      <c r="J12" s="43"/>
      <c r="K12" s="21"/>
      <c r="M12" s="1"/>
      <c r="N12" s="1"/>
      <c r="O12" s="1"/>
      <c r="P12" s="1"/>
    </row>
    <row r="13" spans="1:16" ht="15" customHeight="1" x14ac:dyDescent="0.3">
      <c r="A13" s="18"/>
      <c r="B13" s="39" t="s">
        <v>59</v>
      </c>
      <c r="C13" s="19">
        <v>2</v>
      </c>
      <c r="D13" s="20">
        <v>0.3</v>
      </c>
      <c r="E13" s="21">
        <v>0.3</v>
      </c>
      <c r="F13" s="21">
        <v>0.3</v>
      </c>
      <c r="G13" s="41">
        <f t="shared" si="0"/>
        <v>5.3999999999999999E-2</v>
      </c>
      <c r="H13" s="22"/>
      <c r="I13" s="23"/>
      <c r="J13" s="43"/>
      <c r="K13" s="21"/>
      <c r="M13" s="1"/>
      <c r="N13" s="1"/>
      <c r="O13" s="1"/>
      <c r="P13" s="1"/>
    </row>
    <row r="14" spans="1:16" ht="15" customHeight="1" x14ac:dyDescent="0.3">
      <c r="A14" s="18"/>
      <c r="B14" s="39" t="s">
        <v>39</v>
      </c>
      <c r="C14" s="19"/>
      <c r="D14" s="20"/>
      <c r="E14" s="21"/>
      <c r="F14" s="21"/>
      <c r="G14" s="23">
        <f>SUM(G10:G13)</f>
        <v>8.7663771674602433</v>
      </c>
      <c r="H14" s="22" t="s">
        <v>38</v>
      </c>
      <c r="I14" s="23">
        <v>13568.9</v>
      </c>
      <c r="J14" s="43">
        <f>G14*I14</f>
        <v>118950.0951475513</v>
      </c>
      <c r="K14" s="21"/>
      <c r="M14" s="1"/>
      <c r="N14" s="1"/>
      <c r="O14" s="1"/>
      <c r="P14" s="1"/>
    </row>
    <row r="15" spans="1:16" ht="15" customHeight="1" x14ac:dyDescent="0.3">
      <c r="A15" s="18"/>
      <c r="B15" s="39" t="s">
        <v>37</v>
      </c>
      <c r="C15" s="19"/>
      <c r="D15" s="20"/>
      <c r="E15" s="21"/>
      <c r="F15" s="21"/>
      <c r="G15" s="23"/>
      <c r="H15" s="22"/>
      <c r="I15" s="23"/>
      <c r="J15" s="43">
        <f>0.13*G14*9524.2</f>
        <v>10854.054824382232</v>
      </c>
      <c r="K15" s="21"/>
      <c r="M15" s="1"/>
      <c r="N15" s="1"/>
      <c r="O15" s="1"/>
      <c r="P15" s="1"/>
    </row>
    <row r="16" spans="1:16" ht="15" customHeight="1" x14ac:dyDescent="0.3">
      <c r="A16" s="18"/>
      <c r="B16" s="39"/>
      <c r="C16" s="19"/>
      <c r="D16" s="20"/>
      <c r="E16" s="21"/>
      <c r="F16" s="21"/>
      <c r="G16" s="23"/>
      <c r="H16" s="22"/>
      <c r="I16" s="23"/>
      <c r="J16" s="43"/>
      <c r="K16" s="21"/>
      <c r="M16" s="1"/>
      <c r="N16" s="1"/>
      <c r="O16" s="1"/>
      <c r="P16" s="1"/>
    </row>
    <row r="17" spans="1:16" ht="30.6" x14ac:dyDescent="0.3">
      <c r="A17" s="18">
        <v>2</v>
      </c>
      <c r="B17" s="61" t="s">
        <v>51</v>
      </c>
      <c r="C17" s="19"/>
      <c r="D17" s="20"/>
      <c r="E17" s="21"/>
      <c r="F17" s="21"/>
      <c r="G17" s="23"/>
      <c r="H17" s="22"/>
      <c r="I17" s="23"/>
      <c r="J17" s="43"/>
      <c r="K17" s="21"/>
      <c r="M17" s="1"/>
      <c r="N17" s="1"/>
      <c r="O17" s="1"/>
      <c r="P17" s="1"/>
    </row>
    <row r="18" spans="1:16" ht="15" customHeight="1" x14ac:dyDescent="0.3">
      <c r="A18" s="18"/>
      <c r="B18" s="39" t="str">
        <f>B10</f>
        <v>-slab</v>
      </c>
      <c r="C18" s="19">
        <f>C10</f>
        <v>1</v>
      </c>
      <c r="D18" s="20">
        <f>D10</f>
        <v>9.7531240475464784</v>
      </c>
      <c r="E18" s="21">
        <f>E10</f>
        <v>5.7147211216092648</v>
      </c>
      <c r="F18" s="21"/>
      <c r="G18" s="41">
        <f>PRODUCT(C18:F18)</f>
        <v>55.736383996189105</v>
      </c>
      <c r="H18" s="22"/>
      <c r="I18" s="23"/>
      <c r="J18" s="43"/>
      <c r="K18" s="21"/>
      <c r="M18" s="1"/>
      <c r="N18" s="1"/>
      <c r="O18" s="1"/>
      <c r="P18" s="1"/>
    </row>
    <row r="19" spans="1:16" ht="15" customHeight="1" x14ac:dyDescent="0.3">
      <c r="A19" s="18"/>
      <c r="B19" s="39" t="str">
        <f>B11</f>
        <v>-beam</v>
      </c>
      <c r="C19" s="19">
        <f>C11</f>
        <v>4</v>
      </c>
      <c r="D19" s="20">
        <f>D11</f>
        <v>4.4193843340444987</v>
      </c>
      <c r="E19" s="21"/>
      <c r="F19" s="21">
        <f>F11*2</f>
        <v>0.46</v>
      </c>
      <c r="G19" s="41">
        <f t="shared" ref="G19:G21" si="1">PRODUCT(C19:F19)</f>
        <v>8.131667174641878</v>
      </c>
      <c r="H19" s="22"/>
      <c r="I19" s="23"/>
      <c r="J19" s="43"/>
      <c r="K19" s="21"/>
      <c r="M19" s="1"/>
      <c r="N19" s="1"/>
      <c r="O19" s="1"/>
      <c r="P19" s="1"/>
    </row>
    <row r="20" spans="1:16" ht="15" customHeight="1" x14ac:dyDescent="0.3">
      <c r="A20" s="18"/>
      <c r="B20" s="39"/>
      <c r="C20" s="19">
        <f>C12</f>
        <v>3</v>
      </c>
      <c r="D20" s="20">
        <f>D12</f>
        <v>5.1051508686376099</v>
      </c>
      <c r="E20" s="21"/>
      <c r="F20" s="21">
        <f>F12*2</f>
        <v>0.46</v>
      </c>
      <c r="G20" s="41">
        <f t="shared" si="1"/>
        <v>7.0451081987199018</v>
      </c>
      <c r="H20" s="22"/>
      <c r="I20" s="23"/>
      <c r="J20" s="43"/>
      <c r="K20" s="21"/>
      <c r="M20" s="1"/>
      <c r="N20" s="1"/>
      <c r="O20" s="1"/>
      <c r="P20" s="1"/>
    </row>
    <row r="21" spans="1:16" ht="15" customHeight="1" x14ac:dyDescent="0.3">
      <c r="A21" s="18"/>
      <c r="B21" s="39" t="str">
        <f>B13</f>
        <v>-column</v>
      </c>
      <c r="C21" s="19">
        <f>C13</f>
        <v>2</v>
      </c>
      <c r="D21" s="20">
        <f>D13*4</f>
        <v>1.2</v>
      </c>
      <c r="E21" s="21"/>
      <c r="F21" s="21">
        <f>F13</f>
        <v>0.3</v>
      </c>
      <c r="G21" s="41">
        <f t="shared" si="1"/>
        <v>0.72</v>
      </c>
      <c r="H21" s="22"/>
      <c r="I21" s="23"/>
      <c r="J21" s="43"/>
      <c r="K21" s="21"/>
      <c r="M21" s="1"/>
      <c r="N21" s="1"/>
      <c r="O21" s="1"/>
      <c r="P21" s="1"/>
    </row>
    <row r="22" spans="1:16" ht="15" customHeight="1" x14ac:dyDescent="0.3">
      <c r="A22" s="18"/>
      <c r="B22" s="39" t="s">
        <v>39</v>
      </c>
      <c r="C22" s="19"/>
      <c r="D22" s="20"/>
      <c r="E22" s="21"/>
      <c r="F22" s="21"/>
      <c r="G22" s="23">
        <f>SUM(G18:G21)</f>
        <v>71.633159369550881</v>
      </c>
      <c r="H22" s="22" t="s">
        <v>38</v>
      </c>
      <c r="I22" s="23">
        <v>915.42</v>
      </c>
      <c r="J22" s="43">
        <f>G22*I22</f>
        <v>65574.426750074272</v>
      </c>
      <c r="K22" s="21"/>
      <c r="M22" s="1"/>
      <c r="N22" s="1"/>
      <c r="O22" s="1"/>
      <c r="P22" s="1"/>
    </row>
    <row r="23" spans="1:16" ht="15" customHeight="1" x14ac:dyDescent="0.3">
      <c r="A23" s="18"/>
      <c r="B23" s="39" t="s">
        <v>37</v>
      </c>
      <c r="C23" s="19"/>
      <c r="D23" s="20"/>
      <c r="E23" s="21"/>
      <c r="F23" s="21"/>
      <c r="G23" s="23"/>
      <c r="H23" s="22"/>
      <c r="I23" s="23"/>
      <c r="J23" s="43">
        <f>0.13*G22*46827.87/100</f>
        <v>4360.7567570405945</v>
      </c>
      <c r="K23" s="21"/>
      <c r="M23" s="1"/>
      <c r="N23" s="1"/>
      <c r="O23" s="1"/>
      <c r="P23" s="1"/>
    </row>
    <row r="24" spans="1:16" ht="15" customHeight="1" x14ac:dyDescent="0.3">
      <c r="A24" s="18"/>
      <c r="B24" s="39"/>
      <c r="C24" s="19"/>
      <c r="D24" s="20"/>
      <c r="E24" s="21"/>
      <c r="F24" s="21"/>
      <c r="G24" s="23"/>
      <c r="H24" s="22"/>
      <c r="I24" s="23"/>
      <c r="J24" s="43"/>
      <c r="K24" s="21"/>
      <c r="M24" s="1"/>
      <c r="N24" s="1"/>
      <c r="O24" s="1"/>
      <c r="P24" s="1"/>
    </row>
    <row r="25" spans="1:16" ht="41.4" x14ac:dyDescent="0.3">
      <c r="A25" s="18">
        <v>3</v>
      </c>
      <c r="B25" s="61" t="s">
        <v>52</v>
      </c>
      <c r="C25" s="19" t="s">
        <v>7</v>
      </c>
      <c r="D25" s="35" t="s">
        <v>41</v>
      </c>
      <c r="E25" s="36" t="s">
        <v>53</v>
      </c>
      <c r="F25" s="36" t="s">
        <v>40</v>
      </c>
      <c r="G25" s="23"/>
      <c r="H25" s="22"/>
      <c r="I25" s="23"/>
      <c r="J25" s="43"/>
      <c r="K25" s="21"/>
      <c r="M25" s="1"/>
      <c r="N25" s="1"/>
      <c r="O25" s="1"/>
      <c r="P25" s="1"/>
    </row>
    <row r="26" spans="1:16" ht="15" customHeight="1" x14ac:dyDescent="0.3">
      <c r="A26" s="18"/>
      <c r="B26" s="39" t="s">
        <v>55</v>
      </c>
      <c r="C26" s="19">
        <v>34</v>
      </c>
      <c r="D26" s="20">
        <f>31.667/3.281</f>
        <v>9.6516306004266994</v>
      </c>
      <c r="E26" s="21">
        <f>8*8/162</f>
        <v>0.39506172839506171</v>
      </c>
      <c r="F26" s="41">
        <f>PRODUCT(C26:E26)</f>
        <v>129.64165547239813</v>
      </c>
      <c r="G26" s="41">
        <f>F26/1000</f>
        <v>0.12964165547239812</v>
      </c>
      <c r="H26" s="22"/>
      <c r="I26" s="23"/>
      <c r="J26" s="43"/>
      <c r="K26" s="21"/>
      <c r="M26" s="1"/>
      <c r="N26" s="1"/>
      <c r="O26" s="1"/>
      <c r="P26" s="1"/>
    </row>
    <row r="27" spans="1:16" ht="15" customHeight="1" x14ac:dyDescent="0.3">
      <c r="A27" s="18"/>
      <c r="B27" s="39"/>
      <c r="C27" s="19">
        <f>60</f>
        <v>60</v>
      </c>
      <c r="D27" s="20">
        <f>18.42/3.281</f>
        <v>5.6141420298689431</v>
      </c>
      <c r="E27" s="21">
        <f>8*8/162</f>
        <v>0.39506172839506171</v>
      </c>
      <c r="F27" s="41">
        <f>PRODUCT(C27:E27)</f>
        <v>133.07595922652308</v>
      </c>
      <c r="G27" s="41">
        <f>F27/1000</f>
        <v>0.13307595922652307</v>
      </c>
      <c r="H27" s="22"/>
      <c r="I27" s="23"/>
      <c r="J27" s="43"/>
      <c r="K27" s="21"/>
      <c r="M27" s="1"/>
      <c r="N27" s="1"/>
      <c r="O27" s="1"/>
      <c r="P27" s="1"/>
    </row>
    <row r="28" spans="1:16" ht="15" customHeight="1" x14ac:dyDescent="0.3">
      <c r="A28" s="18"/>
      <c r="B28" s="39" t="s">
        <v>56</v>
      </c>
      <c r="C28" s="19">
        <f>9*2</f>
        <v>18</v>
      </c>
      <c r="D28" s="20">
        <f>6.75/3.281</f>
        <v>2.0572996037793354</v>
      </c>
      <c r="E28" s="21">
        <f t="shared" ref="E28:E32" si="2">8*8/162</f>
        <v>0.39506172839506171</v>
      </c>
      <c r="F28" s="41">
        <f t="shared" ref="F28:F32" si="3">PRODUCT(C28:E28)</f>
        <v>14.629686071319718</v>
      </c>
      <c r="G28" s="41">
        <f t="shared" ref="G28:G32" si="4">F28/1000</f>
        <v>1.4629686071319717E-2</v>
      </c>
      <c r="H28" s="22"/>
      <c r="I28" s="23"/>
      <c r="J28" s="43"/>
      <c r="K28" s="21"/>
      <c r="M28" s="1">
        <f>12.75*0.3</f>
        <v>3.8249999999999997</v>
      </c>
      <c r="N28" s="1">
        <f>13*0.3</f>
        <v>3.9</v>
      </c>
      <c r="O28" s="1">
        <f>13/3.281</f>
        <v>3.9622066443157573</v>
      </c>
      <c r="P28" s="1"/>
    </row>
    <row r="29" spans="1:16" ht="15" customHeight="1" x14ac:dyDescent="0.3">
      <c r="A29" s="18"/>
      <c r="B29" s="39"/>
      <c r="C29" s="19">
        <f>9</f>
        <v>9</v>
      </c>
      <c r="D29" s="20">
        <f>8.583/3.281</f>
        <v>2.6159707406278572</v>
      </c>
      <c r="E29" s="21">
        <f t="shared" si="2"/>
        <v>0.39506172839506171</v>
      </c>
      <c r="F29" s="41">
        <f t="shared" si="3"/>
        <v>9.3012293000101582</v>
      </c>
      <c r="G29" s="41">
        <f t="shared" si="4"/>
        <v>9.3012293000101585E-3</v>
      </c>
      <c r="H29" s="22"/>
      <c r="I29" s="23"/>
      <c r="J29" s="43"/>
      <c r="K29" s="21"/>
      <c r="M29" s="1"/>
      <c r="N29" s="1"/>
      <c r="O29" s="1">
        <f>12.75/3.281</f>
        <v>3.8860103626943006</v>
      </c>
      <c r="P29" s="1"/>
    </row>
    <row r="30" spans="1:16" ht="15" customHeight="1" x14ac:dyDescent="0.3">
      <c r="A30" s="18"/>
      <c r="B30" s="39"/>
      <c r="C30" s="19">
        <f>13+12</f>
        <v>25</v>
      </c>
      <c r="D30" s="20">
        <f>31.667/3.281</f>
        <v>9.6516306004266994</v>
      </c>
      <c r="E30" s="21">
        <f t="shared" si="2"/>
        <v>0.39506172839506171</v>
      </c>
      <c r="F30" s="41">
        <f t="shared" si="3"/>
        <v>95.32474667088097</v>
      </c>
      <c r="G30" s="41">
        <f t="shared" si="4"/>
        <v>9.5324746670880964E-2</v>
      </c>
      <c r="H30" s="22"/>
      <c r="I30" s="23"/>
      <c r="J30" s="43"/>
      <c r="K30" s="21"/>
      <c r="M30" s="1"/>
      <c r="N30" s="1"/>
      <c r="O30" s="1"/>
      <c r="P30" s="1"/>
    </row>
    <row r="31" spans="1:16" ht="15" customHeight="1" x14ac:dyDescent="0.3">
      <c r="A31" s="18"/>
      <c r="B31" s="39" t="s">
        <v>57</v>
      </c>
      <c r="C31" s="19">
        <f>10*4</f>
        <v>40</v>
      </c>
      <c r="D31" s="20">
        <f>7.083/3.281</f>
        <v>2.1587930508991162</v>
      </c>
      <c r="E31" s="21">
        <f t="shared" si="2"/>
        <v>0.39506172839506171</v>
      </c>
      <c r="F31" s="41">
        <f t="shared" si="3"/>
        <v>34.114260557418135</v>
      </c>
      <c r="G31" s="41">
        <f t="shared" si="4"/>
        <v>3.4114260557418133E-2</v>
      </c>
      <c r="H31" s="22"/>
      <c r="I31" s="23"/>
      <c r="J31" s="43"/>
      <c r="K31" s="21"/>
      <c r="M31" s="1">
        <f>12.75*0.3</f>
        <v>3.8249999999999997</v>
      </c>
      <c r="N31" s="1">
        <f>13*0.3</f>
        <v>3.9</v>
      </c>
      <c r="O31" s="1">
        <f>13/3.281</f>
        <v>3.9622066443157573</v>
      </c>
      <c r="P31" s="1"/>
    </row>
    <row r="32" spans="1:16" ht="15" customHeight="1" x14ac:dyDescent="0.3">
      <c r="A32" s="18"/>
      <c r="B32" s="39"/>
      <c r="C32" s="19">
        <f>10*4</f>
        <v>40</v>
      </c>
      <c r="D32" s="20">
        <f>18.42/3.281</f>
        <v>5.6141420298689431</v>
      </c>
      <c r="E32" s="21">
        <f t="shared" si="2"/>
        <v>0.39506172839506171</v>
      </c>
      <c r="F32" s="41">
        <f t="shared" si="3"/>
        <v>88.717306151015393</v>
      </c>
      <c r="G32" s="41">
        <f t="shared" si="4"/>
        <v>8.871730615101539E-2</v>
      </c>
      <c r="H32" s="22"/>
      <c r="I32" s="23"/>
      <c r="J32" s="43"/>
      <c r="K32" s="21"/>
      <c r="M32" s="1"/>
      <c r="N32" s="1"/>
      <c r="O32" s="1"/>
      <c r="P32" s="1"/>
    </row>
    <row r="33" spans="1:17" ht="15" customHeight="1" x14ac:dyDescent="0.3">
      <c r="A33" s="18"/>
      <c r="B33" s="39" t="str">
        <f>B19</f>
        <v>-beam</v>
      </c>
      <c r="C33" s="19">
        <f>2*5</f>
        <v>10</v>
      </c>
      <c r="D33" s="20">
        <f>D10</f>
        <v>9.7531240475464784</v>
      </c>
      <c r="E33" s="21">
        <f>12*12/162</f>
        <v>0.88888888888888884</v>
      </c>
      <c r="F33" s="41">
        <f t="shared" ref="F33:F34" si="5">PRODUCT(C33:E33)</f>
        <v>86.69443597819091</v>
      </c>
      <c r="G33" s="41">
        <f t="shared" ref="G33:G34" si="6">F33/1000</f>
        <v>8.6694435978190904E-2</v>
      </c>
      <c r="H33" s="22"/>
      <c r="I33" s="23"/>
      <c r="J33" s="43"/>
      <c r="K33" s="21"/>
      <c r="M33" s="1"/>
      <c r="N33" s="62">
        <f>SUM(F26:F32)</f>
        <v>504.80484344956568</v>
      </c>
      <c r="O33" s="62">
        <f>F35+F36</f>
        <v>120.96399396450192</v>
      </c>
      <c r="P33" s="62">
        <f>F41+F42</f>
        <v>10.145185185185184</v>
      </c>
      <c r="Q33" s="63">
        <f>SUM(N33:P33)</f>
        <v>635.91402259925269</v>
      </c>
    </row>
    <row r="34" spans="1:17" ht="15" customHeight="1" x14ac:dyDescent="0.3">
      <c r="A34" s="18"/>
      <c r="B34" s="39"/>
      <c r="C34" s="19">
        <f>3*5</f>
        <v>15</v>
      </c>
      <c r="D34" s="20">
        <f>E10</f>
        <v>5.7147211216092648</v>
      </c>
      <c r="E34" s="21">
        <f>12*12/162</f>
        <v>0.88888888888888884</v>
      </c>
      <c r="F34" s="41">
        <f t="shared" si="5"/>
        <v>76.196281621456862</v>
      </c>
      <c r="G34" s="41">
        <f t="shared" si="6"/>
        <v>7.6196281621456863E-2</v>
      </c>
      <c r="H34" s="22"/>
      <c r="I34" s="23"/>
      <c r="J34" s="43"/>
      <c r="K34" s="21"/>
      <c r="M34" s="1"/>
      <c r="N34" s="62">
        <f>SUM(F33+F34+F37+F38+F39+F40)</f>
        <v>352.08290155440409</v>
      </c>
      <c r="O34" s="1"/>
      <c r="P34" s="1"/>
    </row>
    <row r="35" spans="1:17" ht="15" customHeight="1" x14ac:dyDescent="0.3">
      <c r="A35" s="18"/>
      <c r="B35" s="39" t="s">
        <v>54</v>
      </c>
      <c r="C35" s="19">
        <f>37*4</f>
        <v>148</v>
      </c>
      <c r="D35" s="20">
        <f>(0.3*2+(0.583/3.281)*2+0.075*2)</f>
        <v>1.1053794574824747</v>
      </c>
      <c r="E35" s="21">
        <f t="shared" ref="E35:E42" si="7">8*8/162</f>
        <v>0.39506172839506171</v>
      </c>
      <c r="F35" s="41">
        <f>PRODUCT(C35:E35)</f>
        <v>64.630581612802473</v>
      </c>
      <c r="G35" s="41">
        <f>F35/1000</f>
        <v>6.4630581612802468E-2</v>
      </c>
      <c r="H35" s="22"/>
      <c r="I35" s="23"/>
      <c r="J35" s="43"/>
      <c r="K35" s="21"/>
      <c r="M35" s="1"/>
      <c r="N35" s="1"/>
      <c r="O35" s="1"/>
      <c r="P35" s="1"/>
    </row>
    <row r="36" spans="1:17" ht="15" customHeight="1" x14ac:dyDescent="0.3">
      <c r="A36" s="18"/>
      <c r="B36" s="39"/>
      <c r="C36" s="19">
        <f>(29+7+7)*3</f>
        <v>129</v>
      </c>
      <c r="D36" s="20">
        <f>(0.3*2+(0.583/3.281)*2+0.075*2)</f>
        <v>1.1053794574824747</v>
      </c>
      <c r="E36" s="21">
        <f t="shared" si="7"/>
        <v>0.39506172839506171</v>
      </c>
      <c r="F36" s="41">
        <f>PRODUCT(C36:E36)</f>
        <v>56.333412351699451</v>
      </c>
      <c r="G36" s="41">
        <f>F36/1000</f>
        <v>5.6333412351699454E-2</v>
      </c>
      <c r="H36" s="22"/>
      <c r="I36" s="23"/>
      <c r="J36" s="43"/>
      <c r="K36" s="21"/>
      <c r="M36" s="1"/>
      <c r="N36" s="1"/>
      <c r="O36" s="1"/>
      <c r="P36" s="1"/>
    </row>
    <row r="37" spans="1:17" ht="15" customHeight="1" x14ac:dyDescent="0.3">
      <c r="A37" s="18"/>
      <c r="B37" s="39" t="s">
        <v>60</v>
      </c>
      <c r="C37" s="19">
        <v>4</v>
      </c>
      <c r="D37" s="20">
        <f>(6.833+0.75)/3.281</f>
        <v>2.3111856141420297</v>
      </c>
      <c r="E37" s="21">
        <f>12*12/162</f>
        <v>0.88888888888888884</v>
      </c>
      <c r="F37" s="41">
        <f t="shared" ref="F37:F39" si="8">PRODUCT(C37:E37)</f>
        <v>8.2175488502827712</v>
      </c>
      <c r="G37" s="41">
        <f t="shared" ref="G37:G39" si="9">F37/1000</f>
        <v>8.2175488502827711E-3</v>
      </c>
      <c r="H37" s="22"/>
      <c r="I37" s="23"/>
      <c r="J37" s="43"/>
      <c r="K37" s="21"/>
      <c r="M37" s="1"/>
      <c r="N37" s="1"/>
      <c r="O37" s="1"/>
      <c r="P37" s="1"/>
    </row>
    <row r="38" spans="1:17" ht="15" customHeight="1" x14ac:dyDescent="0.3">
      <c r="A38" s="18"/>
      <c r="B38" s="39"/>
      <c r="C38" s="19">
        <v>2</v>
      </c>
      <c r="D38" s="20">
        <f>10.75/3.281</f>
        <v>3.2764401097226452</v>
      </c>
      <c r="E38" s="21">
        <f>12*12/162</f>
        <v>0.88888888888888884</v>
      </c>
      <c r="F38" s="41">
        <f t="shared" si="8"/>
        <v>5.8247824172847027</v>
      </c>
      <c r="G38" s="41">
        <f t="shared" si="9"/>
        <v>5.824782417284703E-3</v>
      </c>
      <c r="H38" s="22"/>
      <c r="I38" s="23"/>
      <c r="J38" s="43"/>
      <c r="K38" s="21"/>
      <c r="M38" s="1"/>
      <c r="N38" s="1"/>
      <c r="O38" s="1"/>
      <c r="P38" s="1"/>
    </row>
    <row r="39" spans="1:17" ht="15" customHeight="1" x14ac:dyDescent="0.3">
      <c r="A39" s="18"/>
      <c r="B39" s="39"/>
      <c r="C39" s="19">
        <v>6</v>
      </c>
      <c r="D39" s="20">
        <f>(4.5+2.5+0.75)/3.281</f>
        <v>2.3620847302651629</v>
      </c>
      <c r="E39" s="21">
        <f>12*12/162</f>
        <v>0.88888888888888884</v>
      </c>
      <c r="F39" s="41">
        <f t="shared" si="8"/>
        <v>12.597785228080866</v>
      </c>
      <c r="G39" s="41">
        <f t="shared" si="9"/>
        <v>1.2597785228080867E-2</v>
      </c>
      <c r="H39" s="22"/>
      <c r="I39" s="23"/>
      <c r="J39" s="43"/>
      <c r="K39" s="21"/>
      <c r="M39" s="1"/>
      <c r="N39" s="1">
        <f>I43*SUM(G40:G42)</f>
        <v>22785.67551388804</v>
      </c>
      <c r="O39" s="1"/>
      <c r="P39" s="1"/>
    </row>
    <row r="40" spans="1:17" ht="15" customHeight="1" x14ac:dyDescent="0.3">
      <c r="A40" s="18"/>
      <c r="B40" s="39" t="s">
        <v>59</v>
      </c>
      <c r="C40" s="19">
        <f>6*8</f>
        <v>48</v>
      </c>
      <c r="D40" s="20">
        <f>12.5/3.281</f>
        <v>3.8098140810728434</v>
      </c>
      <c r="E40" s="21">
        <f t="shared" ref="E40" si="10">12*12/162</f>
        <v>0.88888888888888884</v>
      </c>
      <c r="F40" s="41">
        <f t="shared" ref="F40" si="11">PRODUCT(C40:E40)</f>
        <v>162.55206745910797</v>
      </c>
      <c r="G40" s="41">
        <f t="shared" ref="G40:G42" si="12">F40/1000</f>
        <v>0.16255206745910797</v>
      </c>
      <c r="H40" s="22"/>
      <c r="I40" s="23"/>
      <c r="J40" s="43"/>
      <c r="K40" s="21"/>
      <c r="M40" s="1"/>
      <c r="N40" s="1"/>
      <c r="O40" s="1"/>
      <c r="P40" s="1"/>
    </row>
    <row r="41" spans="1:17" ht="15" customHeight="1" x14ac:dyDescent="0.3">
      <c r="A41" s="18"/>
      <c r="B41" s="39" t="s">
        <v>54</v>
      </c>
      <c r="C41" s="19">
        <f>(TRUNC(((8.917/3.281)/0.125),0)+1)*0+12</f>
        <v>12</v>
      </c>
      <c r="D41" s="20">
        <f>(0.23*4+0.075*2)</f>
        <v>1.07</v>
      </c>
      <c r="E41" s="21">
        <f t="shared" si="7"/>
        <v>0.39506172839506171</v>
      </c>
      <c r="F41" s="41">
        <f>PRODUCT(C41:E41)</f>
        <v>5.0725925925925921</v>
      </c>
      <c r="G41" s="41">
        <f t="shared" si="12"/>
        <v>5.0725925925925921E-3</v>
      </c>
      <c r="H41" s="22"/>
      <c r="I41" s="23"/>
      <c r="J41" s="43"/>
      <c r="K41" s="21"/>
      <c r="M41" s="1"/>
      <c r="N41" s="1"/>
      <c r="O41" s="1"/>
      <c r="P41" s="1"/>
    </row>
    <row r="42" spans="1:17" ht="15" customHeight="1" x14ac:dyDescent="0.3">
      <c r="A42" s="18"/>
      <c r="B42" s="39"/>
      <c r="C42" s="19">
        <f>(TRUNC(((8.917/3.281)/0.125),0)+1)*0+12</f>
        <v>12</v>
      </c>
      <c r="D42" s="20">
        <f>(0.23*4+0.075*2)</f>
        <v>1.07</v>
      </c>
      <c r="E42" s="21">
        <f t="shared" si="7"/>
        <v>0.39506172839506171</v>
      </c>
      <c r="F42" s="41">
        <f>PRODUCT(C42:E42)</f>
        <v>5.0725925925925921</v>
      </c>
      <c r="G42" s="41">
        <f t="shared" si="12"/>
        <v>5.0725925925925921E-3</v>
      </c>
      <c r="H42" s="22"/>
      <c r="I42" s="23"/>
      <c r="J42" s="43"/>
      <c r="K42" s="21"/>
      <c r="M42" s="1"/>
      <c r="N42" s="1"/>
      <c r="O42" s="1"/>
      <c r="P42" s="1"/>
    </row>
    <row r="43" spans="1:17" ht="15" customHeight="1" x14ac:dyDescent="0.3">
      <c r="A43" s="18"/>
      <c r="B43" s="39" t="s">
        <v>39</v>
      </c>
      <c r="C43" s="19"/>
      <c r="D43" s="20"/>
      <c r="E43" s="21"/>
      <c r="F43" s="21"/>
      <c r="G43" s="23">
        <f>SUM(G26:G42)</f>
        <v>0.98799692415365681</v>
      </c>
      <c r="H43" s="22" t="s">
        <v>58</v>
      </c>
      <c r="I43" s="23">
        <v>131940</v>
      </c>
      <c r="J43" s="43">
        <f>G43*I43</f>
        <v>130356.31417283347</v>
      </c>
      <c r="K43" s="21"/>
      <c r="M43" s="1"/>
      <c r="N43" s="1"/>
      <c r="O43" s="1"/>
      <c r="P43" s="1"/>
    </row>
    <row r="44" spans="1:17" ht="15" customHeight="1" x14ac:dyDescent="0.3">
      <c r="A44" s="18"/>
      <c r="B44" s="39" t="s">
        <v>37</v>
      </c>
      <c r="C44" s="19"/>
      <c r="D44" s="20"/>
      <c r="E44" s="21"/>
      <c r="F44" s="21"/>
      <c r="G44" s="23"/>
      <c r="H44" s="22"/>
      <c r="I44" s="23"/>
      <c r="J44" s="43">
        <f>0.13*G43*106200</f>
        <v>13640.285534865385</v>
      </c>
      <c r="K44" s="21"/>
      <c r="M44" s="1"/>
      <c r="N44" s="1"/>
      <c r="O44" s="1"/>
      <c r="P44" s="1"/>
    </row>
    <row r="45" spans="1:17" ht="15" customHeight="1" x14ac:dyDescent="0.3">
      <c r="A45" s="18"/>
      <c r="B45" s="39"/>
      <c r="C45" s="19"/>
      <c r="D45" s="20"/>
      <c r="E45" s="21"/>
      <c r="F45" s="21"/>
      <c r="G45" s="23"/>
      <c r="H45" s="22"/>
      <c r="I45" s="23"/>
      <c r="J45" s="43"/>
      <c r="K45" s="21"/>
      <c r="M45" s="1"/>
      <c r="N45" s="1"/>
      <c r="O45" s="1"/>
      <c r="P45" s="1"/>
    </row>
    <row r="46" spans="1:17" ht="15" customHeight="1" x14ac:dyDescent="0.3">
      <c r="A46" s="18">
        <v>4</v>
      </c>
      <c r="B46" s="30" t="s">
        <v>30</v>
      </c>
      <c r="C46" s="19">
        <v>1</v>
      </c>
      <c r="D46" s="20"/>
      <c r="E46" s="21"/>
      <c r="F46" s="21"/>
      <c r="G46" s="34">
        <f t="shared" ref="G46" si="13">PRODUCT(C46:F46)</f>
        <v>1</v>
      </c>
      <c r="H46" s="22" t="s">
        <v>31</v>
      </c>
      <c r="I46" s="23">
        <v>500</v>
      </c>
      <c r="J46" s="34">
        <f>G46*I46</f>
        <v>500</v>
      </c>
      <c r="K46" s="21"/>
      <c r="M46" s="1"/>
      <c r="N46" s="1"/>
      <c r="O46" s="1"/>
      <c r="P46" s="1"/>
    </row>
    <row r="47" spans="1:17" ht="15" customHeight="1" x14ac:dyDescent="0.3">
      <c r="A47" s="18"/>
      <c r="B47" s="24"/>
      <c r="C47" s="19"/>
      <c r="D47" s="20"/>
      <c r="E47" s="21"/>
      <c r="F47" s="21"/>
      <c r="G47" s="23"/>
      <c r="H47" s="22"/>
      <c r="I47" s="23"/>
      <c r="J47" s="43"/>
      <c r="K47" s="21"/>
      <c r="M47" s="1"/>
      <c r="N47" s="1"/>
      <c r="O47" s="1"/>
      <c r="P47" s="1"/>
    </row>
    <row r="48" spans="1:17" x14ac:dyDescent="0.3">
      <c r="A48" s="42"/>
      <c r="B48" s="44" t="s">
        <v>17</v>
      </c>
      <c r="C48" s="45"/>
      <c r="D48" s="40"/>
      <c r="E48" s="40"/>
      <c r="F48" s="40"/>
      <c r="G48" s="43"/>
      <c r="H48" s="43"/>
      <c r="I48" s="43"/>
      <c r="J48" s="43">
        <f>SUM(J9:J46)</f>
        <v>344235.93318674725</v>
      </c>
      <c r="K48" s="38"/>
    </row>
    <row r="49" spans="1:11" x14ac:dyDescent="0.3">
      <c r="A49" s="56"/>
      <c r="B49" s="59"/>
      <c r="C49" s="60"/>
      <c r="D49" s="57"/>
      <c r="E49" s="57"/>
      <c r="F49" s="57"/>
      <c r="G49" s="58"/>
      <c r="H49" s="58"/>
      <c r="I49" s="58"/>
      <c r="J49" s="58"/>
      <c r="K49" s="55"/>
    </row>
    <row r="50" spans="1:11" s="1" customFormat="1" x14ac:dyDescent="0.3">
      <c r="A50" s="48"/>
      <c r="B50" s="29" t="s">
        <v>27</v>
      </c>
      <c r="C50" s="82">
        <f>J48</f>
        <v>344235.93318674725</v>
      </c>
      <c r="D50" s="82"/>
      <c r="E50" s="41">
        <v>100</v>
      </c>
      <c r="F50" s="49"/>
      <c r="G50" s="50"/>
      <c r="H50" s="49"/>
      <c r="I50" s="51"/>
      <c r="J50" s="52"/>
      <c r="K50" s="53"/>
    </row>
    <row r="51" spans="1:11" x14ac:dyDescent="0.3">
      <c r="A51" s="54"/>
      <c r="B51" s="29" t="s">
        <v>32</v>
      </c>
      <c r="C51" s="85">
        <v>300000</v>
      </c>
      <c r="D51" s="85"/>
      <c r="E51" s="41"/>
      <c r="F51" s="47"/>
      <c r="G51" s="46"/>
      <c r="H51" s="46"/>
      <c r="I51" s="46"/>
      <c r="J51" s="46"/>
      <c r="K51" s="47"/>
    </row>
    <row r="52" spans="1:11" x14ac:dyDescent="0.3">
      <c r="A52" s="54"/>
      <c r="B52" s="29" t="s">
        <v>33</v>
      </c>
      <c r="C52" s="85">
        <f>C51-C54-C55</f>
        <v>285000</v>
      </c>
      <c r="D52" s="85"/>
      <c r="E52" s="41">
        <f>C52/C50*100</f>
        <v>82.792054089654883</v>
      </c>
      <c r="F52" s="47"/>
      <c r="G52" s="46"/>
      <c r="H52" s="46"/>
      <c r="I52" s="46"/>
      <c r="J52" s="46"/>
      <c r="K52" s="47"/>
    </row>
    <row r="53" spans="1:11" x14ac:dyDescent="0.3">
      <c r="A53" s="54"/>
      <c r="B53" s="29" t="s">
        <v>34</v>
      </c>
      <c r="C53" s="82">
        <f>C50-C52</f>
        <v>59235.93318674725</v>
      </c>
      <c r="D53" s="82"/>
      <c r="E53" s="41">
        <f>100-E52</f>
        <v>17.207945910345117</v>
      </c>
      <c r="F53" s="47"/>
      <c r="G53" s="46"/>
      <c r="H53" s="46"/>
      <c r="I53" s="46"/>
      <c r="J53" s="46"/>
      <c r="K53" s="47"/>
    </row>
    <row r="54" spans="1:11" x14ac:dyDescent="0.3">
      <c r="A54" s="54"/>
      <c r="B54" s="29" t="s">
        <v>35</v>
      </c>
      <c r="C54" s="82">
        <f>C51*0.03</f>
        <v>9000</v>
      </c>
      <c r="D54" s="82"/>
      <c r="E54" s="41">
        <v>3</v>
      </c>
      <c r="F54" s="47"/>
      <c r="G54" s="46"/>
      <c r="H54" s="46"/>
      <c r="I54" s="46"/>
      <c r="J54" s="46"/>
      <c r="K54" s="47"/>
    </row>
    <row r="55" spans="1:11" x14ac:dyDescent="0.3">
      <c r="A55" s="54"/>
      <c r="B55" s="29" t="s">
        <v>36</v>
      </c>
      <c r="C55" s="82">
        <f>C51*0.02</f>
        <v>6000</v>
      </c>
      <c r="D55" s="82"/>
      <c r="E55" s="41">
        <v>2</v>
      </c>
      <c r="F55" s="47"/>
      <c r="G55" s="46"/>
      <c r="H55" s="46"/>
      <c r="I55" s="46"/>
      <c r="J55" s="46"/>
      <c r="K55" s="47"/>
    </row>
    <row r="56" spans="1:11" s="37" customFormat="1" x14ac:dyDescent="0.3">
      <c r="A56" s="55"/>
      <c r="B56" s="55"/>
      <c r="C56" s="55"/>
      <c r="D56" s="55"/>
      <c r="E56" s="55"/>
      <c r="F56" s="55"/>
      <c r="G56" s="55"/>
      <c r="H56" s="55"/>
      <c r="I56" s="55"/>
      <c r="J56" s="55"/>
      <c r="K56" s="55"/>
    </row>
    <row r="57" spans="1:11" s="37" customFormat="1" x14ac:dyDescent="0.3"/>
    <row r="58" spans="1:11" s="37" customFormat="1" x14ac:dyDescent="0.3"/>
    <row r="59" spans="1:11" s="37" customFormat="1" x14ac:dyDescent="0.3"/>
    <row r="60" spans="1:11" s="37" customFormat="1" x14ac:dyDescent="0.3"/>
    <row r="61" spans="1:11" s="37" customFormat="1" x14ac:dyDescent="0.3"/>
    <row r="62" spans="1:11" s="37" customFormat="1" x14ac:dyDescent="0.3"/>
    <row r="63" spans="1:11" s="37" customFormat="1" x14ac:dyDescent="0.3"/>
    <row r="64" spans="1:11" s="37" customFormat="1" x14ac:dyDescent="0.3"/>
    <row r="65" s="37" customFormat="1" x14ac:dyDescent="0.3"/>
    <row r="66" s="37" customFormat="1" x14ac:dyDescent="0.3"/>
    <row r="67" s="37" customFormat="1" x14ac:dyDescent="0.3"/>
    <row r="68" s="37" customFormat="1" x14ac:dyDescent="0.3"/>
    <row r="69" s="37" customFormat="1" x14ac:dyDescent="0.3"/>
    <row r="70" s="37" customFormat="1" x14ac:dyDescent="0.3"/>
    <row r="71" s="37" customFormat="1" x14ac:dyDescent="0.3"/>
    <row r="72" s="37" customFormat="1" x14ac:dyDescent="0.3"/>
    <row r="73" s="37" customFormat="1" x14ac:dyDescent="0.3"/>
    <row r="74" s="37" customFormat="1" x14ac:dyDescent="0.3"/>
    <row r="75" s="37" customFormat="1" x14ac:dyDescent="0.3"/>
    <row r="76" s="37" customFormat="1" x14ac:dyDescent="0.3"/>
    <row r="77" s="37" customFormat="1" x14ac:dyDescent="0.3"/>
    <row r="78" s="37" customFormat="1" x14ac:dyDescent="0.3"/>
    <row r="79" s="37" customFormat="1" x14ac:dyDescent="0.3"/>
    <row r="80" s="37" customFormat="1" x14ac:dyDescent="0.3"/>
    <row r="81" s="37" customFormat="1" x14ac:dyDescent="0.3"/>
    <row r="82" s="37" customFormat="1" x14ac:dyDescent="0.3"/>
    <row r="83" s="37" customFormat="1" x14ac:dyDescent="0.3"/>
    <row r="84" s="37" customFormat="1" x14ac:dyDescent="0.3"/>
    <row r="85" s="37" customFormat="1" x14ac:dyDescent="0.3"/>
    <row r="86" s="37" customFormat="1" x14ac:dyDescent="0.3"/>
    <row r="87" s="37" customFormat="1" x14ac:dyDescent="0.3"/>
    <row r="88" s="37" customFormat="1" x14ac:dyDescent="0.3"/>
    <row r="89" s="37" customFormat="1" x14ac:dyDescent="0.3"/>
    <row r="90" s="37" customFormat="1" x14ac:dyDescent="0.3"/>
    <row r="91" s="37" customFormat="1" x14ac:dyDescent="0.3"/>
    <row r="92" s="37" customFormat="1" x14ac:dyDescent="0.3"/>
    <row r="93" s="37" customFormat="1" x14ac:dyDescent="0.3"/>
    <row r="94" s="37" customFormat="1" x14ac:dyDescent="0.3"/>
    <row r="95" s="37" customFormat="1" x14ac:dyDescent="0.3"/>
    <row r="96" s="37" customFormat="1" x14ac:dyDescent="0.3"/>
    <row r="97" s="37" customFormat="1" x14ac:dyDescent="0.3"/>
    <row r="98" s="37" customFormat="1" x14ac:dyDescent="0.3"/>
    <row r="99" s="37" customFormat="1" x14ac:dyDescent="0.3"/>
    <row r="100" s="37" customFormat="1" x14ac:dyDescent="0.3"/>
    <row r="101" s="37" customFormat="1" x14ac:dyDescent="0.3"/>
    <row r="102" s="37" customFormat="1" x14ac:dyDescent="0.3"/>
    <row r="103" s="37" customFormat="1" x14ac:dyDescent="0.3"/>
    <row r="104" s="37" customFormat="1" x14ac:dyDescent="0.3"/>
    <row r="105" s="37" customFormat="1" x14ac:dyDescent="0.3"/>
    <row r="106" s="37" customFormat="1" x14ac:dyDescent="0.3"/>
    <row r="107" s="37" customFormat="1" x14ac:dyDescent="0.3"/>
    <row r="108" s="37" customFormat="1" x14ac:dyDescent="0.3"/>
    <row r="109" s="37" customFormat="1" x14ac:dyDescent="0.3"/>
    <row r="110" s="37" customFormat="1" x14ac:dyDescent="0.3"/>
    <row r="111" s="37" customFormat="1" x14ac:dyDescent="0.3"/>
    <row r="112" s="37" customFormat="1" x14ac:dyDescent="0.3"/>
  </sheetData>
  <mergeCells count="15">
    <mergeCell ref="A6:F6"/>
    <mergeCell ref="H6:K6"/>
    <mergeCell ref="A1:K1"/>
    <mergeCell ref="A2:K2"/>
    <mergeCell ref="A3:K3"/>
    <mergeCell ref="A4:K4"/>
    <mergeCell ref="A5:K5"/>
    <mergeCell ref="C54:D54"/>
    <mergeCell ref="C55:D55"/>
    <mergeCell ref="A7:F7"/>
    <mergeCell ref="H7:K7"/>
    <mergeCell ref="C50:D50"/>
    <mergeCell ref="C51:D51"/>
    <mergeCell ref="C52:D52"/>
    <mergeCell ref="C53:D53"/>
  </mergeCells>
  <pageMargins left="0.7" right="0.7" top="0.75" bottom="0.75" header="0.3" footer="0.3"/>
  <pageSetup paperSize="9" scale="80" orientation="portrait" r:id="rId1"/>
  <headerFooter>
    <oddFooter>&amp;LPrepared By:
Kristal Suwal&amp;CChecked By:
Er. Milan Phuyal&amp;RApproved By:
Er. Prakash Singh Saud</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4"/>
  <sheetViews>
    <sheetView topLeftCell="A2" zoomScaleNormal="100" workbookViewId="0">
      <selection activeCell="M9" sqref="M9"/>
    </sheetView>
  </sheetViews>
  <sheetFormatPr defaultRowHeight="14.4" x14ac:dyDescent="0.3"/>
  <cols>
    <col min="1" max="1" width="6.33203125" customWidth="1"/>
    <col min="2" max="2" width="36.6640625" customWidth="1"/>
    <col min="3" max="3" width="8.88671875" customWidth="1"/>
    <col min="4" max="4" width="9.33203125" bestFit="1" customWidth="1"/>
    <col min="5" max="5" width="11.5546875" bestFit="1" customWidth="1"/>
    <col min="6" max="6" width="12.33203125" bestFit="1" customWidth="1"/>
    <col min="7" max="7" width="9.5546875" bestFit="1" customWidth="1"/>
    <col min="8" max="8" width="11.109375" bestFit="1" customWidth="1"/>
    <col min="9" max="9" width="11.88671875" bestFit="1" customWidth="1"/>
    <col min="10" max="10" width="12.33203125" bestFit="1" customWidth="1"/>
    <col min="11" max="11" width="11" customWidth="1"/>
  </cols>
  <sheetData>
    <row r="1" spans="1:11" x14ac:dyDescent="0.3">
      <c r="A1" s="66" t="s">
        <v>0</v>
      </c>
      <c r="B1" s="66"/>
      <c r="C1" s="66"/>
      <c r="D1" s="66"/>
      <c r="E1" s="66"/>
      <c r="F1" s="66"/>
      <c r="G1" s="66"/>
      <c r="H1" s="66"/>
      <c r="I1" s="66"/>
      <c r="J1" s="66"/>
      <c r="K1" s="66"/>
    </row>
    <row r="2" spans="1:11" ht="24.6" x14ac:dyDescent="0.4">
      <c r="A2" s="67" t="s">
        <v>1</v>
      </c>
      <c r="B2" s="67"/>
      <c r="C2" s="67"/>
      <c r="D2" s="67"/>
      <c r="E2" s="67"/>
      <c r="F2" s="67"/>
      <c r="G2" s="67"/>
      <c r="H2" s="67"/>
      <c r="I2" s="67"/>
      <c r="J2" s="67"/>
      <c r="K2" s="67"/>
    </row>
    <row r="3" spans="1:11" s="1" customFormat="1" x14ac:dyDescent="0.3">
      <c r="A3" s="68" t="s">
        <v>2</v>
      </c>
      <c r="B3" s="68"/>
      <c r="C3" s="68"/>
      <c r="D3" s="68"/>
      <c r="E3" s="68"/>
      <c r="F3" s="68"/>
      <c r="G3" s="68"/>
      <c r="H3" s="68"/>
      <c r="I3" s="68"/>
      <c r="J3" s="68"/>
      <c r="K3" s="68"/>
    </row>
    <row r="4" spans="1:11" s="1" customFormat="1" x14ac:dyDescent="0.3">
      <c r="A4" s="68" t="s">
        <v>3</v>
      </c>
      <c r="B4" s="68"/>
      <c r="C4" s="68"/>
      <c r="D4" s="68"/>
      <c r="E4" s="68"/>
      <c r="F4" s="68"/>
      <c r="G4" s="68"/>
      <c r="H4" s="68"/>
      <c r="I4" s="68"/>
      <c r="J4" s="68"/>
      <c r="K4" s="68"/>
    </row>
    <row r="5" spans="1:11" ht="18" x14ac:dyDescent="0.35">
      <c r="A5" s="69" t="s">
        <v>18</v>
      </c>
      <c r="B5" s="69"/>
      <c r="C5" s="69"/>
      <c r="D5" s="69"/>
      <c r="E5" s="69"/>
      <c r="F5" s="69"/>
      <c r="G5" s="69"/>
      <c r="H5" s="69"/>
      <c r="I5" s="69"/>
      <c r="J5" s="69"/>
      <c r="K5" s="69"/>
    </row>
    <row r="6" spans="1:11" ht="18" x14ac:dyDescent="0.35">
      <c r="A6" s="8" t="s">
        <v>19</v>
      </c>
      <c r="B6" s="8"/>
      <c r="C6" s="64">
        <f>F24</f>
        <v>344235.93318674725</v>
      </c>
      <c r="D6" s="65"/>
      <c r="E6" s="9"/>
      <c r="F6" s="8"/>
      <c r="G6" s="8"/>
      <c r="H6" s="8" t="s">
        <v>20</v>
      </c>
      <c r="I6" s="8"/>
      <c r="J6" s="64">
        <f>I24</f>
        <v>352237.30428883055</v>
      </c>
      <c r="K6" s="65"/>
    </row>
    <row r="7" spans="1:11" x14ac:dyDescent="0.3">
      <c r="A7" s="26" t="s">
        <v>29</v>
      </c>
      <c r="B7" s="10"/>
      <c r="C7" s="10"/>
      <c r="D7" s="10"/>
      <c r="F7" s="73"/>
      <c r="G7" s="73"/>
      <c r="I7" s="74" t="s">
        <v>71</v>
      </c>
      <c r="J7" s="74"/>
      <c r="K7" s="74"/>
    </row>
    <row r="8" spans="1:11" ht="15.6" x14ac:dyDescent="0.3">
      <c r="A8" s="72" t="str">
        <f>'kalimasta mandir final (2)'!A6:F6</f>
        <v>Project:- कालीमस्ट मन्दिर निर्माण</v>
      </c>
      <c r="B8" s="72"/>
      <c r="C8" s="72"/>
      <c r="D8" s="72"/>
      <c r="E8" s="72"/>
      <c r="F8" s="72"/>
      <c r="I8" s="75" t="s">
        <v>70</v>
      </c>
      <c r="J8" s="75"/>
      <c r="K8" s="75"/>
    </row>
    <row r="9" spans="1:11" x14ac:dyDescent="0.3">
      <c r="A9" s="76" t="str">
        <f>'kalimasta mandir final (2)'!A7:F7</f>
        <v>Location:- Shankharapur Municipality 9</v>
      </c>
      <c r="B9" s="76"/>
      <c r="C9" s="76"/>
      <c r="D9" s="76"/>
      <c r="E9" s="76"/>
      <c r="F9" s="76"/>
      <c r="I9" s="75" t="s">
        <v>69</v>
      </c>
      <c r="J9" s="75"/>
      <c r="K9" s="75"/>
    </row>
    <row r="11" spans="1:11" x14ac:dyDescent="0.3">
      <c r="A11" s="70" t="s">
        <v>21</v>
      </c>
      <c r="B11" s="86" t="s">
        <v>22</v>
      </c>
      <c r="C11" s="70" t="s">
        <v>12</v>
      </c>
      <c r="D11" s="77" t="s">
        <v>23</v>
      </c>
      <c r="E11" s="77"/>
      <c r="F11" s="77"/>
      <c r="G11" s="77" t="s">
        <v>24</v>
      </c>
      <c r="H11" s="77"/>
      <c r="I11" s="77"/>
      <c r="J11" s="70" t="s">
        <v>25</v>
      </c>
      <c r="K11" s="71" t="s">
        <v>15</v>
      </c>
    </row>
    <row r="12" spans="1:11" x14ac:dyDescent="0.3">
      <c r="A12" s="70"/>
      <c r="B12" s="87"/>
      <c r="C12" s="70"/>
      <c r="D12" s="11" t="s">
        <v>26</v>
      </c>
      <c r="E12" s="11" t="s">
        <v>13</v>
      </c>
      <c r="F12" s="11" t="s">
        <v>14</v>
      </c>
      <c r="G12" s="11" t="s">
        <v>26</v>
      </c>
      <c r="H12" s="11" t="s">
        <v>13</v>
      </c>
      <c r="I12" s="11" t="s">
        <v>14</v>
      </c>
      <c r="J12" s="70"/>
      <c r="K12" s="71"/>
    </row>
    <row r="13" spans="1:11" s="1" customFormat="1" ht="30" x14ac:dyDescent="0.25">
      <c r="A13" s="27">
        <f>'kalimasta mandir final (2)'!A9</f>
        <v>1</v>
      </c>
      <c r="B13" s="61" t="str">
        <f>'kalimasta mandir final (2)'!B9</f>
        <v>d]lzgsf] k|of]u u/L ;'k/ :6«Sr/df l;d]G6 s+lqm6 ug]{ sfd -!M!=%M#_</v>
      </c>
      <c r="C13" s="12" t="str">
        <f>'kalimasta mandir final (2)'!H14</f>
        <v>m3</v>
      </c>
      <c r="D13" s="12">
        <f>'kalimasta mandir final (2)'!G14</f>
        <v>8.7663771674602433</v>
      </c>
      <c r="E13" s="12">
        <f>'kalimasta mandir final (2)'!I14</f>
        <v>13568.9</v>
      </c>
      <c r="F13" s="12">
        <f>D13*E13</f>
        <v>118950.0951475513</v>
      </c>
      <c r="G13" s="12">
        <f>valuated!G14</f>
        <v>9.0527487390804282</v>
      </c>
      <c r="H13" s="12">
        <f>valuated!I14</f>
        <v>13568.9</v>
      </c>
      <c r="I13" s="12">
        <f>G13*H13</f>
        <v>122835.84236570842</v>
      </c>
      <c r="J13" s="28">
        <f>I13-F13</f>
        <v>3885.7472181571211</v>
      </c>
      <c r="K13" s="14"/>
    </row>
    <row r="14" spans="1:11" s="1" customFormat="1" ht="15.6" x14ac:dyDescent="0.3">
      <c r="A14" s="27"/>
      <c r="B14" s="33" t="str">
        <f>'kalimasta mandir final (2)'!B15</f>
        <v>VAT calculation</v>
      </c>
      <c r="C14" s="12"/>
      <c r="D14" s="12"/>
      <c r="E14" s="12"/>
      <c r="F14" s="12">
        <f>'kalimasta mandir final (2)'!J15</f>
        <v>10854.054824382232</v>
      </c>
      <c r="G14" s="12"/>
      <c r="H14" s="12"/>
      <c r="I14" s="12">
        <f>valuated!J15</f>
        <v>11208.624640297478</v>
      </c>
      <c r="J14" s="28">
        <f>I14-F14</f>
        <v>354.56981591524527</v>
      </c>
      <c r="K14" s="14"/>
    </row>
    <row r="15" spans="1:11" s="1" customFormat="1" x14ac:dyDescent="0.3">
      <c r="A15" s="29"/>
      <c r="B15" s="29"/>
      <c r="C15" s="12"/>
      <c r="D15" s="12"/>
      <c r="E15" s="12"/>
      <c r="F15" s="12"/>
      <c r="G15" s="12"/>
      <c r="H15" s="12"/>
      <c r="I15" s="12"/>
      <c r="J15" s="28"/>
      <c r="K15" s="14"/>
    </row>
    <row r="16" spans="1:11" s="1" customFormat="1" ht="15.6" x14ac:dyDescent="0.3">
      <c r="A16" s="27">
        <f>'kalimasta mandir final (2)'!A17</f>
        <v>2</v>
      </c>
      <c r="B16" s="32" t="str">
        <f>'kalimasta mandir final (2)'!B17</f>
        <v>kmnfd]sf] kfOk / KnfOaf]8{af6 kmdf{ agfpg] sfd</v>
      </c>
      <c r="C16" s="12" t="str">
        <f>'kalimasta mandir final (2)'!H22</f>
        <v>m3</v>
      </c>
      <c r="D16" s="12">
        <f>'kalimasta mandir final (2)'!G22</f>
        <v>71.633159369550881</v>
      </c>
      <c r="E16" s="12">
        <f>'kalimasta mandir final (2)'!I22</f>
        <v>915.42</v>
      </c>
      <c r="F16" s="12">
        <f>D16*E16</f>
        <v>65574.426750074272</v>
      </c>
      <c r="G16" s="12">
        <f>valuated!G22</f>
        <v>74.058725054368495</v>
      </c>
      <c r="H16" s="12">
        <f>valuated!I22</f>
        <v>915.42</v>
      </c>
      <c r="I16" s="12">
        <f>G16*H16</f>
        <v>67794.838089270008</v>
      </c>
      <c r="J16" s="28">
        <f>I16-F16</f>
        <v>2220.4113391957362</v>
      </c>
      <c r="K16" s="14"/>
    </row>
    <row r="17" spans="1:11" s="1" customFormat="1" ht="15.6" x14ac:dyDescent="0.3">
      <c r="A17" s="27"/>
      <c r="B17" s="33" t="str">
        <f>'kalimasta mandir final (2)'!B23</f>
        <v>VAT calculation</v>
      </c>
      <c r="C17" s="12"/>
      <c r="D17" s="12"/>
      <c r="E17" s="12"/>
      <c r="F17" s="12">
        <f>'kalimasta mandir final (2)'!J23</f>
        <v>4360.7567570405945</v>
      </c>
      <c r="G17" s="12"/>
      <c r="H17" s="12"/>
      <c r="I17" s="12">
        <f>valuated!J23</f>
        <v>4508.4160539752247</v>
      </c>
      <c r="J17" s="28">
        <f>I17-F17</f>
        <v>147.65929693463022</v>
      </c>
      <c r="K17" s="14"/>
    </row>
    <row r="18" spans="1:11" s="1" customFormat="1" x14ac:dyDescent="0.3">
      <c r="A18" s="29"/>
      <c r="B18" s="29"/>
      <c r="C18" s="12"/>
      <c r="D18" s="12"/>
      <c r="E18" s="12"/>
      <c r="F18" s="12"/>
      <c r="G18" s="12"/>
      <c r="H18" s="12"/>
      <c r="I18" s="12"/>
      <c r="J18" s="28"/>
      <c r="K18" s="14"/>
    </row>
    <row r="19" spans="1:11" s="1" customFormat="1" ht="15.6" x14ac:dyDescent="0.3">
      <c r="A19" s="27">
        <f>'kalimasta mandir final (2)'!A25</f>
        <v>3</v>
      </c>
      <c r="B19" s="32" t="str">
        <f>'kalimasta mandir final (2)'!B25</f>
        <v>cf/=;L=;L= nflu kmnfd] 808L sf6\g], df]8\g] #) dL6/ ;Dd</v>
      </c>
      <c r="C19" s="12" t="str">
        <f>'kalimasta mandir final (2)'!H43</f>
        <v>MT</v>
      </c>
      <c r="D19" s="12">
        <f>'kalimasta mandir final (2)'!G43</f>
        <v>0.98799692415365681</v>
      </c>
      <c r="E19" s="12">
        <f>'kalimasta mandir final (2)'!I43</f>
        <v>131940</v>
      </c>
      <c r="F19" s="12">
        <f>D19*E19</f>
        <v>130356.31417283347</v>
      </c>
      <c r="G19" s="12">
        <f>valuated!G50</f>
        <v>0.99755453418673168</v>
      </c>
      <c r="H19" s="12">
        <f>valuated!I50</f>
        <v>131940</v>
      </c>
      <c r="I19" s="12">
        <f>G19*H19</f>
        <v>131617.34524059738</v>
      </c>
      <c r="J19" s="28">
        <f>I19-F19</f>
        <v>1261.0310677639063</v>
      </c>
      <c r="K19" s="14"/>
    </row>
    <row r="20" spans="1:11" s="1" customFormat="1" ht="15.6" x14ac:dyDescent="0.3">
      <c r="A20" s="27"/>
      <c r="B20" s="33" t="str">
        <f>'kalimasta mandir final (2)'!B44</f>
        <v>VAT calculation</v>
      </c>
      <c r="C20" s="12"/>
      <c r="D20" s="12"/>
      <c r="E20" s="12"/>
      <c r="F20" s="12">
        <f>'kalimasta mandir final (2)'!J44</f>
        <v>13640.285534865385</v>
      </c>
      <c r="G20" s="12"/>
      <c r="H20" s="12"/>
      <c r="I20" s="12">
        <f>valuated!J51</f>
        <v>13772.237898982017</v>
      </c>
      <c r="J20" s="28">
        <f>I20-F20</f>
        <v>131.95236411663245</v>
      </c>
      <c r="K20" s="14"/>
    </row>
    <row r="21" spans="1:11" s="1" customFormat="1" x14ac:dyDescent="0.3">
      <c r="A21" s="29"/>
      <c r="B21" s="29"/>
      <c r="C21" s="12"/>
      <c r="D21" s="12"/>
      <c r="E21" s="12"/>
      <c r="F21" s="12"/>
      <c r="G21" s="12"/>
      <c r="H21" s="12"/>
      <c r="I21" s="12"/>
      <c r="J21" s="28"/>
      <c r="K21" s="14"/>
    </row>
    <row r="22" spans="1:11" s="1" customFormat="1" x14ac:dyDescent="0.3">
      <c r="A22" s="27">
        <f>'kalimasta mandir final (2)'!A46</f>
        <v>4</v>
      </c>
      <c r="B22" s="31" t="str">
        <f>'kalimasta mandir final (2)'!B46</f>
        <v>Information board (सुचना पाटि)</v>
      </c>
      <c r="C22" s="12" t="str">
        <f>'kalimasta mandir final (2)'!H46</f>
        <v>no.</v>
      </c>
      <c r="D22" s="12">
        <f>'kalimasta mandir final (2)'!G46</f>
        <v>1</v>
      </c>
      <c r="E22" s="12">
        <f>'kalimasta mandir final (2)'!I46</f>
        <v>500</v>
      </c>
      <c r="F22" s="12">
        <f>D22*E22</f>
        <v>500</v>
      </c>
      <c r="G22" s="12">
        <f>valuated!G53</f>
        <v>1</v>
      </c>
      <c r="H22" s="12">
        <f>valuated!I53</f>
        <v>500</v>
      </c>
      <c r="I22" s="12">
        <f>G22*H22</f>
        <v>500</v>
      </c>
      <c r="J22" s="28">
        <f>I22-F22</f>
        <v>0</v>
      </c>
      <c r="K22" s="14"/>
    </row>
    <row r="23" spans="1:11" s="1" customFormat="1" x14ac:dyDescent="0.3">
      <c r="A23" s="29"/>
      <c r="B23" s="29"/>
      <c r="C23" s="12"/>
      <c r="D23" s="12"/>
      <c r="E23" s="12"/>
      <c r="F23" s="12"/>
      <c r="G23" s="12"/>
      <c r="H23" s="12"/>
      <c r="I23" s="12"/>
      <c r="J23" s="28"/>
      <c r="K23" s="14"/>
    </row>
    <row r="24" spans="1:11" x14ac:dyDescent="0.3">
      <c r="A24" s="5"/>
      <c r="B24" s="6" t="s">
        <v>16</v>
      </c>
      <c r="C24" s="6"/>
      <c r="D24" s="7"/>
      <c r="E24" s="7"/>
      <c r="F24" s="7">
        <f>SUM(F13:F22)</f>
        <v>344235.93318674725</v>
      </c>
      <c r="G24" s="7"/>
      <c r="H24" s="7"/>
      <c r="I24" s="7">
        <f>SUM(I13:I22)</f>
        <v>352237.30428883055</v>
      </c>
      <c r="J24" s="13">
        <f>I24-F24</f>
        <v>8001.3711020832998</v>
      </c>
      <c r="K24" s="5"/>
    </row>
  </sheetData>
  <mergeCells count="20">
    <mergeCell ref="J11:J12"/>
    <mergeCell ref="K11:K12"/>
    <mergeCell ref="A8:F8"/>
    <mergeCell ref="F7:G7"/>
    <mergeCell ref="I7:K7"/>
    <mergeCell ref="I8:K8"/>
    <mergeCell ref="A9:F9"/>
    <mergeCell ref="I9:K9"/>
    <mergeCell ref="A11:A12"/>
    <mergeCell ref="B11:B12"/>
    <mergeCell ref="C11:C12"/>
    <mergeCell ref="D11:F11"/>
    <mergeCell ref="G11:I11"/>
    <mergeCell ref="C6:D6"/>
    <mergeCell ref="J6:K6"/>
    <mergeCell ref="A1:K1"/>
    <mergeCell ref="A2:K2"/>
    <mergeCell ref="A3:K3"/>
    <mergeCell ref="A4:K4"/>
    <mergeCell ref="A5:K5"/>
  </mergeCells>
  <printOptions horizontalCentered="1"/>
  <pageMargins left="0.7" right="0.7" top="0.75" bottom="0.75" header="0.3" footer="0.3"/>
  <pageSetup scale="85" orientation="landscape" horizontalDpi="300" verticalDpi="300" r:id="rId1"/>
  <headerFooter>
    <oddFooter xml:space="preserve">&amp;LPrepared By:
&amp;CChecked By:
&amp;RApproved By:
</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4"/>
  <sheetViews>
    <sheetView tabSelected="1" zoomScaleNormal="100" workbookViewId="0">
      <selection activeCell="L58" sqref="L58"/>
    </sheetView>
  </sheetViews>
  <sheetFormatPr defaultRowHeight="14.4" x14ac:dyDescent="0.3"/>
  <cols>
    <col min="1" max="1" width="4.6640625" customWidth="1"/>
    <col min="2" max="2" width="31.33203125" customWidth="1"/>
    <col min="3" max="3" width="5.5546875" bestFit="1" customWidth="1"/>
    <col min="4" max="4" width="7.5546875" customWidth="1"/>
    <col min="5" max="5" width="8.5546875" customWidth="1"/>
    <col min="6" max="6" width="8" customWidth="1"/>
    <col min="7" max="7" width="8.5546875" customWidth="1"/>
    <col min="8" max="8" width="5" bestFit="1" customWidth="1"/>
    <col min="9" max="9" width="10.44140625" customWidth="1"/>
    <col min="10" max="10" width="11.33203125" customWidth="1"/>
    <col min="11" max="11" width="8.33203125" customWidth="1"/>
  </cols>
  <sheetData>
    <row r="1" spans="1:16" s="1" customFormat="1" x14ac:dyDescent="0.3">
      <c r="A1" s="79" t="s">
        <v>0</v>
      </c>
      <c r="B1" s="79"/>
      <c r="C1" s="79"/>
      <c r="D1" s="79"/>
      <c r="E1" s="79"/>
      <c r="F1" s="79"/>
      <c r="G1" s="79"/>
      <c r="H1" s="79"/>
      <c r="I1" s="79"/>
      <c r="J1" s="79"/>
      <c r="K1" s="79"/>
    </row>
    <row r="2" spans="1:16" s="1" customFormat="1" ht="22.8" x14ac:dyDescent="0.3">
      <c r="A2" s="80" t="s">
        <v>1</v>
      </c>
      <c r="B2" s="80"/>
      <c r="C2" s="80"/>
      <c r="D2" s="80"/>
      <c r="E2" s="80"/>
      <c r="F2" s="80"/>
      <c r="G2" s="80"/>
      <c r="H2" s="80"/>
      <c r="I2" s="80"/>
      <c r="J2" s="80"/>
      <c r="K2" s="80"/>
    </row>
    <row r="3" spans="1:16" s="1" customFormat="1" x14ac:dyDescent="0.3">
      <c r="A3" s="68" t="s">
        <v>2</v>
      </c>
      <c r="B3" s="68"/>
      <c r="C3" s="68"/>
      <c r="D3" s="68"/>
      <c r="E3" s="68"/>
      <c r="F3" s="68"/>
      <c r="G3" s="68"/>
      <c r="H3" s="68"/>
      <c r="I3" s="68"/>
      <c r="J3" s="68"/>
      <c r="K3" s="68"/>
    </row>
    <row r="4" spans="1:16" s="1" customFormat="1" x14ac:dyDescent="0.3">
      <c r="A4" s="68" t="s">
        <v>3</v>
      </c>
      <c r="B4" s="68"/>
      <c r="C4" s="68"/>
      <c r="D4" s="68"/>
      <c r="E4" s="68"/>
      <c r="F4" s="68"/>
      <c r="G4" s="68"/>
      <c r="H4" s="68"/>
      <c r="I4" s="68"/>
      <c r="J4" s="68"/>
      <c r="K4" s="68"/>
    </row>
    <row r="5" spans="1:16" ht="17.399999999999999" x14ac:dyDescent="0.3">
      <c r="A5" s="81" t="s">
        <v>73</v>
      </c>
      <c r="B5" s="81"/>
      <c r="C5" s="81"/>
      <c r="D5" s="81"/>
      <c r="E5" s="81"/>
      <c r="F5" s="81"/>
      <c r="G5" s="81"/>
      <c r="H5" s="81"/>
      <c r="I5" s="81"/>
      <c r="J5" s="81"/>
      <c r="K5" s="81"/>
    </row>
    <row r="6" spans="1:16" ht="15.6" x14ac:dyDescent="0.3">
      <c r="A6" s="72" t="s">
        <v>61</v>
      </c>
      <c r="B6" s="72"/>
      <c r="C6" s="72"/>
      <c r="D6" s="72"/>
      <c r="E6" s="72"/>
      <c r="F6" s="72"/>
      <c r="G6" s="2"/>
      <c r="H6" s="78" t="s">
        <v>42</v>
      </c>
      <c r="I6" s="78"/>
      <c r="J6" s="78"/>
      <c r="K6" s="78"/>
    </row>
    <row r="7" spans="1:16" ht="15.6" x14ac:dyDescent="0.3">
      <c r="A7" s="83" t="s">
        <v>28</v>
      </c>
      <c r="B7" s="83"/>
      <c r="C7" s="83"/>
      <c r="D7" s="83"/>
      <c r="E7" s="83"/>
      <c r="F7" s="83"/>
      <c r="G7" s="3"/>
      <c r="H7" s="84" t="s">
        <v>72</v>
      </c>
      <c r="I7" s="84"/>
      <c r="J7" s="84"/>
      <c r="K7" s="84"/>
    </row>
    <row r="8" spans="1:16" ht="15" customHeight="1" x14ac:dyDescent="0.3">
      <c r="A8" s="4" t="s">
        <v>5</v>
      </c>
      <c r="B8" s="15" t="s">
        <v>6</v>
      </c>
      <c r="C8" s="4" t="s">
        <v>7</v>
      </c>
      <c r="D8" s="16" t="s">
        <v>8</v>
      </c>
      <c r="E8" s="16" t="s">
        <v>9</v>
      </c>
      <c r="F8" s="16" t="s">
        <v>10</v>
      </c>
      <c r="G8" s="16" t="s">
        <v>11</v>
      </c>
      <c r="H8" s="4" t="s">
        <v>12</v>
      </c>
      <c r="I8" s="16" t="s">
        <v>13</v>
      </c>
      <c r="J8" s="16" t="s">
        <v>14</v>
      </c>
      <c r="K8" s="17" t="s">
        <v>15</v>
      </c>
    </row>
    <row r="9" spans="1:16" ht="30.6" x14ac:dyDescent="0.3">
      <c r="A9" s="18">
        <v>1</v>
      </c>
      <c r="B9" s="61" t="s">
        <v>48</v>
      </c>
      <c r="C9" s="19"/>
      <c r="D9" s="20"/>
      <c r="E9" s="21"/>
      <c r="F9" s="21"/>
      <c r="G9" s="23"/>
      <c r="H9" s="22"/>
      <c r="I9" s="23"/>
      <c r="J9" s="43"/>
      <c r="K9" s="21"/>
      <c r="M9" s="1"/>
      <c r="N9" s="1"/>
      <c r="O9" s="1"/>
      <c r="P9" s="1"/>
    </row>
    <row r="10" spans="1:16" ht="15" customHeight="1" x14ac:dyDescent="0.3">
      <c r="A10" s="18"/>
      <c r="B10" s="39" t="s">
        <v>49</v>
      </c>
      <c r="C10" s="19">
        <v>1</v>
      </c>
      <c r="D10" s="20">
        <f>32/3.281</f>
        <v>9.7531240475464784</v>
      </c>
      <c r="E10" s="21">
        <f>19/3.281</f>
        <v>5.790917403230722</v>
      </c>
      <c r="F10" s="21">
        <v>0.125</v>
      </c>
      <c r="G10" s="41">
        <f>PRODUCT(C10:F10)</f>
        <v>7.0599419728506199</v>
      </c>
      <c r="H10" s="22"/>
      <c r="I10" s="23"/>
      <c r="J10" s="43"/>
      <c r="K10" s="21"/>
      <c r="M10" s="1"/>
      <c r="N10" s="1"/>
      <c r="O10" s="1"/>
      <c r="P10" s="1"/>
    </row>
    <row r="11" spans="1:16" ht="15" customHeight="1" x14ac:dyDescent="0.3">
      <c r="A11" s="18"/>
      <c r="B11" s="39" t="s">
        <v>50</v>
      </c>
      <c r="C11" s="19">
        <v>2</v>
      </c>
      <c r="D11" s="20">
        <f>32/3.281</f>
        <v>9.7531240475464784</v>
      </c>
      <c r="E11" s="21">
        <v>0.23</v>
      </c>
      <c r="F11" s="21">
        <v>0.23</v>
      </c>
      <c r="G11" s="41">
        <f t="shared" ref="G11:G13" si="0">PRODUCT(C11:F11)</f>
        <v>1.0318805242304177</v>
      </c>
      <c r="H11" s="22"/>
      <c r="I11" s="23"/>
      <c r="J11" s="43"/>
      <c r="K11" s="21"/>
      <c r="M11" s="1"/>
      <c r="N11" s="1"/>
      <c r="O11" s="1"/>
      <c r="P11" s="1"/>
    </row>
    <row r="12" spans="1:16" ht="15" customHeight="1" x14ac:dyDescent="0.3">
      <c r="A12" s="18"/>
      <c r="B12" s="39"/>
      <c r="C12" s="19">
        <v>3</v>
      </c>
      <c r="D12" s="20">
        <f>18.75/3.281</f>
        <v>5.7147211216092648</v>
      </c>
      <c r="E12" s="21">
        <v>0.23</v>
      </c>
      <c r="F12" s="21">
        <v>0.23</v>
      </c>
      <c r="G12" s="41">
        <f t="shared" si="0"/>
        <v>0.90692624199939043</v>
      </c>
      <c r="H12" s="22"/>
      <c r="I12" s="23"/>
      <c r="J12" s="43"/>
      <c r="K12" s="21"/>
      <c r="M12" s="1"/>
      <c r="N12" s="1"/>
      <c r="O12" s="1"/>
      <c r="P12" s="1"/>
    </row>
    <row r="13" spans="1:16" ht="15" customHeight="1" x14ac:dyDescent="0.3">
      <c r="A13" s="18"/>
      <c r="B13" s="39" t="s">
        <v>59</v>
      </c>
      <c r="C13" s="19">
        <v>2</v>
      </c>
      <c r="D13" s="20">
        <v>0.3</v>
      </c>
      <c r="E13" s="21">
        <v>0.3</v>
      </c>
      <c r="F13" s="21">
        <v>0.3</v>
      </c>
      <c r="G13" s="41">
        <f t="shared" si="0"/>
        <v>5.3999999999999999E-2</v>
      </c>
      <c r="H13" s="22"/>
      <c r="I13" s="23"/>
      <c r="J13" s="43"/>
      <c r="K13" s="21"/>
      <c r="M13" s="1"/>
      <c r="N13" s="1"/>
      <c r="O13" s="1"/>
      <c r="P13" s="1"/>
    </row>
    <row r="14" spans="1:16" ht="15" customHeight="1" x14ac:dyDescent="0.3">
      <c r="A14" s="18"/>
      <c r="B14" s="39" t="s">
        <v>39</v>
      </c>
      <c r="C14" s="19"/>
      <c r="D14" s="20"/>
      <c r="E14" s="21"/>
      <c r="F14" s="21"/>
      <c r="G14" s="23">
        <f>SUM(G10:G13)</f>
        <v>9.0527487390804282</v>
      </c>
      <c r="H14" s="22" t="s">
        <v>38</v>
      </c>
      <c r="I14" s="23">
        <v>13568.9</v>
      </c>
      <c r="J14" s="43">
        <f>G14*I14</f>
        <v>122835.84236570842</v>
      </c>
      <c r="K14" s="21"/>
      <c r="M14" s="1"/>
      <c r="N14" s="1"/>
      <c r="O14" s="1"/>
      <c r="P14" s="1"/>
    </row>
    <row r="15" spans="1:16" ht="15" customHeight="1" x14ac:dyDescent="0.3">
      <c r="A15" s="18"/>
      <c r="B15" s="39" t="s">
        <v>37</v>
      </c>
      <c r="C15" s="19"/>
      <c r="D15" s="20"/>
      <c r="E15" s="21"/>
      <c r="F15" s="21"/>
      <c r="G15" s="23"/>
      <c r="H15" s="22"/>
      <c r="I15" s="23"/>
      <c r="J15" s="43">
        <f>0.13*G14*9524.2</f>
        <v>11208.624640297478</v>
      </c>
      <c r="K15" s="21"/>
      <c r="M15" s="1"/>
      <c r="N15" s="1"/>
      <c r="O15" s="1"/>
      <c r="P15" s="1"/>
    </row>
    <row r="16" spans="1:16" ht="15" customHeight="1" x14ac:dyDescent="0.3">
      <c r="A16" s="18"/>
      <c r="B16" s="39"/>
      <c r="C16" s="19"/>
      <c r="D16" s="20"/>
      <c r="E16" s="21"/>
      <c r="F16" s="21"/>
      <c r="G16" s="23"/>
      <c r="H16" s="22"/>
      <c r="I16" s="23"/>
      <c r="J16" s="43"/>
      <c r="K16" s="21"/>
      <c r="M16" s="1"/>
      <c r="N16" s="1"/>
      <c r="O16" s="1"/>
      <c r="P16" s="1"/>
    </row>
    <row r="17" spans="1:16" ht="30.6" x14ac:dyDescent="0.3">
      <c r="A17" s="18">
        <v>2</v>
      </c>
      <c r="B17" s="61" t="s">
        <v>51</v>
      </c>
      <c r="C17" s="19"/>
      <c r="D17" s="20"/>
      <c r="E17" s="21"/>
      <c r="F17" s="21"/>
      <c r="G17" s="23"/>
      <c r="H17" s="22"/>
      <c r="I17" s="23"/>
      <c r="J17" s="43"/>
      <c r="K17" s="21"/>
      <c r="M17" s="1"/>
      <c r="N17" s="1"/>
      <c r="O17" s="1"/>
      <c r="P17" s="1"/>
    </row>
    <row r="18" spans="1:16" ht="15" customHeight="1" x14ac:dyDescent="0.3">
      <c r="A18" s="18"/>
      <c r="B18" s="39" t="str">
        <f>B10</f>
        <v>-slab</v>
      </c>
      <c r="C18" s="19">
        <f>C10</f>
        <v>1</v>
      </c>
      <c r="D18" s="20">
        <f>D10</f>
        <v>9.7531240475464784</v>
      </c>
      <c r="E18" s="21">
        <f>E10</f>
        <v>5.790917403230722</v>
      </c>
      <c r="F18" s="21"/>
      <c r="G18" s="41">
        <f>PRODUCT(C18:F18)</f>
        <v>56.479535782804959</v>
      </c>
      <c r="H18" s="22"/>
      <c r="I18" s="23"/>
      <c r="J18" s="43"/>
      <c r="K18" s="21"/>
      <c r="M18" s="1"/>
      <c r="N18" s="1"/>
      <c r="O18" s="1"/>
      <c r="P18" s="1"/>
    </row>
    <row r="19" spans="1:16" ht="15" customHeight="1" x14ac:dyDescent="0.3">
      <c r="A19" s="18"/>
      <c r="B19" s="39" t="str">
        <f>B11</f>
        <v>-beam</v>
      </c>
      <c r="C19" s="19">
        <f>C11</f>
        <v>2</v>
      </c>
      <c r="D19" s="20">
        <f>D11</f>
        <v>9.7531240475464784</v>
      </c>
      <c r="E19" s="21"/>
      <c r="F19" s="21">
        <f>F11*2</f>
        <v>0.46</v>
      </c>
      <c r="G19" s="41">
        <f t="shared" ref="G19:G21" si="1">PRODUCT(C19:F19)</f>
        <v>8.9728741237427609</v>
      </c>
      <c r="H19" s="22"/>
      <c r="I19" s="23"/>
      <c r="J19" s="43"/>
      <c r="K19" s="21"/>
      <c r="M19" s="1"/>
      <c r="N19" s="1"/>
      <c r="O19" s="1"/>
      <c r="P19" s="1"/>
    </row>
    <row r="20" spans="1:16" ht="15" customHeight="1" x14ac:dyDescent="0.3">
      <c r="A20" s="18"/>
      <c r="B20" s="39"/>
      <c r="C20" s="19">
        <f>C12</f>
        <v>3</v>
      </c>
      <c r="D20" s="20">
        <f>D12</f>
        <v>5.7147211216092648</v>
      </c>
      <c r="E20" s="21"/>
      <c r="F20" s="21">
        <f>F12*2</f>
        <v>0.46</v>
      </c>
      <c r="G20" s="41">
        <f t="shared" si="1"/>
        <v>7.8863151478207856</v>
      </c>
      <c r="H20" s="22"/>
      <c r="I20" s="23"/>
      <c r="J20" s="43"/>
      <c r="K20" s="21"/>
      <c r="M20" s="1"/>
      <c r="N20" s="1"/>
      <c r="O20" s="1"/>
      <c r="P20" s="1"/>
    </row>
    <row r="21" spans="1:16" ht="15" customHeight="1" x14ac:dyDescent="0.3">
      <c r="A21" s="18"/>
      <c r="B21" s="39" t="str">
        <f>B13</f>
        <v>-column</v>
      </c>
      <c r="C21" s="19">
        <f>C13</f>
        <v>2</v>
      </c>
      <c r="D21" s="20">
        <f>D13*4</f>
        <v>1.2</v>
      </c>
      <c r="E21" s="21"/>
      <c r="F21" s="21">
        <f>F13</f>
        <v>0.3</v>
      </c>
      <c r="G21" s="41">
        <f t="shared" si="1"/>
        <v>0.72</v>
      </c>
      <c r="H21" s="22"/>
      <c r="I21" s="23"/>
      <c r="J21" s="43"/>
      <c r="K21" s="21"/>
      <c r="M21" s="1"/>
      <c r="N21" s="1"/>
      <c r="O21" s="1"/>
      <c r="P21" s="1"/>
    </row>
    <row r="22" spans="1:16" ht="15" customHeight="1" x14ac:dyDescent="0.3">
      <c r="A22" s="18"/>
      <c r="B22" s="39" t="s">
        <v>39</v>
      </c>
      <c r="C22" s="19"/>
      <c r="D22" s="20"/>
      <c r="E22" s="21"/>
      <c r="F22" s="21"/>
      <c r="G22" s="23">
        <f>SUM(G18:G21)</f>
        <v>74.058725054368495</v>
      </c>
      <c r="H22" s="22" t="s">
        <v>38</v>
      </c>
      <c r="I22" s="23">
        <v>915.42</v>
      </c>
      <c r="J22" s="43">
        <f>G22*I22</f>
        <v>67794.838089270008</v>
      </c>
      <c r="K22" s="21"/>
      <c r="M22" s="1"/>
      <c r="N22" s="1"/>
      <c r="O22" s="1"/>
      <c r="P22" s="1"/>
    </row>
    <row r="23" spans="1:16" ht="15" customHeight="1" x14ac:dyDescent="0.3">
      <c r="A23" s="18"/>
      <c r="B23" s="39" t="s">
        <v>37</v>
      </c>
      <c r="C23" s="19"/>
      <c r="D23" s="20"/>
      <c r="E23" s="21"/>
      <c r="F23" s="21"/>
      <c r="G23" s="23"/>
      <c r="H23" s="22"/>
      <c r="I23" s="23"/>
      <c r="J23" s="43">
        <f>0.13*G22*46827.87/100</f>
        <v>4508.4160539752247</v>
      </c>
      <c r="K23" s="21"/>
      <c r="M23" s="1"/>
      <c r="N23" s="1"/>
      <c r="O23" s="1"/>
      <c r="P23" s="1"/>
    </row>
    <row r="24" spans="1:16" ht="15" customHeight="1" x14ac:dyDescent="0.3">
      <c r="A24" s="18"/>
      <c r="B24" s="39"/>
      <c r="C24" s="19"/>
      <c r="D24" s="20"/>
      <c r="E24" s="21"/>
      <c r="F24" s="21"/>
      <c r="G24" s="23"/>
      <c r="H24" s="22"/>
      <c r="I24" s="23"/>
      <c r="J24" s="43"/>
      <c r="K24" s="21"/>
      <c r="M24" s="1"/>
      <c r="N24" s="1"/>
      <c r="O24" s="1"/>
      <c r="P24" s="1"/>
    </row>
    <row r="25" spans="1:16" ht="41.4" x14ac:dyDescent="0.3">
      <c r="A25" s="18">
        <v>3</v>
      </c>
      <c r="B25" s="61" t="s">
        <v>52</v>
      </c>
      <c r="C25" s="19" t="s">
        <v>7</v>
      </c>
      <c r="D25" s="35" t="s">
        <v>41</v>
      </c>
      <c r="E25" s="36" t="s">
        <v>53</v>
      </c>
      <c r="F25" s="36" t="s">
        <v>40</v>
      </c>
      <c r="G25" s="23"/>
      <c r="H25" s="22"/>
      <c r="I25" s="23"/>
      <c r="J25" s="43"/>
      <c r="K25" s="21"/>
      <c r="M25" s="1"/>
      <c r="N25" s="1"/>
      <c r="O25" s="1"/>
      <c r="P25" s="1"/>
    </row>
    <row r="26" spans="1:16" ht="15" customHeight="1" x14ac:dyDescent="0.3">
      <c r="A26" s="18"/>
      <c r="B26" s="39" t="s">
        <v>65</v>
      </c>
      <c r="C26" s="19">
        <f>5+5+7+7</f>
        <v>24</v>
      </c>
      <c r="D26" s="20">
        <f>32/3.281</f>
        <v>9.7531240475464784</v>
      </c>
      <c r="E26" s="21">
        <f>8*8/162</f>
        <v>0.39506172839506171</v>
      </c>
      <c r="F26" s="41">
        <f>PRODUCT(C26:E26)</f>
        <v>92.474065043403641</v>
      </c>
      <c r="G26" s="41">
        <f t="shared" ref="G26:G36" si="2">F26/1000</f>
        <v>9.2474065043403636E-2</v>
      </c>
      <c r="H26" s="22"/>
      <c r="I26" s="23"/>
      <c r="J26" s="43"/>
      <c r="K26" s="21"/>
      <c r="M26" s="1"/>
      <c r="N26" s="1"/>
      <c r="O26" s="1"/>
      <c r="P26" s="1"/>
    </row>
    <row r="27" spans="1:16" ht="15" customHeight="1" x14ac:dyDescent="0.3">
      <c r="A27" s="18"/>
      <c r="B27" s="39" t="s">
        <v>64</v>
      </c>
      <c r="C27" s="19">
        <f>29+5+5</f>
        <v>39</v>
      </c>
      <c r="D27" s="20">
        <f>32/3.281</f>
        <v>9.7531240475464784</v>
      </c>
      <c r="E27" s="21">
        <f t="shared" ref="E27:E36" si="3">8*8/162</f>
        <v>0.39506172839506171</v>
      </c>
      <c r="F27" s="41">
        <f t="shared" ref="F27:F36" si="4">PRODUCT(C27:E27)</f>
        <v>150.27035569553092</v>
      </c>
      <c r="G27" s="41">
        <f t="shared" si="2"/>
        <v>0.15027035569553093</v>
      </c>
      <c r="H27" s="22"/>
      <c r="I27" s="23"/>
      <c r="J27" s="43"/>
      <c r="K27" s="21"/>
      <c r="M27" s="1"/>
      <c r="N27" s="1"/>
      <c r="O27" s="1"/>
      <c r="P27" s="1"/>
    </row>
    <row r="28" spans="1:16" ht="15" customHeight="1" x14ac:dyDescent="0.3">
      <c r="A28" s="18"/>
      <c r="B28" s="39" t="s">
        <v>63</v>
      </c>
      <c r="C28" s="19">
        <f>58+5+6</f>
        <v>69</v>
      </c>
      <c r="D28" s="20">
        <f>19/3.281</f>
        <v>5.790917403230722</v>
      </c>
      <c r="E28" s="21">
        <f t="shared" si="3"/>
        <v>0.39506172839506171</v>
      </c>
      <c r="F28" s="41">
        <f t="shared" si="4"/>
        <v>157.85611884362262</v>
      </c>
      <c r="G28" s="41">
        <f t="shared" si="2"/>
        <v>0.15785611884362263</v>
      </c>
      <c r="H28" s="22"/>
      <c r="I28" s="23"/>
      <c r="J28" s="43"/>
      <c r="K28" s="21"/>
      <c r="M28" s="1"/>
      <c r="N28" s="62">
        <f>SUM(F26:F36)</f>
        <v>551.40551096662023</v>
      </c>
      <c r="O28" s="62" t="e">
        <f>SUM(#REF!)</f>
        <v>#REF!</v>
      </c>
      <c r="P28" s="1"/>
    </row>
    <row r="29" spans="1:16" ht="15" customHeight="1" x14ac:dyDescent="0.3">
      <c r="A29" s="18"/>
      <c r="B29" s="39" t="s">
        <v>66</v>
      </c>
      <c r="C29" s="19">
        <v>30</v>
      </c>
      <c r="D29" s="20">
        <f>19/3.281</f>
        <v>5.790917403230722</v>
      </c>
      <c r="E29" s="21">
        <f t="shared" si="3"/>
        <v>0.39506172839506171</v>
      </c>
      <c r="F29" s="41">
        <f t="shared" si="4"/>
        <v>68.633095149401143</v>
      </c>
      <c r="G29" s="41">
        <f t="shared" si="2"/>
        <v>6.8633095149401149E-2</v>
      </c>
      <c r="H29" s="22"/>
      <c r="I29" s="23"/>
      <c r="J29" s="43"/>
      <c r="K29" s="21"/>
      <c r="M29" s="1"/>
      <c r="N29" s="1"/>
      <c r="O29" s="1"/>
      <c r="P29" s="1"/>
    </row>
    <row r="30" spans="1:16" ht="15" customHeight="1" x14ac:dyDescent="0.3">
      <c r="A30" s="18"/>
      <c r="B30" s="39" t="s">
        <v>67</v>
      </c>
      <c r="C30" s="19">
        <v>15</v>
      </c>
      <c r="D30" s="20">
        <f>7.083/3.281</f>
        <v>2.1587930508991162</v>
      </c>
      <c r="E30" s="21">
        <f t="shared" si="3"/>
        <v>0.39506172839506171</v>
      </c>
      <c r="F30" s="41">
        <f t="shared" si="4"/>
        <v>12.7928477090318</v>
      </c>
      <c r="G30" s="41">
        <f t="shared" si="2"/>
        <v>1.27928477090318E-2</v>
      </c>
      <c r="H30" s="22"/>
      <c r="I30" s="23"/>
      <c r="J30" s="43"/>
      <c r="K30" s="21"/>
      <c r="M30" s="1"/>
      <c r="N30" s="1"/>
      <c r="O30" s="1"/>
      <c r="P30" s="1"/>
    </row>
    <row r="31" spans="1:16" ht="15" customHeight="1" x14ac:dyDescent="0.3">
      <c r="A31" s="18"/>
      <c r="B31" s="39"/>
      <c r="C31" s="19">
        <v>15</v>
      </c>
      <c r="D31" s="20">
        <f>6.5/3.281</f>
        <v>1.9811033221578787</v>
      </c>
      <c r="E31" s="21">
        <f t="shared" si="3"/>
        <v>0.39506172839506171</v>
      </c>
      <c r="F31" s="41">
        <f t="shared" si="4"/>
        <v>11.739871538713354</v>
      </c>
      <c r="G31" s="41">
        <f t="shared" si="2"/>
        <v>1.1739871538713354E-2</v>
      </c>
      <c r="H31" s="22"/>
      <c r="I31" s="23"/>
      <c r="J31" s="43"/>
      <c r="K31" s="21"/>
      <c r="M31" s="1"/>
      <c r="N31" s="1"/>
      <c r="O31" s="1"/>
      <c r="P31" s="1"/>
    </row>
    <row r="32" spans="1:16" ht="15" customHeight="1" x14ac:dyDescent="0.3">
      <c r="A32" s="18"/>
      <c r="B32" s="39"/>
      <c r="C32" s="19">
        <v>15</v>
      </c>
      <c r="D32" s="20">
        <f>6.33/3.281</f>
        <v>1.929289850655288</v>
      </c>
      <c r="E32" s="21">
        <f t="shared" si="3"/>
        <v>0.39506172839506171</v>
      </c>
      <c r="F32" s="41">
        <f t="shared" si="4"/>
        <v>11.432828744623929</v>
      </c>
      <c r="G32" s="41">
        <f t="shared" si="2"/>
        <v>1.1432828744623929E-2</v>
      </c>
      <c r="H32" s="22"/>
      <c r="I32" s="23"/>
      <c r="J32" s="43"/>
      <c r="K32" s="21"/>
      <c r="M32" s="1"/>
      <c r="N32" s="1"/>
      <c r="O32" s="1"/>
      <c r="P32" s="1"/>
    </row>
    <row r="33" spans="1:17" ht="15" customHeight="1" x14ac:dyDescent="0.3">
      <c r="A33" s="18"/>
      <c r="B33" s="39" t="s">
        <v>68</v>
      </c>
      <c r="C33" s="19">
        <v>15</v>
      </c>
      <c r="D33" s="20">
        <f>6.917/3.281</f>
        <v>2.1081987199024685</v>
      </c>
      <c r="E33" s="21">
        <f t="shared" si="3"/>
        <v>0.39506172839506171</v>
      </c>
      <c r="F33" s="41">
        <f t="shared" si="4"/>
        <v>12.493029451273888</v>
      </c>
      <c r="G33" s="41">
        <f t="shared" si="2"/>
        <v>1.2493029451273887E-2</v>
      </c>
      <c r="H33" s="22"/>
      <c r="I33" s="23"/>
      <c r="J33" s="43"/>
      <c r="K33" s="21"/>
      <c r="M33" s="1"/>
      <c r="N33" s="1"/>
      <c r="O33" s="1"/>
      <c r="P33" s="1"/>
    </row>
    <row r="34" spans="1:17" ht="15" customHeight="1" x14ac:dyDescent="0.3">
      <c r="A34" s="18"/>
      <c r="B34" s="39"/>
      <c r="C34" s="19">
        <v>15</v>
      </c>
      <c r="D34" s="20">
        <f>6.083/3.281</f>
        <v>1.8540079244132885</v>
      </c>
      <c r="E34" s="21">
        <f t="shared" si="3"/>
        <v>0.39506172839506171</v>
      </c>
      <c r="F34" s="41">
        <f t="shared" si="4"/>
        <v>10.98671362615282</v>
      </c>
      <c r="G34" s="41">
        <f t="shared" si="2"/>
        <v>1.0986713626152821E-2</v>
      </c>
      <c r="H34" s="22"/>
      <c r="I34" s="23"/>
      <c r="J34" s="43"/>
      <c r="K34" s="21"/>
      <c r="M34" s="1"/>
      <c r="N34" s="1"/>
      <c r="O34" s="1"/>
      <c r="P34" s="1"/>
    </row>
    <row r="35" spans="1:17" ht="15" customHeight="1" x14ac:dyDescent="0.3">
      <c r="A35" s="18"/>
      <c r="B35" s="39"/>
      <c r="C35" s="19">
        <v>15</v>
      </c>
      <c r="D35" s="20">
        <f>6.083/3.281</f>
        <v>1.8540079244132885</v>
      </c>
      <c r="E35" s="21">
        <f t="shared" si="3"/>
        <v>0.39506172839506171</v>
      </c>
      <c r="F35" s="41">
        <f t="shared" si="4"/>
        <v>10.98671362615282</v>
      </c>
      <c r="G35" s="41">
        <f t="shared" si="2"/>
        <v>1.0986713626152821E-2</v>
      </c>
      <c r="H35" s="22"/>
      <c r="I35" s="23"/>
      <c r="J35" s="43"/>
      <c r="K35" s="21"/>
      <c r="M35" s="1"/>
      <c r="N35" s="1"/>
      <c r="O35" s="1"/>
      <c r="P35" s="1"/>
    </row>
    <row r="36" spans="1:17" ht="15" customHeight="1" x14ac:dyDescent="0.3">
      <c r="A36" s="18"/>
      <c r="B36" s="39"/>
      <c r="C36" s="19">
        <v>15</v>
      </c>
      <c r="D36" s="20">
        <f>6.5/3.281</f>
        <v>1.9811033221578787</v>
      </c>
      <c r="E36" s="21">
        <f t="shared" si="3"/>
        <v>0.39506172839506171</v>
      </c>
      <c r="F36" s="41">
        <f t="shared" si="4"/>
        <v>11.739871538713354</v>
      </c>
      <c r="G36" s="41">
        <f t="shared" si="2"/>
        <v>1.1739871538713354E-2</v>
      </c>
      <c r="H36" s="22"/>
      <c r="I36" s="23"/>
      <c r="J36" s="43"/>
      <c r="K36" s="21"/>
      <c r="M36" s="1"/>
      <c r="N36" s="1"/>
      <c r="O36" s="1"/>
      <c r="P36" s="1"/>
    </row>
    <row r="37" spans="1:17" ht="15" customHeight="1" x14ac:dyDescent="0.3">
      <c r="A37" s="18"/>
      <c r="B37" s="39" t="str">
        <f>B19</f>
        <v>-beam</v>
      </c>
      <c r="C37" s="19">
        <f>2*5</f>
        <v>10</v>
      </c>
      <c r="D37" s="20">
        <f>D10</f>
        <v>9.7531240475464784</v>
      </c>
      <c r="E37" s="21">
        <f>12*12/162</f>
        <v>0.88888888888888884</v>
      </c>
      <c r="F37" s="41">
        <f t="shared" ref="F37:F38" si="5">PRODUCT(C37:E37)</f>
        <v>86.69443597819091</v>
      </c>
      <c r="G37" s="41">
        <f t="shared" ref="G37:G38" si="6">F37/1000</f>
        <v>8.6694435978190904E-2</v>
      </c>
      <c r="H37" s="22"/>
      <c r="I37" s="23"/>
      <c r="J37" s="43"/>
      <c r="K37" s="21"/>
      <c r="M37" s="1"/>
      <c r="N37" s="62" t="e">
        <f>SUM(#REF!)</f>
        <v>#REF!</v>
      </c>
      <c r="O37" s="62">
        <f>F39+F40</f>
        <v>99.566031133236237</v>
      </c>
      <c r="P37" s="62">
        <f>F48+F49</f>
        <v>10.145185185185184</v>
      </c>
      <c r="Q37" s="63" t="e">
        <f>SUM(N37:P37)</f>
        <v>#REF!</v>
      </c>
    </row>
    <row r="38" spans="1:17" ht="15" customHeight="1" x14ac:dyDescent="0.3">
      <c r="A38" s="18"/>
      <c r="B38" s="39"/>
      <c r="C38" s="19">
        <f>3*4</f>
        <v>12</v>
      </c>
      <c r="D38" s="20">
        <f>E10</f>
        <v>5.790917403230722</v>
      </c>
      <c r="E38" s="21">
        <f>12*12/162</f>
        <v>0.88888888888888884</v>
      </c>
      <c r="F38" s="41">
        <f t="shared" si="5"/>
        <v>61.76978563446103</v>
      </c>
      <c r="G38" s="41">
        <f t="shared" si="6"/>
        <v>6.1769785634461033E-2</v>
      </c>
      <c r="H38" s="22"/>
      <c r="I38" s="23"/>
      <c r="J38" s="43"/>
      <c r="K38" s="21"/>
      <c r="M38" s="1"/>
      <c r="N38" s="62" t="e">
        <f>SUM(F37+F38+F41+F42+#REF!+F47)</f>
        <v>#REF!</v>
      </c>
      <c r="O38" s="1"/>
      <c r="P38" s="1"/>
    </row>
    <row r="39" spans="1:17" ht="15" customHeight="1" x14ac:dyDescent="0.3">
      <c r="A39" s="18"/>
      <c r="B39" s="39" t="s">
        <v>54</v>
      </c>
      <c r="C39" s="19">
        <f>60*2</f>
        <v>120</v>
      </c>
      <c r="D39" s="20">
        <f>(0.3*2+(0.583/3.281)*2+0.075*2)</f>
        <v>1.1053794574824747</v>
      </c>
      <c r="E39" s="21">
        <f t="shared" ref="E39:E49" si="7">8*8/162</f>
        <v>0.39506172839506171</v>
      </c>
      <c r="F39" s="41">
        <f>PRODUCT(C39:E39)</f>
        <v>52.403174280650653</v>
      </c>
      <c r="G39" s="41">
        <f>F39/1000</f>
        <v>5.2403174280650652E-2</v>
      </c>
      <c r="H39" s="22"/>
      <c r="I39" s="23"/>
      <c r="J39" s="43"/>
      <c r="K39" s="21"/>
      <c r="M39" s="1"/>
      <c r="N39" s="1"/>
      <c r="O39" s="1"/>
      <c r="P39" s="1"/>
    </row>
    <row r="40" spans="1:17" ht="15" customHeight="1" x14ac:dyDescent="0.3">
      <c r="A40" s="18"/>
      <c r="B40" s="39"/>
      <c r="C40" s="19">
        <f>36*3</f>
        <v>108</v>
      </c>
      <c r="D40" s="20">
        <f>(0.3*2+(0.583/3.281)*2+0.075*2)</f>
        <v>1.1053794574824747</v>
      </c>
      <c r="E40" s="21">
        <f t="shared" si="7"/>
        <v>0.39506172839506171</v>
      </c>
      <c r="F40" s="41">
        <f>PRODUCT(C40:E40)</f>
        <v>47.162856852585584</v>
      </c>
      <c r="G40" s="41">
        <f>F40/1000</f>
        <v>4.7162856852585582E-2</v>
      </c>
      <c r="H40" s="22"/>
      <c r="I40" s="23"/>
      <c r="J40" s="43"/>
      <c r="K40" s="21"/>
      <c r="M40" s="1"/>
      <c r="N40" s="1"/>
      <c r="O40" s="1"/>
      <c r="P40" s="1"/>
    </row>
    <row r="41" spans="1:17" ht="15" customHeight="1" x14ac:dyDescent="0.3">
      <c r="A41" s="18"/>
      <c r="B41" s="39" t="s">
        <v>60</v>
      </c>
      <c r="C41" s="19">
        <v>6</v>
      </c>
      <c r="D41" s="20">
        <f>7.75/3.281</f>
        <v>2.3620847302651629</v>
      </c>
      <c r="E41" s="21">
        <f>12*12/162</f>
        <v>0.88888888888888884</v>
      </c>
      <c r="F41" s="41">
        <f t="shared" ref="F41:F47" si="8">PRODUCT(C41:E41)</f>
        <v>12.597785228080866</v>
      </c>
      <c r="G41" s="41">
        <f t="shared" ref="G41:G49" si="9">F41/1000</f>
        <v>1.2597785228080867E-2</v>
      </c>
      <c r="H41" s="22"/>
      <c r="I41" s="23"/>
      <c r="J41" s="43"/>
      <c r="K41" s="21"/>
      <c r="M41" s="1"/>
      <c r="N41" s="1"/>
      <c r="O41" s="1"/>
      <c r="P41" s="1"/>
    </row>
    <row r="42" spans="1:17" ht="15" customHeight="1" x14ac:dyDescent="0.3">
      <c r="A42" s="18"/>
      <c r="B42" s="39"/>
      <c r="C42" s="19">
        <v>1</v>
      </c>
      <c r="D42" s="20">
        <f>8.667/3.281</f>
        <v>2.6415726912526667</v>
      </c>
      <c r="E42" s="21">
        <f>12*12/162</f>
        <v>0.88888888888888884</v>
      </c>
      <c r="F42" s="41">
        <f t="shared" si="8"/>
        <v>2.3480646144468147</v>
      </c>
      <c r="G42" s="41">
        <f t="shared" si="9"/>
        <v>2.3480646144468146E-3</v>
      </c>
      <c r="H42" s="22"/>
      <c r="I42" s="23"/>
      <c r="J42" s="43"/>
      <c r="K42" s="21"/>
      <c r="M42" s="1"/>
      <c r="N42" s="1"/>
      <c r="O42" s="1"/>
      <c r="P42" s="1"/>
    </row>
    <row r="43" spans="1:17" ht="15" customHeight="1" x14ac:dyDescent="0.3">
      <c r="A43" s="18"/>
      <c r="B43" s="39"/>
      <c r="C43" s="19">
        <v>1</v>
      </c>
      <c r="D43" s="20">
        <f>D38</f>
        <v>5.790917403230722</v>
      </c>
      <c r="E43" s="21">
        <f t="shared" ref="E43:E46" si="10">12*12/162</f>
        <v>0.88888888888888884</v>
      </c>
      <c r="F43" s="41">
        <f t="shared" ref="F43:F46" si="11">PRODUCT(C43:E43)</f>
        <v>5.1474821362050855</v>
      </c>
      <c r="G43" s="41">
        <f t="shared" ref="G43:G46" si="12">F43/1000</f>
        <v>5.1474821362050855E-3</v>
      </c>
      <c r="H43" s="22"/>
      <c r="I43" s="23"/>
      <c r="J43" s="43"/>
      <c r="K43" s="21"/>
      <c r="M43" s="1"/>
      <c r="N43" s="1"/>
      <c r="O43" s="1"/>
      <c r="P43" s="1"/>
    </row>
    <row r="44" spans="1:17" ht="15" customHeight="1" x14ac:dyDescent="0.3">
      <c r="A44" s="18"/>
      <c r="B44" s="39"/>
      <c r="C44" s="19">
        <v>1</v>
      </c>
      <c r="D44" s="20">
        <f>7.667/3.281</f>
        <v>2.3367875647668392</v>
      </c>
      <c r="E44" s="21">
        <f t="shared" si="10"/>
        <v>0.88888888888888884</v>
      </c>
      <c r="F44" s="41">
        <f t="shared" si="11"/>
        <v>2.0771445020149679</v>
      </c>
      <c r="G44" s="41">
        <f t="shared" si="12"/>
        <v>2.0771445020149677E-3</v>
      </c>
      <c r="H44" s="22"/>
      <c r="I44" s="23"/>
      <c r="J44" s="43"/>
      <c r="K44" s="21"/>
      <c r="M44" s="1"/>
      <c r="N44" s="1"/>
      <c r="O44" s="1"/>
      <c r="P44" s="1"/>
    </row>
    <row r="45" spans="1:17" ht="15" customHeight="1" x14ac:dyDescent="0.3">
      <c r="A45" s="18"/>
      <c r="B45" s="39"/>
      <c r="C45" s="19">
        <v>2</v>
      </c>
      <c r="D45" s="20">
        <f>9/3.281</f>
        <v>2.7430661383724475</v>
      </c>
      <c r="E45" s="21">
        <f t="shared" si="10"/>
        <v>0.88888888888888884</v>
      </c>
      <c r="F45" s="41">
        <f t="shared" si="11"/>
        <v>4.8765620237732401</v>
      </c>
      <c r="G45" s="41">
        <f t="shared" si="12"/>
        <v>4.8765620237732404E-3</v>
      </c>
      <c r="H45" s="22"/>
      <c r="I45" s="23"/>
      <c r="J45" s="43"/>
      <c r="K45" s="21"/>
      <c r="M45" s="1"/>
      <c r="N45" s="1"/>
      <c r="O45" s="1"/>
      <c r="P45" s="1"/>
    </row>
    <row r="46" spans="1:17" ht="15" customHeight="1" x14ac:dyDescent="0.3">
      <c r="A46" s="18"/>
      <c r="B46" s="39"/>
      <c r="C46" s="19">
        <v>2</v>
      </c>
      <c r="D46" s="20">
        <f>9/3.281</f>
        <v>2.7430661383724475</v>
      </c>
      <c r="E46" s="21">
        <f t="shared" si="10"/>
        <v>0.88888888888888884</v>
      </c>
      <c r="F46" s="41">
        <f t="shared" si="11"/>
        <v>4.8765620237732401</v>
      </c>
      <c r="G46" s="41">
        <f t="shared" si="12"/>
        <v>4.8765620237732404E-3</v>
      </c>
      <c r="H46" s="22"/>
      <c r="I46" s="23"/>
      <c r="J46" s="43"/>
      <c r="K46" s="21"/>
      <c r="M46" s="1"/>
      <c r="N46" s="1"/>
      <c r="O46" s="1"/>
      <c r="P46" s="1"/>
    </row>
    <row r="47" spans="1:17" ht="15" customHeight="1" x14ac:dyDescent="0.3">
      <c r="A47" s="18"/>
      <c r="B47" s="39" t="s">
        <v>59</v>
      </c>
      <c r="C47" s="19">
        <f>6*8</f>
        <v>48</v>
      </c>
      <c r="D47" s="20">
        <f>12/3.281</f>
        <v>3.6574215178299299</v>
      </c>
      <c r="E47" s="21">
        <f t="shared" ref="E47" si="13">12*12/162</f>
        <v>0.88888888888888884</v>
      </c>
      <c r="F47" s="41">
        <f t="shared" si="8"/>
        <v>156.04998476074368</v>
      </c>
      <c r="G47" s="41">
        <f t="shared" si="9"/>
        <v>0.15604998476074369</v>
      </c>
      <c r="H47" s="22"/>
      <c r="I47" s="23"/>
      <c r="J47" s="43"/>
      <c r="K47" s="21"/>
      <c r="M47" s="1"/>
      <c r="N47" s="1"/>
      <c r="O47" s="1"/>
      <c r="P47" s="1"/>
    </row>
    <row r="48" spans="1:17" ht="15" customHeight="1" x14ac:dyDescent="0.3">
      <c r="A48" s="18"/>
      <c r="B48" s="39" t="s">
        <v>54</v>
      </c>
      <c r="C48" s="19">
        <f>(TRUNC(((8.917/3.281)/0.125),0)+1)*0+12</f>
        <v>12</v>
      </c>
      <c r="D48" s="20">
        <f>(0.23*4+0.075*2)</f>
        <v>1.07</v>
      </c>
      <c r="E48" s="21">
        <f t="shared" si="7"/>
        <v>0.39506172839506171</v>
      </c>
      <c r="F48" s="41">
        <f>PRODUCT(C48:E48)</f>
        <v>5.0725925925925921</v>
      </c>
      <c r="G48" s="41">
        <f t="shared" si="9"/>
        <v>5.0725925925925921E-3</v>
      </c>
      <c r="H48" s="22"/>
      <c r="I48" s="23"/>
      <c r="J48" s="43"/>
      <c r="K48" s="21"/>
      <c r="M48" s="1"/>
      <c r="N48" s="1"/>
      <c r="O48" s="1"/>
      <c r="P48" s="1"/>
    </row>
    <row r="49" spans="1:16" ht="15" customHeight="1" x14ac:dyDescent="0.3">
      <c r="A49" s="18"/>
      <c r="B49" s="39"/>
      <c r="C49" s="19">
        <f>(TRUNC(((8.917/3.281)/0.125),0)+1)*0+12</f>
        <v>12</v>
      </c>
      <c r="D49" s="20">
        <f>(0.23*4+0.075*2)</f>
        <v>1.07</v>
      </c>
      <c r="E49" s="21">
        <f t="shared" si="7"/>
        <v>0.39506172839506171</v>
      </c>
      <c r="F49" s="41">
        <f>PRODUCT(C49:E49)</f>
        <v>5.0725925925925921</v>
      </c>
      <c r="G49" s="41">
        <f t="shared" si="9"/>
        <v>5.0725925925925921E-3</v>
      </c>
      <c r="H49" s="22"/>
      <c r="I49" s="23"/>
      <c r="J49" s="43"/>
      <c r="K49" s="21"/>
      <c r="M49" s="1"/>
      <c r="N49" s="1"/>
      <c r="O49" s="1"/>
      <c r="P49" s="1"/>
    </row>
    <row r="50" spans="1:16" ht="15" customHeight="1" x14ac:dyDescent="0.3">
      <c r="A50" s="18"/>
      <c r="B50" s="39" t="s">
        <v>39</v>
      </c>
      <c r="C50" s="19"/>
      <c r="D50" s="20"/>
      <c r="E50" s="21"/>
      <c r="F50" s="21"/>
      <c r="G50" s="23">
        <f>SUM(G26:G49)</f>
        <v>0.99755453418673168</v>
      </c>
      <c r="H50" s="22" t="s">
        <v>58</v>
      </c>
      <c r="I50" s="23">
        <v>131940</v>
      </c>
      <c r="J50" s="43">
        <f>G50*I50</f>
        <v>131617.34524059738</v>
      </c>
      <c r="K50" s="21"/>
      <c r="M50" s="1"/>
      <c r="N50" s="1"/>
      <c r="O50" s="1"/>
      <c r="P50" s="1"/>
    </row>
    <row r="51" spans="1:16" ht="15" customHeight="1" x14ac:dyDescent="0.3">
      <c r="A51" s="18"/>
      <c r="B51" s="39" t="s">
        <v>37</v>
      </c>
      <c r="C51" s="19"/>
      <c r="D51" s="20"/>
      <c r="E51" s="21"/>
      <c r="F51" s="21"/>
      <c r="G51" s="23"/>
      <c r="H51" s="22"/>
      <c r="I51" s="23"/>
      <c r="J51" s="43">
        <f>0.13*G50*106200</f>
        <v>13772.237898982017</v>
      </c>
      <c r="K51" s="21"/>
      <c r="M51" s="1"/>
      <c r="N51" s="1"/>
      <c r="O51" s="1"/>
      <c r="P51" s="1"/>
    </row>
    <row r="52" spans="1:16" ht="15" customHeight="1" x14ac:dyDescent="0.3">
      <c r="A52" s="18"/>
      <c r="B52" s="39"/>
      <c r="C52" s="19"/>
      <c r="D52" s="20"/>
      <c r="E52" s="21"/>
      <c r="F52" s="21"/>
      <c r="G52" s="23"/>
      <c r="H52" s="22"/>
      <c r="I52" s="23"/>
      <c r="J52" s="43"/>
      <c r="K52" s="21"/>
      <c r="M52" s="1"/>
      <c r="N52" s="1"/>
      <c r="O52" s="1"/>
      <c r="P52" s="1"/>
    </row>
    <row r="53" spans="1:16" ht="15" customHeight="1" x14ac:dyDescent="0.3">
      <c r="A53" s="18">
        <v>4</v>
      </c>
      <c r="B53" s="30" t="s">
        <v>30</v>
      </c>
      <c r="C53" s="19">
        <v>1</v>
      </c>
      <c r="D53" s="20"/>
      <c r="E53" s="21"/>
      <c r="F53" s="21"/>
      <c r="G53" s="34">
        <f t="shared" ref="G53" si="14">PRODUCT(C53:F53)</f>
        <v>1</v>
      </c>
      <c r="H53" s="22" t="s">
        <v>31</v>
      </c>
      <c r="I53" s="23">
        <v>500</v>
      </c>
      <c r="J53" s="34">
        <f>G53*I53</f>
        <v>500</v>
      </c>
      <c r="K53" s="21"/>
      <c r="M53" s="1"/>
      <c r="N53" s="1"/>
      <c r="O53" s="1"/>
      <c r="P53" s="1"/>
    </row>
    <row r="54" spans="1:16" ht="15" customHeight="1" x14ac:dyDescent="0.3">
      <c r="A54" s="18"/>
      <c r="B54" s="24"/>
      <c r="C54" s="19"/>
      <c r="D54" s="20"/>
      <c r="E54" s="21"/>
      <c r="F54" s="21"/>
      <c r="G54" s="23"/>
      <c r="H54" s="22"/>
      <c r="I54" s="23"/>
      <c r="J54" s="43"/>
      <c r="K54" s="21"/>
      <c r="M54" s="1"/>
      <c r="N54" s="1"/>
      <c r="O54" s="1"/>
      <c r="P54" s="1"/>
    </row>
    <row r="55" spans="1:16" x14ac:dyDescent="0.3">
      <c r="A55" s="42"/>
      <c r="B55" s="44" t="s">
        <v>17</v>
      </c>
      <c r="C55" s="45"/>
      <c r="D55" s="40"/>
      <c r="E55" s="40"/>
      <c r="F55" s="40"/>
      <c r="G55" s="43"/>
      <c r="H55" s="43"/>
      <c r="I55" s="43"/>
      <c r="J55" s="43">
        <f>SUM(J9:J53)</f>
        <v>352237.30428883055</v>
      </c>
      <c r="K55" s="38"/>
    </row>
    <row r="56" spans="1:16" x14ac:dyDescent="0.3">
      <c r="A56" s="56"/>
      <c r="B56" s="59"/>
      <c r="C56" s="60"/>
      <c r="D56" s="57"/>
      <c r="E56" s="57"/>
      <c r="F56" s="57"/>
      <c r="G56" s="58"/>
      <c r="H56" s="58"/>
      <c r="I56" s="58"/>
      <c r="J56" s="58"/>
      <c r="K56" s="55"/>
    </row>
    <row r="57" spans="1:16" s="1" customFormat="1" x14ac:dyDescent="0.3">
      <c r="A57" s="48"/>
      <c r="B57" s="29" t="s">
        <v>74</v>
      </c>
      <c r="C57" s="82">
        <f>J55</f>
        <v>352237.30428883055</v>
      </c>
      <c r="D57" s="82"/>
      <c r="E57" s="41">
        <v>100</v>
      </c>
      <c r="F57" s="49"/>
      <c r="G57" s="50"/>
      <c r="H57" s="49"/>
      <c r="I57" s="51"/>
      <c r="J57" s="52"/>
      <c r="K57" s="53"/>
    </row>
    <row r="58" spans="1:16" x14ac:dyDescent="0.3">
      <c r="A58" s="54"/>
      <c r="B58" s="29" t="s">
        <v>32</v>
      </c>
      <c r="C58" s="85">
        <v>300000</v>
      </c>
      <c r="D58" s="85"/>
      <c r="E58" s="41"/>
      <c r="F58" s="47"/>
      <c r="G58" s="46"/>
      <c r="H58" s="46"/>
      <c r="I58" s="46"/>
      <c r="J58" s="46"/>
      <c r="K58" s="47"/>
    </row>
    <row r="59" spans="1:16" x14ac:dyDescent="0.3">
      <c r="A59" s="54"/>
      <c r="B59" s="29" t="s">
        <v>33</v>
      </c>
      <c r="C59" s="85">
        <f>C58-C61-C62</f>
        <v>285000</v>
      </c>
      <c r="D59" s="85"/>
      <c r="E59" s="41">
        <f>C59/C57*100</f>
        <v>80.91136189433908</v>
      </c>
      <c r="F59" s="47"/>
      <c r="G59" s="46"/>
      <c r="H59" s="46"/>
      <c r="I59" s="46"/>
      <c r="J59" s="46"/>
      <c r="K59" s="47"/>
    </row>
    <row r="60" spans="1:16" x14ac:dyDescent="0.3">
      <c r="A60" s="54"/>
      <c r="B60" s="29" t="s">
        <v>34</v>
      </c>
      <c r="C60" s="82">
        <f>C57-C59</f>
        <v>67237.30428883055</v>
      </c>
      <c r="D60" s="82"/>
      <c r="E60" s="41">
        <f>100-E59</f>
        <v>19.08863810566092</v>
      </c>
      <c r="F60" s="47"/>
      <c r="G60" s="46"/>
      <c r="H60" s="46"/>
      <c r="I60" s="46"/>
      <c r="J60" s="46"/>
      <c r="K60" s="47"/>
    </row>
    <row r="61" spans="1:16" x14ac:dyDescent="0.3">
      <c r="A61" s="54"/>
      <c r="B61" s="29" t="s">
        <v>35</v>
      </c>
      <c r="C61" s="82">
        <f>C58*0.03</f>
        <v>9000</v>
      </c>
      <c r="D61" s="82"/>
      <c r="E61" s="41">
        <v>3</v>
      </c>
      <c r="F61" s="47"/>
      <c r="G61" s="46"/>
      <c r="H61" s="46"/>
      <c r="I61" s="46"/>
      <c r="J61" s="46"/>
      <c r="K61" s="47"/>
    </row>
    <row r="62" spans="1:16" x14ac:dyDescent="0.3">
      <c r="A62" s="54"/>
      <c r="B62" s="29" t="s">
        <v>36</v>
      </c>
      <c r="C62" s="82">
        <f>C58*0.02</f>
        <v>6000</v>
      </c>
      <c r="D62" s="82"/>
      <c r="E62" s="41">
        <v>2</v>
      </c>
      <c r="F62" s="47"/>
      <c r="G62" s="46"/>
      <c r="H62" s="46"/>
      <c r="I62" s="46"/>
      <c r="J62" s="46"/>
      <c r="K62" s="47"/>
    </row>
    <row r="63" spans="1:16" s="37" customFormat="1" x14ac:dyDescent="0.3">
      <c r="A63" s="55"/>
      <c r="B63" s="55"/>
      <c r="C63" s="55"/>
      <c r="D63" s="55"/>
      <c r="E63" s="55"/>
      <c r="F63" s="55"/>
      <c r="G63" s="55"/>
      <c r="H63" s="55"/>
      <c r="I63" s="55"/>
      <c r="J63" s="55"/>
      <c r="K63" s="55"/>
    </row>
    <row r="64" spans="1:16" s="37" customFormat="1" x14ac:dyDescent="0.3"/>
  </sheetData>
  <mergeCells count="15">
    <mergeCell ref="C61:D61"/>
    <mergeCell ref="C62:D62"/>
    <mergeCell ref="A7:F7"/>
    <mergeCell ref="H7:K7"/>
    <mergeCell ref="C57:D57"/>
    <mergeCell ref="C58:D58"/>
    <mergeCell ref="C59:D59"/>
    <mergeCell ref="C60:D60"/>
    <mergeCell ref="A1:K1"/>
    <mergeCell ref="A2:K2"/>
    <mergeCell ref="A3:K3"/>
    <mergeCell ref="A4:K4"/>
    <mergeCell ref="A5:K5"/>
    <mergeCell ref="A6:F6"/>
    <mergeCell ref="H6:K6"/>
  </mergeCells>
  <pageMargins left="0.7" right="0.7" top="0.75" bottom="0.75" header="0.3" footer="0.3"/>
  <pageSetup paperSize="9" scale="80" orientation="portrait" r:id="rId1"/>
  <headerFooter>
    <oddFooter>&amp;LPrepared By:
Kristal Suwal&amp;CChecked By:
Er. Milan Phuyal&amp;RApproved By:
Er. Prakash Singh Saud</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7</vt:i4>
      </vt:variant>
    </vt:vector>
  </HeadingPairs>
  <TitlesOfParts>
    <vt:vector size="11" baseType="lpstr">
      <vt:lpstr>kalimasta mandir final</vt:lpstr>
      <vt:lpstr>kalimasta mandir final (2)</vt:lpstr>
      <vt:lpstr>WCR</vt:lpstr>
      <vt:lpstr>valuated</vt:lpstr>
      <vt:lpstr>'kalimasta mandir final'!Print_Area</vt:lpstr>
      <vt:lpstr>'kalimasta mandir final (2)'!Print_Area</vt:lpstr>
      <vt:lpstr>valuated!Print_Area</vt:lpstr>
      <vt:lpstr>'kalimasta mandir final'!Print_Titles</vt:lpstr>
      <vt:lpstr>'kalimasta mandir final (2)'!Print_Titles</vt:lpstr>
      <vt:lpstr>valuated!Print_Titles</vt:lpstr>
      <vt:lpstr>WCR!Print_Titles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Info Hub</dc:creator>
  <cp:lastModifiedBy>DELL</cp:lastModifiedBy>
  <cp:lastPrinted>2024-10-27T07:42:58Z</cp:lastPrinted>
  <dcterms:created xsi:type="dcterms:W3CDTF">2015-06-05T18:17:20Z</dcterms:created>
  <dcterms:modified xsi:type="dcterms:W3CDTF">2024-10-29T02:20:28Z</dcterms:modified>
</cp:coreProperties>
</file>