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bhaipari 250000 setidevi mandir\"/>
    </mc:Choice>
  </mc:AlternateContent>
  <bookViews>
    <workbookView xWindow="-120" yWindow="-120" windowWidth="20736" windowHeight="11160" activeTab="1"/>
  </bookViews>
  <sheets>
    <sheet name="WCR" sheetId="6" r:id="rId1"/>
    <sheet name="300k" sheetId="20" r:id="rId2"/>
    <sheet name="Sheet1" sheetId="21" state="hidden"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'300k'!$A$1:$K$53</definedName>
    <definedName name="_xlnm.Print_Titles" localSheetId="1">'300k'!$1:$8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6" i="20" l="1"/>
  <c r="D38" i="20"/>
  <c r="D39" i="20" s="1"/>
  <c r="G39" i="20" s="1"/>
  <c r="D20" i="20"/>
  <c r="E40" i="20"/>
  <c r="G33" i="20"/>
  <c r="G11" i="20"/>
  <c r="N10" i="20"/>
  <c r="M10" i="20"/>
  <c r="O10" i="20" s="1"/>
  <c r="F18" i="21"/>
  <c r="F6" i="21"/>
  <c r="F5" i="21"/>
  <c r="F4" i="21"/>
  <c r="F3" i="21"/>
  <c r="B20" i="20"/>
  <c r="E25" i="20"/>
  <c r="E26" i="20" s="1"/>
  <c r="D25" i="20"/>
  <c r="D26" i="20" s="1"/>
  <c r="E32" i="20"/>
  <c r="E31" i="20"/>
  <c r="D32" i="20"/>
  <c r="G32" i="20" l="1"/>
  <c r="G26" i="20"/>
  <c r="G16" i="20" l="1"/>
  <c r="D15" i="20" l="1"/>
  <c r="G15" i="20" l="1"/>
  <c r="D31" i="20"/>
  <c r="G31" i="20" s="1"/>
  <c r="G34" i="20" s="1"/>
  <c r="G17" i="20" l="1"/>
  <c r="J17" i="20" s="1"/>
  <c r="J34" i="20"/>
  <c r="J35" i="20"/>
  <c r="G40" i="20" l="1"/>
  <c r="E16" i="21"/>
  <c r="E17" i="21" s="1"/>
  <c r="D18" i="21"/>
  <c r="E5" i="21"/>
  <c r="E6" i="21"/>
  <c r="E7" i="21"/>
  <c r="E8" i="21"/>
  <c r="E9" i="21"/>
  <c r="E10" i="21"/>
  <c r="E11" i="21"/>
  <c r="E12" i="21"/>
  <c r="E13" i="21"/>
  <c r="E14" i="21"/>
  <c r="E15" i="21"/>
  <c r="E4" i="21"/>
  <c r="D5" i="21"/>
  <c r="D6" i="21"/>
  <c r="D7" i="21"/>
  <c r="D8" i="21"/>
  <c r="D9" i="21"/>
  <c r="D10" i="21"/>
  <c r="D11" i="21"/>
  <c r="D12" i="21"/>
  <c r="D13" i="21"/>
  <c r="D14" i="21"/>
  <c r="D15" i="21"/>
  <c r="D16" i="21"/>
  <c r="D4" i="21"/>
  <c r="C18" i="21"/>
  <c r="B18" i="21"/>
  <c r="C16" i="21"/>
  <c r="C15" i="21"/>
  <c r="C14" i="21"/>
  <c r="C13" i="21"/>
  <c r="C12" i="21"/>
  <c r="C11" i="21"/>
  <c r="C10" i="21"/>
  <c r="C9" i="21"/>
  <c r="C8" i="21"/>
  <c r="C7" i="21"/>
  <c r="C6" i="21"/>
  <c r="C5" i="21"/>
  <c r="C4" i="21"/>
  <c r="C3" i="21"/>
  <c r="D10" i="20" l="1"/>
  <c r="G10" i="20" s="1"/>
  <c r="G12" i="20" s="1"/>
  <c r="J12" i="20" s="1"/>
  <c r="C53" i="20"/>
  <c r="C52" i="20"/>
  <c r="G44" i="20"/>
  <c r="J44" i="20" s="1"/>
  <c r="G38" i="20"/>
  <c r="G41" i="20" s="1"/>
  <c r="G25" i="20"/>
  <c r="G27" i="20" s="1"/>
  <c r="G20" i="20"/>
  <c r="G21" i="20" s="1"/>
  <c r="C50" i="20" l="1"/>
  <c r="J22" i="20"/>
  <c r="J21" i="20"/>
  <c r="J42" i="20"/>
  <c r="J41" i="20"/>
  <c r="J28" i="20" l="1"/>
  <c r="J27" i="20"/>
  <c r="C48" i="20" l="1"/>
  <c r="C51" i="20" s="1"/>
  <c r="E50" i="20" l="1"/>
  <c r="E51" i="20" s="1"/>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<sst xmlns="http://schemas.openxmlformats.org/spreadsheetml/2006/main" count="90" uniqueCount="68">
  <si>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</si>
  <si>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</si>
  <si>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</si>
  <si>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</si>
  <si>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</si>
  <si>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</si>
  <si>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</si>
  <si>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</si>
  <si>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</si>
  <si>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</si>
  <si>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</si>
  <si>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</si>
  <si>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</si>
  <si>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</si>
  <si>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</si>
  <si>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</si>
  <si>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</si>
  <si>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</si>
  <si>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</si>
  <si>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</si>
  <si>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</si>
  <si>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</si>
  <si>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</si>
  <si>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</si>
  <si>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</si>
  <si>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</si>
  <si>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</si>
  <si>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</si>
  <si>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</si>
  <si>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</si>
  <si>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</si>
  <si>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</si>
  <si>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</si>
  <si>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</si>
  <si>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</si>
  <si>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</si>
  <si>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</si>
  <si>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</si>
  <si>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</si>
  <si>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</si>
  <si>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</si>
  <si>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</si>
  <si>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</si>
  <si>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</si>
  <si>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</si>
  <si>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F.Y.: 2081/2082</t>
  </si>
  <si>
    <t>-For wall</t>
  </si>
  <si>
    <t>-for flooring</t>
  </si>
  <si>
    <t>m2</t>
  </si>
  <si>
    <t xml:space="preserve">dfn;fdfg pknAw u/L %) dL=dL= df]6f] x]eL 8o"6L OG6/nls+u s+lqm6Ans %) dL=dL=df]6fOsf] qm;/ 8:6 dfyL /fvL la5ofpg]] sfd k'/f </t>
  </si>
  <si>
    <t>Chainage</t>
  </si>
  <si>
    <t>Width</t>
  </si>
  <si>
    <t>Width avg</t>
  </si>
  <si>
    <t>Area</t>
  </si>
  <si>
    <t xml:space="preserve">l;d]G6 d;nfsf] uf/f]af6 O{6f lemls nfu]sf] d;nf ;kmf ug]{ tyf k'gM k|of]u ug]{ ;lsg] u/L yGsfpg] sfd . </t>
  </si>
  <si>
    <t xml:space="preserve">e'O{+tNnfdf lrDgL e§fsf] O{+6fsf] uf/f] l;d]G6 d;nf -!M^_ df </t>
  </si>
  <si>
    <t>-Side wall</t>
  </si>
  <si>
    <t>-at entrance</t>
  </si>
  <si>
    <t>-for wall at entrance</t>
  </si>
  <si>
    <t>;'Vvf O{6f RofK6f] 5fKg] sfd</t>
  </si>
  <si>
    <t>sqm</t>
  </si>
  <si>
    <t>height</t>
  </si>
  <si>
    <t>total width</t>
  </si>
  <si>
    <t>existing width</t>
  </si>
  <si>
    <t>remaining width</t>
  </si>
  <si>
    <t>g/d k|sf/sf] Sn] / l;N6L df6f]df ;j} lsl;dsf] vGg] sfd</t>
  </si>
  <si>
    <t xml:space="preserve">Project:- सेतीदेवी मन्दिर जाने बाटो निर्माण </t>
  </si>
  <si>
    <t>Date:2081/09/29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</si>
</sst>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quotePrefix="1" applyFont="1" applyFill="1" applyBorder="1" applyAlignment="1">
      <alignment wrapText="1"/>
    </xf>
    <xf numFmtId="2" fontId="0" fillId="0" borderId="0" xfId="0" applyNumberFormat="1"/>
    <xf numFmtId="1" fontId="16" fillId="0" borderId="1" xfId="0" applyNumberFormat="1" applyFont="1" applyFill="1" applyBorder="1" applyAlignment="1">
      <alignment vertical="center" wrapText="1"/>
    </xf>
    <xf numFmtId="0" fontId="0" fillId="0" borderId="0" xfId="0" applyAlignment="1">
      <alignment wrapText="1"/>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1" t="s">
        <v>0</v>
      </c>
      <c r="B1" s="71"/>
      <c r="C1" s="71"/>
      <c r="D1" s="71"/>
      <c r="E1" s="71"/>
      <c r="F1" s="71"/>
      <c r="G1" s="71"/>
      <c r="H1" s="71"/>
      <c r="I1" s="71"/>
      <c r="J1" s="71"/>
      <c r="K1" s="71"/>
    </row>
    <row r="2" spans="1:11" ht="24.6" x14ac:dyDescent="0.4">
      <c r="A2" s="72" t="s">
        <v>1</v>
      </c>
      <c r="B2" s="72"/>
      <c r="C2" s="72"/>
      <c r="D2" s="72"/>
      <c r="E2" s="72"/>
      <c r="F2" s="72"/>
      <c r="G2" s="72"/>
      <c r="H2" s="72"/>
      <c r="I2" s="72"/>
      <c r="J2" s="72"/>
      <c r="K2" s="72"/>
    </row>
    <row r="3" spans="1:11" s="1" customFormat="1" x14ac:dyDescent="0.3">
      <c r="A3" s="73" t="s">
        <v>2</v>
      </c>
      <c r="B3" s="73"/>
      <c r="C3" s="73"/>
      <c r="D3" s="73"/>
      <c r="E3" s="73"/>
      <c r="F3" s="73"/>
      <c r="G3" s="73"/>
      <c r="H3" s="73"/>
      <c r="I3" s="73"/>
      <c r="J3" s="73"/>
      <c r="K3" s="73"/>
    </row>
    <row r="4" spans="1:11" s="1" customFormat="1" x14ac:dyDescent="0.3">
      <c r="A4" s="73" t="s">
        <v>3</v>
      </c>
      <c r="B4" s="73"/>
      <c r="C4" s="73"/>
      <c r="D4" s="73"/>
      <c r="E4" s="73"/>
      <c r="F4" s="73"/>
      <c r="G4" s="73"/>
      <c r="H4" s="73"/>
      <c r="I4" s="73"/>
      <c r="J4" s="73"/>
      <c r="K4" s="73"/>
    </row>
    <row r="5" spans="1:11" ht="18" x14ac:dyDescent="0.35">
      <c r="A5" s="74" t="s">
        <v>18</v>
      </c>
      <c r="B5" s="74"/>
      <c r="C5" s="74"/>
      <c r="D5" s="74"/>
      <c r="E5" s="74"/>
      <c r="F5" s="74"/>
      <c r="G5" s="74"/>
      <c r="H5" s="74"/>
      <c r="I5" s="74"/>
      <c r="J5" s="74"/>
      <c r="K5" s="74"/>
    </row>
    <row r="6" spans="1:11" ht="18" x14ac:dyDescent="0.35">
      <c r="A6" s="8" t="s">
        <v>19</v>
      </c>
      <c r="B6" s="8"/>
      <c r="C6" s="69" t="e">
        <f>F18</f>
        <v>#REF!</v>
      </c>
      <c r="D6" s="70"/>
      <c r="E6" s="9"/>
      <c r="F6" s="8"/>
      <c r="G6" s="8"/>
      <c r="H6" s="8" t="s">
        <v>20</v>
      </c>
      <c r="I6" s="8"/>
      <c r="J6" s="69" t="e">
        <f>I18</f>
        <v>#REF!</v>
      </c>
      <c r="K6" s="70"/>
    </row>
    <row r="7" spans="1:11" x14ac:dyDescent="0.3">
      <c r="A7" s="26" t="s">
        <v>29</v>
      </c>
      <c r="B7" s="10"/>
      <c r="C7" s="10"/>
      <c r="D7" s="10"/>
      <c r="F7" s="78"/>
      <c r="G7" s="78"/>
      <c r="I7" s="79" t="s">
        <v>37</v>
      </c>
      <c r="J7" s="79"/>
      <c r="K7" s="79"/>
    </row>
    <row r="8" spans="1:11" ht="15.6" x14ac:dyDescent="0.3">
      <c r="A8" s="77" t="e">
        <f>#REF!</f>
        <v>#REF!</v>
      </c>
      <c r="B8" s="77"/>
      <c r="C8" s="77"/>
      <c r="D8" s="77"/>
      <c r="E8" s="77"/>
      <c r="F8" s="77"/>
      <c r="I8" s="80" t="s">
        <v>38</v>
      </c>
      <c r="J8" s="80"/>
      <c r="K8" s="80"/>
    </row>
    <row r="9" spans="1:11" x14ac:dyDescent="0.3">
      <c r="A9" s="81" t="e">
        <f>#REF!</f>
        <v>#REF!</v>
      </c>
      <c r="B9" s="81"/>
      <c r="C9" s="81"/>
      <c r="D9" s="81"/>
      <c r="E9" s="81"/>
      <c r="F9" s="81"/>
      <c r="I9" s="80" t="s">
        <v>39</v>
      </c>
      <c r="J9" s="80"/>
      <c r="K9" s="80"/>
    </row>
    <row r="11" spans="1:11" x14ac:dyDescent="0.3">
      <c r="A11" s="75" t="s">
        <v>21</v>
      </c>
      <c r="B11" s="75" t="s">
        <v>22</v>
      </c>
      <c r="C11" s="75" t="s">
        <v>12</v>
      </c>
      <c r="D11" s="82" t="s">
        <v>23</v>
      </c>
      <c r="E11" s="82"/>
      <c r="F11" s="82"/>
      <c r="G11" s="82" t="s">
        <v>24</v>
      </c>
      <c r="H11" s="82"/>
      <c r="I11" s="82"/>
      <c r="J11" s="75" t="s">
        <v>25</v>
      </c>
      <c r="K11" s="76" t="s">
        <v>15</v>
      </c>
    </row>
    <row r="12" spans="1:11" x14ac:dyDescent="0.3">
      <c r="A12" s="75"/>
      <c r="B12" s="75"/>
      <c r="C12" s="75"/>
      <c r="D12" s="11" t="s">
        <v>26</v>
      </c>
      <c r="E12" s="11" t="s">
        <v>13</v>
      </c>
      <c r="F12" s="11" t="s">
        <v>14</v>
      </c>
      <c r="G12" s="11" t="s">
        <v>26</v>
      </c>
      <c r="H12" s="11" t="s">
        <v>13</v>
      </c>
      <c r="I12" s="11" t="s">
        <v>14</v>
      </c>
      <c r="J12" s="75"/>
      <c r="K12" s="76"/>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0"/>
  <sheetViews>
    <sheetView tabSelected="1" view="pageBreakPreview" topLeftCell="A21" zoomScale="60" zoomScaleNormal="100" workbookViewId="0">
      <selection activeCell="H33" sqref="H33"/>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8" s="1" customFormat="1" x14ac:dyDescent="0.3">
      <c r="A1" s="84" t="s">
        <v>0</v>
      </c>
      <c r="B1" s="84"/>
      <c r="C1" s="84"/>
      <c r="D1" s="84"/>
      <c r="E1" s="84"/>
      <c r="F1" s="84"/>
      <c r="G1" s="84"/>
      <c r="H1" s="84"/>
      <c r="I1" s="84"/>
      <c r="J1" s="84"/>
      <c r="K1" s="84"/>
    </row>
    <row r="2" spans="1:18" s="1" customFormat="1" ht="22.8" x14ac:dyDescent="0.3">
      <c r="A2" s="85" t="s">
        <v>1</v>
      </c>
      <c r="B2" s="85"/>
      <c r="C2" s="85"/>
      <c r="D2" s="85"/>
      <c r="E2" s="85"/>
      <c r="F2" s="85"/>
      <c r="G2" s="85"/>
      <c r="H2" s="85"/>
      <c r="I2" s="85"/>
      <c r="J2" s="85"/>
      <c r="K2" s="85"/>
    </row>
    <row r="3" spans="1:18" s="1" customFormat="1" x14ac:dyDescent="0.3">
      <c r="A3" s="73" t="s">
        <v>2</v>
      </c>
      <c r="B3" s="73"/>
      <c r="C3" s="73"/>
      <c r="D3" s="73"/>
      <c r="E3" s="73"/>
      <c r="F3" s="73"/>
      <c r="G3" s="73"/>
      <c r="H3" s="73"/>
      <c r="I3" s="73"/>
      <c r="J3" s="73"/>
      <c r="K3" s="73"/>
    </row>
    <row r="4" spans="1:18" s="1" customFormat="1" x14ac:dyDescent="0.3">
      <c r="A4" s="73" t="s">
        <v>3</v>
      </c>
      <c r="B4" s="73"/>
      <c r="C4" s="73"/>
      <c r="D4" s="73"/>
      <c r="E4" s="73"/>
      <c r="F4" s="73"/>
      <c r="G4" s="73"/>
      <c r="H4" s="73"/>
      <c r="I4" s="73"/>
      <c r="J4" s="73"/>
      <c r="K4" s="73"/>
    </row>
    <row r="5" spans="1:18" ht="17.399999999999999" x14ac:dyDescent="0.3">
      <c r="A5" s="86" t="s">
        <v>4</v>
      </c>
      <c r="B5" s="86"/>
      <c r="C5" s="86"/>
      <c r="D5" s="86"/>
      <c r="E5" s="86"/>
      <c r="F5" s="86"/>
      <c r="G5" s="86"/>
      <c r="H5" s="86"/>
      <c r="I5" s="86"/>
      <c r="J5" s="86"/>
      <c r="K5" s="86"/>
    </row>
    <row r="6" spans="1:18" ht="15.6" x14ac:dyDescent="0.3">
      <c r="A6" s="77" t="s">
        <v>66</v>
      </c>
      <c r="B6" s="77"/>
      <c r="C6" s="77"/>
      <c r="D6" s="77"/>
      <c r="E6" s="77"/>
      <c r="F6" s="77"/>
      <c r="G6" s="2"/>
      <c r="H6" s="83" t="s">
        <v>45</v>
      </c>
      <c r="I6" s="83"/>
      <c r="J6" s="83"/>
      <c r="K6" s="83"/>
    </row>
    <row r="7" spans="1:18" ht="15.6" x14ac:dyDescent="0.3">
      <c r="A7" s="88" t="s">
        <v>28</v>
      </c>
      <c r="B7" s="88"/>
      <c r="C7" s="88"/>
      <c r="D7" s="88"/>
      <c r="E7" s="88"/>
      <c r="F7" s="88"/>
      <c r="G7" s="3"/>
      <c r="H7" s="89" t="s">
        <v>67</v>
      </c>
      <c r="I7" s="89"/>
      <c r="J7" s="89"/>
      <c r="K7" s="89"/>
    </row>
    <row r="8" spans="1:18" ht="15" customHeight="1" x14ac:dyDescent="0.3">
      <c r="A8" s="4" t="s">
        <v>5</v>
      </c>
      <c r="B8" s="15" t="s">
        <v>6</v>
      </c>
      <c r="C8" s="4" t="s">
        <v>7</v>
      </c>
      <c r="D8" s="16" t="s">
        <v>8</v>
      </c>
      <c r="E8" s="16" t="s">
        <v>9</v>
      </c>
      <c r="F8" s="16" t="s">
        <v>10</v>
      </c>
      <c r="G8" s="16" t="s">
        <v>11</v>
      </c>
      <c r="H8" s="4" t="s">
        <v>12</v>
      </c>
      <c r="I8" s="16" t="s">
        <v>13</v>
      </c>
      <c r="J8" s="16" t="s">
        <v>14</v>
      </c>
      <c r="K8" s="17" t="s">
        <v>15</v>
      </c>
    </row>
    <row r="9" spans="1:18" ht="30.6" x14ac:dyDescent="0.3">
      <c r="A9" s="29">
        <v>1</v>
      </c>
      <c r="B9" s="65" t="s">
        <v>65</v>
      </c>
      <c r="C9" s="37"/>
      <c r="D9" s="37"/>
      <c r="E9" s="37"/>
      <c r="F9" s="37"/>
      <c r="G9" s="37"/>
      <c r="H9" s="37"/>
      <c r="I9" s="37"/>
      <c r="J9" s="37"/>
      <c r="K9" s="37"/>
      <c r="M9" s="68" t="s">
        <v>62</v>
      </c>
      <c r="N9" s="68" t="s">
        <v>63</v>
      </c>
      <c r="O9" s="68" t="s">
        <v>64</v>
      </c>
    </row>
    <row r="10" spans="1:18" ht="15" customHeight="1" x14ac:dyDescent="0.3">
      <c r="A10" s="18"/>
      <c r="B10" s="38" t="s">
        <v>46</v>
      </c>
      <c r="C10" s="37">
        <v>1</v>
      </c>
      <c r="D10" s="39">
        <f>D38</f>
        <v>57</v>
      </c>
      <c r="E10" s="39">
        <v>0.21</v>
      </c>
      <c r="F10" s="39">
        <v>1</v>
      </c>
      <c r="G10" s="40">
        <f>PRODUCT(C10:F10)</f>
        <v>11.969999999999999</v>
      </c>
      <c r="H10" s="41"/>
      <c r="I10" s="41"/>
      <c r="J10" s="41"/>
      <c r="K10" s="21"/>
      <c r="M10" s="1">
        <f>8/3.281</f>
        <v>2.4382810118866196</v>
      </c>
      <c r="N10" s="59">
        <f>E38</f>
        <v>1.87</v>
      </c>
      <c r="O10" s="59">
        <f>M10-N10-1.17/3.281</f>
        <v>0.21168241389820136</v>
      </c>
      <c r="P10" s="25"/>
    </row>
    <row r="11" spans="1:18" ht="15" customHeight="1" x14ac:dyDescent="0.3">
      <c r="A11" s="18"/>
      <c r="B11" s="38"/>
      <c r="C11" s="37">
        <v>1</v>
      </c>
      <c r="D11" s="39">
        <v>8</v>
      </c>
      <c r="E11" s="39">
        <v>0.23</v>
      </c>
      <c r="F11" s="39">
        <v>0.6</v>
      </c>
      <c r="G11" s="40">
        <f>PRODUCT(C11:F11)</f>
        <v>1.1040000000000001</v>
      </c>
      <c r="H11" s="41"/>
      <c r="I11" s="41"/>
      <c r="J11" s="41"/>
      <c r="K11" s="21"/>
      <c r="M11" s="1"/>
      <c r="N11" s="59"/>
      <c r="O11" s="59"/>
      <c r="P11" s="25"/>
    </row>
    <row r="12" spans="1:18" ht="15" customHeight="1" x14ac:dyDescent="0.3">
      <c r="A12" s="18"/>
      <c r="B12" s="38" t="s">
        <v>42</v>
      </c>
      <c r="C12" s="19"/>
      <c r="D12" s="20"/>
      <c r="E12" s="21"/>
      <c r="F12" s="21"/>
      <c r="G12" s="23">
        <f>SUM(G10:G11)</f>
        <v>13.073999999999998</v>
      </c>
      <c r="H12" s="22" t="s">
        <v>41</v>
      </c>
      <c r="I12" s="23">
        <v>663.31</v>
      </c>
      <c r="J12" s="42">
        <f>G12*I12</f>
        <v>8672.1149399999977</v>
      </c>
      <c r="K12" s="21"/>
      <c r="M12" s="1"/>
      <c r="N12" s="1"/>
      <c r="O12" s="1"/>
      <c r="P12" s="25"/>
    </row>
    <row r="13" spans="1:18" ht="15" customHeight="1" x14ac:dyDescent="0.3">
      <c r="A13" s="18"/>
      <c r="B13" s="38"/>
      <c r="C13" s="19"/>
      <c r="D13" s="20"/>
      <c r="E13" s="21"/>
      <c r="F13" s="21"/>
      <c r="G13" s="23"/>
      <c r="H13" s="22"/>
      <c r="I13" s="23"/>
      <c r="J13" s="42"/>
      <c r="K13" s="21"/>
      <c r="M13" s="1"/>
      <c r="N13" s="1"/>
      <c r="O13" s="1"/>
      <c r="P13" s="1"/>
      <c r="Q13" s="25"/>
      <c r="R13" s="25"/>
    </row>
    <row r="14" spans="1:18" ht="45.6" x14ac:dyDescent="0.3">
      <c r="A14" s="18">
        <v>2</v>
      </c>
      <c r="B14" s="65" t="s">
        <v>54</v>
      </c>
      <c r="C14" s="19"/>
      <c r="D14" s="20"/>
      <c r="E14" s="21"/>
      <c r="F14" s="21"/>
      <c r="G14" s="23"/>
      <c r="H14" s="22"/>
      <c r="I14" s="23"/>
      <c r="J14" s="42"/>
      <c r="K14" s="21"/>
      <c r="M14" s="1"/>
      <c r="N14" s="1"/>
      <c r="O14" s="1"/>
      <c r="P14" s="1"/>
      <c r="Q14" s="25"/>
      <c r="R14" s="25"/>
    </row>
    <row r="15" spans="1:18" ht="15" customHeight="1" x14ac:dyDescent="0.3">
      <c r="A15" s="18"/>
      <c r="B15" s="38" t="s">
        <v>43</v>
      </c>
      <c r="C15" s="37">
        <v>1</v>
      </c>
      <c r="D15" s="39">
        <f>(7-0.75)/3.281</f>
        <v>1.9049070405364217</v>
      </c>
      <c r="E15" s="39">
        <v>0.1</v>
      </c>
      <c r="F15" s="39">
        <v>1</v>
      </c>
      <c r="G15" s="40">
        <f>(PRODUCT(C15:F15))*560*0.5</f>
        <v>53.337397135019813</v>
      </c>
      <c r="H15" s="41"/>
      <c r="I15" s="41"/>
      <c r="J15" s="41"/>
      <c r="K15" s="21"/>
      <c r="M15" s="1"/>
      <c r="N15" s="1"/>
      <c r="O15" s="1"/>
      <c r="P15" s="1"/>
      <c r="Q15" s="25"/>
      <c r="R15" s="25"/>
    </row>
    <row r="16" spans="1:18" ht="15" customHeight="1" x14ac:dyDescent="0.3">
      <c r="A16" s="18"/>
      <c r="B16" s="38"/>
      <c r="C16" s="37">
        <v>1</v>
      </c>
      <c r="D16" s="39">
        <v>0.75</v>
      </c>
      <c r="E16" s="39">
        <v>0.23</v>
      </c>
      <c r="F16" s="39">
        <v>1</v>
      </c>
      <c r="G16" s="40">
        <f>(PRODUCT(C16:F16))*560*0.5</f>
        <v>48.300000000000004</v>
      </c>
      <c r="H16" s="41"/>
      <c r="I16" s="41"/>
      <c r="J16" s="41"/>
      <c r="K16" s="21"/>
      <c r="M16" s="1"/>
      <c r="N16" s="1"/>
      <c r="O16" s="1"/>
      <c r="P16" s="1"/>
      <c r="Q16" s="25"/>
      <c r="R16" s="25"/>
    </row>
    <row r="17" spans="1:18" ht="15" customHeight="1" x14ac:dyDescent="0.3">
      <c r="A17" s="18"/>
      <c r="B17" s="38" t="s">
        <v>42</v>
      </c>
      <c r="C17" s="19"/>
      <c r="D17" s="20"/>
      <c r="E17" s="21"/>
      <c r="F17" s="21"/>
      <c r="G17" s="23">
        <f>SUM(G15:G16)</f>
        <v>101.63739713501982</v>
      </c>
      <c r="H17" s="22" t="s">
        <v>41</v>
      </c>
      <c r="I17" s="23">
        <v>6.52</v>
      </c>
      <c r="J17" s="42">
        <f>G17*I17</f>
        <v>662.67582932032917</v>
      </c>
      <c r="K17" s="21"/>
      <c r="M17" s="1"/>
      <c r="N17" s="1"/>
      <c r="O17" s="1"/>
      <c r="P17" s="1"/>
      <c r="Q17" s="25"/>
      <c r="R17" s="25"/>
    </row>
    <row r="18" spans="1:18" ht="15" customHeight="1" x14ac:dyDescent="0.3">
      <c r="A18" s="18"/>
      <c r="B18" s="38"/>
      <c r="C18" s="19"/>
      <c r="D18" s="20"/>
      <c r="E18" s="21"/>
      <c r="F18" s="21"/>
      <c r="G18" s="23"/>
      <c r="H18" s="22"/>
      <c r="I18" s="23"/>
      <c r="J18" s="42"/>
      <c r="K18" s="21"/>
      <c r="M18" s="1"/>
      <c r="N18" s="1"/>
      <c r="O18" s="1"/>
      <c r="P18" s="1"/>
      <c r="Q18" s="25"/>
      <c r="R18" s="25"/>
    </row>
    <row r="19" spans="1:18" ht="15" x14ac:dyDescent="0.3">
      <c r="A19" s="18">
        <v>3</v>
      </c>
      <c r="B19" s="67" t="s">
        <v>59</v>
      </c>
      <c r="C19" s="19"/>
      <c r="D19" s="20"/>
      <c r="E19" s="21"/>
      <c r="F19" s="21"/>
      <c r="G19" s="23"/>
      <c r="H19" s="22"/>
      <c r="I19" s="23"/>
      <c r="J19" s="42"/>
      <c r="K19" s="21"/>
    </row>
    <row r="20" spans="1:18" ht="15" customHeight="1" x14ac:dyDescent="0.3">
      <c r="A20" s="18"/>
      <c r="B20" s="38" t="str">
        <f>B10</f>
        <v>-For wall</v>
      </c>
      <c r="C20" s="19">
        <v>1</v>
      </c>
      <c r="D20" s="20">
        <f>8</f>
        <v>8</v>
      </c>
      <c r="E20" s="21">
        <v>0.23</v>
      </c>
      <c r="F20" s="21"/>
      <c r="G20" s="40">
        <f>PRODUCT(C20:F20)</f>
        <v>1.84</v>
      </c>
      <c r="H20" s="22"/>
      <c r="I20" s="23"/>
      <c r="J20" s="42"/>
      <c r="K20" s="21"/>
    </row>
    <row r="21" spans="1:18" ht="15" customHeight="1" x14ac:dyDescent="0.3">
      <c r="A21" s="18"/>
      <c r="B21" s="38" t="s">
        <v>42</v>
      </c>
      <c r="C21" s="19"/>
      <c r="D21" s="20"/>
      <c r="E21" s="21"/>
      <c r="F21" s="21"/>
      <c r="G21" s="23">
        <f>SUM(G20:G20)</f>
        <v>1.84</v>
      </c>
      <c r="H21" s="22" t="s">
        <v>60</v>
      </c>
      <c r="I21" s="23">
        <v>1014.97</v>
      </c>
      <c r="J21" s="42">
        <f>G21*I21</f>
        <v>1867.5448000000001</v>
      </c>
      <c r="K21" s="21"/>
    </row>
    <row r="22" spans="1:18" ht="15" customHeight="1" x14ac:dyDescent="0.3">
      <c r="A22" s="18"/>
      <c r="B22" s="38" t="s">
        <v>40</v>
      </c>
      <c r="C22" s="19"/>
      <c r="D22" s="20"/>
      <c r="E22" s="21"/>
      <c r="F22" s="21"/>
      <c r="G22" s="23"/>
      <c r="H22" s="22"/>
      <c r="I22" s="23"/>
      <c r="J22" s="42">
        <f>0.13*G21*8617.2/10</f>
        <v>206.12342400000003</v>
      </c>
      <c r="K22" s="21"/>
    </row>
    <row r="23" spans="1:18" ht="15" customHeight="1" x14ac:dyDescent="0.3">
      <c r="A23" s="18"/>
      <c r="B23" s="38"/>
      <c r="C23" s="19"/>
      <c r="D23" s="20"/>
      <c r="E23" s="21"/>
      <c r="F23" s="21"/>
      <c r="G23" s="23"/>
      <c r="H23" s="22"/>
      <c r="I23" s="23"/>
      <c r="J23" s="42"/>
      <c r="K23" s="21"/>
    </row>
    <row r="24" spans="1:18" ht="69" x14ac:dyDescent="0.3">
      <c r="A24" s="18">
        <v>4</v>
      </c>
      <c r="B24" s="30" t="s">
        <v>44</v>
      </c>
      <c r="C24" s="19"/>
      <c r="D24" s="20"/>
      <c r="E24" s="21"/>
      <c r="F24" s="21"/>
      <c r="G24" s="23"/>
      <c r="H24" s="22"/>
      <c r="I24" s="23"/>
      <c r="J24" s="42"/>
      <c r="K24" s="21"/>
    </row>
    <row r="25" spans="1:18" ht="15" customHeight="1" x14ac:dyDescent="0.3">
      <c r="A25" s="18"/>
      <c r="B25" s="38" t="s">
        <v>58</v>
      </c>
      <c r="C25" s="37">
        <v>1</v>
      </c>
      <c r="D25" s="39">
        <f>D33</f>
        <v>8</v>
      </c>
      <c r="E25" s="39">
        <f>E33</f>
        <v>0.23</v>
      </c>
      <c r="F25" s="39">
        <v>7.4999999999999997E-2</v>
      </c>
      <c r="G25" s="40">
        <f>PRODUCT(C25:F25)</f>
        <v>0.13800000000000001</v>
      </c>
      <c r="H25" s="41"/>
      <c r="I25" s="41"/>
      <c r="J25" s="41"/>
      <c r="K25" s="21"/>
    </row>
    <row r="26" spans="1:18" ht="15" customHeight="1" x14ac:dyDescent="0.3">
      <c r="A26" s="18"/>
      <c r="B26" s="38"/>
      <c r="C26" s="37">
        <v>1</v>
      </c>
      <c r="D26" s="39">
        <f>D25</f>
        <v>8</v>
      </c>
      <c r="E26" s="39">
        <f>E25</f>
        <v>0.23</v>
      </c>
      <c r="F26" s="39">
        <v>0.05</v>
      </c>
      <c r="G26" s="40">
        <f>PRODUCT(C26:F26)</f>
        <v>9.2000000000000012E-2</v>
      </c>
      <c r="H26" s="41"/>
      <c r="I26" s="41"/>
      <c r="J26" s="41"/>
      <c r="K26" s="21"/>
    </row>
    <row r="27" spans="1:18" ht="15" customHeight="1" x14ac:dyDescent="0.3">
      <c r="A27" s="41"/>
      <c r="B27" s="38" t="s">
        <v>42</v>
      </c>
      <c r="C27" s="43"/>
      <c r="D27" s="44"/>
      <c r="E27" s="44"/>
      <c r="F27" s="44"/>
      <c r="G27" s="34">
        <f>SUM(G25:G26)</f>
        <v>0.23000000000000004</v>
      </c>
      <c r="H27" s="34" t="s">
        <v>41</v>
      </c>
      <c r="I27" s="34">
        <v>10634.5</v>
      </c>
      <c r="J27" s="45">
        <f>G27*I27</f>
        <v>2445.9350000000004</v>
      </c>
      <c r="K27" s="37"/>
    </row>
    <row r="28" spans="1:18" ht="15" customHeight="1" x14ac:dyDescent="0.3">
      <c r="A28" s="41"/>
      <c r="B28" s="38" t="s">
        <v>40</v>
      </c>
      <c r="C28" s="43"/>
      <c r="D28" s="44"/>
      <c r="E28" s="44"/>
      <c r="F28" s="44"/>
      <c r="G28" s="44"/>
      <c r="H28" s="44"/>
      <c r="I28" s="44"/>
      <c r="J28" s="46">
        <f>0.13*G27*((114907.3+6135.3)/15)</f>
        <v>241.27824933333341</v>
      </c>
      <c r="K28" s="37"/>
    </row>
    <row r="29" spans="1:18" ht="15" customHeight="1" x14ac:dyDescent="0.3">
      <c r="A29" s="41"/>
      <c r="B29" s="38"/>
      <c r="C29" s="43"/>
      <c r="D29" s="44"/>
      <c r="E29" s="44"/>
      <c r="F29" s="44"/>
      <c r="G29" s="44"/>
      <c r="H29" s="44"/>
      <c r="I29" s="44"/>
      <c r="J29" s="46"/>
      <c r="K29" s="37"/>
    </row>
    <row r="30" spans="1:18" ht="30" x14ac:dyDescent="0.3">
      <c r="A30" s="18">
        <v>5</v>
      </c>
      <c r="B30" s="67" t="s">
        <v>55</v>
      </c>
      <c r="C30" s="19"/>
      <c r="D30" s="20"/>
      <c r="E30" s="21"/>
      <c r="F30" s="21"/>
      <c r="G30" s="23"/>
      <c r="H30" s="22"/>
      <c r="I30" s="23"/>
      <c r="J30" s="42"/>
      <c r="K30" s="21"/>
      <c r="M30" s="1"/>
      <c r="N30" s="1"/>
      <c r="O30" s="1"/>
      <c r="P30" s="1"/>
      <c r="Q30" s="25"/>
      <c r="R30" s="25"/>
    </row>
    <row r="31" spans="1:18" ht="15" customHeight="1" x14ac:dyDescent="0.3">
      <c r="A31" s="18"/>
      <c r="B31" s="38" t="s">
        <v>56</v>
      </c>
      <c r="C31" s="48">
        <v>0.5</v>
      </c>
      <c r="D31" s="39">
        <f>D15</f>
        <v>1.9049070405364217</v>
      </c>
      <c r="E31" s="39">
        <f>E15</f>
        <v>0.1</v>
      </c>
      <c r="F31" s="39">
        <v>1</v>
      </c>
      <c r="G31" s="40">
        <f>PRODUCT(C31:F31)</f>
        <v>9.5245352026821092E-2</v>
      </c>
      <c r="H31" s="41"/>
      <c r="I31" s="41"/>
      <c r="J31" s="41"/>
      <c r="K31" s="21"/>
    </row>
    <row r="32" spans="1:18" ht="15" customHeight="1" x14ac:dyDescent="0.3">
      <c r="A32" s="18"/>
      <c r="B32" s="38"/>
      <c r="C32" s="48">
        <v>1</v>
      </c>
      <c r="D32" s="39">
        <f>D16</f>
        <v>0.75</v>
      </c>
      <c r="E32" s="39">
        <f>E16</f>
        <v>0.23</v>
      </c>
      <c r="F32" s="39">
        <v>1</v>
      </c>
      <c r="G32" s="40">
        <f>PRODUCT(C32:F32)</f>
        <v>0.17250000000000001</v>
      </c>
      <c r="H32" s="41"/>
      <c r="I32" s="41"/>
      <c r="J32" s="41"/>
      <c r="K32" s="21"/>
    </row>
    <row r="33" spans="1:19" ht="15" customHeight="1" x14ac:dyDescent="0.3">
      <c r="A33" s="18"/>
      <c r="B33" s="38" t="s">
        <v>57</v>
      </c>
      <c r="C33" s="48">
        <v>1</v>
      </c>
      <c r="D33" s="39">
        <v>8</v>
      </c>
      <c r="E33" s="39">
        <v>0.23</v>
      </c>
      <c r="F33" s="39">
        <v>0.75</v>
      </c>
      <c r="G33" s="40">
        <f>PRODUCT(C33:F33)</f>
        <v>1.3800000000000001</v>
      </c>
      <c r="H33" s="41"/>
      <c r="I33" s="41"/>
      <c r="J33" s="41"/>
      <c r="K33" s="21"/>
    </row>
    <row r="34" spans="1:19" ht="15" customHeight="1" x14ac:dyDescent="0.3">
      <c r="A34" s="18"/>
      <c r="B34" s="38" t="s">
        <v>42</v>
      </c>
      <c r="C34" s="19"/>
      <c r="D34" s="20"/>
      <c r="E34" s="21"/>
      <c r="F34" s="21"/>
      <c r="G34" s="23">
        <f>SUM(G31:G33)</f>
        <v>1.6477453520268213</v>
      </c>
      <c r="H34" s="22" t="s">
        <v>41</v>
      </c>
      <c r="I34" s="23">
        <v>14362.76</v>
      </c>
      <c r="J34" s="42">
        <f>G34*I34</f>
        <v>23666.171032276747</v>
      </c>
      <c r="K34" s="21"/>
    </row>
    <row r="35" spans="1:19" ht="15" customHeight="1" x14ac:dyDescent="0.3">
      <c r="A35" s="18"/>
      <c r="B35" s="38" t="s">
        <v>40</v>
      </c>
      <c r="C35" s="19"/>
      <c r="D35" s="20"/>
      <c r="E35" s="21"/>
      <c r="F35" s="21"/>
      <c r="G35" s="23"/>
      <c r="H35" s="22"/>
      <c r="I35" s="23"/>
      <c r="J35" s="42">
        <f>0.13*G34*10311.74</f>
        <v>2208.8458153201773</v>
      </c>
      <c r="K35" s="21"/>
    </row>
    <row r="36" spans="1:19" ht="15" customHeight="1" x14ac:dyDescent="0.3">
      <c r="A36" s="18"/>
      <c r="B36" s="38"/>
      <c r="C36" s="19"/>
      <c r="D36" s="20"/>
      <c r="E36" s="21"/>
      <c r="F36" s="21"/>
      <c r="G36" s="23"/>
      <c r="H36" s="22"/>
      <c r="I36" s="23"/>
      <c r="J36" s="42"/>
      <c r="K36" s="21"/>
    </row>
    <row r="37" spans="1:19" ht="60.6" customHeight="1" x14ac:dyDescent="0.3">
      <c r="A37" s="41">
        <v>6</v>
      </c>
      <c r="B37" s="65" t="s">
        <v>49</v>
      </c>
      <c r="C37" s="43"/>
      <c r="D37" s="44"/>
      <c r="E37" s="44"/>
      <c r="F37" s="44"/>
      <c r="G37" s="44"/>
      <c r="H37" s="44"/>
      <c r="I37" s="44"/>
      <c r="J37" s="46"/>
      <c r="K37" s="37"/>
    </row>
    <row r="38" spans="1:19" ht="15" customHeight="1" x14ac:dyDescent="0.3">
      <c r="A38" s="41"/>
      <c r="B38" s="38" t="s">
        <v>47</v>
      </c>
      <c r="C38" s="43">
        <v>1</v>
      </c>
      <c r="D38" s="44">
        <f>62.25-2.25-3</f>
        <v>57</v>
      </c>
      <c r="E38" s="44">
        <v>1.87</v>
      </c>
      <c r="F38" s="44"/>
      <c r="G38" s="40">
        <f>PRODUCT(C38:F38)</f>
        <v>106.59</v>
      </c>
      <c r="H38" s="44"/>
      <c r="I38" s="44"/>
      <c r="J38" s="46"/>
      <c r="K38" s="37"/>
      <c r="M38" s="1"/>
      <c r="N38" s="1"/>
      <c r="O38" s="1"/>
      <c r="P38" s="1"/>
      <c r="Q38" s="25"/>
      <c r="R38" s="25"/>
    </row>
    <row r="39" spans="1:19" ht="15" customHeight="1" x14ac:dyDescent="0.3">
      <c r="A39" s="41"/>
      <c r="B39" s="38"/>
      <c r="C39" s="43">
        <v>1</v>
      </c>
      <c r="D39" s="44">
        <f>D38</f>
        <v>57</v>
      </c>
      <c r="E39" s="44">
        <v>0.21</v>
      </c>
      <c r="F39" s="44"/>
      <c r="G39" s="40">
        <f>PRODUCT(C39:F39)</f>
        <v>11.969999999999999</v>
      </c>
      <c r="H39" s="44"/>
      <c r="I39" s="44"/>
      <c r="J39" s="46"/>
      <c r="K39" s="37"/>
      <c r="M39" s="1"/>
      <c r="N39" s="1"/>
      <c r="O39" s="1"/>
      <c r="P39" s="1"/>
      <c r="Q39" s="25"/>
      <c r="R39" s="25"/>
    </row>
    <row r="40" spans="1:19" ht="15" customHeight="1" x14ac:dyDescent="0.3">
      <c r="A40" s="41"/>
      <c r="B40" s="38"/>
      <c r="C40" s="43">
        <v>1</v>
      </c>
      <c r="D40" s="44">
        <v>8</v>
      </c>
      <c r="E40" s="44">
        <f>(8-1.17*2)/3.281</f>
        <v>1.7250838159097837</v>
      </c>
      <c r="F40" s="44"/>
      <c r="G40" s="40">
        <f>PRODUCT(C40:F40)</f>
        <v>13.800670527278269</v>
      </c>
      <c r="H40" s="44"/>
      <c r="I40" s="44"/>
      <c r="J40" s="46"/>
      <c r="K40" s="37"/>
    </row>
    <row r="41" spans="1:19" ht="15" customHeight="1" x14ac:dyDescent="0.3">
      <c r="A41" s="41"/>
      <c r="B41" s="38" t="s">
        <v>42</v>
      </c>
      <c r="C41" s="43"/>
      <c r="D41" s="44"/>
      <c r="E41" s="44"/>
      <c r="F41" s="44"/>
      <c r="G41" s="34">
        <f>SUM(G38:G40)</f>
        <v>132.36067052727827</v>
      </c>
      <c r="H41" s="34" t="s">
        <v>48</v>
      </c>
      <c r="I41" s="34">
        <v>1737.28</v>
      </c>
      <c r="J41" s="45">
        <f>G41*I41</f>
        <v>229947.54569363</v>
      </c>
      <c r="K41" s="37"/>
    </row>
    <row r="42" spans="1:19" ht="15" customHeight="1" x14ac:dyDescent="0.3">
      <c r="A42" s="41"/>
      <c r="B42" s="38" t="s">
        <v>40</v>
      </c>
      <c r="C42" s="43"/>
      <c r="D42" s="44"/>
      <c r="E42" s="44"/>
      <c r="F42" s="44"/>
      <c r="G42" s="44"/>
      <c r="H42" s="44"/>
      <c r="I42" s="44"/>
      <c r="J42" s="46">
        <f>0.13*G41*(6947.8/10)</f>
        <v>11955.00106696251</v>
      </c>
      <c r="K42" s="37"/>
      <c r="M42" s="1"/>
      <c r="N42" s="1"/>
      <c r="O42" s="1"/>
      <c r="P42" s="1"/>
      <c r="Q42" s="1"/>
      <c r="R42" s="1"/>
      <c r="S42" s="1"/>
    </row>
    <row r="43" spans="1:19" ht="15" customHeight="1" x14ac:dyDescent="0.3">
      <c r="A43" s="41"/>
      <c r="B43" s="38"/>
      <c r="C43" s="43"/>
      <c r="D43" s="44"/>
      <c r="E43" s="44"/>
      <c r="F43" s="44"/>
      <c r="G43" s="44"/>
      <c r="H43" s="44"/>
      <c r="I43" s="44"/>
      <c r="J43" s="46"/>
      <c r="K43" s="37"/>
    </row>
    <row r="44" spans="1:19" ht="15" customHeight="1" x14ac:dyDescent="0.3">
      <c r="A44" s="18">
        <v>7</v>
      </c>
      <c r="B44" s="30" t="s">
        <v>30</v>
      </c>
      <c r="C44" s="19">
        <v>1</v>
      </c>
      <c r="D44" s="20"/>
      <c r="E44" s="21"/>
      <c r="F44" s="21"/>
      <c r="G44" s="35">
        <f t="shared" ref="G44" si="0">PRODUCT(C44:F44)</f>
        <v>1</v>
      </c>
      <c r="H44" s="22" t="s">
        <v>31</v>
      </c>
      <c r="I44" s="23">
        <v>500</v>
      </c>
      <c r="J44" s="35">
        <f>G44*I44</f>
        <v>500</v>
      </c>
      <c r="K44" s="21"/>
    </row>
    <row r="45" spans="1:19" ht="15" customHeight="1" x14ac:dyDescent="0.3">
      <c r="A45" s="18"/>
      <c r="B45" s="24"/>
      <c r="C45" s="19"/>
      <c r="D45" s="20"/>
      <c r="E45" s="21"/>
      <c r="F45" s="21"/>
      <c r="G45" s="23"/>
      <c r="H45" s="22"/>
      <c r="I45" s="23"/>
      <c r="J45" s="42"/>
      <c r="K45" s="21"/>
    </row>
    <row r="46" spans="1:19" x14ac:dyDescent="0.3">
      <c r="A46" s="41"/>
      <c r="B46" s="47" t="s">
        <v>17</v>
      </c>
      <c r="C46" s="48"/>
      <c r="D46" s="39"/>
      <c r="E46" s="39"/>
      <c r="F46" s="39"/>
      <c r="G46" s="42"/>
      <c r="H46" s="42"/>
      <c r="I46" s="42"/>
      <c r="J46" s="42">
        <f>SUM(J10:J44)</f>
        <v>282373.23585084308</v>
      </c>
      <c r="K46" s="37"/>
    </row>
    <row r="47" spans="1:19" x14ac:dyDescent="0.3">
      <c r="A47" s="60"/>
      <c r="B47" s="63"/>
      <c r="C47" s="64"/>
      <c r="D47" s="61"/>
      <c r="E47" s="61"/>
      <c r="F47" s="61"/>
      <c r="G47" s="62"/>
      <c r="H47" s="62"/>
      <c r="I47" s="62"/>
      <c r="J47" s="62"/>
      <c r="K47" s="58"/>
    </row>
    <row r="48" spans="1:19" s="1" customFormat="1" x14ac:dyDescent="0.3">
      <c r="A48" s="51"/>
      <c r="B48" s="29" t="s">
        <v>27</v>
      </c>
      <c r="C48" s="87">
        <f>J46</f>
        <v>282373.23585084308</v>
      </c>
      <c r="D48" s="87"/>
      <c r="E48" s="40">
        <v>100</v>
      </c>
      <c r="F48" s="52"/>
      <c r="G48" s="53"/>
      <c r="H48" s="52"/>
      <c r="I48" s="54"/>
      <c r="J48" s="55"/>
      <c r="K48" s="56"/>
      <c r="M48" s="36"/>
      <c r="N48" s="36"/>
      <c r="O48" s="36"/>
      <c r="P48" s="36"/>
      <c r="Q48" s="36"/>
      <c r="R48" s="36"/>
      <c r="S48" s="36"/>
    </row>
    <row r="49" spans="1:19" x14ac:dyDescent="0.3">
      <c r="A49" s="57"/>
      <c r="B49" s="29" t="s">
        <v>32</v>
      </c>
      <c r="C49" s="90">
        <v>250000</v>
      </c>
      <c r="D49" s="90"/>
      <c r="E49" s="40"/>
      <c r="F49" s="50"/>
      <c r="G49" s="49"/>
      <c r="H49" s="49"/>
      <c r="I49" s="49"/>
      <c r="J49" s="49"/>
      <c r="K49" s="50"/>
      <c r="M49" s="36"/>
      <c r="N49" s="36"/>
      <c r="O49" s="36"/>
      <c r="P49" s="36"/>
      <c r="Q49" s="36"/>
      <c r="R49" s="36"/>
      <c r="S49" s="36"/>
    </row>
    <row r="50" spans="1:19" x14ac:dyDescent="0.3">
      <c r="A50" s="57"/>
      <c r="B50" s="29" t="s">
        <v>33</v>
      </c>
      <c r="C50" s="90">
        <f>C49-C52-C53</f>
        <v>237500</v>
      </c>
      <c r="D50" s="90"/>
      <c r="E50" s="40">
        <f>C50/C48*100</f>
        <v>84.108537866334359</v>
      </c>
      <c r="F50" s="50"/>
      <c r="G50" s="49"/>
      <c r="H50" s="49"/>
      <c r="I50" s="49"/>
      <c r="J50" s="49"/>
      <c r="K50" s="50"/>
      <c r="M50" s="36"/>
      <c r="N50" s="36"/>
      <c r="O50" s="36"/>
      <c r="P50" s="36"/>
      <c r="Q50" s="36"/>
      <c r="R50" s="36"/>
      <c r="S50" s="36"/>
    </row>
    <row r="51" spans="1:19" x14ac:dyDescent="0.3">
      <c r="A51" s="57"/>
      <c r="B51" s="29" t="s">
        <v>34</v>
      </c>
      <c r="C51" s="87">
        <f>C48-C50</f>
        <v>44873.235850843077</v>
      </c>
      <c r="D51" s="87"/>
      <c r="E51" s="40">
        <f>100-E50</f>
        <v>15.891462133665641</v>
      </c>
      <c r="F51" s="50"/>
      <c r="G51" s="49"/>
      <c r="H51" s="49"/>
      <c r="I51" s="49"/>
      <c r="J51" s="49"/>
      <c r="K51" s="50"/>
      <c r="M51" s="36"/>
      <c r="N51" s="36"/>
      <c r="O51" s="36"/>
      <c r="P51" s="36"/>
      <c r="Q51" s="36"/>
      <c r="R51" s="36"/>
      <c r="S51" s="36"/>
    </row>
    <row r="52" spans="1:19" x14ac:dyDescent="0.3">
      <c r="A52" s="57"/>
      <c r="B52" s="29" t="s">
        <v>35</v>
      </c>
      <c r="C52" s="87">
        <f>C49*0.03</f>
        <v>7500</v>
      </c>
      <c r="D52" s="87"/>
      <c r="E52" s="40">
        <v>3</v>
      </c>
      <c r="F52" s="50"/>
      <c r="G52" s="49"/>
      <c r="H52" s="49"/>
      <c r="I52" s="49"/>
      <c r="J52" s="49"/>
      <c r="K52" s="50"/>
      <c r="M52" s="36"/>
      <c r="N52" s="36"/>
      <c r="O52" s="36"/>
      <c r="P52" s="36"/>
      <c r="Q52" s="36"/>
      <c r="R52" s="36"/>
      <c r="S52" s="36"/>
    </row>
    <row r="53" spans="1:19" x14ac:dyDescent="0.3">
      <c r="A53" s="57"/>
      <c r="B53" s="29" t="s">
        <v>36</v>
      </c>
      <c r="C53" s="87">
        <f>C49*0.02</f>
        <v>5000</v>
      </c>
      <c r="D53" s="87"/>
      <c r="E53" s="40">
        <v>2</v>
      </c>
      <c r="F53" s="50"/>
      <c r="G53" s="49"/>
      <c r="H53" s="49"/>
      <c r="I53" s="49"/>
      <c r="J53" s="49"/>
      <c r="K53" s="50"/>
      <c r="M53" s="36"/>
      <c r="N53" s="36"/>
      <c r="O53" s="36"/>
      <c r="P53" s="36"/>
      <c r="Q53" s="36"/>
      <c r="R53" s="36"/>
      <c r="S53" s="36"/>
    </row>
    <row r="54" spans="1:19" s="36" customFormat="1" x14ac:dyDescent="0.3">
      <c r="A54" s="58"/>
      <c r="B54" s="58"/>
      <c r="C54" s="58"/>
      <c r="D54" s="58"/>
      <c r="E54" s="58"/>
      <c r="F54" s="58"/>
      <c r="G54" s="58"/>
      <c r="H54" s="58"/>
      <c r="I54" s="58"/>
      <c r="J54" s="58"/>
      <c r="K54" s="58"/>
    </row>
    <row r="55" spans="1:19" s="36" customFormat="1" x14ac:dyDescent="0.3"/>
    <row r="56" spans="1:19" s="36" customFormat="1" x14ac:dyDescent="0.3"/>
    <row r="57" spans="1:19" s="36" customFormat="1" x14ac:dyDescent="0.3"/>
    <row r="58" spans="1:19" s="36" customFormat="1" x14ac:dyDescent="0.3"/>
    <row r="59" spans="1:19" s="36" customFormat="1" x14ac:dyDescent="0.3"/>
    <row r="60" spans="1:19" s="36" customFormat="1" x14ac:dyDescent="0.3"/>
    <row r="61" spans="1:19" s="36" customFormat="1" x14ac:dyDescent="0.3"/>
    <row r="62" spans="1:19" s="36" customFormat="1" x14ac:dyDescent="0.3"/>
    <row r="63" spans="1:19" s="36" customFormat="1" x14ac:dyDescent="0.3"/>
    <row r="64" spans="1:19"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pans="13:19" s="36" customFormat="1" x14ac:dyDescent="0.3"/>
    <row r="98" spans="13:19" s="36" customFormat="1" x14ac:dyDescent="0.3"/>
    <row r="99" spans="13:19" s="36" customFormat="1" x14ac:dyDescent="0.3"/>
    <row r="100" spans="13:19" s="36" customFormat="1" x14ac:dyDescent="0.3"/>
    <row r="101" spans="13:19" s="36" customFormat="1" x14ac:dyDescent="0.3"/>
    <row r="102" spans="13:19" s="36" customFormat="1" x14ac:dyDescent="0.3"/>
    <row r="103" spans="13:19" s="36" customFormat="1" x14ac:dyDescent="0.3"/>
    <row r="104" spans="13:19" s="36" customFormat="1" x14ac:dyDescent="0.3"/>
    <row r="105" spans="13:19" s="36" customFormat="1" x14ac:dyDescent="0.3">
      <c r="M105"/>
      <c r="N105"/>
      <c r="O105"/>
      <c r="P105"/>
      <c r="Q105"/>
      <c r="R105"/>
      <c r="S105"/>
    </row>
    <row r="106" spans="13:19" s="36" customFormat="1" x14ac:dyDescent="0.3">
      <c r="M106"/>
      <c r="N106"/>
      <c r="O106"/>
      <c r="P106"/>
      <c r="Q106"/>
      <c r="R106"/>
      <c r="S106"/>
    </row>
    <row r="107" spans="13:19" s="36" customFormat="1" x14ac:dyDescent="0.3">
      <c r="M107"/>
      <c r="N107"/>
      <c r="O107"/>
      <c r="P107"/>
      <c r="Q107"/>
      <c r="R107"/>
      <c r="S107"/>
    </row>
    <row r="108" spans="13:19" s="36" customFormat="1" x14ac:dyDescent="0.3">
      <c r="M108"/>
      <c r="N108"/>
      <c r="O108"/>
      <c r="P108"/>
      <c r="Q108"/>
      <c r="R108"/>
      <c r="S108"/>
    </row>
    <row r="109" spans="13:19" s="36" customFormat="1" x14ac:dyDescent="0.3">
      <c r="M109"/>
      <c r="N109"/>
      <c r="O109"/>
      <c r="P109"/>
      <c r="Q109"/>
      <c r="R109"/>
      <c r="S109"/>
    </row>
    <row r="110" spans="13:19" s="36" customFormat="1" x14ac:dyDescent="0.3">
      <c r="M110"/>
      <c r="N110"/>
      <c r="O110"/>
      <c r="P110"/>
      <c r="Q110"/>
      <c r="R110"/>
      <c r="S110"/>
    </row>
  </sheetData>
  <mergeCells count="15">
    <mergeCell ref="C52:D52"/>
    <mergeCell ref="C53:D53"/>
    <mergeCell ref="A7:F7"/>
    <mergeCell ref="H7:K7"/>
    <mergeCell ref="C48:D48"/>
    <mergeCell ref="C49:D49"/>
    <mergeCell ref="C50:D50"/>
    <mergeCell ref="C51:D51"/>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75" orientation="portrait"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8"/>
  <sheetViews>
    <sheetView workbookViewId="0">
      <selection activeCell="F19" sqref="F19"/>
    </sheetView>
  </sheetViews>
  <sheetFormatPr defaultRowHeight="14.4" x14ac:dyDescent="0.3"/>
  <cols>
    <col min="2" max="2" width="8.44140625" bestFit="1" customWidth="1"/>
    <col min="3" max="3" width="5.88671875" bestFit="1" customWidth="1"/>
    <col min="4" max="4" width="9.109375" bestFit="1" customWidth="1"/>
    <col min="5" max="5" width="6.5546875" bestFit="1" customWidth="1"/>
    <col min="6" max="6" width="6" bestFit="1" customWidth="1"/>
  </cols>
  <sheetData>
    <row r="2" spans="2:6" x14ac:dyDescent="0.3">
      <c r="B2" t="s">
        <v>50</v>
      </c>
      <c r="C2" t="s">
        <v>51</v>
      </c>
      <c r="D2" t="s">
        <v>52</v>
      </c>
      <c r="E2" t="s">
        <v>53</v>
      </c>
      <c r="F2" t="s">
        <v>61</v>
      </c>
    </row>
    <row r="3" spans="2:6" x14ac:dyDescent="0.3">
      <c r="B3">
        <v>0</v>
      </c>
      <c r="C3" s="66">
        <f>(3.917+1.25)/3.281</f>
        <v>1.5748247485522706</v>
      </c>
      <c r="F3" s="66">
        <f>10/12/3.281</f>
        <v>0.25398760540485626</v>
      </c>
    </row>
    <row r="4" spans="2:6" x14ac:dyDescent="0.3">
      <c r="B4">
        <v>5</v>
      </c>
      <c r="C4" s="66">
        <f>4.5/3.281</f>
        <v>1.3715330691862238</v>
      </c>
      <c r="D4" s="66">
        <f>(C3+C4)/2</f>
        <v>1.4731789088692473</v>
      </c>
      <c r="E4" s="66">
        <f>B4*C4</f>
        <v>6.8576653459311192</v>
      </c>
      <c r="F4" s="66">
        <f>10/12/3.281</f>
        <v>0.25398760540485626</v>
      </c>
    </row>
    <row r="5" spans="2:6" x14ac:dyDescent="0.3">
      <c r="B5">
        <v>5</v>
      </c>
      <c r="C5" s="66">
        <f>5/3.281</f>
        <v>1.5239256324291375</v>
      </c>
      <c r="D5" s="66">
        <f t="shared" ref="D5:D16" si="0">(C4+C5)/2</f>
        <v>1.4477293508076805</v>
      </c>
      <c r="E5" s="66">
        <f t="shared" ref="E5:E15" si="1">B5*C5</f>
        <v>7.6196281621456876</v>
      </c>
      <c r="F5" s="66">
        <f>7/12/3.281</f>
        <v>0.17779132378339937</v>
      </c>
    </row>
    <row r="6" spans="2:6" x14ac:dyDescent="0.3">
      <c r="B6">
        <v>5</v>
      </c>
      <c r="C6" s="66">
        <f>5/3.281</f>
        <v>1.5239256324291375</v>
      </c>
      <c r="D6" s="66">
        <f t="shared" si="0"/>
        <v>1.5239256324291375</v>
      </c>
      <c r="E6" s="66">
        <f t="shared" si="1"/>
        <v>7.6196281621456876</v>
      </c>
      <c r="F6" s="66">
        <f>6/12/3.281</f>
        <v>0.15239256324291373</v>
      </c>
    </row>
    <row r="7" spans="2:6" x14ac:dyDescent="0.3">
      <c r="B7">
        <v>5</v>
      </c>
      <c r="C7" s="66">
        <f>5.42/3.281</f>
        <v>1.6519353855531849</v>
      </c>
      <c r="D7" s="66">
        <f t="shared" si="0"/>
        <v>1.5879305089911613</v>
      </c>
      <c r="E7" s="66">
        <f t="shared" si="1"/>
        <v>8.2596769277659234</v>
      </c>
      <c r="F7" s="66">
        <v>0</v>
      </c>
    </row>
    <row r="8" spans="2:6" x14ac:dyDescent="0.3">
      <c r="B8">
        <v>5</v>
      </c>
      <c r="C8" s="66">
        <f>6.333/3.281</f>
        <v>1.9302042060347455</v>
      </c>
      <c r="D8" s="66">
        <f t="shared" si="0"/>
        <v>1.7910697957939652</v>
      </c>
      <c r="E8" s="66">
        <f t="shared" si="1"/>
        <v>9.6510210301737267</v>
      </c>
      <c r="F8" s="66">
        <v>0</v>
      </c>
    </row>
    <row r="9" spans="2:6" x14ac:dyDescent="0.3">
      <c r="B9">
        <v>5</v>
      </c>
      <c r="C9" s="66">
        <f>6.5/3.281</f>
        <v>1.9811033221578787</v>
      </c>
      <c r="D9" s="66">
        <f t="shared" si="0"/>
        <v>1.9556537640963121</v>
      </c>
      <c r="E9" s="66">
        <f t="shared" si="1"/>
        <v>9.9055166107893928</v>
      </c>
      <c r="F9" s="66">
        <v>0</v>
      </c>
    </row>
    <row r="10" spans="2:6" x14ac:dyDescent="0.3">
      <c r="B10">
        <v>5</v>
      </c>
      <c r="C10" s="66">
        <f>7/3.281</f>
        <v>2.1334958854007922</v>
      </c>
      <c r="D10" s="66">
        <f t="shared" si="0"/>
        <v>2.0572996037793354</v>
      </c>
      <c r="E10" s="66">
        <f t="shared" si="1"/>
        <v>10.667479427003961</v>
      </c>
      <c r="F10" s="66">
        <v>0</v>
      </c>
    </row>
    <row r="11" spans="2:6" x14ac:dyDescent="0.3">
      <c r="B11">
        <v>5</v>
      </c>
      <c r="C11" s="66">
        <f>6.5/3.281</f>
        <v>1.9811033221578787</v>
      </c>
      <c r="D11" s="66">
        <f t="shared" si="0"/>
        <v>2.0572996037793354</v>
      </c>
      <c r="E11" s="66">
        <f t="shared" si="1"/>
        <v>9.9055166107893928</v>
      </c>
      <c r="F11" s="66">
        <v>0.05</v>
      </c>
    </row>
    <row r="12" spans="2:6" x14ac:dyDescent="0.3">
      <c r="B12">
        <v>5</v>
      </c>
      <c r="C12" s="66">
        <f>6.5/3.281</f>
        <v>1.9811033221578787</v>
      </c>
      <c r="D12" s="66">
        <f t="shared" si="0"/>
        <v>1.9811033221578787</v>
      </c>
      <c r="E12" s="66">
        <f t="shared" si="1"/>
        <v>9.9055166107893928</v>
      </c>
      <c r="F12" s="66">
        <v>0.05</v>
      </c>
    </row>
    <row r="13" spans="2:6" x14ac:dyDescent="0.3">
      <c r="B13">
        <v>5</v>
      </c>
      <c r="C13" s="66">
        <f>6.75/3.281</f>
        <v>2.0572996037793354</v>
      </c>
      <c r="D13" s="66">
        <f t="shared" si="0"/>
        <v>2.0192014629686073</v>
      </c>
      <c r="E13" s="66">
        <f t="shared" si="1"/>
        <v>10.286498018896676</v>
      </c>
      <c r="F13" s="66">
        <v>2.5000000000000001E-2</v>
      </c>
    </row>
    <row r="14" spans="2:6" x14ac:dyDescent="0.3">
      <c r="B14">
        <v>5</v>
      </c>
      <c r="C14" s="66">
        <f>7.25/3.281</f>
        <v>2.2096921670222494</v>
      </c>
      <c r="D14" s="66">
        <f t="shared" si="0"/>
        <v>2.1334958854007926</v>
      </c>
      <c r="E14" s="66">
        <f t="shared" si="1"/>
        <v>11.048460835111246</v>
      </c>
      <c r="F14" s="66">
        <v>0</v>
      </c>
    </row>
    <row r="15" spans="2:6" x14ac:dyDescent="0.3">
      <c r="B15">
        <v>5</v>
      </c>
      <c r="C15" s="66">
        <f>7/3.281</f>
        <v>2.1334958854007922</v>
      </c>
      <c r="D15" s="66">
        <f t="shared" si="0"/>
        <v>2.1715940262115208</v>
      </c>
      <c r="E15" s="66">
        <f t="shared" si="1"/>
        <v>10.667479427003961</v>
      </c>
      <c r="F15" s="66">
        <v>0.05</v>
      </c>
    </row>
    <row r="16" spans="2:6" x14ac:dyDescent="0.3">
      <c r="B16">
        <v>2.25</v>
      </c>
      <c r="C16" s="66">
        <f>6.75/3.281</f>
        <v>2.0572996037793354</v>
      </c>
      <c r="D16" s="66">
        <f t="shared" si="0"/>
        <v>2.0953977445900636</v>
      </c>
      <c r="E16" s="66">
        <f>((B16+B15)/2)*C16</f>
        <v>7.4577110637000912</v>
      </c>
      <c r="F16" s="66">
        <v>0.1</v>
      </c>
    </row>
    <row r="17" spans="2:6" x14ac:dyDescent="0.3">
      <c r="C17" s="66"/>
      <c r="D17" s="66"/>
      <c r="E17" s="66">
        <f>SUM(E4:E16)</f>
        <v>119.85179823224627</v>
      </c>
    </row>
    <row r="18" spans="2:6" x14ac:dyDescent="0.3">
      <c r="B18">
        <f>SUM(B4:B16)</f>
        <v>62.25</v>
      </c>
      <c r="C18" s="66">
        <f>AVERAGE(C3:C16)</f>
        <v>1.8650672704314886</v>
      </c>
      <c r="D18" s="66">
        <f>B18*C18</f>
        <v>116.10043758436017</v>
      </c>
      <c r="E18" s="66"/>
      <c r="F18" s="66">
        <f>AVERAGE(F3:F16)</f>
        <v>7.9511364131144693E-2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WCR</vt:lpstr>
      <vt:lpstr>300k</vt:lpstr>
      <vt:lpstr>Sheet1</vt:lpstr>
      <vt:lpstr>'300k'!Print_Area</vt:lpstr>
      <vt:lpstr>'300k'!Print_Titles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2025-01-13T07:16:32Z</cp:lastPrinted>
  <dcterms:created xsi:type="dcterms:W3CDTF">2015-06-05T18:17:20Z</dcterms:created>
  <dcterms:modified xsi:type="dcterms:W3CDTF">2025-01-13T07:16:54Z</dcterms:modified>
</cp:coreProperties>
</file>