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Estimate" sheetId="19" r:id="rId1"/>
    <sheet name="WCR" sheetId="7" r:id="rId2"/>
    <sheet name="V" sheetId="20" r:id="rId3"/>
    <sheet name="M" sheetId="22"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Estimate!$A$1:$K$38</definedName>
    <definedName name="_xlnm.Print_Area" localSheetId="2">V!$A$1:$K$38</definedName>
    <definedName name="_xlnm.Print_Area" localSheetId="1">WCR!$A$1:$K$27</definedName>
    <definedName name="_xlnm.Print_Titles" localSheetId="1">WCR!$1:$12</definedName>
  </definedNames>
  <calcPr calcId="152511"/>
</workbook>
</file>

<file path=xl/calcChain.xml><?xml version="1.0" encoding="utf-8"?>
<calcChain xmlns="http://schemas.openxmlformats.org/spreadsheetml/2006/main">
  <c r="C39" i="22" l="1"/>
  <c r="C38" i="22"/>
  <c r="C36" i="22"/>
  <c r="G30" i="22"/>
  <c r="J30" i="22" s="1"/>
  <c r="G28" i="22"/>
  <c r="J28" i="22" s="1"/>
  <c r="D25" i="22"/>
  <c r="G25" i="22" s="1"/>
  <c r="G26" i="22" s="1"/>
  <c r="J26" i="22" s="1"/>
  <c r="G20" i="22"/>
  <c r="D20" i="22"/>
  <c r="G19" i="22"/>
  <c r="G21" i="22" s="1"/>
  <c r="J21" i="22" s="1"/>
  <c r="J22" i="22" s="1"/>
  <c r="C15" i="22"/>
  <c r="G15" i="22" s="1"/>
  <c r="G16" i="22" s="1"/>
  <c r="J16" i="22" s="1"/>
  <c r="F10" i="22"/>
  <c r="D10" i="22"/>
  <c r="G10" i="22" s="1"/>
  <c r="G11" i="22" s="1"/>
  <c r="J11" i="22" s="1"/>
  <c r="J32" i="22" s="1"/>
  <c r="C34" i="22" s="1"/>
  <c r="C37" i="22" s="1"/>
  <c r="F10" i="20"/>
  <c r="N10" i="19"/>
  <c r="D24" i="20"/>
  <c r="D10" i="20"/>
  <c r="C14" i="20"/>
  <c r="D19" i="20"/>
  <c r="D24" i="19"/>
  <c r="C19" i="19"/>
  <c r="C14" i="19"/>
  <c r="E36" i="22" l="1"/>
  <c r="E37" i="22" s="1"/>
  <c r="H20" i="7" l="1"/>
  <c r="E20" i="7"/>
  <c r="C20" i="7"/>
  <c r="B20" i="7"/>
  <c r="A20" i="7"/>
  <c r="G24" i="19"/>
  <c r="G25" i="19" s="1"/>
  <c r="J25" i="19" s="1"/>
  <c r="G24" i="20"/>
  <c r="G25" i="20" s="1"/>
  <c r="J25" i="20" s="1"/>
  <c r="G20" i="7" l="1"/>
  <c r="I20" i="7" s="1"/>
  <c r="D20" i="7"/>
  <c r="F20" i="7" s="1"/>
  <c r="M20" i="7" s="1"/>
  <c r="J20" i="7" l="1"/>
  <c r="A9" i="7" l="1"/>
  <c r="A8" i="7"/>
  <c r="H24" i="7"/>
  <c r="E24" i="7"/>
  <c r="C24" i="7"/>
  <c r="B24" i="7"/>
  <c r="A24" i="7"/>
  <c r="C22" i="7"/>
  <c r="B22" i="7"/>
  <c r="A22" i="7"/>
  <c r="H17" i="7"/>
  <c r="E17" i="7"/>
  <c r="C17" i="7"/>
  <c r="B18" i="7"/>
  <c r="B17" i="7"/>
  <c r="A17" i="7"/>
  <c r="H15" i="7"/>
  <c r="E15" i="7"/>
  <c r="C15" i="7"/>
  <c r="B15" i="7"/>
  <c r="A15" i="7"/>
  <c r="H13" i="7"/>
  <c r="E13" i="7"/>
  <c r="C13" i="7"/>
  <c r="B13" i="7"/>
  <c r="A13" i="7"/>
  <c r="G19" i="20"/>
  <c r="G14" i="20"/>
  <c r="C38" i="20"/>
  <c r="C37" i="20"/>
  <c r="G29" i="20"/>
  <c r="J29" i="20" s="1"/>
  <c r="G27" i="20"/>
  <c r="G22" i="7" s="1"/>
  <c r="C35" i="20" l="1"/>
  <c r="G24" i="7"/>
  <c r="G10" i="20"/>
  <c r="G11" i="20" s="1"/>
  <c r="G15" i="20"/>
  <c r="G18" i="20"/>
  <c r="D14" i="19"/>
  <c r="C18" i="19" s="1"/>
  <c r="C10" i="19"/>
  <c r="C38" i="19"/>
  <c r="C35" i="19" s="1"/>
  <c r="C37" i="19"/>
  <c r="G29" i="19"/>
  <c r="G27" i="19"/>
  <c r="D22" i="7" s="1"/>
  <c r="J29" i="19" l="1"/>
  <c r="D24" i="7"/>
  <c r="G20" i="20"/>
  <c r="G17" i="7" s="1"/>
  <c r="H22" i="7"/>
  <c r="G15" i="7"/>
  <c r="J11" i="20"/>
  <c r="G13" i="7"/>
  <c r="J15" i="20"/>
  <c r="D19" i="19"/>
  <c r="G19" i="19" s="1"/>
  <c r="G18" i="19"/>
  <c r="G10" i="19"/>
  <c r="G11" i="19" s="1"/>
  <c r="F14" i="19"/>
  <c r="G14" i="19" s="1"/>
  <c r="G15" i="19" s="1"/>
  <c r="D15" i="7" s="1"/>
  <c r="J20" i="20" l="1"/>
  <c r="J21" i="20" s="1"/>
  <c r="I18" i="7" s="1"/>
  <c r="J11" i="19"/>
  <c r="D13" i="7"/>
  <c r="J27" i="20"/>
  <c r="G20" i="19"/>
  <c r="J15" i="19"/>
  <c r="I27" i="19"/>
  <c r="J31" i="20" l="1"/>
  <c r="C33" i="20" s="1"/>
  <c r="E35" i="20" s="1"/>
  <c r="E36" i="20" s="1"/>
  <c r="J20" i="19"/>
  <c r="J21" i="19" s="1"/>
  <c r="F18" i="7" s="1"/>
  <c r="D17" i="7"/>
  <c r="J27" i="19"/>
  <c r="J31" i="19" s="1"/>
  <c r="C33" i="19" s="1"/>
  <c r="E22" i="7"/>
  <c r="C36" i="20" l="1"/>
  <c r="C36" i="19"/>
  <c r="E35" i="19"/>
  <c r="E36" i="19" s="1"/>
  <c r="L31" i="7"/>
  <c r="M31" i="7" s="1"/>
  <c r="M18" i="7" l="1"/>
  <c r="J18" i="7" l="1"/>
  <c r="F22" i="7"/>
  <c r="M22" i="7" s="1"/>
  <c r="F13" i="7"/>
  <c r="M13" i="7" s="1"/>
  <c r="I24" i="7" l="1"/>
  <c r="F17" i="7"/>
  <c r="M17" i="7" s="1"/>
  <c r="F15" i="7"/>
  <c r="M15" i="7" s="1"/>
  <c r="I13" i="7"/>
  <c r="J13" i="7" s="1"/>
  <c r="I15" i="7"/>
  <c r="I22" i="7"/>
  <c r="J22" i="7" s="1"/>
  <c r="J15" i="7" l="1"/>
  <c r="F24" i="7" l="1"/>
  <c r="I17" i="7"/>
  <c r="J24" i="7" l="1"/>
  <c r="M24" i="7"/>
  <c r="F26" i="7"/>
  <c r="C6" i="7" s="1"/>
  <c r="J17" i="7"/>
  <c r="I26" i="7"/>
  <c r="J26" i="7" l="1"/>
  <c r="J6" i="7"/>
</calcChain>
</file>

<file path=xl/sharedStrings.xml><?xml version="1.0" encoding="utf-8"?>
<sst xmlns="http://schemas.openxmlformats.org/spreadsheetml/2006/main" count="172" uniqueCount="64">
  <si>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</si>
  <si>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</si>
  <si>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</si>
  <si>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</si>
  <si>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</si>
  <si>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</si>
  <si>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</si>
  <si>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</si>
  <si>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</si>
  <si>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</si>
  <si>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</si>
  <si>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</si>
  <si>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</si>
  <si>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</si>
  <si>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</si>
  <si>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</si>
  <si>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</si>
  <si>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</si>
  <si>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</si>
  <si>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</si>
  <si>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</si>
  <si>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</si>
  <si>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</si>
  <si>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</si>
  <si>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</si>
  <si>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</si>
  <si>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</si>
  <si>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</si>
  <si>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</si>
  <si>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</si>
  <si>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</si>
  <si>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</si>
  <si>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</si>
  <si>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</si>
  <si>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</si>
  <si>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</si>
  <si>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</si>
  <si>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</si>
  <si>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</si>
  <si>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</si>
  <si>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</si>
  <si>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</si>
  <si>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</si>
  <si>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</si>
  <si>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</si>
  <si>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</si>
  <si>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</si>
  <si>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</si>
  <si>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</si>
  <si>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</si>
  <si>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</si>
  <si>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</si>
  <si>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</si>
  <si>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Date:                  </t>
  </si>
  <si>
    <t>-for empty bag filling</t>
  </si>
  <si>
    <t>Project:- कुसुमथली पहिरो संरक्षण</t>
  </si>
  <si>
    <t>Detail Valuated Sheet</t>
  </si>
  <si>
    <t>Total Valuated</t>
  </si>
  <si>
    <t xml:space="preserve">Date:2082/03/03       </t>
  </si>
  <si>
    <t>Date:2082/03/03</t>
  </si>
  <si>
    <t>Providing suitable material and Back filling behind abutment, wing wall and return wall complete as per Drawing and Technical Specifications., locally available material including compaction by tamping rod(without watering)</t>
  </si>
  <si>
    <t>-for back filling</t>
  </si>
  <si>
    <t>cum</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</si>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</sst>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6"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0" fontId="6" fillId="0" borderId="1" xfId="0" applyFont="1" applyBorder="1" applyAlignment="1">
      <alignment horizontal="right"/>
    </xf>
    <xf numFmtId="0" fontId="6" fillId="0" borderId="0" xfId="0" applyFont="1" applyAlignment="1">
      <alignment horizontal="right"/>
    </xf>
    <xf numFmtId="1" fontId="15" fillId="3" borderId="2" xfId="0" applyNumberFormat="1" applyFont="1" applyFill="1" applyBorder="1" applyAlignment="1">
      <alignment wrapText="1"/>
    </xf>
    <xf numFmtId="0" fontId="10" fillId="0" borderId="2" xfId="0" quotePrefix="1" applyFont="1" applyBorder="1" applyAlignment="1">
      <alignment wrapText="1"/>
    </xf>
    <xf numFmtId="0" fontId="10" fillId="0" borderId="2" xfId="0" applyFont="1" applyBorder="1" applyAlignment="1">
      <alignment vertical="center" wrapText="1"/>
    </xf>
    <xf numFmtId="0" fontId="6" fillId="0" borderId="0" xfId="0" applyFont="1" applyAlignment="1"/>
    <xf numFmtId="0" fontId="6" fillId="0" borderId="1"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2" fontId="10" fillId="0" borderId="2" xfId="1" applyNumberFormat="1" applyFont="1" applyBorder="1" applyAlignment="1">
      <alignment horizontal="center" vertic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Normal="100" workbookViewId="0">
      <selection activeCell="F11" sqref="F1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 min="13" max="13" width="10.7109375" bestFit="1" customWidth="1"/>
  </cols>
  <sheetData>
    <row r="1" spans="1:14" x14ac:dyDescent="0.25">
      <c r="A1" s="68" t="s">
        <v>0</v>
      </c>
      <c r="B1" s="68"/>
      <c r="C1" s="68"/>
      <c r="D1" s="68"/>
      <c r="E1" s="68"/>
      <c r="F1" s="68"/>
      <c r="G1" s="68"/>
      <c r="H1" s="68"/>
      <c r="I1" s="68"/>
      <c r="J1" s="68"/>
      <c r="K1" s="68"/>
    </row>
    <row r="2" spans="1:14" ht="22.5" x14ac:dyDescent="0.25">
      <c r="A2" s="69" t="s">
        <v>1</v>
      </c>
      <c r="B2" s="69"/>
      <c r="C2" s="69"/>
      <c r="D2" s="69"/>
      <c r="E2" s="69"/>
      <c r="F2" s="69"/>
      <c r="G2" s="69"/>
      <c r="H2" s="69"/>
      <c r="I2" s="69"/>
      <c r="J2" s="69"/>
      <c r="K2" s="69"/>
    </row>
    <row r="3" spans="1:14" x14ac:dyDescent="0.25">
      <c r="A3" s="70" t="s">
        <v>2</v>
      </c>
      <c r="B3" s="70"/>
      <c r="C3" s="70"/>
      <c r="D3" s="70"/>
      <c r="E3" s="70"/>
      <c r="F3" s="70"/>
      <c r="G3" s="70"/>
      <c r="H3" s="70"/>
      <c r="I3" s="70"/>
      <c r="J3" s="70"/>
      <c r="K3" s="70"/>
    </row>
    <row r="4" spans="1:14" x14ac:dyDescent="0.25">
      <c r="A4" s="70" t="s">
        <v>3</v>
      </c>
      <c r="B4" s="70"/>
      <c r="C4" s="70"/>
      <c r="D4" s="70"/>
      <c r="E4" s="70"/>
      <c r="F4" s="70"/>
      <c r="G4" s="70"/>
      <c r="H4" s="70"/>
      <c r="I4" s="70"/>
      <c r="J4" s="70"/>
      <c r="K4" s="70"/>
    </row>
    <row r="5" spans="1:14" ht="18.75" x14ac:dyDescent="0.3">
      <c r="A5" s="71" t="s">
        <v>4</v>
      </c>
      <c r="B5" s="71"/>
      <c r="C5" s="71"/>
      <c r="D5" s="71"/>
      <c r="E5" s="71"/>
      <c r="F5" s="71"/>
      <c r="G5" s="71"/>
      <c r="H5" s="71"/>
      <c r="I5" s="71"/>
      <c r="J5" s="71"/>
      <c r="K5" s="71"/>
    </row>
    <row r="6" spans="1:14" ht="15.75" x14ac:dyDescent="0.25">
      <c r="A6" s="66" t="s">
        <v>55</v>
      </c>
      <c r="B6" s="66"/>
      <c r="C6" s="66"/>
      <c r="D6" s="66"/>
      <c r="E6" s="66"/>
      <c r="F6" s="66"/>
      <c r="G6" s="1"/>
      <c r="H6" s="67" t="s">
        <v>5</v>
      </c>
      <c r="I6" s="67"/>
      <c r="J6" s="67"/>
      <c r="K6" s="67"/>
    </row>
    <row r="7" spans="1:14" ht="15.75" x14ac:dyDescent="0.25">
      <c r="A7" s="73" t="s">
        <v>6</v>
      </c>
      <c r="B7" s="73"/>
      <c r="C7" s="73"/>
      <c r="D7" s="73"/>
      <c r="E7" s="73"/>
      <c r="F7" s="73"/>
      <c r="G7" s="2"/>
      <c r="H7" s="74" t="s">
        <v>53</v>
      </c>
      <c r="I7" s="74"/>
      <c r="J7" s="74"/>
      <c r="K7" s="74"/>
    </row>
    <row r="8" spans="1:14" ht="15.75" x14ac:dyDescent="0.25">
      <c r="A8" s="3" t="s">
        <v>7</v>
      </c>
      <c r="B8" s="4" t="s">
        <v>8</v>
      </c>
      <c r="C8" s="3" t="s">
        <v>9</v>
      </c>
      <c r="D8" s="5" t="s">
        <v>10</v>
      </c>
      <c r="E8" s="5" t="s">
        <v>11</v>
      </c>
      <c r="F8" s="5" t="s">
        <v>12</v>
      </c>
      <c r="G8" s="5" t="s">
        <v>13</v>
      </c>
      <c r="H8" s="3" t="s">
        <v>14</v>
      </c>
      <c r="I8" s="5" t="s">
        <v>15</v>
      </c>
      <c r="J8" s="5" t="s">
        <v>16</v>
      </c>
      <c r="K8" s="6" t="s">
        <v>17</v>
      </c>
    </row>
    <row r="9" spans="1:14" ht="28.5" x14ac:dyDescent="0.25">
      <c r="A9" s="8">
        <v>1</v>
      </c>
      <c r="B9" s="57" t="s">
        <v>49</v>
      </c>
      <c r="C9" s="10"/>
      <c r="D9" s="11"/>
      <c r="E9" s="12"/>
      <c r="F9" s="12"/>
      <c r="G9" s="13"/>
      <c r="H9" s="14"/>
      <c r="I9" s="13"/>
      <c r="J9" s="15"/>
      <c r="K9" s="12"/>
    </row>
    <row r="10" spans="1:14" x14ac:dyDescent="0.25">
      <c r="A10" s="8"/>
      <c r="B10" s="9"/>
      <c r="C10" s="17">
        <f>2*0.5</f>
        <v>1</v>
      </c>
      <c r="D10" s="18">
        <v>22.5</v>
      </c>
      <c r="E10" s="18">
        <v>0.82</v>
      </c>
      <c r="F10" s="18">
        <v>1.6</v>
      </c>
      <c r="G10" s="19">
        <f>(PRODUCT(C10:F10))</f>
        <v>29.52</v>
      </c>
      <c r="H10" s="20"/>
      <c r="I10" s="20"/>
      <c r="J10" s="20"/>
      <c r="K10" s="12"/>
      <c r="N10">
        <f>0.38*2</f>
        <v>0.76</v>
      </c>
    </row>
    <row r="11" spans="1:14" x14ac:dyDescent="0.25">
      <c r="A11" s="8"/>
      <c r="B11" s="9" t="s">
        <v>18</v>
      </c>
      <c r="C11" s="10"/>
      <c r="D11" s="11"/>
      <c r="E11" s="12"/>
      <c r="F11" s="12"/>
      <c r="G11" s="13">
        <f>SUM(G10:G10)</f>
        <v>29.52</v>
      </c>
      <c r="H11" s="14" t="s">
        <v>19</v>
      </c>
      <c r="I11" s="13">
        <v>663.31</v>
      </c>
      <c r="J11" s="15">
        <f>G11*I11</f>
        <v>19580.911199999999</v>
      </c>
      <c r="K11" s="12"/>
    </row>
    <row r="12" spans="1:14" x14ac:dyDescent="0.25">
      <c r="A12" s="8"/>
      <c r="B12" s="9"/>
      <c r="C12" s="10"/>
      <c r="D12" s="11"/>
      <c r="E12" s="12"/>
      <c r="F12" s="12"/>
      <c r="G12" s="13"/>
      <c r="H12" s="14"/>
      <c r="I12" s="13"/>
      <c r="J12" s="15"/>
      <c r="K12" s="12"/>
    </row>
    <row r="13" spans="1:14" ht="60" x14ac:dyDescent="0.25">
      <c r="A13" s="8">
        <v>2</v>
      </c>
      <c r="B13" s="7" t="s">
        <v>44</v>
      </c>
      <c r="C13" s="10"/>
      <c r="D13" s="11"/>
      <c r="E13" s="12"/>
      <c r="F13" s="12"/>
      <c r="G13" s="13"/>
      <c r="H13" s="14"/>
      <c r="I13" s="13"/>
      <c r="J13" s="15"/>
      <c r="K13" s="12"/>
    </row>
    <row r="14" spans="1:14" x14ac:dyDescent="0.25">
      <c r="A14" s="8"/>
      <c r="B14" s="9" t="s">
        <v>54</v>
      </c>
      <c r="C14" s="10">
        <f>2*(3*5)</f>
        <v>30</v>
      </c>
      <c r="D14" s="11">
        <f>D10</f>
        <v>22.5</v>
      </c>
      <c r="E14" s="12">
        <v>0.38</v>
      </c>
      <c r="F14" s="18">
        <f>ROUNDUP(D14/E14,0)</f>
        <v>60</v>
      </c>
      <c r="G14" s="19">
        <f>F14*C14</f>
        <v>1800</v>
      </c>
      <c r="H14" s="14"/>
      <c r="I14" s="13"/>
      <c r="J14" s="15"/>
      <c r="K14" s="75" t="s">
        <v>50</v>
      </c>
    </row>
    <row r="15" spans="1:14" x14ac:dyDescent="0.25">
      <c r="A15" s="8"/>
      <c r="B15" s="9" t="s">
        <v>18</v>
      </c>
      <c r="C15" s="10"/>
      <c r="D15" s="11"/>
      <c r="E15" s="12"/>
      <c r="F15" s="12"/>
      <c r="G15" s="13">
        <f>SUM(G14:G14)</f>
        <v>1800</v>
      </c>
      <c r="H15" s="14" t="s">
        <v>48</v>
      </c>
      <c r="I15" s="13">
        <v>92</v>
      </c>
      <c r="J15" s="15">
        <f>G15*I15</f>
        <v>165600</v>
      </c>
      <c r="K15" s="76"/>
    </row>
    <row r="16" spans="1:14" x14ac:dyDescent="0.25">
      <c r="A16" s="8"/>
      <c r="B16" s="9"/>
      <c r="C16" s="10"/>
      <c r="D16" s="11"/>
      <c r="E16" s="12"/>
      <c r="F16" s="12"/>
      <c r="G16" s="13"/>
      <c r="H16" s="14"/>
      <c r="I16" s="13"/>
      <c r="J16" s="15"/>
      <c r="K16" s="12"/>
    </row>
    <row r="17" spans="1:13" ht="30" x14ac:dyDescent="0.25">
      <c r="A17" s="8">
        <v>3</v>
      </c>
      <c r="B17" s="7" t="s">
        <v>45</v>
      </c>
      <c r="C17" s="10"/>
      <c r="D17" s="11"/>
      <c r="E17" s="12"/>
      <c r="F17" s="12"/>
      <c r="G17" s="13"/>
      <c r="H17" s="14"/>
      <c r="I17" s="13"/>
      <c r="J17" s="15"/>
      <c r="K17" s="12"/>
    </row>
    <row r="18" spans="1:13" x14ac:dyDescent="0.25">
      <c r="A18" s="8"/>
      <c r="B18" s="9" t="s">
        <v>46</v>
      </c>
      <c r="C18" s="36">
        <f>2*(TRUNC(D14/2,0)+1)</f>
        <v>24</v>
      </c>
      <c r="D18" s="18">
        <v>4</v>
      </c>
      <c r="E18" s="18"/>
      <c r="F18" s="18"/>
      <c r="G18" s="19">
        <f>PRODUCT(C18:F18)</f>
        <v>96</v>
      </c>
      <c r="H18" s="20"/>
      <c r="I18" s="20"/>
      <c r="J18" s="20"/>
      <c r="K18" s="12"/>
    </row>
    <row r="19" spans="1:13" x14ac:dyDescent="0.25">
      <c r="A19" s="8"/>
      <c r="B19" s="9" t="s">
        <v>47</v>
      </c>
      <c r="C19" s="36">
        <f>2*4</f>
        <v>8</v>
      </c>
      <c r="D19" s="18">
        <f>D14</f>
        <v>22.5</v>
      </c>
      <c r="E19" s="18"/>
      <c r="F19" s="18"/>
      <c r="G19" s="19">
        <f>PRODUCT(C19:F19)</f>
        <v>180</v>
      </c>
      <c r="H19" s="20"/>
      <c r="I19" s="20"/>
      <c r="J19" s="20"/>
      <c r="K19" s="12"/>
    </row>
    <row r="20" spans="1:13" x14ac:dyDescent="0.25">
      <c r="A20" s="8"/>
      <c r="B20" s="9" t="s">
        <v>18</v>
      </c>
      <c r="C20" s="10"/>
      <c r="D20" s="11"/>
      <c r="E20" s="12"/>
      <c r="F20" s="12"/>
      <c r="G20" s="13">
        <f>TRUNC((SUM(G18:G19))/6,0)+1</f>
        <v>47</v>
      </c>
      <c r="H20" s="14" t="s">
        <v>9</v>
      </c>
      <c r="I20" s="13">
        <v>240</v>
      </c>
      <c r="J20" s="15">
        <f>G20*I20</f>
        <v>11280</v>
      </c>
      <c r="K20" s="12"/>
    </row>
    <row r="21" spans="1:13" x14ac:dyDescent="0.25">
      <c r="A21" s="8"/>
      <c r="B21" s="9" t="s">
        <v>20</v>
      </c>
      <c r="C21" s="10"/>
      <c r="D21" s="11"/>
      <c r="E21" s="12"/>
      <c r="F21" s="12"/>
      <c r="G21" s="13"/>
      <c r="H21" s="14"/>
      <c r="I21" s="13"/>
      <c r="J21" s="15">
        <f>0.13*J20</f>
        <v>1466.4</v>
      </c>
      <c r="K21" s="12"/>
    </row>
    <row r="22" spans="1:13" x14ac:dyDescent="0.25">
      <c r="A22" s="8"/>
      <c r="B22" s="9"/>
      <c r="C22" s="10"/>
      <c r="D22" s="11"/>
      <c r="E22" s="12"/>
      <c r="F22" s="12"/>
      <c r="G22" s="13"/>
      <c r="H22" s="14"/>
      <c r="I22" s="13"/>
      <c r="J22" s="15"/>
      <c r="K22" s="12"/>
    </row>
    <row r="23" spans="1:13" ht="105" x14ac:dyDescent="0.25">
      <c r="A23" s="8">
        <v>4</v>
      </c>
      <c r="B23" s="62" t="s">
        <v>60</v>
      </c>
      <c r="C23" s="10"/>
      <c r="D23" s="11"/>
      <c r="E23" s="12"/>
      <c r="F23" s="12"/>
      <c r="G23" s="13"/>
      <c r="H23" s="14"/>
      <c r="I23" s="13"/>
      <c r="J23" s="15"/>
      <c r="K23" s="12"/>
    </row>
    <row r="24" spans="1:13" x14ac:dyDescent="0.25">
      <c r="A24" s="8"/>
      <c r="B24" s="9" t="s">
        <v>61</v>
      </c>
      <c r="C24" s="10">
        <v>1</v>
      </c>
      <c r="D24" s="11">
        <f>((10+16+31+22+16+15+12+14+29+31+25)-15)/3.281-12.79</f>
        <v>49.99573605608046</v>
      </c>
      <c r="E24" s="12">
        <v>0.95</v>
      </c>
      <c r="F24" s="18">
        <v>0.9</v>
      </c>
      <c r="G24" s="19">
        <f>(PRODUCT(C24:F24))</f>
        <v>42.746354327948794</v>
      </c>
      <c r="H24" s="14"/>
      <c r="I24" s="13"/>
      <c r="J24" s="15"/>
      <c r="K24" s="12"/>
    </row>
    <row r="25" spans="1:13" x14ac:dyDescent="0.25">
      <c r="A25" s="8"/>
      <c r="B25" s="9" t="s">
        <v>18</v>
      </c>
      <c r="C25" s="10"/>
      <c r="D25" s="11"/>
      <c r="E25" s="12"/>
      <c r="F25" s="12"/>
      <c r="G25" s="13">
        <f>SUM(G24)</f>
        <v>42.746354327948794</v>
      </c>
      <c r="H25" s="14" t="s">
        <v>62</v>
      </c>
      <c r="I25" s="13">
        <v>404.28</v>
      </c>
      <c r="J25" s="15">
        <f>G25*I25</f>
        <v>17281.496127703136</v>
      </c>
      <c r="K25" s="12"/>
    </row>
    <row r="26" spans="1:13" x14ac:dyDescent="0.25">
      <c r="A26" s="8"/>
      <c r="B26" s="9"/>
      <c r="C26" s="10"/>
      <c r="D26" s="11"/>
      <c r="E26" s="12"/>
      <c r="F26" s="12"/>
      <c r="G26" s="13"/>
      <c r="H26" s="14"/>
      <c r="I26" s="13"/>
      <c r="J26" s="15"/>
      <c r="K26" s="12"/>
    </row>
    <row r="27" spans="1:13" ht="30" x14ac:dyDescent="0.25">
      <c r="A27" s="8">
        <v>5</v>
      </c>
      <c r="B27" s="58" t="s">
        <v>51</v>
      </c>
      <c r="C27" s="10">
        <v>1</v>
      </c>
      <c r="D27" s="11"/>
      <c r="E27" s="12"/>
      <c r="F27" s="12"/>
      <c r="G27" s="25">
        <f t="shared" ref="G27" si="0">PRODUCT(C27:F27)</f>
        <v>1</v>
      </c>
      <c r="H27" s="14" t="s">
        <v>52</v>
      </c>
      <c r="I27" s="13">
        <f>G15*5</f>
        <v>9000</v>
      </c>
      <c r="J27" s="25">
        <f>G27*I27</f>
        <v>9000</v>
      </c>
      <c r="K27" s="12"/>
    </row>
    <row r="28" spans="1:13" x14ac:dyDescent="0.25">
      <c r="A28" s="8"/>
      <c r="B28" s="9"/>
      <c r="C28" s="10"/>
      <c r="D28" s="11"/>
      <c r="E28" s="12"/>
      <c r="F28" s="12"/>
      <c r="G28" s="13"/>
      <c r="H28" s="14"/>
      <c r="I28" s="13"/>
      <c r="J28" s="15"/>
      <c r="K28" s="12"/>
    </row>
    <row r="29" spans="1:13" x14ac:dyDescent="0.25">
      <c r="A29" s="8">
        <v>6</v>
      </c>
      <c r="B29" s="7" t="s">
        <v>21</v>
      </c>
      <c r="C29" s="10">
        <v>1</v>
      </c>
      <c r="D29" s="11"/>
      <c r="E29" s="12"/>
      <c r="F29" s="12"/>
      <c r="G29" s="25">
        <f t="shared" ref="G29" si="1">PRODUCT(C29:F29)</f>
        <v>1</v>
      </c>
      <c r="H29" s="14" t="s">
        <v>22</v>
      </c>
      <c r="I29" s="13">
        <v>500</v>
      </c>
      <c r="J29" s="25">
        <f>G29*I29</f>
        <v>500</v>
      </c>
      <c r="K29" s="12"/>
    </row>
    <row r="30" spans="1:13" x14ac:dyDescent="0.25">
      <c r="A30" s="8"/>
      <c r="B30" s="24"/>
      <c r="C30" s="10"/>
      <c r="D30" s="11"/>
      <c r="E30" s="12"/>
      <c r="F30" s="12"/>
      <c r="G30" s="13"/>
      <c r="H30" s="14"/>
      <c r="I30" s="13"/>
      <c r="J30" s="15"/>
      <c r="K30" s="12"/>
    </row>
    <row r="31" spans="1:13" x14ac:dyDescent="0.25">
      <c r="A31" s="20"/>
      <c r="B31" s="35" t="s">
        <v>29</v>
      </c>
      <c r="C31" s="36"/>
      <c r="D31" s="18"/>
      <c r="E31" s="18"/>
      <c r="F31" s="18"/>
      <c r="G31" s="15"/>
      <c r="H31" s="15"/>
      <c r="I31" s="15"/>
      <c r="J31" s="15">
        <f>SUM(J9:J29)</f>
        <v>224708.80732770314</v>
      </c>
      <c r="K31" s="17"/>
      <c r="M31" s="15">
        <v>224711.90528000001</v>
      </c>
    </row>
    <row r="32" spans="1:13" x14ac:dyDescent="0.25">
      <c r="A32" s="51"/>
      <c r="B32" s="52"/>
      <c r="C32" s="53"/>
      <c r="D32" s="54"/>
      <c r="E32" s="54"/>
      <c r="F32" s="54"/>
      <c r="G32" s="55"/>
      <c r="H32" s="55"/>
      <c r="I32" s="55"/>
      <c r="J32" s="55"/>
      <c r="K32" s="56"/>
    </row>
    <row r="33" spans="1:11" x14ac:dyDescent="0.25">
      <c r="A33" s="26"/>
      <c r="B33" s="22" t="s">
        <v>23</v>
      </c>
      <c r="C33" s="72">
        <f>J31</f>
        <v>224708.80732770314</v>
      </c>
      <c r="D33" s="72"/>
      <c r="E33" s="19">
        <v>100</v>
      </c>
      <c r="F33" s="27"/>
      <c r="G33" s="28"/>
      <c r="H33" s="27"/>
      <c r="I33" s="29"/>
      <c r="J33" s="30"/>
      <c r="K33" s="31"/>
    </row>
    <row r="34" spans="1:11" x14ac:dyDescent="0.25">
      <c r="A34" s="32"/>
      <c r="B34" s="22" t="s">
        <v>24</v>
      </c>
      <c r="C34" s="77">
        <v>200000</v>
      </c>
      <c r="D34" s="77"/>
      <c r="E34" s="19"/>
      <c r="F34" s="33"/>
      <c r="G34" s="34"/>
      <c r="H34" s="34"/>
      <c r="I34" s="34"/>
      <c r="J34" s="34"/>
      <c r="K34" s="33"/>
    </row>
    <row r="35" spans="1:11" x14ac:dyDescent="0.25">
      <c r="A35" s="32"/>
      <c r="B35" s="22" t="s">
        <v>25</v>
      </c>
      <c r="C35" s="77">
        <f>C34-C37-C38</f>
        <v>190000</v>
      </c>
      <c r="D35" s="77"/>
      <c r="E35" s="19">
        <f>C35/C33*100</f>
        <v>84.553873192390867</v>
      </c>
      <c r="F35" s="33"/>
      <c r="G35" s="34"/>
      <c r="H35" s="34"/>
      <c r="I35" s="34"/>
      <c r="J35" s="34"/>
      <c r="K35" s="33"/>
    </row>
    <row r="36" spans="1:11" x14ac:dyDescent="0.25">
      <c r="A36" s="32"/>
      <c r="B36" s="22" t="s">
        <v>26</v>
      </c>
      <c r="C36" s="72">
        <f>C33-C35</f>
        <v>34708.807327703136</v>
      </c>
      <c r="D36" s="72"/>
      <c r="E36" s="19">
        <f>100-E35</f>
        <v>15.446126807609133</v>
      </c>
      <c r="F36" s="33"/>
      <c r="G36" s="34"/>
      <c r="H36" s="34"/>
      <c r="I36" s="34"/>
      <c r="J36" s="34"/>
      <c r="K36" s="33"/>
    </row>
    <row r="37" spans="1:11" x14ac:dyDescent="0.25">
      <c r="A37" s="32"/>
      <c r="B37" s="22" t="s">
        <v>27</v>
      </c>
      <c r="C37" s="72">
        <f>C34*0.03</f>
        <v>6000</v>
      </c>
      <c r="D37" s="72"/>
      <c r="E37" s="19">
        <v>3</v>
      </c>
      <c r="F37" s="33"/>
      <c r="G37" s="34"/>
      <c r="H37" s="34"/>
      <c r="I37" s="34"/>
      <c r="J37" s="34"/>
      <c r="K37" s="33"/>
    </row>
    <row r="38" spans="1:11" x14ac:dyDescent="0.25">
      <c r="A38" s="32"/>
      <c r="B38" s="22" t="s">
        <v>28</v>
      </c>
      <c r="C38" s="72">
        <f>C34*0.02</f>
        <v>4000</v>
      </c>
      <c r="D38" s="72"/>
      <c r="E38" s="19">
        <v>2</v>
      </c>
      <c r="F38" s="33"/>
      <c r="G38" s="34"/>
      <c r="H38" s="34"/>
      <c r="I38" s="34"/>
      <c r="J38" s="34"/>
      <c r="K38" s="33"/>
    </row>
  </sheetData>
  <mergeCells count="16">
    <mergeCell ref="C36:D36"/>
    <mergeCell ref="C37:D37"/>
    <mergeCell ref="C38:D38"/>
    <mergeCell ref="A7:F7"/>
    <mergeCell ref="H7:K7"/>
    <mergeCell ref="K14:K15"/>
    <mergeCell ref="C33:D33"/>
    <mergeCell ref="C34:D34"/>
    <mergeCell ref="C35:D3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view="pageBreakPreview" topLeftCell="A4" zoomScale="60" zoomScaleNormal="100" workbookViewId="0">
      <selection activeCell="H14" sqref="H1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0" t="s">
        <v>0</v>
      </c>
      <c r="B1" s="80"/>
      <c r="C1" s="80"/>
      <c r="D1" s="80"/>
      <c r="E1" s="80"/>
      <c r="F1" s="80"/>
      <c r="G1" s="80"/>
      <c r="H1" s="80"/>
      <c r="I1" s="80"/>
      <c r="J1" s="80"/>
      <c r="K1" s="80"/>
    </row>
    <row r="2" spans="1:13" ht="25.5" x14ac:dyDescent="0.35">
      <c r="A2" s="81" t="s">
        <v>1</v>
      </c>
      <c r="B2" s="81"/>
      <c r="C2" s="81"/>
      <c r="D2" s="81"/>
      <c r="E2" s="81"/>
      <c r="F2" s="81"/>
      <c r="G2" s="81"/>
      <c r="H2" s="81"/>
      <c r="I2" s="81"/>
      <c r="J2" s="81"/>
      <c r="K2" s="81"/>
    </row>
    <row r="3" spans="1:13" s="16" customFormat="1" x14ac:dyDescent="0.25">
      <c r="A3" s="70" t="s">
        <v>2</v>
      </c>
      <c r="B3" s="70"/>
      <c r="C3" s="70"/>
      <c r="D3" s="70"/>
      <c r="E3" s="70"/>
      <c r="F3" s="70"/>
      <c r="G3" s="70"/>
      <c r="H3" s="70"/>
      <c r="I3" s="70"/>
      <c r="J3" s="70"/>
      <c r="K3" s="70"/>
    </row>
    <row r="4" spans="1:13" s="16" customFormat="1" x14ac:dyDescent="0.25">
      <c r="A4" s="70" t="s">
        <v>3</v>
      </c>
      <c r="B4" s="70"/>
      <c r="C4" s="70"/>
      <c r="D4" s="70"/>
      <c r="E4" s="70"/>
      <c r="F4" s="70"/>
      <c r="G4" s="70"/>
      <c r="H4" s="70"/>
      <c r="I4" s="70"/>
      <c r="J4" s="70"/>
      <c r="K4" s="70"/>
    </row>
    <row r="5" spans="1:13" ht="18.75" x14ac:dyDescent="0.3">
      <c r="A5" s="82" t="s">
        <v>30</v>
      </c>
      <c r="B5" s="82"/>
      <c r="C5" s="82"/>
      <c r="D5" s="82"/>
      <c r="E5" s="82"/>
      <c r="F5" s="82"/>
      <c r="G5" s="82"/>
      <c r="H5" s="82"/>
      <c r="I5" s="82"/>
      <c r="J5" s="82"/>
      <c r="K5" s="82"/>
    </row>
    <row r="6" spans="1:13" ht="18.75" x14ac:dyDescent="0.3">
      <c r="A6" s="37" t="s">
        <v>31</v>
      </c>
      <c r="B6" s="37"/>
      <c r="C6" s="78">
        <f>F26</f>
        <v>224708.80732770314</v>
      </c>
      <c r="D6" s="79"/>
      <c r="E6" s="38"/>
      <c r="F6" s="37"/>
      <c r="G6" s="37"/>
      <c r="H6" s="37" t="s">
        <v>32</v>
      </c>
      <c r="I6" s="37"/>
      <c r="J6" s="78">
        <f>I26</f>
        <v>225347.38481727894</v>
      </c>
      <c r="K6" s="79"/>
    </row>
    <row r="7" spans="1:13" x14ac:dyDescent="0.25">
      <c r="A7" s="39" t="s">
        <v>33</v>
      </c>
      <c r="B7" s="39"/>
      <c r="C7" s="39"/>
      <c r="D7" s="39"/>
      <c r="F7" s="83"/>
      <c r="G7" s="83"/>
      <c r="I7" s="84" t="s">
        <v>34</v>
      </c>
      <c r="J7" s="84"/>
      <c r="K7" s="84"/>
    </row>
    <row r="8" spans="1:13" ht="15.75" x14ac:dyDescent="0.25">
      <c r="A8" s="66" t="str">
        <f>Estimate!A6</f>
        <v>Project:- कुसुमथली पहिरो संरक्षण</v>
      </c>
      <c r="B8" s="66"/>
      <c r="C8" s="66"/>
      <c r="D8" s="66"/>
      <c r="E8" s="66"/>
      <c r="F8" s="66"/>
      <c r="I8" s="85" t="s">
        <v>43</v>
      </c>
      <c r="J8" s="85"/>
      <c r="K8" s="85"/>
    </row>
    <row r="9" spans="1:13" x14ac:dyDescent="0.25">
      <c r="A9" s="86" t="str">
        <f>Estimate!A7</f>
        <v>Location:- Shankharapur Municipality 9</v>
      </c>
      <c r="B9" s="86"/>
      <c r="C9" s="86"/>
      <c r="D9" s="86"/>
      <c r="E9" s="86"/>
      <c r="F9" s="86"/>
      <c r="I9" s="85" t="s">
        <v>58</v>
      </c>
      <c r="J9" s="85"/>
      <c r="K9" s="85"/>
    </row>
    <row r="11" spans="1:13" x14ac:dyDescent="0.25">
      <c r="A11" s="88" t="s">
        <v>35</v>
      </c>
      <c r="B11" s="88" t="s">
        <v>36</v>
      </c>
      <c r="C11" s="88" t="s">
        <v>14</v>
      </c>
      <c r="D11" s="89" t="s">
        <v>37</v>
      </c>
      <c r="E11" s="89"/>
      <c r="F11" s="89"/>
      <c r="G11" s="89" t="s">
        <v>38</v>
      </c>
      <c r="H11" s="89"/>
      <c r="I11" s="89"/>
      <c r="J11" s="88" t="s">
        <v>39</v>
      </c>
      <c r="K11" s="87" t="s">
        <v>40</v>
      </c>
    </row>
    <row r="12" spans="1:13" x14ac:dyDescent="0.25">
      <c r="A12" s="88"/>
      <c r="B12" s="88"/>
      <c r="C12" s="88"/>
      <c r="D12" s="40" t="s">
        <v>41</v>
      </c>
      <c r="E12" s="40" t="s">
        <v>15</v>
      </c>
      <c r="F12" s="40" t="s">
        <v>16</v>
      </c>
      <c r="G12" s="40" t="s">
        <v>41</v>
      </c>
      <c r="H12" s="40" t="s">
        <v>15</v>
      </c>
      <c r="I12" s="40" t="s">
        <v>16</v>
      </c>
      <c r="J12" s="88"/>
      <c r="K12" s="87"/>
    </row>
    <row r="13" spans="1:13" s="16" customFormat="1" ht="30" x14ac:dyDescent="0.2">
      <c r="A13" s="49">
        <f>Estimate!A9</f>
        <v>1</v>
      </c>
      <c r="B13" s="61" t="str">
        <f>Estimate!B9</f>
        <v xml:space="preserve">g/d k|sf/sf] Sn] / l;N6L df6f]df ;j} lsl;dsf] vGg] sfd </v>
      </c>
      <c r="C13" s="41" t="str">
        <f>Estimate!H11</f>
        <v>m3</v>
      </c>
      <c r="D13" s="41">
        <f>Estimate!G11</f>
        <v>29.52</v>
      </c>
      <c r="E13" s="41">
        <f>Estimate!I11</f>
        <v>663.31</v>
      </c>
      <c r="F13" s="41">
        <f>D13*E13</f>
        <v>19580.911199999999</v>
      </c>
      <c r="G13" s="41">
        <f>V!G11</f>
        <v>23.403707639999809</v>
      </c>
      <c r="H13" s="41">
        <f>V!I11</f>
        <v>663.31</v>
      </c>
      <c r="I13" s="41">
        <f>G13*H13</f>
        <v>15523.913314688272</v>
      </c>
      <c r="J13" s="42">
        <f>I13-F13</f>
        <v>-4056.9978853117263</v>
      </c>
      <c r="K13" s="43"/>
      <c r="M13" s="50">
        <f>1.25*F13</f>
        <v>24476.138999999999</v>
      </c>
    </row>
    <row r="14" spans="1:13" s="16" customFormat="1" x14ac:dyDescent="0.25">
      <c r="A14" s="21"/>
      <c r="B14" s="22"/>
      <c r="C14" s="41"/>
      <c r="D14" s="41"/>
      <c r="E14" s="41"/>
      <c r="F14" s="41"/>
      <c r="G14" s="41"/>
      <c r="H14" s="41"/>
      <c r="I14" s="41"/>
      <c r="J14" s="42"/>
      <c r="K14" s="43"/>
      <c r="M14" s="50"/>
    </row>
    <row r="15" spans="1:13" s="16" customFormat="1" ht="45" x14ac:dyDescent="0.25">
      <c r="A15" s="49">
        <f>Estimate!A13</f>
        <v>2</v>
      </c>
      <c r="B15" s="63" t="str">
        <f>Estimate!B13</f>
        <v>Filling empty bags with local sand, sewing them closes and pacing them including haulage upto 100 m distance</v>
      </c>
      <c r="C15" s="41" t="str">
        <f>Estimate!H15</f>
        <v>sack</v>
      </c>
      <c r="D15" s="41">
        <f>Estimate!G15</f>
        <v>1800</v>
      </c>
      <c r="E15" s="41">
        <f>Estimate!I15</f>
        <v>92</v>
      </c>
      <c r="F15" s="41">
        <f>D15*E15</f>
        <v>165600</v>
      </c>
      <c r="G15" s="41">
        <f>V!G15</f>
        <v>1867</v>
      </c>
      <c r="H15" s="41">
        <f>V!I15</f>
        <v>92</v>
      </c>
      <c r="I15" s="41">
        <f>G15*H15</f>
        <v>171764</v>
      </c>
      <c r="J15" s="42">
        <f>I15-F15</f>
        <v>6164</v>
      </c>
      <c r="K15" s="43"/>
      <c r="M15" s="50">
        <f t="shared" ref="M15:M24" si="0">1.25*F15</f>
        <v>207000</v>
      </c>
    </row>
    <row r="16" spans="1:13" s="16" customFormat="1" x14ac:dyDescent="0.25">
      <c r="A16" s="21"/>
      <c r="B16" s="22"/>
      <c r="C16" s="41"/>
      <c r="D16" s="41"/>
      <c r="E16" s="41"/>
      <c r="F16" s="41"/>
      <c r="G16" s="41"/>
      <c r="H16" s="41"/>
      <c r="I16" s="41"/>
      <c r="J16" s="42"/>
      <c r="K16" s="43"/>
      <c r="M16" s="50"/>
    </row>
    <row r="17" spans="1:13" s="16" customFormat="1" ht="30" x14ac:dyDescent="0.25">
      <c r="A17" s="49">
        <f>Estimate!A17</f>
        <v>3</v>
      </c>
      <c r="B17" s="63" t="str">
        <f>Estimate!B17</f>
        <v>Providing and laying Bamboo for the protection all complete</v>
      </c>
      <c r="C17" s="41" t="str">
        <f>Estimate!H20</f>
        <v>No.</v>
      </c>
      <c r="D17" s="41">
        <f>Estimate!G20</f>
        <v>47</v>
      </c>
      <c r="E17" s="41">
        <f>Estimate!I20</f>
        <v>240</v>
      </c>
      <c r="F17" s="41">
        <f>D17*E17</f>
        <v>11280</v>
      </c>
      <c r="G17" s="41">
        <f>V!G20</f>
        <v>30</v>
      </c>
      <c r="H17" s="41">
        <f>V!I20</f>
        <v>240</v>
      </c>
      <c r="I17" s="41">
        <f>G17*H17</f>
        <v>7200</v>
      </c>
      <c r="J17" s="42">
        <f>I17-F17</f>
        <v>-4080</v>
      </c>
      <c r="K17" s="43"/>
      <c r="M17" s="50">
        <f t="shared" si="0"/>
        <v>14100</v>
      </c>
    </row>
    <row r="18" spans="1:13" s="16" customFormat="1" ht="15.75" x14ac:dyDescent="0.25">
      <c r="A18" s="49"/>
      <c r="B18" s="48" t="str">
        <f>Estimate!B21</f>
        <v>VAT calculation</v>
      </c>
      <c r="C18" s="41"/>
      <c r="D18" s="41"/>
      <c r="E18" s="41"/>
      <c r="F18" s="41">
        <f>Estimate!J21</f>
        <v>1466.4</v>
      </c>
      <c r="G18" s="41"/>
      <c r="H18" s="41"/>
      <c r="I18" s="41">
        <f>V!J21</f>
        <v>936</v>
      </c>
      <c r="J18" s="42">
        <f>I18-F18</f>
        <v>-530.40000000000009</v>
      </c>
      <c r="K18" s="43"/>
      <c r="M18" s="50">
        <f t="shared" si="0"/>
        <v>1833</v>
      </c>
    </row>
    <row r="19" spans="1:13" s="16" customFormat="1" x14ac:dyDescent="0.25">
      <c r="A19" s="21"/>
      <c r="B19" s="22"/>
      <c r="C19" s="41"/>
      <c r="D19" s="41"/>
      <c r="E19" s="41"/>
      <c r="F19" s="41"/>
      <c r="G19" s="41"/>
      <c r="H19" s="41"/>
      <c r="I19" s="41"/>
      <c r="J19" s="42"/>
      <c r="K19" s="43"/>
      <c r="M19" s="50"/>
    </row>
    <row r="20" spans="1:13" s="16" customFormat="1" ht="90" x14ac:dyDescent="0.25">
      <c r="A20" s="49">
        <f>Estimate!A23</f>
        <v>4</v>
      </c>
      <c r="B20" s="63" t="str">
        <f>Estimate!B23</f>
        <v>Providing suitable material and Back filling behind abutment, wing wall and return wall complete as per Drawing and Technical Specifications., locally available material including compaction by tamping rod(without watering)</v>
      </c>
      <c r="C20" s="41" t="str">
        <f>Estimate!H25</f>
        <v>cum</v>
      </c>
      <c r="D20" s="41">
        <f>Estimate!G25</f>
        <v>42.746354327948794</v>
      </c>
      <c r="E20" s="41">
        <f>Estimate!I25</f>
        <v>404.28</v>
      </c>
      <c r="F20" s="41">
        <f>D20*E20</f>
        <v>17281.496127703136</v>
      </c>
      <c r="G20" s="41">
        <f>V!G25</f>
        <v>50.518134715025909</v>
      </c>
      <c r="H20" s="41">
        <f>V!I25</f>
        <v>404.28</v>
      </c>
      <c r="I20" s="41">
        <f>G20*H20</f>
        <v>20423.471502590673</v>
      </c>
      <c r="J20" s="42">
        <f>I20-F20</f>
        <v>3141.9753748875373</v>
      </c>
      <c r="K20" s="43"/>
      <c r="M20" s="50">
        <f t="shared" si="0"/>
        <v>21601.870159628921</v>
      </c>
    </row>
    <row r="21" spans="1:13" s="16" customFormat="1" x14ac:dyDescent="0.25">
      <c r="A21" s="21"/>
      <c r="B21" s="22"/>
      <c r="C21" s="41"/>
      <c r="D21" s="41"/>
      <c r="E21" s="41"/>
      <c r="F21" s="41"/>
      <c r="G21" s="41"/>
      <c r="H21" s="41"/>
      <c r="I21" s="41"/>
      <c r="J21" s="42"/>
      <c r="K21" s="43"/>
      <c r="M21" s="50"/>
    </row>
    <row r="22" spans="1:13" s="16" customFormat="1" x14ac:dyDescent="0.25">
      <c r="A22" s="49">
        <f>Estimate!A27</f>
        <v>5</v>
      </c>
      <c r="B22" s="7" t="str">
        <f>Estimate!B27</f>
        <v>Provisional sum for unforseen works</v>
      </c>
      <c r="C22" s="41" t="str">
        <f>Estimate!H27</f>
        <v>PS</v>
      </c>
      <c r="D22" s="41">
        <f>Estimate!G27</f>
        <v>1</v>
      </c>
      <c r="E22" s="41">
        <f>Estimate!I27</f>
        <v>9000</v>
      </c>
      <c r="F22" s="41">
        <f>D22*E22</f>
        <v>9000</v>
      </c>
      <c r="G22" s="41">
        <f>V!G27</f>
        <v>1</v>
      </c>
      <c r="H22" s="41">
        <f>V!I27</f>
        <v>9000</v>
      </c>
      <c r="I22" s="41">
        <f>G22*H22</f>
        <v>9000</v>
      </c>
      <c r="J22" s="42">
        <f>I22-F22</f>
        <v>0</v>
      </c>
      <c r="K22" s="43"/>
      <c r="M22" s="50">
        <f t="shared" si="0"/>
        <v>11250</v>
      </c>
    </row>
    <row r="23" spans="1:13" s="16" customFormat="1" x14ac:dyDescent="0.25">
      <c r="A23" s="21"/>
      <c r="B23" s="22"/>
      <c r="C23" s="41"/>
      <c r="D23" s="41"/>
      <c r="E23" s="41"/>
      <c r="F23" s="41"/>
      <c r="G23" s="41"/>
      <c r="H23" s="41"/>
      <c r="I23" s="41"/>
      <c r="J23" s="42"/>
      <c r="K23" s="43"/>
      <c r="M23" s="50"/>
    </row>
    <row r="24" spans="1:13" s="16" customFormat="1" x14ac:dyDescent="0.25">
      <c r="A24" s="49">
        <f>Estimate!A29</f>
        <v>6</v>
      </c>
      <c r="B24" s="44" t="str">
        <f>Estimate!B29</f>
        <v>Information board (सुचना पाटि)</v>
      </c>
      <c r="C24" s="41" t="str">
        <f>Estimate!H29</f>
        <v>no.</v>
      </c>
      <c r="D24" s="41">
        <f>Estimate!G29</f>
        <v>1</v>
      </c>
      <c r="E24" s="41">
        <f>Estimate!I29</f>
        <v>500</v>
      </c>
      <c r="F24" s="41">
        <f>D24*E24</f>
        <v>500</v>
      </c>
      <c r="G24" s="41">
        <f>V!G29</f>
        <v>1</v>
      </c>
      <c r="H24" s="41">
        <f>V!I29</f>
        <v>500</v>
      </c>
      <c r="I24" s="41">
        <f>G24*H24</f>
        <v>500</v>
      </c>
      <c r="J24" s="42">
        <f>I24-F24</f>
        <v>0</v>
      </c>
      <c r="K24" s="43"/>
      <c r="M24" s="50">
        <f t="shared" si="0"/>
        <v>625</v>
      </c>
    </row>
    <row r="25" spans="1:13" s="16" customFormat="1" x14ac:dyDescent="0.25">
      <c r="A25" s="22"/>
      <c r="B25" s="22"/>
      <c r="C25" s="41"/>
      <c r="D25" s="41"/>
      <c r="E25" s="41"/>
      <c r="F25" s="41"/>
      <c r="G25" s="41"/>
      <c r="H25" s="41"/>
      <c r="I25" s="41"/>
      <c r="J25" s="42"/>
      <c r="K25" s="43"/>
    </row>
    <row r="26" spans="1:13" x14ac:dyDescent="0.25">
      <c r="A26" s="23"/>
      <c r="B26" s="45" t="s">
        <v>42</v>
      </c>
      <c r="C26" s="45"/>
      <c r="D26" s="46"/>
      <c r="E26" s="46"/>
      <c r="F26" s="46">
        <f>SUM(F13:F24)</f>
        <v>224708.80732770314</v>
      </c>
      <c r="G26" s="46"/>
      <c r="H26" s="46"/>
      <c r="I26" s="46">
        <f>SUM(I13:I24)</f>
        <v>225347.38481727894</v>
      </c>
      <c r="J26" s="47">
        <f>I26-F26</f>
        <v>638.5774895758077</v>
      </c>
      <c r="K26" s="23"/>
    </row>
    <row r="31" spans="1:13" x14ac:dyDescent="0.25">
      <c r="K31">
        <v>1070</v>
      </c>
      <c r="L31">
        <f>(21/3.281)*(36/3.281)</f>
        <v>70.227843835198286</v>
      </c>
      <c r="M31">
        <f>L31*K31</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A7" zoomScaleNormal="100" workbookViewId="0">
      <selection activeCell="I13" sqref="I13"/>
    </sheetView>
  </sheetViews>
  <sheetFormatPr defaultRowHeight="15" x14ac:dyDescent="0.25"/>
  <cols>
    <col min="1" max="1" width="4.7109375" customWidth="1"/>
    <col min="2" max="2" width="31.28515625" customWidth="1"/>
    <col min="3" max="3" width="6.5703125" bestFit="1" customWidth="1"/>
    <col min="4" max="4" width="7.5703125" customWidth="1"/>
    <col min="5" max="5" width="8.5703125" customWidth="1"/>
    <col min="6" max="6" width="8.85546875" bestFit="1" customWidth="1"/>
    <col min="7" max="7" width="8.7109375" customWidth="1"/>
    <col min="8" max="8" width="5" bestFit="1" customWidth="1"/>
    <col min="9" max="9" width="8.42578125" bestFit="1" customWidth="1"/>
    <col min="10" max="10" width="10.7109375" bestFit="1" customWidth="1"/>
    <col min="11" max="11" width="8.7109375" customWidth="1"/>
  </cols>
  <sheetData>
    <row r="1" spans="1:11" x14ac:dyDescent="0.25">
      <c r="A1" s="68" t="s">
        <v>0</v>
      </c>
      <c r="B1" s="68"/>
      <c r="C1" s="68"/>
      <c r="D1" s="68"/>
      <c r="E1" s="68"/>
      <c r="F1" s="68"/>
      <c r="G1" s="68"/>
      <c r="H1" s="68"/>
      <c r="I1" s="68"/>
      <c r="J1" s="68"/>
      <c r="K1" s="68"/>
    </row>
    <row r="2" spans="1:11" ht="22.5" x14ac:dyDescent="0.25">
      <c r="A2" s="69" t="s">
        <v>1</v>
      </c>
      <c r="B2" s="69"/>
      <c r="C2" s="69"/>
      <c r="D2" s="69"/>
      <c r="E2" s="69"/>
      <c r="F2" s="69"/>
      <c r="G2" s="69"/>
      <c r="H2" s="69"/>
      <c r="I2" s="69"/>
      <c r="J2" s="69"/>
      <c r="K2" s="69"/>
    </row>
    <row r="3" spans="1:11" x14ac:dyDescent="0.25">
      <c r="A3" s="70" t="s">
        <v>2</v>
      </c>
      <c r="B3" s="70"/>
      <c r="C3" s="70"/>
      <c r="D3" s="70"/>
      <c r="E3" s="70"/>
      <c r="F3" s="70"/>
      <c r="G3" s="70"/>
      <c r="H3" s="70"/>
      <c r="I3" s="70"/>
      <c r="J3" s="70"/>
      <c r="K3" s="70"/>
    </row>
    <row r="4" spans="1:11" x14ac:dyDescent="0.25">
      <c r="A4" s="70" t="s">
        <v>3</v>
      </c>
      <c r="B4" s="70"/>
      <c r="C4" s="70"/>
      <c r="D4" s="70"/>
      <c r="E4" s="70"/>
      <c r="F4" s="70"/>
      <c r="G4" s="70"/>
      <c r="H4" s="70"/>
      <c r="I4" s="70"/>
      <c r="J4" s="70"/>
      <c r="K4" s="70"/>
    </row>
    <row r="5" spans="1:11" ht="18.75" x14ac:dyDescent="0.3">
      <c r="A5" s="71" t="s">
        <v>56</v>
      </c>
      <c r="B5" s="71"/>
      <c r="C5" s="71"/>
      <c r="D5" s="71"/>
      <c r="E5" s="71"/>
      <c r="F5" s="71"/>
      <c r="G5" s="71"/>
      <c r="H5" s="71"/>
      <c r="I5" s="71"/>
      <c r="J5" s="71"/>
      <c r="K5" s="71"/>
    </row>
    <row r="6" spans="1:11" ht="15.75" x14ac:dyDescent="0.25">
      <c r="A6" s="66" t="s">
        <v>55</v>
      </c>
      <c r="B6" s="66"/>
      <c r="C6" s="66"/>
      <c r="D6" s="66"/>
      <c r="E6" s="66"/>
      <c r="F6" s="66"/>
      <c r="G6" s="1"/>
      <c r="H6" s="67" t="s">
        <v>5</v>
      </c>
      <c r="I6" s="67"/>
      <c r="J6" s="67"/>
      <c r="K6" s="67"/>
    </row>
    <row r="7" spans="1:11" ht="15.75" x14ac:dyDescent="0.25">
      <c r="A7" s="73" t="s">
        <v>6</v>
      </c>
      <c r="B7" s="73"/>
      <c r="C7" s="73"/>
      <c r="D7" s="73"/>
      <c r="E7" s="73"/>
      <c r="F7" s="73"/>
      <c r="G7" s="2"/>
      <c r="H7" s="74" t="s">
        <v>59</v>
      </c>
      <c r="I7" s="74"/>
      <c r="J7" s="74"/>
      <c r="K7" s="74"/>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7" t="s">
        <v>49</v>
      </c>
      <c r="C9" s="10"/>
      <c r="D9" s="11"/>
      <c r="E9" s="12"/>
      <c r="F9" s="12"/>
      <c r="G9" s="13"/>
      <c r="H9" s="14"/>
      <c r="I9" s="13"/>
      <c r="J9" s="15"/>
      <c r="K9" s="12"/>
    </row>
    <row r="10" spans="1:11" x14ac:dyDescent="0.25">
      <c r="A10" s="8"/>
      <c r="B10" s="9"/>
      <c r="C10" s="17">
        <v>0.5</v>
      </c>
      <c r="D10" s="18">
        <f>(10+16+31+22+16+15+12+14+29+31+25)/3.281</f>
        <v>67.357512953367873</v>
      </c>
      <c r="E10" s="18">
        <v>0.38</v>
      </c>
      <c r="F10" s="18">
        <f>6/3.281</f>
        <v>1.8287107589149649</v>
      </c>
      <c r="G10" s="19">
        <f>(PRODUCT(C10:F10))</f>
        <v>23.403707639999809</v>
      </c>
      <c r="H10" s="20"/>
      <c r="I10" s="20"/>
      <c r="J10" s="20"/>
      <c r="K10" s="12"/>
    </row>
    <row r="11" spans="1:11" x14ac:dyDescent="0.25">
      <c r="A11" s="8"/>
      <c r="B11" s="9" t="s">
        <v>18</v>
      </c>
      <c r="C11" s="10"/>
      <c r="D11" s="11"/>
      <c r="E11" s="12"/>
      <c r="F11" s="12"/>
      <c r="G11" s="13">
        <f>SUM(G10:G10)</f>
        <v>23.403707639999809</v>
      </c>
      <c r="H11" s="14" t="s">
        <v>19</v>
      </c>
      <c r="I11" s="13">
        <v>663.31</v>
      </c>
      <c r="J11" s="15">
        <f>G11*I11</f>
        <v>15523.913314688272</v>
      </c>
      <c r="K11" s="12"/>
    </row>
    <row r="12" spans="1:11" x14ac:dyDescent="0.25">
      <c r="A12" s="8"/>
      <c r="B12" s="9"/>
      <c r="C12" s="10"/>
      <c r="D12" s="11"/>
      <c r="E12" s="12"/>
      <c r="F12" s="12"/>
      <c r="G12" s="13"/>
      <c r="H12" s="14"/>
      <c r="I12" s="13"/>
      <c r="J12" s="15"/>
      <c r="K12" s="12"/>
    </row>
    <row r="13" spans="1:11" ht="60" x14ac:dyDescent="0.25">
      <c r="A13" s="8">
        <v>2</v>
      </c>
      <c r="B13" s="7" t="s">
        <v>44</v>
      </c>
      <c r="C13" s="10"/>
      <c r="D13" s="11"/>
      <c r="E13" s="12"/>
      <c r="F13" s="12"/>
      <c r="G13" s="13"/>
      <c r="H13" s="14"/>
      <c r="I13" s="13"/>
      <c r="J13" s="15"/>
      <c r="K13" s="12"/>
    </row>
    <row r="14" spans="1:11" x14ac:dyDescent="0.25">
      <c r="A14" s="8"/>
      <c r="B14" s="9" t="s">
        <v>54</v>
      </c>
      <c r="C14" s="10">
        <f>9*8+15*10+30*10+18*10+14*10+13*10+9*9+12*10+25*10+29*10+22*7</f>
        <v>1867</v>
      </c>
      <c r="D14" s="11"/>
      <c r="E14" s="12"/>
      <c r="F14" s="18"/>
      <c r="G14" s="19">
        <f>(PRODUCT(C14:F14))</f>
        <v>1867</v>
      </c>
      <c r="H14" s="14"/>
      <c r="I14" s="13"/>
      <c r="J14" s="15"/>
      <c r="K14" s="75" t="s">
        <v>50</v>
      </c>
    </row>
    <row r="15" spans="1:11" x14ac:dyDescent="0.25">
      <c r="A15" s="8"/>
      <c r="B15" s="9" t="s">
        <v>18</v>
      </c>
      <c r="C15" s="10"/>
      <c r="D15" s="11"/>
      <c r="E15" s="12"/>
      <c r="F15" s="12"/>
      <c r="G15" s="13">
        <f>SUM(G14:G14)</f>
        <v>1867</v>
      </c>
      <c r="H15" s="14" t="s">
        <v>48</v>
      </c>
      <c r="I15" s="13">
        <v>92</v>
      </c>
      <c r="J15" s="15">
        <f>G15*I15</f>
        <v>171764</v>
      </c>
      <c r="K15" s="76"/>
    </row>
    <row r="16" spans="1:11" x14ac:dyDescent="0.25">
      <c r="A16" s="8"/>
      <c r="B16" s="9"/>
      <c r="C16" s="10"/>
      <c r="D16" s="11"/>
      <c r="E16" s="12"/>
      <c r="F16" s="12"/>
      <c r="G16" s="13"/>
      <c r="H16" s="14"/>
      <c r="I16" s="13"/>
      <c r="J16" s="15"/>
      <c r="K16" s="12"/>
    </row>
    <row r="17" spans="1:11" ht="30" x14ac:dyDescent="0.25">
      <c r="A17" s="8">
        <v>3</v>
      </c>
      <c r="B17" s="7" t="s">
        <v>45</v>
      </c>
      <c r="C17" s="10"/>
      <c r="D17" s="11"/>
      <c r="E17" s="12"/>
      <c r="F17" s="12"/>
      <c r="G17" s="13"/>
      <c r="H17" s="14"/>
      <c r="I17" s="13"/>
      <c r="J17" s="15"/>
      <c r="K17" s="12"/>
    </row>
    <row r="18" spans="1:11" x14ac:dyDescent="0.25">
      <c r="A18" s="8"/>
      <c r="B18" s="9" t="s">
        <v>46</v>
      </c>
      <c r="C18" s="36">
        <v>65</v>
      </c>
      <c r="D18" s="18">
        <v>2.5</v>
      </c>
      <c r="E18" s="18"/>
      <c r="F18" s="18"/>
      <c r="G18" s="19">
        <f>PRODUCT(C18:F18)</f>
        <v>162.5</v>
      </c>
      <c r="H18" s="20"/>
      <c r="I18" s="20"/>
      <c r="J18" s="20"/>
      <c r="K18" s="12"/>
    </row>
    <row r="19" spans="1:11" x14ac:dyDescent="0.25">
      <c r="A19" s="8"/>
      <c r="B19" s="9" t="s">
        <v>47</v>
      </c>
      <c r="C19" s="36">
        <v>1</v>
      </c>
      <c r="D19" s="18">
        <f>(9*6+16*6+31*6+22*6+16*6+15*4+12*6+14*6+29*6+31*6+25*4)/3.281</f>
        <v>377.93355684242607</v>
      </c>
      <c r="E19" s="18"/>
      <c r="F19" s="18"/>
      <c r="G19" s="19">
        <f>(PRODUCT(C19:F19))/4/6</f>
        <v>15.747231535101086</v>
      </c>
      <c r="H19" s="20"/>
      <c r="I19" s="20"/>
      <c r="J19" s="20"/>
      <c r="K19" s="12"/>
    </row>
    <row r="20" spans="1:11" x14ac:dyDescent="0.25">
      <c r="A20" s="8"/>
      <c r="B20" s="9" t="s">
        <v>18</v>
      </c>
      <c r="C20" s="10"/>
      <c r="D20" s="11"/>
      <c r="E20" s="12"/>
      <c r="F20" s="12"/>
      <c r="G20" s="13">
        <f>TRUNC((SUM(G18:G19))/6,0)+1</f>
        <v>30</v>
      </c>
      <c r="H20" s="14" t="s">
        <v>9</v>
      </c>
      <c r="I20" s="13">
        <v>240</v>
      </c>
      <c r="J20" s="15">
        <f>G20*I20</f>
        <v>7200</v>
      </c>
      <c r="K20" s="12"/>
    </row>
    <row r="21" spans="1:11" x14ac:dyDescent="0.25">
      <c r="A21" s="8"/>
      <c r="B21" s="9" t="s">
        <v>20</v>
      </c>
      <c r="C21" s="10"/>
      <c r="D21" s="11"/>
      <c r="E21" s="12"/>
      <c r="F21" s="12"/>
      <c r="G21" s="13"/>
      <c r="H21" s="14"/>
      <c r="I21" s="13"/>
      <c r="J21" s="15">
        <f>0.13*J20</f>
        <v>936</v>
      </c>
      <c r="K21" s="12"/>
    </row>
    <row r="22" spans="1:11" x14ac:dyDescent="0.25">
      <c r="A22" s="8"/>
      <c r="B22" s="9"/>
      <c r="C22" s="10"/>
      <c r="D22" s="11"/>
      <c r="E22" s="12"/>
      <c r="F22" s="12"/>
      <c r="G22" s="13"/>
      <c r="H22" s="14"/>
      <c r="I22" s="13"/>
      <c r="J22" s="15"/>
      <c r="K22" s="12"/>
    </row>
    <row r="23" spans="1:11" ht="105" x14ac:dyDescent="0.25">
      <c r="A23" s="8">
        <v>4</v>
      </c>
      <c r="B23" s="62" t="s">
        <v>60</v>
      </c>
      <c r="C23" s="10"/>
      <c r="D23" s="11"/>
      <c r="E23" s="12"/>
      <c r="F23" s="12"/>
      <c r="G23" s="13"/>
      <c r="H23" s="14"/>
      <c r="I23" s="13"/>
      <c r="J23" s="15"/>
      <c r="K23" s="12"/>
    </row>
    <row r="24" spans="1:11" x14ac:dyDescent="0.25">
      <c r="A24" s="8"/>
      <c r="B24" s="9" t="s">
        <v>61</v>
      </c>
      <c r="C24" s="10">
        <v>1</v>
      </c>
      <c r="D24" s="11">
        <f>((10+16+31+22+16+15+12+14+29+31+25))/3.281</f>
        <v>67.357512953367873</v>
      </c>
      <c r="E24" s="12">
        <v>0.5</v>
      </c>
      <c r="F24" s="18">
        <v>1.5</v>
      </c>
      <c r="G24" s="19">
        <f>(PRODUCT(C24:F24))</f>
        <v>50.518134715025909</v>
      </c>
      <c r="H24" s="14"/>
      <c r="I24" s="13"/>
      <c r="J24" s="15"/>
      <c r="K24" s="12"/>
    </row>
    <row r="25" spans="1:11" x14ac:dyDescent="0.25">
      <c r="A25" s="8"/>
      <c r="B25" s="9" t="s">
        <v>18</v>
      </c>
      <c r="C25" s="10"/>
      <c r="D25" s="11"/>
      <c r="E25" s="12"/>
      <c r="F25" s="12"/>
      <c r="G25" s="13">
        <f>SUM(G24)</f>
        <v>50.518134715025909</v>
      </c>
      <c r="H25" s="14" t="s">
        <v>62</v>
      </c>
      <c r="I25" s="13">
        <v>404.28</v>
      </c>
      <c r="J25" s="15">
        <f>G25*I25</f>
        <v>20423.471502590673</v>
      </c>
      <c r="K25" s="12"/>
    </row>
    <row r="26" spans="1:11" x14ac:dyDescent="0.25">
      <c r="A26" s="8"/>
      <c r="B26" s="9"/>
      <c r="C26" s="10"/>
      <c r="D26" s="11"/>
      <c r="E26" s="12"/>
      <c r="F26" s="12"/>
      <c r="G26" s="13"/>
      <c r="H26" s="14"/>
      <c r="I26" s="13"/>
      <c r="J26" s="15"/>
      <c r="K26" s="12"/>
    </row>
    <row r="27" spans="1:11" ht="30" x14ac:dyDescent="0.25">
      <c r="A27" s="8">
        <v>5</v>
      </c>
      <c r="B27" s="58" t="s">
        <v>51</v>
      </c>
      <c r="C27" s="10">
        <v>1</v>
      </c>
      <c r="D27" s="11"/>
      <c r="E27" s="12"/>
      <c r="F27" s="12"/>
      <c r="G27" s="25">
        <f t="shared" ref="G27" si="0">PRODUCT(C27:F27)</f>
        <v>1</v>
      </c>
      <c r="H27" s="14" t="s">
        <v>52</v>
      </c>
      <c r="I27" s="13">
        <v>9000</v>
      </c>
      <c r="J27" s="25">
        <f>G27*I27</f>
        <v>9000</v>
      </c>
      <c r="K27" s="12"/>
    </row>
    <row r="28" spans="1:11" x14ac:dyDescent="0.25">
      <c r="A28" s="8"/>
      <c r="B28" s="9"/>
      <c r="C28" s="10"/>
      <c r="D28" s="11"/>
      <c r="E28" s="12"/>
      <c r="F28" s="12"/>
      <c r="G28" s="13"/>
      <c r="H28" s="14"/>
      <c r="I28" s="13"/>
      <c r="J28" s="15"/>
      <c r="K28" s="12"/>
    </row>
    <row r="29" spans="1:11" x14ac:dyDescent="0.25">
      <c r="A29" s="8">
        <v>6</v>
      </c>
      <c r="B29" s="7" t="s">
        <v>21</v>
      </c>
      <c r="C29" s="10">
        <v>1</v>
      </c>
      <c r="D29" s="11"/>
      <c r="E29" s="12"/>
      <c r="F29" s="12"/>
      <c r="G29" s="25">
        <f t="shared" ref="G29" si="1">PRODUCT(C29:F29)</f>
        <v>1</v>
      </c>
      <c r="H29" s="14" t="s">
        <v>22</v>
      </c>
      <c r="I29" s="13">
        <v>500</v>
      </c>
      <c r="J29" s="25">
        <f>G29*I29</f>
        <v>500</v>
      </c>
      <c r="K29" s="12"/>
    </row>
    <row r="30" spans="1:11" x14ac:dyDescent="0.25">
      <c r="A30" s="8"/>
      <c r="B30" s="24"/>
      <c r="C30" s="10"/>
      <c r="D30" s="11"/>
      <c r="E30" s="12"/>
      <c r="F30" s="12"/>
      <c r="G30" s="13"/>
      <c r="H30" s="14"/>
      <c r="I30" s="13"/>
      <c r="J30" s="15"/>
      <c r="K30" s="12"/>
    </row>
    <row r="31" spans="1:11" x14ac:dyDescent="0.25">
      <c r="A31" s="20"/>
      <c r="B31" s="35" t="s">
        <v>29</v>
      </c>
      <c r="C31" s="36"/>
      <c r="D31" s="18"/>
      <c r="E31" s="18"/>
      <c r="F31" s="18"/>
      <c r="G31" s="15"/>
      <c r="H31" s="15"/>
      <c r="I31" s="15"/>
      <c r="J31" s="15">
        <f>SUM(J9:J29)</f>
        <v>225347.38481727894</v>
      </c>
      <c r="K31" s="17"/>
    </row>
    <row r="32" spans="1:11" x14ac:dyDescent="0.25">
      <c r="A32" s="51"/>
      <c r="B32" s="52"/>
      <c r="C32" s="53"/>
      <c r="D32" s="54"/>
      <c r="E32" s="54"/>
      <c r="F32" s="54"/>
      <c r="G32" s="55"/>
      <c r="H32" s="55"/>
      <c r="I32" s="55"/>
      <c r="J32" s="55"/>
      <c r="K32" s="56"/>
    </row>
    <row r="33" spans="1:11" x14ac:dyDescent="0.25">
      <c r="A33" s="26"/>
      <c r="B33" s="22" t="s">
        <v>57</v>
      </c>
      <c r="C33" s="72">
        <f>J31</f>
        <v>225347.38481727894</v>
      </c>
      <c r="D33" s="72"/>
      <c r="E33" s="19">
        <v>100</v>
      </c>
      <c r="F33" s="27"/>
      <c r="G33" s="28"/>
      <c r="H33" s="27"/>
      <c r="I33" s="29"/>
      <c r="J33" s="30"/>
      <c r="K33" s="31"/>
    </row>
    <row r="34" spans="1:11" x14ac:dyDescent="0.25">
      <c r="A34" s="32"/>
      <c r="B34" s="22" t="s">
        <v>24</v>
      </c>
      <c r="C34" s="77">
        <v>200000</v>
      </c>
      <c r="D34" s="77"/>
      <c r="E34" s="19"/>
      <c r="F34" s="33"/>
      <c r="G34" s="34"/>
      <c r="H34" s="34"/>
      <c r="I34" s="34"/>
      <c r="J34" s="34"/>
      <c r="K34" s="33"/>
    </row>
    <row r="35" spans="1:11" x14ac:dyDescent="0.25">
      <c r="A35" s="32"/>
      <c r="B35" s="22" t="s">
        <v>25</v>
      </c>
      <c r="C35" s="77">
        <f>C34-C37-C38</f>
        <v>190000</v>
      </c>
      <c r="D35" s="77"/>
      <c r="E35" s="19">
        <f>C35/C33*100</f>
        <v>84.31426890268105</v>
      </c>
      <c r="F35" s="33"/>
      <c r="G35" s="34"/>
      <c r="H35" s="34"/>
      <c r="I35" s="34"/>
      <c r="J35" s="34"/>
      <c r="K35" s="33"/>
    </row>
    <row r="36" spans="1:11" x14ac:dyDescent="0.25">
      <c r="A36" s="32"/>
      <c r="B36" s="22" t="s">
        <v>26</v>
      </c>
      <c r="C36" s="72">
        <f>C33-C35</f>
        <v>35347.384817278944</v>
      </c>
      <c r="D36" s="72"/>
      <c r="E36" s="19">
        <f>100-E35</f>
        <v>15.68573109731895</v>
      </c>
      <c r="F36" s="33"/>
      <c r="G36" s="34"/>
      <c r="H36" s="34"/>
      <c r="I36" s="34"/>
      <c r="J36" s="34"/>
      <c r="K36" s="33"/>
    </row>
    <row r="37" spans="1:11" x14ac:dyDescent="0.25">
      <c r="A37" s="32"/>
      <c r="B37" s="22" t="s">
        <v>27</v>
      </c>
      <c r="C37" s="72">
        <f>C34*0.03</f>
        <v>6000</v>
      </c>
      <c r="D37" s="72"/>
      <c r="E37" s="19">
        <v>3</v>
      </c>
      <c r="F37" s="33"/>
      <c r="G37" s="34"/>
      <c r="H37" s="34"/>
      <c r="I37" s="34"/>
      <c r="J37" s="34"/>
      <c r="K37" s="33"/>
    </row>
    <row r="38" spans="1:11" x14ac:dyDescent="0.25">
      <c r="A38" s="32"/>
      <c r="B38" s="22" t="s">
        <v>28</v>
      </c>
      <c r="C38" s="72">
        <f>C34*0.02</f>
        <v>4000</v>
      </c>
      <c r="D38" s="72"/>
      <c r="E38" s="19">
        <v>2</v>
      </c>
      <c r="F38" s="33"/>
      <c r="G38" s="34"/>
      <c r="H38" s="34"/>
      <c r="I38" s="34"/>
      <c r="J38" s="34"/>
      <c r="K38" s="33"/>
    </row>
  </sheetData>
  <mergeCells count="16">
    <mergeCell ref="C36:D36"/>
    <mergeCell ref="C37:D37"/>
    <mergeCell ref="C38:D38"/>
    <mergeCell ref="A7:F7"/>
    <mergeCell ref="H7:K7"/>
    <mergeCell ref="K14:K15"/>
    <mergeCell ref="C33:D33"/>
    <mergeCell ref="C34:D34"/>
    <mergeCell ref="C35:D3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9" zoomScaleNormal="100" workbookViewId="0">
      <selection activeCell="M7" sqref="M7"/>
    </sheetView>
  </sheetViews>
  <sheetFormatPr defaultRowHeight="15" x14ac:dyDescent="0.25"/>
  <cols>
    <col min="1" max="1" width="4.7109375" customWidth="1"/>
    <col min="2" max="2" width="31.28515625" customWidth="1"/>
    <col min="3" max="3" width="6.5703125" bestFit="1" customWidth="1"/>
    <col min="4" max="4" width="7.5703125" customWidth="1"/>
    <col min="5" max="5" width="8.5703125" customWidth="1"/>
    <col min="6" max="6" width="8.85546875" bestFit="1" customWidth="1"/>
    <col min="7" max="7" width="8.7109375" customWidth="1"/>
    <col min="8" max="8" width="5" bestFit="1" customWidth="1"/>
    <col min="9" max="9" width="10.85546875" hidden="1" customWidth="1"/>
    <col min="10" max="10" width="10.7109375" hidden="1" customWidth="1"/>
  </cols>
  <sheetData>
    <row r="1" spans="1:11" x14ac:dyDescent="0.25">
      <c r="A1" s="68" t="s">
        <v>0</v>
      </c>
      <c r="B1" s="68"/>
      <c r="C1" s="68"/>
      <c r="D1" s="68"/>
      <c r="E1" s="68"/>
      <c r="F1" s="68"/>
      <c r="G1" s="68"/>
      <c r="H1" s="68"/>
      <c r="I1" s="68"/>
      <c r="J1" s="68"/>
      <c r="K1" s="68"/>
    </row>
    <row r="2" spans="1:11" ht="22.5" x14ac:dyDescent="0.25">
      <c r="A2" s="69" t="s">
        <v>1</v>
      </c>
      <c r="B2" s="69"/>
      <c r="C2" s="69"/>
      <c r="D2" s="69"/>
      <c r="E2" s="69"/>
      <c r="F2" s="69"/>
      <c r="G2" s="69"/>
      <c r="H2" s="69"/>
      <c r="I2" s="69"/>
      <c r="J2" s="69"/>
      <c r="K2" s="69"/>
    </row>
    <row r="3" spans="1:11" x14ac:dyDescent="0.25">
      <c r="A3" s="70" t="s">
        <v>2</v>
      </c>
      <c r="B3" s="70"/>
      <c r="C3" s="70"/>
      <c r="D3" s="70"/>
      <c r="E3" s="70"/>
      <c r="F3" s="70"/>
      <c r="G3" s="70"/>
      <c r="H3" s="70"/>
      <c r="I3" s="70"/>
      <c r="J3" s="70"/>
      <c r="K3" s="70"/>
    </row>
    <row r="4" spans="1:11" x14ac:dyDescent="0.25">
      <c r="A4" s="70" t="s">
        <v>3</v>
      </c>
      <c r="B4" s="70"/>
      <c r="C4" s="70"/>
      <c r="D4" s="70"/>
      <c r="E4" s="70"/>
      <c r="F4" s="70"/>
      <c r="G4" s="70"/>
      <c r="H4" s="70"/>
      <c r="I4" s="70"/>
      <c r="J4" s="70"/>
      <c r="K4" s="70"/>
    </row>
    <row r="5" spans="1:11" ht="18.75" x14ac:dyDescent="0.3">
      <c r="A5" s="71" t="s">
        <v>63</v>
      </c>
      <c r="B5" s="71"/>
      <c r="C5" s="71"/>
      <c r="D5" s="71"/>
      <c r="E5" s="71"/>
      <c r="F5" s="71"/>
      <c r="G5" s="71"/>
      <c r="H5" s="71"/>
      <c r="I5" s="71"/>
      <c r="J5" s="71"/>
      <c r="K5" s="71"/>
    </row>
    <row r="6" spans="1:11" ht="15.75" x14ac:dyDescent="0.25">
      <c r="A6" s="66" t="s">
        <v>55</v>
      </c>
      <c r="B6" s="66"/>
      <c r="C6" s="66"/>
      <c r="D6" s="66"/>
      <c r="E6" s="66"/>
      <c r="F6" s="66"/>
      <c r="G6" s="1"/>
      <c r="I6" s="64"/>
      <c r="J6" s="64"/>
      <c r="K6" s="60" t="s">
        <v>5</v>
      </c>
    </row>
    <row r="7" spans="1:11" ht="15.75" x14ac:dyDescent="0.25">
      <c r="A7" s="73" t="s">
        <v>6</v>
      </c>
      <c r="B7" s="73"/>
      <c r="C7" s="73"/>
      <c r="D7" s="73"/>
      <c r="E7" s="73"/>
      <c r="F7" s="73"/>
      <c r="G7" s="2"/>
      <c r="I7" s="65"/>
      <c r="J7" s="65"/>
      <c r="K7" s="59" t="s">
        <v>59</v>
      </c>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7" t="s">
        <v>49</v>
      </c>
      <c r="C9" s="10"/>
      <c r="D9" s="11"/>
      <c r="E9" s="12"/>
      <c r="F9" s="12"/>
      <c r="G9" s="13"/>
      <c r="H9" s="14"/>
      <c r="I9" s="13"/>
      <c r="J9" s="15"/>
      <c r="K9" s="12"/>
    </row>
    <row r="10" spans="1:11" x14ac:dyDescent="0.25">
      <c r="A10" s="8"/>
      <c r="B10" s="9"/>
      <c r="C10" s="17">
        <v>0.5</v>
      </c>
      <c r="D10" s="18">
        <f>(10+16+31+22+16+15+12+14+29+31+25)/3.281</f>
        <v>67.357512953367873</v>
      </c>
      <c r="E10" s="18">
        <v>0.38</v>
      </c>
      <c r="F10" s="18">
        <f>6/3.281</f>
        <v>1.8287107589149649</v>
      </c>
      <c r="G10" s="19">
        <f>(PRODUCT(C10:F10))</f>
        <v>23.403707639999809</v>
      </c>
      <c r="H10" s="20"/>
      <c r="I10" s="20"/>
      <c r="J10" s="20"/>
      <c r="K10" s="12"/>
    </row>
    <row r="11" spans="1:11" x14ac:dyDescent="0.25">
      <c r="A11" s="8"/>
      <c r="B11" s="9" t="s">
        <v>18</v>
      </c>
      <c r="C11" s="10"/>
      <c r="D11" s="11"/>
      <c r="E11" s="12"/>
      <c r="F11" s="12"/>
      <c r="G11" s="13">
        <f>SUM(G10:G10)</f>
        <v>23.403707639999809</v>
      </c>
      <c r="H11" s="14" t="s">
        <v>19</v>
      </c>
      <c r="I11" s="13">
        <v>663.31</v>
      </c>
      <c r="J11" s="15">
        <f>G11*I11</f>
        <v>15523.913314688272</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44</v>
      </c>
      <c r="C14" s="10"/>
      <c r="D14" s="11"/>
      <c r="E14" s="12"/>
      <c r="F14" s="12"/>
      <c r="G14" s="13"/>
      <c r="H14" s="14"/>
      <c r="I14" s="13"/>
      <c r="J14" s="15"/>
      <c r="K14" s="12"/>
    </row>
    <row r="15" spans="1:11" x14ac:dyDescent="0.25">
      <c r="A15" s="8"/>
      <c r="B15" s="9" t="s">
        <v>54</v>
      </c>
      <c r="C15" s="10">
        <f>9*8+15*10+30*10+18*10+14*10+13*10+9*9+12*10+25*10+29*10+22*7</f>
        <v>1867</v>
      </c>
      <c r="D15" s="11"/>
      <c r="E15" s="12"/>
      <c r="F15" s="18"/>
      <c r="G15" s="19">
        <f>(PRODUCT(C15:F15))</f>
        <v>1867</v>
      </c>
      <c r="H15" s="14"/>
      <c r="I15" s="13"/>
      <c r="J15" s="15"/>
      <c r="K15" s="75" t="s">
        <v>50</v>
      </c>
    </row>
    <row r="16" spans="1:11" x14ac:dyDescent="0.25">
      <c r="A16" s="8"/>
      <c r="B16" s="9" t="s">
        <v>18</v>
      </c>
      <c r="C16" s="10"/>
      <c r="D16" s="11"/>
      <c r="E16" s="12"/>
      <c r="F16" s="12"/>
      <c r="G16" s="13">
        <f>SUM(G15:G15)</f>
        <v>1867</v>
      </c>
      <c r="H16" s="14" t="s">
        <v>48</v>
      </c>
      <c r="I16" s="13">
        <v>92</v>
      </c>
      <c r="J16" s="15">
        <f>G16*I16</f>
        <v>171764</v>
      </c>
      <c r="K16" s="76"/>
    </row>
    <row r="17" spans="1:11" x14ac:dyDescent="0.25">
      <c r="A17" s="8"/>
      <c r="B17" s="9"/>
      <c r="C17" s="10"/>
      <c r="D17" s="11"/>
      <c r="E17" s="12"/>
      <c r="F17" s="12"/>
      <c r="G17" s="13"/>
      <c r="H17" s="14"/>
      <c r="I17" s="13"/>
      <c r="J17" s="15"/>
      <c r="K17" s="12"/>
    </row>
    <row r="18" spans="1:11" ht="30" x14ac:dyDescent="0.25">
      <c r="A18" s="8">
        <v>3</v>
      </c>
      <c r="B18" s="7" t="s">
        <v>45</v>
      </c>
      <c r="C18" s="10"/>
      <c r="D18" s="11"/>
      <c r="E18" s="12"/>
      <c r="F18" s="12"/>
      <c r="G18" s="13"/>
      <c r="H18" s="14"/>
      <c r="I18" s="13"/>
      <c r="J18" s="15"/>
      <c r="K18" s="12"/>
    </row>
    <row r="19" spans="1:11" x14ac:dyDescent="0.25">
      <c r="A19" s="8"/>
      <c r="B19" s="9" t="s">
        <v>46</v>
      </c>
      <c r="C19" s="36">
        <v>65</v>
      </c>
      <c r="D19" s="18">
        <v>2.5</v>
      </c>
      <c r="E19" s="18"/>
      <c r="F19" s="18"/>
      <c r="G19" s="19">
        <f>PRODUCT(C19:F19)</f>
        <v>162.5</v>
      </c>
      <c r="H19" s="20"/>
      <c r="I19" s="20"/>
      <c r="J19" s="20"/>
      <c r="K19" s="12"/>
    </row>
    <row r="20" spans="1:11" x14ac:dyDescent="0.25">
      <c r="A20" s="8"/>
      <c r="B20" s="9" t="s">
        <v>47</v>
      </c>
      <c r="C20" s="36">
        <v>1</v>
      </c>
      <c r="D20" s="18">
        <f>(9*6+16*6+31*6+22*6+16*6+15*4+12*6+14*6+29*6+31*6+25*4)/3.281</f>
        <v>377.93355684242607</v>
      </c>
      <c r="E20" s="18"/>
      <c r="F20" s="18"/>
      <c r="G20" s="19">
        <f>(PRODUCT(C20:F20))/4/6</f>
        <v>15.747231535101086</v>
      </c>
      <c r="H20" s="20"/>
      <c r="I20" s="20"/>
      <c r="J20" s="20"/>
      <c r="K20" s="12"/>
    </row>
    <row r="21" spans="1:11" x14ac:dyDescent="0.25">
      <c r="A21" s="8"/>
      <c r="B21" s="9" t="s">
        <v>18</v>
      </c>
      <c r="C21" s="10"/>
      <c r="D21" s="11"/>
      <c r="E21" s="12"/>
      <c r="F21" s="12"/>
      <c r="G21" s="13">
        <f>TRUNC((SUM(G19:G20))/6,0)+1</f>
        <v>30</v>
      </c>
      <c r="H21" s="14" t="s">
        <v>9</v>
      </c>
      <c r="I21" s="13">
        <v>240</v>
      </c>
      <c r="J21" s="15">
        <f>G21*I21</f>
        <v>7200</v>
      </c>
      <c r="K21" s="12"/>
    </row>
    <row r="22" spans="1:11" hidden="1" x14ac:dyDescent="0.25">
      <c r="A22" s="8"/>
      <c r="B22" s="9" t="s">
        <v>20</v>
      </c>
      <c r="C22" s="10"/>
      <c r="D22" s="11"/>
      <c r="E22" s="12"/>
      <c r="F22" s="12"/>
      <c r="G22" s="13"/>
      <c r="H22" s="14"/>
      <c r="I22" s="13"/>
      <c r="J22" s="15">
        <f>0.13*J21</f>
        <v>936</v>
      </c>
      <c r="K22" s="12"/>
    </row>
    <row r="23" spans="1:11" x14ac:dyDescent="0.25">
      <c r="A23" s="8"/>
      <c r="B23" s="9"/>
      <c r="C23" s="10"/>
      <c r="D23" s="11"/>
      <c r="E23" s="12"/>
      <c r="F23" s="12"/>
      <c r="G23" s="13"/>
      <c r="H23" s="14"/>
      <c r="I23" s="13"/>
      <c r="J23" s="15"/>
      <c r="K23" s="12"/>
    </row>
    <row r="24" spans="1:11" ht="105" x14ac:dyDescent="0.25">
      <c r="A24" s="8">
        <v>4</v>
      </c>
      <c r="B24" s="62" t="s">
        <v>60</v>
      </c>
      <c r="C24" s="10"/>
      <c r="D24" s="11"/>
      <c r="E24" s="12"/>
      <c r="F24" s="12"/>
      <c r="G24" s="13"/>
      <c r="H24" s="14"/>
      <c r="I24" s="13"/>
      <c r="J24" s="15"/>
      <c r="K24" s="12"/>
    </row>
    <row r="25" spans="1:11" x14ac:dyDescent="0.25">
      <c r="A25" s="8"/>
      <c r="B25" s="9" t="s">
        <v>61</v>
      </c>
      <c r="C25" s="10">
        <v>1</v>
      </c>
      <c r="D25" s="11">
        <f>((10+16+31+22+16+15+12+14+29+31+25))/3.281</f>
        <v>67.357512953367873</v>
      </c>
      <c r="E25" s="12">
        <v>0.5</v>
      </c>
      <c r="F25" s="18">
        <v>1.5</v>
      </c>
      <c r="G25" s="19">
        <f>(PRODUCT(C25:F25))</f>
        <v>50.518134715025909</v>
      </c>
      <c r="H25" s="14"/>
      <c r="I25" s="13"/>
      <c r="J25" s="15"/>
      <c r="K25" s="12"/>
    </row>
    <row r="26" spans="1:11" x14ac:dyDescent="0.25">
      <c r="A26" s="8"/>
      <c r="B26" s="9" t="s">
        <v>18</v>
      </c>
      <c r="C26" s="10"/>
      <c r="D26" s="11"/>
      <c r="E26" s="12"/>
      <c r="F26" s="12"/>
      <c r="G26" s="13">
        <f>SUM(G25)</f>
        <v>50.518134715025909</v>
      </c>
      <c r="H26" s="14" t="s">
        <v>62</v>
      </c>
      <c r="I26" s="13">
        <v>404.28</v>
      </c>
      <c r="J26" s="15">
        <f>G26*I26</f>
        <v>20423.471502590673</v>
      </c>
      <c r="K26" s="12"/>
    </row>
    <row r="27" spans="1:11" x14ac:dyDescent="0.25">
      <c r="A27" s="8"/>
      <c r="B27" s="9"/>
      <c r="C27" s="10"/>
      <c r="D27" s="11"/>
      <c r="E27" s="12"/>
      <c r="F27" s="12"/>
      <c r="G27" s="13"/>
      <c r="H27" s="14"/>
      <c r="I27" s="13"/>
      <c r="J27" s="15"/>
      <c r="K27" s="12"/>
    </row>
    <row r="28" spans="1:11" ht="30" x14ac:dyDescent="0.25">
      <c r="A28" s="8">
        <v>5</v>
      </c>
      <c r="B28" s="58" t="s">
        <v>51</v>
      </c>
      <c r="C28" s="10">
        <v>1</v>
      </c>
      <c r="D28" s="11"/>
      <c r="E28" s="12"/>
      <c r="F28" s="12"/>
      <c r="G28" s="25">
        <f t="shared" ref="G28" si="0">PRODUCT(C28:F28)</f>
        <v>1</v>
      </c>
      <c r="H28" s="14" t="s">
        <v>52</v>
      </c>
      <c r="I28" s="13">
        <v>9000</v>
      </c>
      <c r="J28" s="25">
        <f>G28*I28</f>
        <v>9000</v>
      </c>
      <c r="K28" s="12"/>
    </row>
    <row r="29" spans="1:11" x14ac:dyDescent="0.25">
      <c r="A29" s="8"/>
      <c r="B29" s="9"/>
      <c r="C29" s="10"/>
      <c r="D29" s="11"/>
      <c r="E29" s="12"/>
      <c r="F29" s="12"/>
      <c r="G29" s="13"/>
      <c r="H29" s="14"/>
      <c r="I29" s="13"/>
      <c r="J29" s="15"/>
      <c r="K29" s="12"/>
    </row>
    <row r="30" spans="1:11" x14ac:dyDescent="0.25">
      <c r="A30" s="8">
        <v>6</v>
      </c>
      <c r="B30" s="7" t="s">
        <v>21</v>
      </c>
      <c r="C30" s="10">
        <v>1</v>
      </c>
      <c r="D30" s="11"/>
      <c r="E30" s="12"/>
      <c r="F30" s="12"/>
      <c r="G30" s="25">
        <f t="shared" ref="G30" si="1">PRODUCT(C30:F30)</f>
        <v>1</v>
      </c>
      <c r="H30" s="14" t="s">
        <v>22</v>
      </c>
      <c r="I30" s="13">
        <v>500</v>
      </c>
      <c r="J30" s="25">
        <f>G30*I30</f>
        <v>500</v>
      </c>
      <c r="K30" s="12"/>
    </row>
    <row r="31" spans="1:11" x14ac:dyDescent="0.25">
      <c r="A31" s="8"/>
      <c r="B31" s="24"/>
      <c r="C31" s="10"/>
      <c r="D31" s="11"/>
      <c r="E31" s="12"/>
      <c r="F31" s="12"/>
      <c r="G31" s="13"/>
      <c r="H31" s="14"/>
      <c r="I31" s="13"/>
      <c r="J31" s="15"/>
      <c r="K31" s="12"/>
    </row>
    <row r="32" spans="1:11" x14ac:dyDescent="0.25">
      <c r="A32" s="20"/>
      <c r="B32" s="35" t="s">
        <v>29</v>
      </c>
      <c r="C32" s="36"/>
      <c r="D32" s="18"/>
      <c r="E32" s="18"/>
      <c r="F32" s="18"/>
      <c r="G32" s="15"/>
      <c r="H32" s="15"/>
      <c r="I32" s="15"/>
      <c r="J32" s="15">
        <f>SUM(J9:J30)</f>
        <v>225347.38481727894</v>
      </c>
      <c r="K32" s="17"/>
    </row>
    <row r="33" spans="1:11" x14ac:dyDescent="0.25">
      <c r="A33" s="51"/>
      <c r="B33" s="52"/>
      <c r="C33" s="53"/>
      <c r="D33" s="54"/>
      <c r="E33" s="54"/>
      <c r="F33" s="54"/>
      <c r="G33" s="55"/>
      <c r="H33" s="55"/>
      <c r="I33" s="55"/>
      <c r="J33" s="55"/>
      <c r="K33" s="56"/>
    </row>
    <row r="34" spans="1:11" hidden="1" x14ac:dyDescent="0.25">
      <c r="A34" s="26"/>
      <c r="B34" s="22" t="s">
        <v>57</v>
      </c>
      <c r="C34" s="72">
        <f>J32</f>
        <v>225347.38481727894</v>
      </c>
      <c r="D34" s="72"/>
      <c r="E34" s="19">
        <v>100</v>
      </c>
      <c r="F34" s="27"/>
      <c r="G34" s="28"/>
      <c r="H34" s="27"/>
      <c r="I34" s="29"/>
      <c r="J34" s="30"/>
      <c r="K34" s="31"/>
    </row>
    <row r="35" spans="1:11" hidden="1" x14ac:dyDescent="0.25">
      <c r="A35" s="32"/>
      <c r="B35" s="22" t="s">
        <v>24</v>
      </c>
      <c r="C35" s="77">
        <v>200000</v>
      </c>
      <c r="D35" s="77"/>
      <c r="E35" s="19"/>
      <c r="F35" s="33"/>
      <c r="G35" s="34"/>
      <c r="H35" s="34"/>
      <c r="I35" s="34"/>
      <c r="J35" s="34"/>
      <c r="K35" s="33"/>
    </row>
    <row r="36" spans="1:11" hidden="1" x14ac:dyDescent="0.25">
      <c r="A36" s="32"/>
      <c r="B36" s="22" t="s">
        <v>25</v>
      </c>
      <c r="C36" s="77">
        <f>C35-C38-C39</f>
        <v>190000</v>
      </c>
      <c r="D36" s="77"/>
      <c r="E36" s="19">
        <f>C36/C34*100</f>
        <v>84.31426890268105</v>
      </c>
      <c r="F36" s="33"/>
      <c r="G36" s="34"/>
      <c r="H36" s="34"/>
      <c r="I36" s="34"/>
      <c r="J36" s="34"/>
      <c r="K36" s="33"/>
    </row>
    <row r="37" spans="1:11" hidden="1" x14ac:dyDescent="0.25">
      <c r="A37" s="32"/>
      <c r="B37" s="22" t="s">
        <v>26</v>
      </c>
      <c r="C37" s="72">
        <f>C34-C36</f>
        <v>35347.384817278944</v>
      </c>
      <c r="D37" s="72"/>
      <c r="E37" s="19">
        <f>100-E36</f>
        <v>15.68573109731895</v>
      </c>
      <c r="F37" s="33"/>
      <c r="G37" s="34"/>
      <c r="H37" s="34"/>
      <c r="I37" s="34"/>
      <c r="J37" s="34"/>
      <c r="K37" s="33"/>
    </row>
    <row r="38" spans="1:11" hidden="1" x14ac:dyDescent="0.25">
      <c r="A38" s="32"/>
      <c r="B38" s="22" t="s">
        <v>27</v>
      </c>
      <c r="C38" s="72">
        <f>C35*0.03</f>
        <v>6000</v>
      </c>
      <c r="D38" s="72"/>
      <c r="E38" s="19">
        <v>3</v>
      </c>
      <c r="F38" s="33"/>
      <c r="G38" s="34"/>
      <c r="H38" s="34"/>
      <c r="I38" s="34"/>
      <c r="J38" s="34"/>
      <c r="K38" s="33"/>
    </row>
    <row r="39" spans="1:11" hidden="1" x14ac:dyDescent="0.25">
      <c r="A39" s="32"/>
      <c r="B39" s="22" t="s">
        <v>28</v>
      </c>
      <c r="C39" s="72">
        <f>C35*0.02</f>
        <v>4000</v>
      </c>
      <c r="D39" s="72"/>
      <c r="E39" s="19">
        <v>2</v>
      </c>
      <c r="F39" s="33"/>
      <c r="G39" s="34"/>
      <c r="H39" s="34"/>
      <c r="I39" s="34"/>
      <c r="J39" s="34"/>
      <c r="K39" s="33"/>
    </row>
  </sheetData>
  <mergeCells count="14">
    <mergeCell ref="A6:F6"/>
    <mergeCell ref="A1:K1"/>
    <mergeCell ref="A2:K2"/>
    <mergeCell ref="A3:K3"/>
    <mergeCell ref="A4:K4"/>
    <mergeCell ref="A5:K5"/>
    <mergeCell ref="C37:D37"/>
    <mergeCell ref="C38:D38"/>
    <mergeCell ref="C39:D39"/>
    <mergeCell ref="A7:F7"/>
    <mergeCell ref="K15:K16"/>
    <mergeCell ref="C34:D34"/>
    <mergeCell ref="C35:D35"/>
    <mergeCell ref="C36:D3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Estimate</vt:lpstr>
      <vt:lpstr>WCR</vt:lpstr>
      <vt:lpstr>V</vt:lpstr>
      <vt:lpstr>M</vt:lpstr>
      <vt:lpstr>Estimate!Print_Area</vt:lpstr>
      <vt:lpstr>V!Print_Area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2025-06-18T05:37:49Z</dcterms:modified>
</cp:coreProperties>
</file>