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कुर्थली च्यानेपाखा माझगाउँ जोड्ने सडक\"/>
    </mc:Choice>
  </mc:AlternateContent>
  <bookViews>
    <workbookView xWindow="-120" yWindow="-120" windowWidth="20736" windowHeight="11160" activeTab="2"/>
  </bookViews>
  <sheets>
    <sheet name="200k" sheetId="20" r:id="rId1"/>
    <sheet name="WCR" sheetId="6" r:id="rId2"/>
    <sheet name="V" sheetId="21" r:id="rId3"/>
  </sheets>
  <externalReferences>
    <externalReference r:id="rId4"/>
    <externalReference r:id="rId5"/>
    <externalReference r:id="rId6"/>
    <externalReference r:id="rId7"/>
    <externalReference r:id="rId8"/>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'200k'!$A$1:$K$42</definedName>
    <definedName name="_xlnm.Print_Area" localSheetId="2">V!$A$1:$K$53</definedName>
    <definedName name="_xlnm.Print_Titles" localSheetId="0">'200k'!$1:$8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8" i="6" l="1"/>
  <c r="F10" i="21"/>
  <c r="F15" i="21" s="1"/>
  <c r="G26" i="21"/>
  <c r="G18" i="6" s="1"/>
  <c r="G41" i="21"/>
  <c r="G24" i="6" s="1"/>
  <c r="H27" i="6"/>
  <c r="G27" i="6"/>
  <c r="E27" i="6"/>
  <c r="D27" i="6"/>
  <c r="C27" i="6"/>
  <c r="B27" i="6"/>
  <c r="A27" i="6"/>
  <c r="J22" i="6"/>
  <c r="H24" i="6"/>
  <c r="F25" i="6"/>
  <c r="E24" i="6"/>
  <c r="D24" i="6"/>
  <c r="C24" i="6"/>
  <c r="B25" i="6"/>
  <c r="B24" i="6"/>
  <c r="A24" i="6"/>
  <c r="I22" i="6"/>
  <c r="H21" i="6"/>
  <c r="G21" i="6"/>
  <c r="F22" i="6"/>
  <c r="E21" i="6"/>
  <c r="D21" i="6"/>
  <c r="F21" i="6" s="1"/>
  <c r="C21" i="6"/>
  <c r="B22" i="6"/>
  <c r="B21" i="6"/>
  <c r="A21" i="6"/>
  <c r="H18" i="6"/>
  <c r="F19" i="6"/>
  <c r="E18" i="6"/>
  <c r="D18" i="6"/>
  <c r="C18" i="6"/>
  <c r="B19" i="6"/>
  <c r="B18" i="6"/>
  <c r="A18" i="6"/>
  <c r="H16" i="6"/>
  <c r="E16" i="6"/>
  <c r="D16" i="6"/>
  <c r="C16" i="6"/>
  <c r="B16" i="6"/>
  <c r="A16" i="6"/>
  <c r="H13" i="6"/>
  <c r="F14" i="6"/>
  <c r="E13" i="6"/>
  <c r="D13" i="6"/>
  <c r="C13" i="6"/>
  <c r="B14" i="6"/>
  <c r="B13" i="6"/>
  <c r="A13" i="6"/>
  <c r="D10" i="21"/>
  <c r="G21" i="21"/>
  <c r="G24" i="21"/>
  <c r="G36" i="21"/>
  <c r="D35" i="21"/>
  <c r="E40" i="21"/>
  <c r="G40" i="21" s="1"/>
  <c r="E39" i="21"/>
  <c r="G39" i="21" s="1"/>
  <c r="E38" i="21"/>
  <c r="E37" i="21"/>
  <c r="E36" i="21"/>
  <c r="E35" i="21"/>
  <c r="D20" i="21"/>
  <c r="D15" i="21" s="1"/>
  <c r="E21" i="21"/>
  <c r="E22" i="21"/>
  <c r="G22" i="21" s="1"/>
  <c r="E23" i="21"/>
  <c r="G23" i="21" s="1"/>
  <c r="E24" i="21"/>
  <c r="E25" i="21"/>
  <c r="G25" i="21" s="1"/>
  <c r="E20" i="21"/>
  <c r="F36" i="21"/>
  <c r="F37" i="21"/>
  <c r="F38" i="21"/>
  <c r="F39" i="21"/>
  <c r="F35" i="21"/>
  <c r="G35" i="21" s="1"/>
  <c r="C53" i="21"/>
  <c r="C52" i="21"/>
  <c r="G44" i="21"/>
  <c r="J44" i="21" s="1"/>
  <c r="B30" i="21"/>
  <c r="B20" i="21"/>
  <c r="I24" i="6" l="1"/>
  <c r="F24" i="6"/>
  <c r="I18" i="6"/>
  <c r="F16" i="6"/>
  <c r="F18" i="6"/>
  <c r="I21" i="6"/>
  <c r="J21" i="6" s="1"/>
  <c r="G37" i="21"/>
  <c r="G38" i="21"/>
  <c r="J41" i="21"/>
  <c r="C50" i="21"/>
  <c r="F10" i="20"/>
  <c r="F15" i="20" s="1"/>
  <c r="E24" i="20"/>
  <c r="E19" i="20" s="1"/>
  <c r="D24" i="20"/>
  <c r="D19" i="20" s="1"/>
  <c r="D15" i="20" s="1"/>
  <c r="E29" i="20"/>
  <c r="J24" i="6" l="1"/>
  <c r="J18" i="6"/>
  <c r="J42" i="21"/>
  <c r="I25" i="6" s="1"/>
  <c r="J25" i="6" s="1"/>
  <c r="G30" i="21"/>
  <c r="G31" i="21" s="1"/>
  <c r="E10" i="20"/>
  <c r="E15" i="20"/>
  <c r="D10" i="20"/>
  <c r="J31" i="21" l="1"/>
  <c r="J32" i="21"/>
  <c r="E15" i="21"/>
  <c r="G15" i="21" s="1"/>
  <c r="G17" i="21" s="1"/>
  <c r="E10" i="21"/>
  <c r="G10" i="21" s="1"/>
  <c r="G11" i="21" s="1"/>
  <c r="G13" i="6" s="1"/>
  <c r="G20" i="21"/>
  <c r="C42" i="20"/>
  <c r="C41" i="20"/>
  <c r="G33" i="20"/>
  <c r="J33" i="20" s="1"/>
  <c r="B24" i="20"/>
  <c r="B19" i="20"/>
  <c r="G10" i="20"/>
  <c r="G11" i="20" s="1"/>
  <c r="J17" i="21" l="1"/>
  <c r="G16" i="6"/>
  <c r="I16" i="6" s="1"/>
  <c r="J16" i="6" s="1"/>
  <c r="J12" i="21"/>
  <c r="I14" i="6" s="1"/>
  <c r="J14" i="6" s="1"/>
  <c r="J11" i="21"/>
  <c r="J27" i="21"/>
  <c r="I19" i="6" s="1"/>
  <c r="J19" i="6" s="1"/>
  <c r="J26" i="21"/>
  <c r="G15" i="20"/>
  <c r="G16" i="20" s="1"/>
  <c r="J16" i="20" s="1"/>
  <c r="G19" i="20"/>
  <c r="G20" i="20" s="1"/>
  <c r="G24" i="20"/>
  <c r="G25" i="20" s="1"/>
  <c r="J25" i="20" s="1"/>
  <c r="G29" i="20"/>
  <c r="G30" i="20" s="1"/>
  <c r="J31" i="20" s="1"/>
  <c r="C39" i="20"/>
  <c r="J11" i="20"/>
  <c r="J12" i="20"/>
  <c r="J46" i="21" l="1"/>
  <c r="C48" i="21" s="1"/>
  <c r="C51" i="21" s="1"/>
  <c r="J26" i="20"/>
  <c r="J30" i="20"/>
  <c r="J21" i="20"/>
  <c r="J20" i="20"/>
  <c r="E50" i="21" l="1"/>
  <c r="E51" i="21" s="1"/>
  <c r="J35" i="20"/>
  <c r="C37" i="20" s="1"/>
  <c r="C40" i="20" s="1"/>
  <c r="E39" i="20" l="1"/>
  <c r="E40" i="20" s="1"/>
  <c r="I27" i="6" l="1"/>
  <c r="F27" i="6"/>
  <c r="J27" i="6" l="1"/>
  <c r="I13" i="6"/>
  <c r="I29" i="6" s="1"/>
  <c r="F13" i="6" l="1"/>
  <c r="J13" i="6" s="1"/>
  <c r="F29" i="6" l="1"/>
  <c r="A9" i="6"/>
  <c r="A8" i="6"/>
  <c r="J6" i="6" l="1"/>
  <c r="J29" i="6" l="1"/>
  <c r="C6" i="6" l="1"/>
</calcChain>
</file>

<file path=xl/sharedStrings.xml><?xml version="1.0" encoding="utf-8"?>
<sst xmlns="http://schemas.openxmlformats.org/spreadsheetml/2006/main" count="133" uniqueCount="59">
  <si>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</si>
  <si>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</si>
  <si>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</si>
  <si>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</si>
  <si>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</si>
  <si>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</si>
  <si>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</si>
  <si>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</si>
  <si>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</si>
  <si>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</si>
  <si>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</si>
  <si>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</si>
  <si>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</si>
  <si>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</si>
  <si>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</si>
  <si>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</si>
  <si>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</si>
  <si>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</si>
  <si>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</si>
  <si>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</si>
  <si>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</si>
  <si>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</si>
  <si>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</si>
  <si>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</si>
  <si>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</si>
  <si>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</si>
  <si>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</si>
  <si>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</si>
  <si>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</si>
  <si>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</si>
  <si>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</si>
  <si>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</si>
  <si>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</si>
  <si>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</si>
  <si>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</si>
  <si>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</si>
  <si>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</si>
  <si>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</si>
  <si>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</si>
  <si>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</si>
  <si>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</si>
  <si>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</si>
  <si>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</si>
  <si>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hand pack locally available Stone soling with 150 to 200 mm thick stones and packing with smaller stone on prepared surface as per Drawing and Technical Specifications.</t>
  </si>
  <si>
    <t>-Road</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</si>
  <si>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</si>
  <si>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</si>
  <si>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</si>
  <si>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</si>
  <si>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</si>
  <si>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</si>
  <si>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</si>
  <si>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</si>
  <si>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Providing and laying Plum concrete ( Boulder mixed concrete) including form work and 110mm dia PN6 HDPE pipe for Weep hole as per Drawing and Specifications, 60% M 15  concrete and 40% boulders/stones, using Mechanical Aids</t>
  </si>
  <si>
    <t>Date:2081/10/09</t>
  </si>
  <si>
    <t>Project:-  कुर्थली च्यानेपाखा माझगाउँ जोड्ने सडक</t>
  </si>
  <si>
    <t>Total Valuated</t>
  </si>
  <si>
    <t>Detail Valuated Sheet</t>
  </si>
  <si>
    <t>Date:2082/03/02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</si>
</sst>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 fontId="15" fillId="0" borderId="1" xfId="0" applyNumberFormat="1" applyFont="1" applyBorder="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 fontId="6" fillId="0" borderId="1" xfId="0"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opLeftCell="A28" zoomScaleNormal="100" workbookViewId="0">
      <selection activeCell="G9" sqref="G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0" t="s">
        <v>0</v>
      </c>
      <c r="B1" s="80"/>
      <c r="C1" s="80"/>
      <c r="D1" s="80"/>
      <c r="E1" s="80"/>
      <c r="F1" s="80"/>
      <c r="G1" s="80"/>
      <c r="H1" s="80"/>
      <c r="I1" s="80"/>
      <c r="J1" s="80"/>
      <c r="K1" s="80"/>
    </row>
    <row r="2" spans="1:19" s="1" customFormat="1" ht="22.8" x14ac:dyDescent="0.3">
      <c r="A2" s="81" t="s">
        <v>1</v>
      </c>
      <c r="B2" s="81"/>
      <c r="C2" s="81"/>
      <c r="D2" s="81"/>
      <c r="E2" s="81"/>
      <c r="F2" s="81"/>
      <c r="G2" s="81"/>
      <c r="H2" s="81"/>
      <c r="I2" s="81"/>
      <c r="J2" s="81"/>
      <c r="K2" s="81"/>
    </row>
    <row r="3" spans="1:19" s="1" customFormat="1" x14ac:dyDescent="0.3">
      <c r="A3" s="69" t="s">
        <v>2</v>
      </c>
      <c r="B3" s="69"/>
      <c r="C3" s="69"/>
      <c r="D3" s="69"/>
      <c r="E3" s="69"/>
      <c r="F3" s="69"/>
      <c r="G3" s="69"/>
      <c r="H3" s="69"/>
      <c r="I3" s="69"/>
      <c r="J3" s="69"/>
      <c r="K3" s="69"/>
    </row>
    <row r="4" spans="1:19" s="1" customFormat="1" x14ac:dyDescent="0.3">
      <c r="A4" s="69" t="s">
        <v>3</v>
      </c>
      <c r="B4" s="69"/>
      <c r="C4" s="69"/>
      <c r="D4" s="69"/>
      <c r="E4" s="69"/>
      <c r="F4" s="69"/>
      <c r="G4" s="69"/>
      <c r="H4" s="69"/>
      <c r="I4" s="69"/>
      <c r="J4" s="69"/>
      <c r="K4" s="69"/>
    </row>
    <row r="5" spans="1:19" ht="17.399999999999999" x14ac:dyDescent="0.3">
      <c r="A5" s="82" t="s">
        <v>4</v>
      </c>
      <c r="B5" s="82"/>
      <c r="C5" s="82"/>
      <c r="D5" s="82"/>
      <c r="E5" s="82"/>
      <c r="F5" s="82"/>
      <c r="G5" s="82"/>
      <c r="H5" s="82"/>
      <c r="I5" s="82"/>
      <c r="J5" s="82"/>
      <c r="K5" s="82"/>
    </row>
    <row r="6" spans="1:19" ht="15.6" x14ac:dyDescent="0.3">
      <c r="A6" s="73" t="s">
        <v>55</v>
      </c>
      <c r="B6" s="73"/>
      <c r="C6" s="73"/>
      <c r="D6" s="73"/>
      <c r="E6" s="73"/>
      <c r="F6" s="73"/>
      <c r="G6" s="2"/>
      <c r="H6" s="79" t="s">
        <v>47</v>
      </c>
      <c r="I6" s="79"/>
      <c r="J6" s="79"/>
      <c r="K6" s="79"/>
    </row>
    <row r="7" spans="1:19" ht="15.6" x14ac:dyDescent="0.3">
      <c r="A7" s="84" t="s">
        <v>28</v>
      </c>
      <c r="B7" s="84"/>
      <c r="C7" s="84"/>
      <c r="D7" s="84"/>
      <c r="E7" s="84"/>
      <c r="F7" s="84"/>
      <c r="G7" s="3"/>
      <c r="H7" s="85" t="s">
        <v>54</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48</v>
      </c>
    </row>
    <row r="9" spans="1:19" ht="124.2" x14ac:dyDescent="0.3">
      <c r="A9" s="63">
        <v>1</v>
      </c>
      <c r="B9" s="30" t="s">
        <v>46</v>
      </c>
      <c r="C9" s="36"/>
      <c r="D9" s="36"/>
      <c r="E9" s="36"/>
      <c r="F9" s="36"/>
      <c r="G9" s="36"/>
      <c r="H9" s="36"/>
      <c r="I9" s="36"/>
      <c r="J9" s="36"/>
      <c r="K9" s="36"/>
      <c r="N9" t="s">
        <v>49</v>
      </c>
      <c r="O9" t="s">
        <v>50</v>
      </c>
    </row>
    <row r="10" spans="1:19" ht="15" customHeight="1" x14ac:dyDescent="0.3">
      <c r="A10" s="18"/>
      <c r="B10" s="37" t="s">
        <v>51</v>
      </c>
      <c r="C10" s="64">
        <v>0.5</v>
      </c>
      <c r="D10" s="38">
        <f>D19</f>
        <v>5.5</v>
      </c>
      <c r="E10" s="38">
        <f>E19</f>
        <v>2</v>
      </c>
      <c r="F10" s="38">
        <f>3.5</f>
        <v>3.5</v>
      </c>
      <c r="G10" s="39">
        <f>PRODUCT(C10:F10)</f>
        <v>19.25</v>
      </c>
      <c r="H10" s="40"/>
      <c r="I10" s="40"/>
      <c r="J10" s="40"/>
      <c r="K10" s="21"/>
      <c r="M10" s="25"/>
      <c r="N10" s="1"/>
      <c r="O10" s="1"/>
      <c r="P10" s="1"/>
      <c r="Q10" s="1"/>
      <c r="R10" s="25"/>
      <c r="S10" s="25"/>
    </row>
    <row r="11" spans="1:19" ht="15" customHeight="1" x14ac:dyDescent="0.3">
      <c r="A11" s="18"/>
      <c r="B11" s="37" t="s">
        <v>42</v>
      </c>
      <c r="C11" s="19"/>
      <c r="D11" s="20"/>
      <c r="E11" s="21"/>
      <c r="F11" s="21"/>
      <c r="G11" s="23">
        <f>SUM(G10:G10)</f>
        <v>19.25</v>
      </c>
      <c r="H11" s="22" t="s">
        <v>41</v>
      </c>
      <c r="I11" s="23">
        <v>64.63</v>
      </c>
      <c r="J11" s="41">
        <f>G11*I11</f>
        <v>1244.1274999999998</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134.05058333333332</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96.6" x14ac:dyDescent="0.3">
      <c r="A14" s="18">
        <v>2</v>
      </c>
      <c r="B14" s="30" t="s">
        <v>52</v>
      </c>
      <c r="C14" s="19"/>
      <c r="D14" s="20"/>
      <c r="E14" s="21"/>
      <c r="F14" s="21"/>
      <c r="G14" s="23"/>
      <c r="H14" s="22"/>
      <c r="I14" s="23"/>
      <c r="J14" s="41"/>
      <c r="K14" s="21"/>
      <c r="M14" s="25"/>
      <c r="N14" s="1"/>
      <c r="O14" s="1"/>
      <c r="P14" s="1"/>
      <c r="Q14" s="1"/>
      <c r="R14" s="25"/>
      <c r="S14" s="25"/>
    </row>
    <row r="15" spans="1:19" ht="15" customHeight="1" x14ac:dyDescent="0.3">
      <c r="A15" s="18"/>
      <c r="B15" s="37" t="s">
        <v>44</v>
      </c>
      <c r="C15" s="64">
        <v>0.5</v>
      </c>
      <c r="D15" s="38">
        <f>D19</f>
        <v>5.5</v>
      </c>
      <c r="E15" s="38">
        <f>0.75*E19</f>
        <v>1.5</v>
      </c>
      <c r="F15" s="38">
        <f>F10/2</f>
        <v>1.75</v>
      </c>
      <c r="G15" s="39">
        <f>PRODUCT(C15:F15)</f>
        <v>7.21875</v>
      </c>
      <c r="H15" s="40"/>
      <c r="I15" s="40"/>
      <c r="J15" s="40"/>
      <c r="K15" s="21"/>
      <c r="M15" s="25"/>
      <c r="N15" s="1"/>
      <c r="O15" s="1"/>
      <c r="P15" s="1"/>
      <c r="Q15" s="1"/>
      <c r="R15" s="25"/>
      <c r="S15" s="25"/>
    </row>
    <row r="16" spans="1:19" ht="15" customHeight="1" x14ac:dyDescent="0.3">
      <c r="A16" s="18"/>
      <c r="B16" s="37" t="s">
        <v>42</v>
      </c>
      <c r="C16" s="19"/>
      <c r="D16" s="20"/>
      <c r="E16" s="21"/>
      <c r="F16" s="21"/>
      <c r="G16" s="23">
        <f>SUM(G15:G15)</f>
        <v>7.21875</v>
      </c>
      <c r="H16" s="22" t="s">
        <v>41</v>
      </c>
      <c r="I16" s="23">
        <v>404.28</v>
      </c>
      <c r="J16" s="41">
        <f>G16*I16</f>
        <v>2918.3962499999998</v>
      </c>
      <c r="K16" s="21"/>
      <c r="M16" s="25"/>
      <c r="N16" s="1"/>
      <c r="O16" s="1"/>
      <c r="P16" s="1"/>
      <c r="Q16" s="1"/>
      <c r="R16" s="25"/>
      <c r="S16" s="25"/>
    </row>
    <row r="17" spans="1:19" ht="15" customHeight="1" x14ac:dyDescent="0.3">
      <c r="A17" s="18"/>
      <c r="B17" s="37"/>
      <c r="C17" s="19"/>
      <c r="D17" s="20"/>
      <c r="E17" s="21"/>
      <c r="F17" s="21"/>
      <c r="G17" s="23"/>
      <c r="H17" s="22"/>
      <c r="I17" s="23"/>
      <c r="J17" s="41"/>
      <c r="K17" s="21"/>
      <c r="M17" s="25"/>
      <c r="N17" s="1"/>
      <c r="O17" s="1"/>
      <c r="P17" s="1"/>
      <c r="Q17" s="1"/>
      <c r="R17" s="25"/>
      <c r="S17" s="25"/>
    </row>
    <row r="18" spans="1:19" ht="82.8" x14ac:dyDescent="0.3">
      <c r="A18" s="18">
        <v>3</v>
      </c>
      <c r="B18" s="30" t="s">
        <v>43</v>
      </c>
      <c r="C18" s="19"/>
      <c r="D18" s="20"/>
      <c r="E18" s="21"/>
      <c r="F18" s="21"/>
      <c r="G18" s="23"/>
      <c r="H18" s="22"/>
      <c r="I18" s="23"/>
      <c r="J18" s="41"/>
      <c r="K18" s="21"/>
      <c r="M18" s="25"/>
      <c r="N18" s="1"/>
      <c r="O18" s="1"/>
      <c r="P18" s="1"/>
      <c r="Q18" s="1"/>
      <c r="R18" s="25"/>
      <c r="S18" s="25"/>
    </row>
    <row r="19" spans="1:19" ht="15" customHeight="1" x14ac:dyDescent="0.3">
      <c r="A19" s="18"/>
      <c r="B19" s="37" t="str">
        <f>B15</f>
        <v>-Road</v>
      </c>
      <c r="C19" s="36">
        <v>1</v>
      </c>
      <c r="D19" s="38">
        <f>D24</f>
        <v>5.5</v>
      </c>
      <c r="E19" s="38">
        <f>E24</f>
        <v>2</v>
      </c>
      <c r="F19" s="38">
        <v>0.15</v>
      </c>
      <c r="G19" s="39">
        <f>PRODUCT(C19:F19)</f>
        <v>1.65</v>
      </c>
      <c r="H19" s="40"/>
      <c r="I19" s="40"/>
      <c r="J19" s="40"/>
      <c r="K19" s="21"/>
      <c r="M19" s="25"/>
      <c r="N19" s="1"/>
      <c r="O19" s="1"/>
      <c r="P19" s="1"/>
      <c r="Q19" s="1"/>
      <c r="R19" s="25"/>
      <c r="S19" s="25"/>
    </row>
    <row r="20" spans="1:19" ht="15" customHeight="1" x14ac:dyDescent="0.3">
      <c r="A20" s="40"/>
      <c r="B20" s="37" t="s">
        <v>42</v>
      </c>
      <c r="C20" s="42"/>
      <c r="D20" s="43"/>
      <c r="E20" s="43"/>
      <c r="F20" s="43"/>
      <c r="G20" s="33">
        <f>SUM(G19:G19)</f>
        <v>1.65</v>
      </c>
      <c r="H20" s="33" t="s">
        <v>41</v>
      </c>
      <c r="I20" s="33">
        <v>4434.5200000000004</v>
      </c>
      <c r="J20" s="44">
        <f>G20*I20</f>
        <v>7316.9580000000005</v>
      </c>
      <c r="K20" s="36"/>
    </row>
    <row r="21" spans="1:19" x14ac:dyDescent="0.3">
      <c r="A21" s="40"/>
      <c r="B21" s="37" t="s">
        <v>40</v>
      </c>
      <c r="C21" s="42"/>
      <c r="D21" s="43"/>
      <c r="E21" s="43"/>
      <c r="F21" s="43"/>
      <c r="G21" s="43"/>
      <c r="H21" s="43"/>
      <c r="I21" s="43"/>
      <c r="J21" s="45">
        <f>0.13*G20*(14817.6/5)</f>
        <v>635.67503999999997</v>
      </c>
      <c r="K21" s="36"/>
    </row>
    <row r="22" spans="1:19" x14ac:dyDescent="0.3">
      <c r="A22" s="40"/>
      <c r="B22" s="37"/>
      <c r="C22" s="42"/>
      <c r="D22" s="43"/>
      <c r="E22" s="43"/>
      <c r="F22" s="43"/>
      <c r="G22" s="43"/>
      <c r="H22" s="43"/>
      <c r="I22" s="43"/>
      <c r="J22" s="45"/>
      <c r="K22" s="36"/>
    </row>
    <row r="23" spans="1:19" ht="69" x14ac:dyDescent="0.3">
      <c r="A23" s="18">
        <v>4</v>
      </c>
      <c r="B23" s="30" t="s">
        <v>45</v>
      </c>
      <c r="C23" s="19"/>
      <c r="D23" s="20"/>
      <c r="E23" s="21"/>
      <c r="F23" s="21"/>
      <c r="G23" s="23"/>
      <c r="H23" s="22"/>
      <c r="I23" s="23"/>
      <c r="J23" s="41"/>
      <c r="K23" s="21"/>
      <c r="M23" s="25"/>
      <c r="N23" s="1"/>
      <c r="O23" s="1"/>
      <c r="P23" s="1"/>
      <c r="Q23" s="1"/>
      <c r="R23" s="25"/>
      <c r="S23" s="25"/>
    </row>
    <row r="24" spans="1:19" ht="15" customHeight="1" x14ac:dyDescent="0.3">
      <c r="A24" s="18"/>
      <c r="B24" s="37" t="str">
        <f>B10</f>
        <v>-For wall</v>
      </c>
      <c r="C24" s="36">
        <v>1</v>
      </c>
      <c r="D24" s="38">
        <f>D29</f>
        <v>5.5</v>
      </c>
      <c r="E24" s="38">
        <f>F29/2</f>
        <v>2</v>
      </c>
      <c r="F24" s="38">
        <v>7.4999999999999997E-2</v>
      </c>
      <c r="G24" s="39">
        <f>PRODUCT(C24:F24)</f>
        <v>0.82499999999999996</v>
      </c>
      <c r="H24" s="40"/>
      <c r="I24" s="40"/>
      <c r="J24" s="40"/>
      <c r="K24" s="21"/>
      <c r="M24" s="25"/>
      <c r="N24" s="1"/>
      <c r="O24" s="1"/>
      <c r="P24" s="1"/>
      <c r="Q24" s="1"/>
      <c r="R24" s="25"/>
      <c r="S24" s="25"/>
    </row>
    <row r="25" spans="1:19" ht="15" customHeight="1" x14ac:dyDescent="0.3">
      <c r="A25" s="40"/>
      <c r="B25" s="37" t="s">
        <v>42</v>
      </c>
      <c r="C25" s="42"/>
      <c r="D25" s="43"/>
      <c r="E25" s="43"/>
      <c r="F25" s="43"/>
      <c r="G25" s="33">
        <f>SUM(G24:G24)</f>
        <v>0.82499999999999996</v>
      </c>
      <c r="H25" s="33" t="s">
        <v>41</v>
      </c>
      <c r="I25" s="33">
        <v>10634.5</v>
      </c>
      <c r="J25" s="44">
        <f>G25*I25</f>
        <v>8773.4624999999996</v>
      </c>
      <c r="K25" s="36"/>
    </row>
    <row r="26" spans="1:19" ht="15" customHeight="1" x14ac:dyDescent="0.3">
      <c r="A26" s="40"/>
      <c r="B26" s="37" t="s">
        <v>40</v>
      </c>
      <c r="C26" s="42"/>
      <c r="D26" s="43"/>
      <c r="E26" s="43"/>
      <c r="F26" s="43"/>
      <c r="G26" s="43"/>
      <c r="H26" s="43"/>
      <c r="I26" s="43"/>
      <c r="J26" s="45">
        <f>0.13*G25*((114907.3+6135.3)/15)</f>
        <v>865.45459000000005</v>
      </c>
      <c r="K26" s="36"/>
    </row>
    <row r="27" spans="1:19" ht="15" customHeight="1" x14ac:dyDescent="0.3">
      <c r="A27" s="40"/>
      <c r="B27" s="37"/>
      <c r="C27" s="42"/>
      <c r="D27" s="43"/>
      <c r="E27" s="43"/>
      <c r="F27" s="43"/>
      <c r="G27" s="43"/>
      <c r="H27" s="43"/>
      <c r="I27" s="43"/>
      <c r="J27" s="45"/>
      <c r="K27" s="36"/>
    </row>
    <row r="28" spans="1:19" ht="110.4" x14ac:dyDescent="0.3">
      <c r="A28" s="18">
        <v>5</v>
      </c>
      <c r="B28" s="30" t="s">
        <v>53</v>
      </c>
      <c r="C28" s="19"/>
      <c r="D28" s="20"/>
      <c r="E28" s="21"/>
      <c r="F28" s="21"/>
      <c r="G28" s="23"/>
      <c r="H28" s="22"/>
      <c r="I28" s="23"/>
      <c r="J28" s="41"/>
      <c r="K28" s="21"/>
      <c r="M28" s="25"/>
      <c r="N28" s="1"/>
      <c r="O28" s="1"/>
      <c r="P28" s="1"/>
      <c r="Q28" s="1"/>
      <c r="R28" s="25"/>
      <c r="S28" s="25"/>
    </row>
    <row r="29" spans="1:19" ht="15" customHeight="1" x14ac:dyDescent="0.3">
      <c r="A29" s="18"/>
      <c r="B29" s="37" t="s">
        <v>51</v>
      </c>
      <c r="C29" s="36">
        <v>1</v>
      </c>
      <c r="D29" s="38">
        <v>5.5</v>
      </c>
      <c r="E29" s="38">
        <f>((F29/2+0.5)/2)</f>
        <v>1.25</v>
      </c>
      <c r="F29" s="38">
        <v>4</v>
      </c>
      <c r="G29" s="39">
        <f>PRODUCT(C29:F29)</f>
        <v>27.5</v>
      </c>
      <c r="H29" s="40"/>
      <c r="I29" s="40"/>
      <c r="J29" s="40"/>
      <c r="K29" s="21"/>
      <c r="M29" s="25"/>
      <c r="N29" s="1"/>
      <c r="O29" s="1"/>
      <c r="P29" s="1"/>
      <c r="Q29" s="1"/>
      <c r="R29" s="25"/>
      <c r="S29" s="25"/>
    </row>
    <row r="30" spans="1:19" ht="15" customHeight="1" x14ac:dyDescent="0.3">
      <c r="A30" s="40"/>
      <c r="B30" s="37" t="s">
        <v>42</v>
      </c>
      <c r="C30" s="42"/>
      <c r="D30" s="43"/>
      <c r="E30" s="43"/>
      <c r="F30" s="43"/>
      <c r="G30" s="33">
        <f>SUM(G29:G29)</f>
        <v>27.5</v>
      </c>
      <c r="H30" s="33" t="s">
        <v>41</v>
      </c>
      <c r="I30" s="33">
        <v>9623.4699999999993</v>
      </c>
      <c r="J30" s="44">
        <f>G30*I30</f>
        <v>264645.42499999999</v>
      </c>
      <c r="K30" s="36"/>
    </row>
    <row r="31" spans="1:19" ht="15" customHeight="1" x14ac:dyDescent="0.3">
      <c r="A31" s="40"/>
      <c r="B31" s="37" t="s">
        <v>40</v>
      </c>
      <c r="C31" s="42"/>
      <c r="D31" s="43"/>
      <c r="E31" s="43"/>
      <c r="F31" s="43"/>
      <c r="G31" s="43"/>
      <c r="H31" s="43"/>
      <c r="I31" s="43"/>
      <c r="J31" s="45">
        <f>0.13*G30*((59609.3+3478.36)/10)</f>
        <v>22553.838450000003</v>
      </c>
      <c r="K31" s="36"/>
    </row>
    <row r="32" spans="1:19" ht="15" customHeight="1" x14ac:dyDescent="0.3">
      <c r="A32" s="40"/>
      <c r="B32" s="37"/>
      <c r="C32" s="42"/>
      <c r="D32" s="43"/>
      <c r="E32" s="43"/>
      <c r="F32" s="43"/>
      <c r="G32" s="43"/>
      <c r="H32" s="43"/>
      <c r="I32" s="43"/>
      <c r="J32" s="45"/>
      <c r="K32" s="36"/>
    </row>
    <row r="33" spans="1:19" ht="15" customHeight="1" x14ac:dyDescent="0.3">
      <c r="A33" s="18">
        <v>6</v>
      </c>
      <c r="B33" s="30" t="s">
        <v>30</v>
      </c>
      <c r="C33" s="19">
        <v>1</v>
      </c>
      <c r="D33" s="20"/>
      <c r="E33" s="21"/>
      <c r="F33" s="21"/>
      <c r="G33" s="34">
        <f t="shared" ref="G33" si="0">PRODUCT(C33:F33)</f>
        <v>1</v>
      </c>
      <c r="H33" s="22" t="s">
        <v>31</v>
      </c>
      <c r="I33" s="23">
        <v>500</v>
      </c>
      <c r="J33" s="34">
        <f>G33*I33</f>
        <v>500</v>
      </c>
      <c r="K33" s="21"/>
      <c r="M33" s="25"/>
    </row>
    <row r="34" spans="1:19" ht="15" customHeight="1" x14ac:dyDescent="0.3">
      <c r="A34" s="18"/>
      <c r="B34" s="24"/>
      <c r="C34" s="19"/>
      <c r="D34" s="20"/>
      <c r="E34" s="21"/>
      <c r="F34" s="21"/>
      <c r="G34" s="23"/>
      <c r="H34" s="22"/>
      <c r="I34" s="23"/>
      <c r="J34" s="41"/>
      <c r="K34" s="21"/>
      <c r="M34" s="25"/>
      <c r="N34" s="1"/>
      <c r="O34" s="1"/>
      <c r="P34" s="1"/>
      <c r="Q34" s="1"/>
      <c r="R34" s="25"/>
      <c r="S34" s="25"/>
    </row>
    <row r="35" spans="1:19" x14ac:dyDescent="0.3">
      <c r="A35" s="40"/>
      <c r="B35" s="46" t="s">
        <v>17</v>
      </c>
      <c r="C35" s="47"/>
      <c r="D35" s="38"/>
      <c r="E35" s="38"/>
      <c r="F35" s="38"/>
      <c r="G35" s="41"/>
      <c r="H35" s="41"/>
      <c r="I35" s="41"/>
      <c r="J35" s="41">
        <f>SUM(J10:J33)</f>
        <v>309587.38791333331</v>
      </c>
      <c r="K35" s="36"/>
    </row>
    <row r="36" spans="1:19" x14ac:dyDescent="0.3">
      <c r="A36" s="58"/>
      <c r="B36" s="61"/>
      <c r="C36" s="62"/>
      <c r="D36" s="59"/>
      <c r="E36" s="59"/>
      <c r="F36" s="59"/>
      <c r="G36" s="60"/>
      <c r="H36" s="60"/>
      <c r="I36" s="60"/>
      <c r="J36" s="60"/>
      <c r="K36" s="57"/>
    </row>
    <row r="37" spans="1:19" s="1" customFormat="1" x14ac:dyDescent="0.3">
      <c r="A37" s="50"/>
      <c r="B37" s="29" t="s">
        <v>27</v>
      </c>
      <c r="C37" s="83">
        <f>J35</f>
        <v>309587.38791333331</v>
      </c>
      <c r="D37" s="83"/>
      <c r="E37" s="39">
        <v>100</v>
      </c>
      <c r="F37" s="51"/>
      <c r="G37" s="52"/>
      <c r="H37" s="51"/>
      <c r="I37" s="53"/>
      <c r="J37" s="54"/>
      <c r="K37" s="55"/>
    </row>
    <row r="38" spans="1:19" x14ac:dyDescent="0.3">
      <c r="A38" s="56"/>
      <c r="B38" s="29" t="s">
        <v>32</v>
      </c>
      <c r="C38" s="86">
        <v>250000</v>
      </c>
      <c r="D38" s="86"/>
      <c r="E38" s="39"/>
      <c r="F38" s="49"/>
      <c r="G38" s="48"/>
      <c r="H38" s="48"/>
      <c r="I38" s="48"/>
      <c r="J38" s="48"/>
      <c r="K38" s="49"/>
    </row>
    <row r="39" spans="1:19" x14ac:dyDescent="0.3">
      <c r="A39" s="56"/>
      <c r="B39" s="29" t="s">
        <v>33</v>
      </c>
      <c r="C39" s="86">
        <f>C38-C41-C42</f>
        <v>237500</v>
      </c>
      <c r="D39" s="86"/>
      <c r="E39" s="39">
        <f>C39/C37*100</f>
        <v>76.715011422392436</v>
      </c>
      <c r="F39" s="49"/>
      <c r="G39" s="48"/>
      <c r="H39" s="48"/>
      <c r="I39" s="48"/>
      <c r="J39" s="48"/>
      <c r="K39" s="49"/>
    </row>
    <row r="40" spans="1:19" x14ac:dyDescent="0.3">
      <c r="A40" s="56"/>
      <c r="B40" s="29" t="s">
        <v>34</v>
      </c>
      <c r="C40" s="83">
        <f>C37-C39</f>
        <v>72087.38791333331</v>
      </c>
      <c r="D40" s="83"/>
      <c r="E40" s="39">
        <f>100-E39</f>
        <v>23.284988577607564</v>
      </c>
      <c r="F40" s="49"/>
      <c r="G40" s="48"/>
      <c r="H40" s="48"/>
      <c r="I40" s="48"/>
      <c r="J40" s="48"/>
      <c r="K40" s="49"/>
    </row>
    <row r="41" spans="1:19" x14ac:dyDescent="0.3">
      <c r="A41" s="56"/>
      <c r="B41" s="29" t="s">
        <v>35</v>
      </c>
      <c r="C41" s="83">
        <f>C38*0.03</f>
        <v>7500</v>
      </c>
      <c r="D41" s="83"/>
      <c r="E41" s="39">
        <v>3</v>
      </c>
      <c r="F41" s="49"/>
      <c r="G41" s="48"/>
      <c r="H41" s="48"/>
      <c r="I41" s="48"/>
      <c r="J41" s="48"/>
      <c r="K41" s="49"/>
    </row>
    <row r="42" spans="1:19" x14ac:dyDescent="0.3">
      <c r="A42" s="56"/>
      <c r="B42" s="29" t="s">
        <v>36</v>
      </c>
      <c r="C42" s="83">
        <f>C38*0.02</f>
        <v>5000</v>
      </c>
      <c r="D42" s="83"/>
      <c r="E42" s="39">
        <v>2</v>
      </c>
      <c r="F42" s="49"/>
      <c r="G42" s="48"/>
      <c r="H42" s="48"/>
      <c r="I42" s="48"/>
      <c r="J42" s="48"/>
      <c r="K42" s="49"/>
    </row>
    <row r="43" spans="1:19" s="35" customFormat="1" x14ac:dyDescent="0.3">
      <c r="A43" s="57"/>
      <c r="B43" s="57"/>
      <c r="C43" s="57"/>
      <c r="D43" s="57"/>
      <c r="E43" s="57"/>
      <c r="F43" s="57"/>
      <c r="G43" s="57"/>
      <c r="H43" s="57"/>
      <c r="I43" s="57"/>
      <c r="J43" s="57"/>
      <c r="K43" s="57"/>
    </row>
    <row r="44" spans="1:19" s="35" customFormat="1" x14ac:dyDescent="0.3"/>
    <row r="45" spans="1:19" s="35" customFormat="1" x14ac:dyDescent="0.3"/>
    <row r="46" spans="1:19" s="35" customFormat="1" x14ac:dyDescent="0.3"/>
    <row r="47" spans="1:19" s="35" customFormat="1" x14ac:dyDescent="0.3"/>
    <row r="48" spans="1:19" s="35" customFormat="1" x14ac:dyDescent="0.3"/>
    <row r="49" s="35" customFormat="1" x14ac:dyDescent="0.3"/>
    <row r="50" s="35" customFormat="1" x14ac:dyDescent="0.3"/>
    <row r="51" s="35" customFormat="1" x14ac:dyDescent="0.3"/>
    <row r="52" s="35" customFormat="1" x14ac:dyDescent="0.3"/>
    <row r="53" s="35" customFormat="1" x14ac:dyDescent="0.3"/>
    <row r="54" s="35" customFormat="1" x14ac:dyDescent="0.3"/>
    <row r="55" s="35" customFormat="1" x14ac:dyDescent="0.3"/>
    <row r="56" s="35" customFormat="1" x14ac:dyDescent="0.3"/>
    <row r="57" s="35" customFormat="1" x14ac:dyDescent="0.3"/>
    <row r="58" s="35" customFormat="1" x14ac:dyDescent="0.3"/>
    <row r="59" s="35" customFormat="1" x14ac:dyDescent="0.3"/>
    <row r="60" s="35" customFormat="1" x14ac:dyDescent="0.3"/>
    <row r="61" s="35" customFormat="1" x14ac:dyDescent="0.3"/>
    <row r="62" s="35" customFormat="1" x14ac:dyDescent="0.3"/>
    <row r="63" s="35" customFormat="1" x14ac:dyDescent="0.3"/>
    <row r="64"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sheetData>
  <mergeCells count="15">
    <mergeCell ref="C41:D41"/>
    <mergeCell ref="C42:D42"/>
    <mergeCell ref="A7:F7"/>
    <mergeCell ref="H7:K7"/>
    <mergeCell ref="C37:D37"/>
    <mergeCell ref="C38:D38"/>
    <mergeCell ref="C39:D39"/>
    <mergeCell ref="C40:D4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9" zoomScaleNormal="100" workbookViewId="0">
      <selection activeCell="M19" sqref="M19"/>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7" t="s">
        <v>0</v>
      </c>
      <c r="B1" s="67"/>
      <c r="C1" s="67"/>
      <c r="D1" s="67"/>
      <c r="E1" s="67"/>
      <c r="F1" s="67"/>
      <c r="G1" s="67"/>
      <c r="H1" s="67"/>
      <c r="I1" s="67"/>
      <c r="J1" s="67"/>
      <c r="K1" s="67"/>
    </row>
    <row r="2" spans="1:11" ht="24.6" x14ac:dyDescent="0.4">
      <c r="A2" s="68" t="s">
        <v>1</v>
      </c>
      <c r="B2" s="68"/>
      <c r="C2" s="68"/>
      <c r="D2" s="68"/>
      <c r="E2" s="68"/>
      <c r="F2" s="68"/>
      <c r="G2" s="68"/>
      <c r="H2" s="68"/>
      <c r="I2" s="68"/>
      <c r="J2" s="68"/>
      <c r="K2" s="68"/>
    </row>
    <row r="3" spans="1:11" s="1" customFormat="1" x14ac:dyDescent="0.3">
      <c r="A3" s="69" t="s">
        <v>2</v>
      </c>
      <c r="B3" s="69"/>
      <c r="C3" s="69"/>
      <c r="D3" s="69"/>
      <c r="E3" s="69"/>
      <c r="F3" s="69"/>
      <c r="G3" s="69"/>
      <c r="H3" s="69"/>
      <c r="I3" s="69"/>
      <c r="J3" s="69"/>
      <c r="K3" s="69"/>
    </row>
    <row r="4" spans="1:11" s="1" customFormat="1" x14ac:dyDescent="0.3">
      <c r="A4" s="69" t="s">
        <v>3</v>
      </c>
      <c r="B4" s="69"/>
      <c r="C4" s="69"/>
      <c r="D4" s="69"/>
      <c r="E4" s="69"/>
      <c r="F4" s="69"/>
      <c r="G4" s="69"/>
      <c r="H4" s="69"/>
      <c r="I4" s="69"/>
      <c r="J4" s="69"/>
      <c r="K4" s="69"/>
    </row>
    <row r="5" spans="1:11" ht="18" x14ac:dyDescent="0.35">
      <c r="A5" s="70" t="s">
        <v>18</v>
      </c>
      <c r="B5" s="70"/>
      <c r="C5" s="70"/>
      <c r="D5" s="70"/>
      <c r="E5" s="70"/>
      <c r="F5" s="70"/>
      <c r="G5" s="70"/>
      <c r="H5" s="70"/>
      <c r="I5" s="70"/>
      <c r="J5" s="70"/>
      <c r="K5" s="70"/>
    </row>
    <row r="6" spans="1:11" ht="18" x14ac:dyDescent="0.35">
      <c r="A6" s="8" t="s">
        <v>19</v>
      </c>
      <c r="B6" s="8"/>
      <c r="C6" s="65">
        <f>F29</f>
        <v>309587.38791333331</v>
      </c>
      <c r="D6" s="66"/>
      <c r="E6" s="9"/>
      <c r="F6" s="8"/>
      <c r="G6" s="8"/>
      <c r="H6" s="8" t="s">
        <v>20</v>
      </c>
      <c r="I6" s="8"/>
      <c r="J6" s="65">
        <f>I29</f>
        <v>262421.84455559734</v>
      </c>
      <c r="K6" s="66"/>
    </row>
    <row r="7" spans="1:11" x14ac:dyDescent="0.3">
      <c r="A7" s="26" t="s">
        <v>29</v>
      </c>
      <c r="B7" s="10"/>
      <c r="C7" s="10"/>
      <c r="D7" s="10"/>
      <c r="F7" s="74"/>
      <c r="G7" s="74"/>
      <c r="I7" s="75" t="s">
        <v>37</v>
      </c>
      <c r="J7" s="75"/>
      <c r="K7" s="75"/>
    </row>
    <row r="8" spans="1:11" ht="15.6" x14ac:dyDescent="0.3">
      <c r="A8" s="73" t="e">
        <f>#REF!</f>
        <v>#REF!</v>
      </c>
      <c r="B8" s="73"/>
      <c r="C8" s="73"/>
      <c r="D8" s="73"/>
      <c r="E8" s="73"/>
      <c r="F8" s="73"/>
      <c r="I8" s="76" t="s">
        <v>38</v>
      </c>
      <c r="J8" s="76"/>
      <c r="K8" s="76"/>
    </row>
    <row r="9" spans="1:11" x14ac:dyDescent="0.3">
      <c r="A9" s="77" t="e">
        <f>#REF!</f>
        <v>#REF!</v>
      </c>
      <c r="B9" s="77"/>
      <c r="C9" s="77"/>
      <c r="D9" s="77"/>
      <c r="E9" s="77"/>
      <c r="F9" s="77"/>
      <c r="I9" s="76" t="s">
        <v>39</v>
      </c>
      <c r="J9" s="76"/>
      <c r="K9" s="76"/>
    </row>
    <row r="11" spans="1:11" x14ac:dyDescent="0.3">
      <c r="A11" s="71" t="s">
        <v>21</v>
      </c>
      <c r="B11" s="71" t="s">
        <v>22</v>
      </c>
      <c r="C11" s="71" t="s">
        <v>12</v>
      </c>
      <c r="D11" s="78" t="s">
        <v>23</v>
      </c>
      <c r="E11" s="78"/>
      <c r="F11" s="78"/>
      <c r="G11" s="78" t="s">
        <v>24</v>
      </c>
      <c r="H11" s="78"/>
      <c r="I11" s="78"/>
      <c r="J11" s="71" t="s">
        <v>25</v>
      </c>
      <c r="K11" s="72" t="s">
        <v>15</v>
      </c>
    </row>
    <row r="12" spans="1:11" x14ac:dyDescent="0.3">
      <c r="A12" s="71"/>
      <c r="B12" s="71"/>
      <c r="C12" s="71"/>
      <c r="D12" s="11" t="s">
        <v>26</v>
      </c>
      <c r="E12" s="11" t="s">
        <v>13</v>
      </c>
      <c r="F12" s="11" t="s">
        <v>14</v>
      </c>
      <c r="G12" s="11" t="s">
        <v>26</v>
      </c>
      <c r="H12" s="11" t="s">
        <v>13</v>
      </c>
      <c r="I12" s="11" t="s">
        <v>14</v>
      </c>
      <c r="J12" s="71"/>
      <c r="K12" s="72"/>
    </row>
    <row r="13" spans="1:11" s="1" customFormat="1" ht="140.4" x14ac:dyDescent="0.3">
      <c r="A13" s="27">
        <f>'200k'!A9</f>
        <v>1</v>
      </c>
      <c r="B13" s="32" t="str">
        <f>'200k'!B9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'200k'!H11</f>
        <v>m3</v>
      </c>
      <c r="D13" s="12">
        <f>'200k'!G11</f>
        <v>19.25</v>
      </c>
      <c r="E13" s="12">
        <f>'200k'!I11</f>
        <v>64.63</v>
      </c>
      <c r="F13" s="12">
        <f>D13*E13</f>
        <v>1244.1274999999998</v>
      </c>
      <c r="G13" s="12">
        <f>V!G11</f>
        <v>14.761687500000001</v>
      </c>
      <c r="H13" s="12">
        <f>V!I11</f>
        <v>64.63</v>
      </c>
      <c r="I13" s="12">
        <f>G13*H13</f>
        <v>954.04786312499994</v>
      </c>
      <c r="J13" s="28">
        <f>I13-F13</f>
        <v>-290.07963687499989</v>
      </c>
      <c r="K13" s="14"/>
    </row>
    <row r="14" spans="1:11" s="1" customFormat="1" ht="15.6" x14ac:dyDescent="0.3">
      <c r="A14" s="27"/>
      <c r="B14" s="87" t="str">
        <f>'200k'!B12</f>
        <v>VAT calculation</v>
      </c>
      <c r="C14" s="12"/>
      <c r="D14" s="12"/>
      <c r="E14" s="12"/>
      <c r="F14" s="12">
        <f>'200k'!J12</f>
        <v>134.05058333333332</v>
      </c>
      <c r="G14" s="12"/>
      <c r="H14" s="12"/>
      <c r="I14" s="12">
        <f>V!J12</f>
        <v>102.79547118750001</v>
      </c>
      <c r="J14" s="28">
        <f>I14-F14</f>
        <v>-31.255112145833309</v>
      </c>
      <c r="K14" s="14"/>
    </row>
    <row r="15" spans="1:11" s="1" customFormat="1" x14ac:dyDescent="0.3">
      <c r="A15" s="29"/>
      <c r="B15" s="29"/>
      <c r="C15" s="12"/>
      <c r="D15" s="12"/>
      <c r="E15" s="12"/>
      <c r="F15" s="12"/>
      <c r="G15" s="12"/>
      <c r="H15" s="12"/>
      <c r="I15" s="12"/>
      <c r="J15" s="28"/>
      <c r="K15" s="14"/>
    </row>
    <row r="16" spans="1:11" s="1" customFormat="1" ht="93.6" x14ac:dyDescent="0.3">
      <c r="A16" s="27">
        <f>'200k'!A14</f>
        <v>2</v>
      </c>
      <c r="B16" s="32" t="str">
        <f>'200k'!B14</f>
        <v>Providing suitable material and Back filling behind abutment, wing wall and return wall complete as per Drawing and Technical Specifications., locally available material including compaction by tamping rod</v>
      </c>
      <c r="C16" s="12" t="str">
        <f>'200k'!H20</f>
        <v>m3</v>
      </c>
      <c r="D16" s="12">
        <f>'200k'!G16</f>
        <v>7.21875</v>
      </c>
      <c r="E16" s="12">
        <f>'200k'!I16</f>
        <v>404.28</v>
      </c>
      <c r="F16" s="12">
        <f>D16*E16</f>
        <v>2918.3962499999998</v>
      </c>
      <c r="G16" s="12">
        <f>V!G17</f>
        <v>0</v>
      </c>
      <c r="H16" s="12">
        <f>V!I17</f>
        <v>404.28</v>
      </c>
      <c r="I16" s="12">
        <f>G16*H16</f>
        <v>0</v>
      </c>
      <c r="J16" s="28">
        <f>I16-F16</f>
        <v>-2918.3962499999998</v>
      </c>
      <c r="K16" s="14"/>
    </row>
    <row r="17" spans="1:13" s="1" customFormat="1" ht="15.6" x14ac:dyDescent="0.3">
      <c r="A17" s="27"/>
      <c r="B17" s="32"/>
      <c r="C17" s="12"/>
      <c r="D17" s="12"/>
      <c r="E17" s="12"/>
      <c r="F17" s="12"/>
      <c r="G17" s="12"/>
      <c r="H17" s="12"/>
      <c r="I17" s="12"/>
      <c r="J17" s="28"/>
      <c r="K17" s="14"/>
    </row>
    <row r="18" spans="1:13" s="1" customFormat="1" ht="93.6" x14ac:dyDescent="0.3">
      <c r="A18" s="27">
        <f>'200k'!A18</f>
        <v>3</v>
      </c>
      <c r="B18" s="32" t="str">
        <f>'200k'!B18</f>
        <v>Providing and laying of hand pack locally available Stone soling with 150 to 200 mm thick stones and packing with smaller stone on prepared surface as per Drawing and Technical Specifications.</v>
      </c>
      <c r="C18" s="12" t="str">
        <f>'200k'!H20</f>
        <v>m3</v>
      </c>
      <c r="D18" s="12">
        <f>'200k'!G20</f>
        <v>1.65</v>
      </c>
      <c r="E18" s="12">
        <f>'200k'!I20</f>
        <v>4434.5200000000004</v>
      </c>
      <c r="F18" s="12">
        <f>D18*E18</f>
        <v>7316.9580000000005</v>
      </c>
      <c r="G18" s="12">
        <f>V!G26</f>
        <v>2.5305750000000002</v>
      </c>
      <c r="H18" s="12">
        <f>V!I26</f>
        <v>4434.5200000000004</v>
      </c>
      <c r="I18" s="12">
        <f>G18*H18</f>
        <v>11221.885449000003</v>
      </c>
      <c r="J18" s="28">
        <f>I18-F18</f>
        <v>3904.9274490000025</v>
      </c>
      <c r="K18" s="14"/>
      <c r="M18" s="1">
        <f>1.25*F18</f>
        <v>9146.1975000000002</v>
      </c>
    </row>
    <row r="19" spans="1:13" s="1" customFormat="1" ht="15.6" x14ac:dyDescent="0.3">
      <c r="A19" s="27"/>
      <c r="B19" s="87" t="str">
        <f>'200k'!B21</f>
        <v>VAT calculation</v>
      </c>
      <c r="C19" s="12"/>
      <c r="D19" s="12"/>
      <c r="E19" s="12"/>
      <c r="F19" s="12">
        <f>'200k'!J21</f>
        <v>635.67503999999997</v>
      </c>
      <c r="G19" s="12"/>
      <c r="H19" s="12"/>
      <c r="I19" s="12">
        <f>V!J27</f>
        <v>974.92325112000015</v>
      </c>
      <c r="J19" s="28">
        <f>I19-F19</f>
        <v>339.24821112000018</v>
      </c>
      <c r="K19" s="14"/>
    </row>
    <row r="20" spans="1:13" s="1" customFormat="1" ht="15.6" x14ac:dyDescent="0.3">
      <c r="A20" s="27"/>
      <c r="B20" s="32"/>
      <c r="C20" s="12"/>
      <c r="D20" s="12"/>
      <c r="E20" s="12"/>
      <c r="F20" s="12"/>
      <c r="G20" s="12"/>
      <c r="H20" s="12"/>
      <c r="I20" s="12"/>
      <c r="J20" s="28"/>
      <c r="K20" s="14"/>
    </row>
    <row r="21" spans="1:13" s="1" customFormat="1" ht="78" x14ac:dyDescent="0.3">
      <c r="A21" s="27">
        <f>'200k'!A23</f>
        <v>4</v>
      </c>
      <c r="B21" s="32" t="str">
        <f>'200k'!B23</f>
        <v>Providing and laying of Plain/Reinforced Cement Concrete in Foundation complete as per Drawing and Technical Specifications, PCC Grade M 15</v>
      </c>
      <c r="C21" s="12" t="str">
        <f>'200k'!H25</f>
        <v>m3</v>
      </c>
      <c r="D21" s="12">
        <f>'200k'!G25</f>
        <v>0.82499999999999996</v>
      </c>
      <c r="E21" s="12">
        <f>'200k'!I25</f>
        <v>10634.5</v>
      </c>
      <c r="F21" s="12">
        <f>D21*E21</f>
        <v>8773.4624999999996</v>
      </c>
      <c r="G21" s="12">
        <f>V!G31</f>
        <v>0</v>
      </c>
      <c r="H21" s="12">
        <f>V!I31</f>
        <v>10634.5</v>
      </c>
      <c r="I21" s="12">
        <f>G21*H21</f>
        <v>0</v>
      </c>
      <c r="J21" s="28">
        <f>I21-F21</f>
        <v>-8773.4624999999996</v>
      </c>
      <c r="K21" s="14"/>
    </row>
    <row r="22" spans="1:13" s="1" customFormat="1" ht="15.6" x14ac:dyDescent="0.3">
      <c r="A22" s="27"/>
      <c r="B22" s="87" t="str">
        <f>'200k'!B26</f>
        <v>VAT calculation</v>
      </c>
      <c r="C22" s="12"/>
      <c r="D22" s="12"/>
      <c r="E22" s="12"/>
      <c r="F22" s="12">
        <f>'200k'!J26</f>
        <v>865.45459000000005</v>
      </c>
      <c r="G22" s="12"/>
      <c r="H22" s="12"/>
      <c r="I22" s="12">
        <f>V!J32</f>
        <v>0</v>
      </c>
      <c r="J22" s="28">
        <f>I22-F22</f>
        <v>-865.45459000000005</v>
      </c>
      <c r="K22" s="14"/>
    </row>
    <row r="23" spans="1:13" s="1" customFormat="1" ht="15.6" x14ac:dyDescent="0.3">
      <c r="A23" s="27"/>
      <c r="B23" s="32"/>
      <c r="C23" s="12"/>
      <c r="D23" s="12"/>
      <c r="E23" s="12"/>
      <c r="F23" s="12"/>
      <c r="G23" s="12"/>
      <c r="H23" s="12"/>
      <c r="I23" s="12"/>
      <c r="J23" s="28"/>
      <c r="K23" s="14"/>
    </row>
    <row r="24" spans="1:13" s="1" customFormat="1" ht="109.2" x14ac:dyDescent="0.3">
      <c r="A24" s="27">
        <f>'200k'!A28</f>
        <v>5</v>
      </c>
      <c r="B24" s="32" t="str">
        <f>'200k'!B28</f>
        <v>Providing and laying Plum concrete ( Boulder mixed concrete) including form work and 110mm dia PN6 HDPE pipe for Weep hole as per Drawing and Specifications, 60% M 15  concrete and 40% boulders/stones, using Mechanical Aids</v>
      </c>
      <c r="C24" s="12" t="str">
        <f>'200k'!H30</f>
        <v>m3</v>
      </c>
      <c r="D24" s="12">
        <f>'200k'!G30</f>
        <v>27.5</v>
      </c>
      <c r="E24" s="12">
        <f>'200k'!I30</f>
        <v>9623.4699999999993</v>
      </c>
      <c r="F24" s="12">
        <f>D24*E24</f>
        <v>264645.42499999999</v>
      </c>
      <c r="G24" s="12">
        <f>V!G41</f>
        <v>23.810560000000002</v>
      </c>
      <c r="H24" s="12">
        <f>V!I41</f>
        <v>9623.4699999999993</v>
      </c>
      <c r="I24" s="12">
        <f>G24*H24</f>
        <v>229140.20984320002</v>
      </c>
      <c r="J24" s="28">
        <f>I24-F24</f>
        <v>-35505.215156799968</v>
      </c>
      <c r="K24" s="14"/>
    </row>
    <row r="25" spans="1:13" s="1" customFormat="1" ht="15.6" x14ac:dyDescent="0.3">
      <c r="A25" s="27"/>
      <c r="B25" s="87" t="str">
        <f>'200k'!B31</f>
        <v>VAT calculation</v>
      </c>
      <c r="C25" s="12"/>
      <c r="D25" s="12"/>
      <c r="E25" s="12"/>
      <c r="F25" s="12">
        <f>'200k'!J31</f>
        <v>22553.838450000003</v>
      </c>
      <c r="G25" s="12"/>
      <c r="H25" s="12"/>
      <c r="I25" s="12">
        <f>V!J42</f>
        <v>19527.982677964803</v>
      </c>
      <c r="J25" s="28">
        <f>I25-F25</f>
        <v>-3025.8557720352001</v>
      </c>
      <c r="K25" s="14"/>
    </row>
    <row r="26" spans="1:13" s="1" customFormat="1" ht="15.6" x14ac:dyDescent="0.3">
      <c r="A26" s="27"/>
      <c r="B26" s="32"/>
      <c r="C26" s="12"/>
      <c r="D26" s="12"/>
      <c r="E26" s="12"/>
      <c r="F26" s="12"/>
      <c r="G26" s="12"/>
      <c r="H26" s="12"/>
      <c r="I26" s="12"/>
      <c r="J26" s="28"/>
      <c r="K26" s="14"/>
    </row>
    <row r="27" spans="1:13" s="1" customFormat="1" x14ac:dyDescent="0.3">
      <c r="A27" s="27">
        <f>'200k'!A33</f>
        <v>6</v>
      </c>
      <c r="B27" s="31" t="str">
        <f>'200k'!B33</f>
        <v>Information board (सुचना पाटि)</v>
      </c>
      <c r="C27" s="12" t="str">
        <f>'200k'!H33</f>
        <v>no.</v>
      </c>
      <c r="D27" s="12">
        <f>'200k'!G33</f>
        <v>1</v>
      </c>
      <c r="E27" s="12">
        <f>'200k'!I33</f>
        <v>500</v>
      </c>
      <c r="F27" s="12">
        <f>D27*E27</f>
        <v>500</v>
      </c>
      <c r="G27" s="12">
        <f>V!G44</f>
        <v>1</v>
      </c>
      <c r="H27" s="12">
        <f>V!I44</f>
        <v>500</v>
      </c>
      <c r="I27" s="12">
        <f>G27*H27</f>
        <v>500</v>
      </c>
      <c r="J27" s="28">
        <f>I27-F27</f>
        <v>0</v>
      </c>
      <c r="K27" s="14"/>
    </row>
    <row r="28" spans="1:13" s="1" customFormat="1" x14ac:dyDescent="0.3">
      <c r="A28" s="29"/>
      <c r="B28" s="29"/>
      <c r="C28" s="12"/>
      <c r="D28" s="12"/>
      <c r="E28" s="12"/>
      <c r="F28" s="12"/>
      <c r="G28" s="12"/>
      <c r="H28" s="12"/>
      <c r="I28" s="12"/>
      <c r="J28" s="28"/>
      <c r="K28" s="14"/>
    </row>
    <row r="29" spans="1:13" x14ac:dyDescent="0.3">
      <c r="A29" s="5"/>
      <c r="B29" s="6" t="s">
        <v>16</v>
      </c>
      <c r="C29" s="6"/>
      <c r="D29" s="7"/>
      <c r="E29" s="7"/>
      <c r="F29" s="7">
        <f>SUM(F13:F27)</f>
        <v>309587.38791333331</v>
      </c>
      <c r="G29" s="7"/>
      <c r="H29" s="7"/>
      <c r="I29" s="7">
        <f>SUM(I13:I27)</f>
        <v>262421.84455559734</v>
      </c>
      <c r="J29" s="13">
        <f>I29-F29</f>
        <v>-47165.543357735965</v>
      </c>
      <c r="K2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0"/>
  <sheetViews>
    <sheetView tabSelected="1" topLeftCell="A37" zoomScaleNormal="100" workbookViewId="0">
      <selection activeCell="F11" sqref="F11"/>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0" t="s">
        <v>0</v>
      </c>
      <c r="B1" s="80"/>
      <c r="C1" s="80"/>
      <c r="D1" s="80"/>
      <c r="E1" s="80"/>
      <c r="F1" s="80"/>
      <c r="G1" s="80"/>
      <c r="H1" s="80"/>
      <c r="I1" s="80"/>
      <c r="J1" s="80"/>
      <c r="K1" s="80"/>
    </row>
    <row r="2" spans="1:19" s="1" customFormat="1" ht="22.8" x14ac:dyDescent="0.3">
      <c r="A2" s="81" t="s">
        <v>1</v>
      </c>
      <c r="B2" s="81"/>
      <c r="C2" s="81"/>
      <c r="D2" s="81"/>
      <c r="E2" s="81"/>
      <c r="F2" s="81"/>
      <c r="G2" s="81"/>
      <c r="H2" s="81"/>
      <c r="I2" s="81"/>
      <c r="J2" s="81"/>
      <c r="K2" s="81"/>
    </row>
    <row r="3" spans="1:19" s="1" customFormat="1" x14ac:dyDescent="0.3">
      <c r="A3" s="69" t="s">
        <v>2</v>
      </c>
      <c r="B3" s="69"/>
      <c r="C3" s="69"/>
      <c r="D3" s="69"/>
      <c r="E3" s="69"/>
      <c r="F3" s="69"/>
      <c r="G3" s="69"/>
      <c r="H3" s="69"/>
      <c r="I3" s="69"/>
      <c r="J3" s="69"/>
      <c r="K3" s="69"/>
    </row>
    <row r="4" spans="1:19" s="1" customFormat="1" x14ac:dyDescent="0.3">
      <c r="A4" s="69" t="s">
        <v>3</v>
      </c>
      <c r="B4" s="69"/>
      <c r="C4" s="69"/>
      <c r="D4" s="69"/>
      <c r="E4" s="69"/>
      <c r="F4" s="69"/>
      <c r="G4" s="69"/>
      <c r="H4" s="69"/>
      <c r="I4" s="69"/>
      <c r="J4" s="69"/>
      <c r="K4" s="69"/>
    </row>
    <row r="5" spans="1:19" ht="17.399999999999999" x14ac:dyDescent="0.3">
      <c r="A5" s="82" t="s">
        <v>57</v>
      </c>
      <c r="B5" s="82"/>
      <c r="C5" s="82"/>
      <c r="D5" s="82"/>
      <c r="E5" s="82"/>
      <c r="F5" s="82"/>
      <c r="G5" s="82"/>
      <c r="H5" s="82"/>
      <c r="I5" s="82"/>
      <c r="J5" s="82"/>
      <c r="K5" s="82"/>
    </row>
    <row r="6" spans="1:19" ht="15.6" x14ac:dyDescent="0.3">
      <c r="A6" s="73" t="s">
        <v>55</v>
      </c>
      <c r="B6" s="73"/>
      <c r="C6" s="73"/>
      <c r="D6" s="73"/>
      <c r="E6" s="73"/>
      <c r="F6" s="73"/>
      <c r="G6" s="2"/>
      <c r="H6" s="79" t="s">
        <v>47</v>
      </c>
      <c r="I6" s="79"/>
      <c r="J6" s="79"/>
      <c r="K6" s="79"/>
    </row>
    <row r="7" spans="1:19" ht="15.6" x14ac:dyDescent="0.3">
      <c r="A7" s="84" t="s">
        <v>28</v>
      </c>
      <c r="B7" s="84"/>
      <c r="C7" s="84"/>
      <c r="D7" s="84"/>
      <c r="E7" s="84"/>
      <c r="F7" s="84"/>
      <c r="G7" s="3"/>
      <c r="H7" s="85" t="s">
        <v>58</v>
      </c>
      <c r="I7" s="85"/>
      <c r="J7" s="85"/>
      <c r="K7" s="85"/>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48</v>
      </c>
    </row>
    <row r="9" spans="1:19" ht="124.2" x14ac:dyDescent="0.3">
      <c r="A9" s="63">
        <v>1</v>
      </c>
      <c r="B9" s="30" t="s">
        <v>46</v>
      </c>
      <c r="C9" s="36"/>
      <c r="D9" s="36"/>
      <c r="E9" s="36"/>
      <c r="F9" s="36"/>
      <c r="G9" s="36"/>
      <c r="H9" s="36"/>
      <c r="I9" s="36"/>
      <c r="J9" s="36"/>
      <c r="K9" s="36"/>
      <c r="N9" t="s">
        <v>49</v>
      </c>
      <c r="O9" t="s">
        <v>50</v>
      </c>
    </row>
    <row r="10" spans="1:19" ht="15" customHeight="1" x14ac:dyDescent="0.3">
      <c r="A10" s="18"/>
      <c r="B10" s="37" t="s">
        <v>51</v>
      </c>
      <c r="C10" s="64">
        <v>0.5</v>
      </c>
      <c r="D10" s="38">
        <f>2.48+2.48+2.42+2.44+2.45+2.4</f>
        <v>14.67</v>
      </c>
      <c r="E10" s="38">
        <f>E20</f>
        <v>1.1499999999999999</v>
      </c>
      <c r="F10" s="38">
        <f>1.6+0.15</f>
        <v>1.75</v>
      </c>
      <c r="G10" s="39">
        <f>PRODUCT(C10:F10)</f>
        <v>14.761687500000001</v>
      </c>
      <c r="H10" s="40"/>
      <c r="I10" s="40"/>
      <c r="J10" s="40"/>
      <c r="K10" s="21"/>
      <c r="M10" s="25"/>
      <c r="N10" s="1"/>
      <c r="O10" s="1"/>
      <c r="P10" s="1"/>
      <c r="Q10" s="1"/>
      <c r="R10" s="25"/>
      <c r="S10" s="25"/>
    </row>
    <row r="11" spans="1:19" ht="15" customHeight="1" x14ac:dyDescent="0.3">
      <c r="A11" s="18"/>
      <c r="B11" s="37" t="s">
        <v>42</v>
      </c>
      <c r="C11" s="19"/>
      <c r="D11" s="20"/>
      <c r="E11" s="21"/>
      <c r="F11" s="21"/>
      <c r="G11" s="23">
        <f>SUM(G10:G10)</f>
        <v>14.761687500000001</v>
      </c>
      <c r="H11" s="22" t="s">
        <v>41</v>
      </c>
      <c r="I11" s="23">
        <v>64.63</v>
      </c>
      <c r="J11" s="41">
        <f>G11*I11</f>
        <v>954.04786312499994</v>
      </c>
      <c r="K11" s="21"/>
      <c r="M11" s="25"/>
      <c r="N11" s="1"/>
      <c r="O11" s="1"/>
      <c r="P11" s="1"/>
      <c r="Q11" s="1"/>
      <c r="R11" s="25"/>
      <c r="S11" s="25"/>
    </row>
    <row r="12" spans="1:19" ht="15" customHeight="1" x14ac:dyDescent="0.3">
      <c r="A12" s="18"/>
      <c r="B12" s="37" t="s">
        <v>40</v>
      </c>
      <c r="C12" s="19"/>
      <c r="D12" s="20"/>
      <c r="E12" s="21"/>
      <c r="F12" s="21"/>
      <c r="G12" s="23"/>
      <c r="H12" s="22"/>
      <c r="I12" s="23"/>
      <c r="J12" s="41">
        <f>0.13*G11*19284/360</f>
        <v>102.79547118750001</v>
      </c>
      <c r="K12" s="21"/>
      <c r="M12" s="25"/>
      <c r="N12" s="1"/>
      <c r="O12" s="1"/>
      <c r="P12" s="1"/>
      <c r="Q12" s="1"/>
      <c r="R12" s="25"/>
      <c r="S12" s="25"/>
    </row>
    <row r="13" spans="1:19" ht="15" customHeight="1" x14ac:dyDescent="0.3">
      <c r="A13" s="18"/>
      <c r="B13" s="37"/>
      <c r="C13" s="19"/>
      <c r="D13" s="20"/>
      <c r="E13" s="21"/>
      <c r="F13" s="21"/>
      <c r="G13" s="23"/>
      <c r="H13" s="22"/>
      <c r="I13" s="23"/>
      <c r="J13" s="41"/>
      <c r="K13" s="21"/>
      <c r="M13" s="25"/>
      <c r="N13" s="1"/>
      <c r="O13" s="1"/>
      <c r="P13" s="1"/>
      <c r="Q13" s="1"/>
      <c r="R13" s="25"/>
      <c r="S13" s="25"/>
    </row>
    <row r="14" spans="1:19" ht="96.6" x14ac:dyDescent="0.3">
      <c r="A14" s="18">
        <v>2</v>
      </c>
      <c r="B14" s="30" t="s">
        <v>52</v>
      </c>
      <c r="C14" s="19"/>
      <c r="D14" s="20"/>
      <c r="E14" s="21"/>
      <c r="F14" s="21"/>
      <c r="G14" s="23"/>
      <c r="H14" s="22"/>
      <c r="I14" s="23"/>
      <c r="J14" s="41"/>
      <c r="K14" s="21"/>
      <c r="M14" s="25"/>
      <c r="N14" s="1"/>
      <c r="O14" s="1"/>
      <c r="P14" s="1"/>
      <c r="Q14" s="1"/>
      <c r="R14" s="25"/>
      <c r="S14" s="25"/>
    </row>
    <row r="15" spans="1:19" ht="15" customHeight="1" x14ac:dyDescent="0.3">
      <c r="A15" s="18"/>
      <c r="B15" s="37" t="s">
        <v>44</v>
      </c>
      <c r="C15" s="64">
        <v>0</v>
      </c>
      <c r="D15" s="38">
        <f>D20</f>
        <v>2.48</v>
      </c>
      <c r="E15" s="38">
        <f>0.75*E20</f>
        <v>0.86249999999999993</v>
      </c>
      <c r="F15" s="38">
        <f>F10/2</f>
        <v>0.875</v>
      </c>
      <c r="G15" s="39">
        <f>PRODUCT(C15:F15)</f>
        <v>0</v>
      </c>
      <c r="H15" s="40"/>
      <c r="I15" s="40"/>
      <c r="J15" s="40"/>
      <c r="K15" s="21"/>
      <c r="M15" s="25"/>
      <c r="N15" s="1"/>
      <c r="O15" s="1"/>
      <c r="P15" s="1"/>
      <c r="Q15" s="1"/>
      <c r="R15" s="25"/>
      <c r="S15" s="25"/>
    </row>
    <row r="16" spans="1:19" ht="15" customHeight="1" x14ac:dyDescent="0.3">
      <c r="A16" s="18"/>
      <c r="B16" s="37"/>
      <c r="C16" s="64"/>
      <c r="D16" s="38"/>
      <c r="E16" s="38"/>
      <c r="F16" s="38"/>
      <c r="G16" s="39"/>
      <c r="H16" s="40"/>
      <c r="I16" s="40"/>
      <c r="J16" s="40"/>
      <c r="K16" s="21"/>
      <c r="M16" s="25"/>
      <c r="N16" s="1"/>
      <c r="O16" s="1"/>
      <c r="P16" s="1"/>
      <c r="Q16" s="1"/>
      <c r="R16" s="25"/>
      <c r="S16" s="25"/>
    </row>
    <row r="17" spans="1:19" ht="15" customHeight="1" x14ac:dyDescent="0.3">
      <c r="A17" s="18"/>
      <c r="B17" s="37" t="s">
        <v>42</v>
      </c>
      <c r="C17" s="19"/>
      <c r="D17" s="20"/>
      <c r="E17" s="21"/>
      <c r="F17" s="21"/>
      <c r="G17" s="23">
        <f>SUM(G15:G15)</f>
        <v>0</v>
      </c>
      <c r="H17" s="22" t="s">
        <v>41</v>
      </c>
      <c r="I17" s="23">
        <v>404.28</v>
      </c>
      <c r="J17" s="41">
        <f>G17*I17</f>
        <v>0</v>
      </c>
      <c r="K17" s="21"/>
      <c r="M17" s="25"/>
      <c r="N17" s="1"/>
      <c r="O17" s="1"/>
      <c r="P17" s="1"/>
      <c r="Q17" s="1"/>
      <c r="R17" s="25"/>
      <c r="S17" s="25"/>
    </row>
    <row r="18" spans="1:19" ht="15" customHeight="1" x14ac:dyDescent="0.3">
      <c r="A18" s="18"/>
      <c r="B18" s="37"/>
      <c r="C18" s="19"/>
      <c r="D18" s="20"/>
      <c r="E18" s="21"/>
      <c r="F18" s="21"/>
      <c r="G18" s="23"/>
      <c r="H18" s="22"/>
      <c r="I18" s="23"/>
      <c r="J18" s="41"/>
      <c r="K18" s="21"/>
      <c r="M18" s="25"/>
      <c r="N18" s="1"/>
      <c r="O18" s="1"/>
      <c r="P18" s="1"/>
      <c r="Q18" s="1"/>
      <c r="R18" s="25"/>
      <c r="S18" s="25"/>
    </row>
    <row r="19" spans="1:19" ht="82.8" x14ac:dyDescent="0.3">
      <c r="A19" s="18">
        <v>3</v>
      </c>
      <c r="B19" s="30" t="s">
        <v>43</v>
      </c>
      <c r="C19" s="19"/>
      <c r="D19" s="20"/>
      <c r="E19" s="21"/>
      <c r="F19" s="21"/>
      <c r="G19" s="23"/>
      <c r="H19" s="22"/>
      <c r="I19" s="23"/>
      <c r="J19" s="41"/>
      <c r="K19" s="21"/>
      <c r="M19" s="25"/>
      <c r="N19" s="1"/>
      <c r="O19" s="1"/>
      <c r="P19" s="1"/>
      <c r="Q19" s="1"/>
      <c r="R19" s="25"/>
      <c r="S19" s="25"/>
    </row>
    <row r="20" spans="1:19" ht="15" customHeight="1" x14ac:dyDescent="0.3">
      <c r="A20" s="18"/>
      <c r="B20" s="37" t="str">
        <f>B15</f>
        <v>-Road</v>
      </c>
      <c r="C20" s="36">
        <v>1</v>
      </c>
      <c r="D20" s="38">
        <f>(2.48)</f>
        <v>2.48</v>
      </c>
      <c r="E20" s="38">
        <f>1.15</f>
        <v>1.1499999999999999</v>
      </c>
      <c r="F20" s="38">
        <v>0.15</v>
      </c>
      <c r="G20" s="39">
        <f>PRODUCT(C20:F20)</f>
        <v>0.42779999999999996</v>
      </c>
      <c r="H20" s="40"/>
      <c r="I20" s="40"/>
      <c r="J20" s="40"/>
      <c r="K20" s="21"/>
      <c r="M20" s="25"/>
      <c r="N20" s="1"/>
      <c r="O20" s="1"/>
      <c r="P20" s="1"/>
      <c r="Q20" s="1"/>
      <c r="R20" s="25"/>
      <c r="S20" s="25"/>
    </row>
    <row r="21" spans="1:19" ht="15" customHeight="1" x14ac:dyDescent="0.3">
      <c r="A21" s="18"/>
      <c r="B21" s="37"/>
      <c r="C21" s="36"/>
      <c r="D21" s="38">
        <v>2.48</v>
      </c>
      <c r="E21" s="38">
        <f t="shared" ref="E21:E25" si="0">1.15</f>
        <v>1.1499999999999999</v>
      </c>
      <c r="F21" s="38">
        <v>0.15</v>
      </c>
      <c r="G21" s="39">
        <f t="shared" ref="G21:G25" si="1">PRODUCT(C21:F21)</f>
        <v>0.42779999999999996</v>
      </c>
      <c r="H21" s="40"/>
      <c r="I21" s="40"/>
      <c r="J21" s="40"/>
      <c r="K21" s="21"/>
      <c r="M21" s="25"/>
      <c r="N21" s="1"/>
      <c r="O21" s="1"/>
      <c r="P21" s="1"/>
      <c r="Q21" s="1"/>
      <c r="R21" s="25"/>
      <c r="S21" s="25"/>
    </row>
    <row r="22" spans="1:19" ht="15" customHeight="1" x14ac:dyDescent="0.3">
      <c r="A22" s="18"/>
      <c r="B22" s="37"/>
      <c r="C22" s="36"/>
      <c r="D22" s="38">
        <v>2.42</v>
      </c>
      <c r="E22" s="38">
        <f t="shared" si="0"/>
        <v>1.1499999999999999</v>
      </c>
      <c r="F22" s="38">
        <v>0.15</v>
      </c>
      <c r="G22" s="39">
        <f t="shared" si="1"/>
        <v>0.41744999999999999</v>
      </c>
      <c r="H22" s="40"/>
      <c r="I22" s="40"/>
      <c r="J22" s="40"/>
      <c r="K22" s="21"/>
      <c r="M22" s="25"/>
      <c r="N22" s="1"/>
      <c r="O22" s="1"/>
      <c r="P22" s="1"/>
      <c r="Q22" s="1"/>
      <c r="R22" s="25"/>
      <c r="S22" s="25"/>
    </row>
    <row r="23" spans="1:19" ht="15" customHeight="1" x14ac:dyDescent="0.3">
      <c r="A23" s="18"/>
      <c r="B23" s="37"/>
      <c r="C23" s="36"/>
      <c r="D23" s="38">
        <v>2.44</v>
      </c>
      <c r="E23" s="38">
        <f t="shared" si="0"/>
        <v>1.1499999999999999</v>
      </c>
      <c r="F23" s="38">
        <v>0.15</v>
      </c>
      <c r="G23" s="39">
        <f t="shared" si="1"/>
        <v>0.42089999999999994</v>
      </c>
      <c r="H23" s="40"/>
      <c r="I23" s="40"/>
      <c r="J23" s="40"/>
      <c r="K23" s="21"/>
      <c r="M23" s="25"/>
      <c r="N23" s="1"/>
      <c r="O23" s="1"/>
      <c r="P23" s="1"/>
      <c r="Q23" s="1"/>
      <c r="R23" s="25"/>
      <c r="S23" s="25"/>
    </row>
    <row r="24" spans="1:19" ht="15" customHeight="1" x14ac:dyDescent="0.3">
      <c r="A24" s="18"/>
      <c r="B24" s="37"/>
      <c r="C24" s="36"/>
      <c r="D24" s="38">
        <v>2.4500000000000002</v>
      </c>
      <c r="E24" s="38">
        <f t="shared" si="0"/>
        <v>1.1499999999999999</v>
      </c>
      <c r="F24" s="38">
        <v>0.15</v>
      </c>
      <c r="G24" s="39">
        <f t="shared" si="1"/>
        <v>0.42262499999999997</v>
      </c>
      <c r="H24" s="40"/>
      <c r="I24" s="40"/>
      <c r="J24" s="40"/>
      <c r="K24" s="21"/>
      <c r="M24" s="25"/>
      <c r="N24" s="1"/>
      <c r="O24" s="1"/>
      <c r="P24" s="1"/>
      <c r="Q24" s="1"/>
      <c r="R24" s="25"/>
      <c r="S24" s="25"/>
    </row>
    <row r="25" spans="1:19" ht="15" customHeight="1" x14ac:dyDescent="0.3">
      <c r="A25" s="18"/>
      <c r="B25" s="37"/>
      <c r="C25" s="36"/>
      <c r="D25" s="38">
        <v>2.4</v>
      </c>
      <c r="E25" s="38">
        <f t="shared" si="0"/>
        <v>1.1499999999999999</v>
      </c>
      <c r="F25" s="38">
        <v>0.15</v>
      </c>
      <c r="G25" s="39">
        <f t="shared" si="1"/>
        <v>0.41399999999999998</v>
      </c>
      <c r="H25" s="40"/>
      <c r="I25" s="40"/>
      <c r="J25" s="40"/>
      <c r="K25" s="21"/>
      <c r="M25" s="25"/>
      <c r="N25" s="1"/>
      <c r="O25" s="1"/>
      <c r="P25" s="1"/>
      <c r="Q25" s="1"/>
      <c r="R25" s="25"/>
      <c r="S25" s="25"/>
    </row>
    <row r="26" spans="1:19" ht="15" customHeight="1" x14ac:dyDescent="0.3">
      <c r="A26" s="40"/>
      <c r="B26" s="37" t="s">
        <v>42</v>
      </c>
      <c r="C26" s="42"/>
      <c r="D26" s="43"/>
      <c r="E26" s="43"/>
      <c r="F26" s="43"/>
      <c r="G26" s="33">
        <f>SUM(G20:G25)</f>
        <v>2.5305750000000002</v>
      </c>
      <c r="H26" s="33" t="s">
        <v>41</v>
      </c>
      <c r="I26" s="33">
        <v>4434.5200000000004</v>
      </c>
      <c r="J26" s="44">
        <f>G26*I26</f>
        <v>11221.885449000003</v>
      </c>
      <c r="K26" s="36"/>
    </row>
    <row r="27" spans="1:19" x14ac:dyDescent="0.3">
      <c r="A27" s="40"/>
      <c r="B27" s="37" t="s">
        <v>40</v>
      </c>
      <c r="C27" s="42"/>
      <c r="D27" s="43"/>
      <c r="E27" s="43"/>
      <c r="F27" s="43"/>
      <c r="G27" s="43"/>
      <c r="H27" s="43"/>
      <c r="I27" s="43"/>
      <c r="J27" s="45">
        <f>0.13*G26*(14817.6/5)</f>
        <v>974.92325112000015</v>
      </c>
      <c r="K27" s="36"/>
    </row>
    <row r="28" spans="1:19" x14ac:dyDescent="0.3">
      <c r="A28" s="40"/>
      <c r="B28" s="37"/>
      <c r="C28" s="42"/>
      <c r="D28" s="43"/>
      <c r="E28" s="43"/>
      <c r="F28" s="43"/>
      <c r="G28" s="43"/>
      <c r="H28" s="43"/>
      <c r="I28" s="43"/>
      <c r="J28" s="45"/>
      <c r="K28" s="36"/>
    </row>
    <row r="29" spans="1:19" ht="69" x14ac:dyDescent="0.3">
      <c r="A29" s="18">
        <v>4</v>
      </c>
      <c r="B29" s="30" t="s">
        <v>45</v>
      </c>
      <c r="C29" s="19"/>
      <c r="D29" s="20"/>
      <c r="E29" s="21"/>
      <c r="F29" s="21"/>
      <c r="G29" s="23"/>
      <c r="H29" s="22"/>
      <c r="I29" s="23"/>
      <c r="J29" s="41"/>
      <c r="K29" s="21"/>
      <c r="M29" s="25"/>
      <c r="N29" s="1"/>
      <c r="O29" s="1"/>
      <c r="P29" s="1"/>
      <c r="Q29" s="1"/>
      <c r="R29" s="25"/>
      <c r="S29" s="25"/>
    </row>
    <row r="30" spans="1:19" ht="15" customHeight="1" x14ac:dyDescent="0.3">
      <c r="A30" s="18"/>
      <c r="B30" s="37" t="str">
        <f>B10</f>
        <v>-For wall</v>
      </c>
      <c r="C30" s="36">
        <v>0</v>
      </c>
      <c r="D30" s="38">
        <v>0</v>
      </c>
      <c r="E30" s="38">
        <v>0</v>
      </c>
      <c r="F30" s="38">
        <v>0</v>
      </c>
      <c r="G30" s="39">
        <f>PRODUCT(C30:F30)</f>
        <v>0</v>
      </c>
      <c r="H30" s="40"/>
      <c r="I30" s="40"/>
      <c r="J30" s="40"/>
      <c r="K30" s="21"/>
      <c r="M30" s="25"/>
      <c r="N30" s="1"/>
      <c r="O30" s="1"/>
      <c r="P30" s="1"/>
      <c r="Q30" s="1"/>
      <c r="R30" s="25"/>
      <c r="S30" s="25"/>
    </row>
    <row r="31" spans="1:19" ht="15" customHeight="1" x14ac:dyDescent="0.3">
      <c r="A31" s="40"/>
      <c r="B31" s="37" t="s">
        <v>42</v>
      </c>
      <c r="C31" s="42"/>
      <c r="D31" s="43"/>
      <c r="E31" s="43"/>
      <c r="F31" s="43"/>
      <c r="G31" s="33">
        <f>SUM(G30:G30)</f>
        <v>0</v>
      </c>
      <c r="H31" s="33" t="s">
        <v>41</v>
      </c>
      <c r="I31" s="33">
        <v>10634.5</v>
      </c>
      <c r="J31" s="44">
        <f>G31*I31</f>
        <v>0</v>
      </c>
      <c r="K31" s="36"/>
    </row>
    <row r="32" spans="1:19" ht="15" customHeight="1" x14ac:dyDescent="0.3">
      <c r="A32" s="40"/>
      <c r="B32" s="37" t="s">
        <v>40</v>
      </c>
      <c r="C32" s="42"/>
      <c r="D32" s="43"/>
      <c r="E32" s="43"/>
      <c r="F32" s="43"/>
      <c r="G32" s="43"/>
      <c r="H32" s="43"/>
      <c r="I32" s="43"/>
      <c r="J32" s="45">
        <f>0.13*G31*((114907.3+6135.3)/15)</f>
        <v>0</v>
      </c>
      <c r="K32" s="36"/>
    </row>
    <row r="33" spans="1:19" ht="15" customHeight="1" x14ac:dyDescent="0.3">
      <c r="A33" s="40"/>
      <c r="B33" s="37"/>
      <c r="C33" s="42"/>
      <c r="D33" s="43"/>
      <c r="E33" s="43"/>
      <c r="F33" s="43"/>
      <c r="G33" s="43"/>
      <c r="H33" s="43"/>
      <c r="I33" s="43"/>
      <c r="J33" s="45"/>
      <c r="K33" s="36"/>
    </row>
    <row r="34" spans="1:19" ht="110.4" x14ac:dyDescent="0.3">
      <c r="A34" s="18">
        <v>5</v>
      </c>
      <c r="B34" s="30" t="s">
        <v>53</v>
      </c>
      <c r="C34" s="19"/>
      <c r="D34" s="20"/>
      <c r="E34" s="21"/>
      <c r="F34" s="21"/>
      <c r="G34" s="23"/>
      <c r="H34" s="22"/>
      <c r="I34" s="23"/>
      <c r="J34" s="41"/>
      <c r="K34" s="21"/>
      <c r="M34" s="25"/>
      <c r="N34" s="1"/>
      <c r="O34" s="1"/>
      <c r="P34" s="1"/>
      <c r="Q34" s="1"/>
      <c r="R34" s="25"/>
      <c r="S34" s="25"/>
    </row>
    <row r="35" spans="1:19" ht="15" customHeight="1" x14ac:dyDescent="0.3">
      <c r="A35" s="18"/>
      <c r="B35" s="37" t="s">
        <v>51</v>
      </c>
      <c r="C35" s="36">
        <v>1</v>
      </c>
      <c r="D35" s="38">
        <f>(2.48)</f>
        <v>2.48</v>
      </c>
      <c r="E35" s="38">
        <f>((0.95+1.13)/2+(1.15))/2</f>
        <v>1.095</v>
      </c>
      <c r="F35" s="38">
        <f>1.24+0.36</f>
        <v>1.6</v>
      </c>
      <c r="G35" s="39">
        <f>PRODUCT(C35:F35)</f>
        <v>4.3449599999999995</v>
      </c>
      <c r="H35" s="40"/>
      <c r="I35" s="40"/>
      <c r="J35" s="40"/>
      <c r="K35" s="21"/>
      <c r="M35" s="25"/>
      <c r="N35" s="1"/>
      <c r="O35" s="1"/>
      <c r="P35" s="1"/>
      <c r="Q35" s="1"/>
      <c r="R35" s="25"/>
      <c r="S35" s="25"/>
    </row>
    <row r="36" spans="1:19" ht="15" customHeight="1" x14ac:dyDescent="0.3">
      <c r="A36" s="18"/>
      <c r="B36" s="37"/>
      <c r="C36" s="36"/>
      <c r="D36" s="38">
        <v>2.48</v>
      </c>
      <c r="E36" s="38">
        <f>((1.06+1.13)/2+(1.15))/2</f>
        <v>1.1225000000000001</v>
      </c>
      <c r="F36" s="38">
        <f t="shared" ref="F36:F39" si="2">1.24+0.36</f>
        <v>1.6</v>
      </c>
      <c r="G36" s="39">
        <f t="shared" ref="G36:G40" si="3">PRODUCT(C36:F36)</f>
        <v>4.4540800000000003</v>
      </c>
      <c r="H36" s="40"/>
      <c r="I36" s="40"/>
      <c r="J36" s="40"/>
      <c r="K36" s="21"/>
      <c r="M36" s="25"/>
      <c r="N36" s="1"/>
      <c r="O36" s="1"/>
      <c r="P36" s="1"/>
      <c r="Q36" s="1"/>
      <c r="R36" s="25"/>
      <c r="S36" s="25"/>
    </row>
    <row r="37" spans="1:19" ht="15" customHeight="1" x14ac:dyDescent="0.3">
      <c r="A37" s="18"/>
      <c r="B37" s="37"/>
      <c r="C37" s="36"/>
      <c r="D37" s="38">
        <v>2.42</v>
      </c>
      <c r="E37" s="38">
        <f>((1.06+0.95)/2+(1.15))/2</f>
        <v>1.0774999999999999</v>
      </c>
      <c r="F37" s="38">
        <f t="shared" si="2"/>
        <v>1.6</v>
      </c>
      <c r="G37" s="39">
        <f t="shared" si="3"/>
        <v>4.1720800000000002</v>
      </c>
      <c r="H37" s="40"/>
      <c r="I37" s="40"/>
      <c r="J37" s="40"/>
      <c r="K37" s="21"/>
      <c r="M37" s="25"/>
      <c r="N37" s="1"/>
      <c r="O37" s="1"/>
      <c r="P37" s="1"/>
      <c r="Q37" s="1"/>
      <c r="R37" s="25"/>
      <c r="S37" s="25"/>
    </row>
    <row r="38" spans="1:19" ht="15" customHeight="1" x14ac:dyDescent="0.3">
      <c r="A38" s="18"/>
      <c r="B38" s="37"/>
      <c r="C38" s="36"/>
      <c r="D38" s="38">
        <v>2.44</v>
      </c>
      <c r="E38" s="38">
        <f>((0.95+0.92)/2+(1.15))/2</f>
        <v>1.0425</v>
      </c>
      <c r="F38" s="38">
        <f t="shared" si="2"/>
        <v>1.6</v>
      </c>
      <c r="G38" s="39">
        <f t="shared" si="3"/>
        <v>4.0699199999999998</v>
      </c>
      <c r="H38" s="40"/>
      <c r="I38" s="40"/>
      <c r="J38" s="40"/>
      <c r="K38" s="21"/>
      <c r="M38" s="25"/>
      <c r="N38" s="1"/>
      <c r="O38" s="1"/>
      <c r="P38" s="1"/>
      <c r="Q38" s="1"/>
      <c r="R38" s="25"/>
      <c r="S38" s="25"/>
    </row>
    <row r="39" spans="1:19" ht="15" customHeight="1" x14ac:dyDescent="0.3">
      <c r="A39" s="18"/>
      <c r="B39" s="37"/>
      <c r="C39" s="36"/>
      <c r="D39" s="38">
        <v>2.4500000000000002</v>
      </c>
      <c r="E39" s="38">
        <f>((0.92+0.78)/2+(1.15))/2</f>
        <v>1</v>
      </c>
      <c r="F39" s="38">
        <f t="shared" si="2"/>
        <v>1.6</v>
      </c>
      <c r="G39" s="39">
        <f t="shared" si="3"/>
        <v>3.9200000000000004</v>
      </c>
      <c r="H39" s="40"/>
      <c r="I39" s="40"/>
      <c r="J39" s="40"/>
      <c r="K39" s="21"/>
      <c r="M39" s="25"/>
      <c r="N39" s="1"/>
      <c r="O39" s="1"/>
      <c r="P39" s="1"/>
      <c r="Q39" s="1"/>
      <c r="R39" s="25"/>
      <c r="S39" s="25"/>
    </row>
    <row r="40" spans="1:19" ht="15" customHeight="1" x14ac:dyDescent="0.3">
      <c r="A40" s="18"/>
      <c r="B40" s="37"/>
      <c r="C40" s="36"/>
      <c r="D40" s="38">
        <v>2.4</v>
      </c>
      <c r="E40" s="38">
        <f>((0.78+0.75)/2+(1.15))/2</f>
        <v>0.95750000000000002</v>
      </c>
      <c r="F40" s="38">
        <v>1.24</v>
      </c>
      <c r="G40" s="39">
        <f t="shared" si="3"/>
        <v>2.8495200000000001</v>
      </c>
      <c r="H40" s="40"/>
      <c r="I40" s="40"/>
      <c r="J40" s="40"/>
      <c r="K40" s="21"/>
      <c r="M40" s="25"/>
      <c r="N40" s="1"/>
      <c r="O40" s="1"/>
      <c r="P40" s="1"/>
      <c r="Q40" s="1"/>
      <c r="R40" s="25"/>
      <c r="S40" s="25"/>
    </row>
    <row r="41" spans="1:19" ht="15" customHeight="1" x14ac:dyDescent="0.3">
      <c r="A41" s="40"/>
      <c r="B41" s="37" t="s">
        <v>42</v>
      </c>
      <c r="C41" s="42"/>
      <c r="D41" s="43"/>
      <c r="E41" s="43"/>
      <c r="F41" s="43"/>
      <c r="G41" s="33">
        <f>SUM(G35:G40)</f>
        <v>23.810560000000002</v>
      </c>
      <c r="H41" s="33" t="s">
        <v>41</v>
      </c>
      <c r="I41" s="33">
        <v>9623.4699999999993</v>
      </c>
      <c r="J41" s="44">
        <f>G41*I41</f>
        <v>229140.20984320002</v>
      </c>
      <c r="K41" s="36"/>
    </row>
    <row r="42" spans="1:19" ht="15" customHeight="1" x14ac:dyDescent="0.3">
      <c r="A42" s="40"/>
      <c r="B42" s="37" t="s">
        <v>40</v>
      </c>
      <c r="C42" s="42"/>
      <c r="D42" s="43"/>
      <c r="E42" s="43"/>
      <c r="F42" s="43"/>
      <c r="G42" s="43"/>
      <c r="H42" s="43"/>
      <c r="I42" s="43"/>
      <c r="J42" s="45">
        <f>0.13*G41*((59609.3+3478.36)/10)</f>
        <v>19527.982677964803</v>
      </c>
      <c r="K42" s="36"/>
    </row>
    <row r="43" spans="1:19" ht="15" customHeight="1" x14ac:dyDescent="0.3">
      <c r="A43" s="40"/>
      <c r="B43" s="37"/>
      <c r="C43" s="42"/>
      <c r="D43" s="43"/>
      <c r="E43" s="43"/>
      <c r="F43" s="43"/>
      <c r="G43" s="43"/>
      <c r="H43" s="43"/>
      <c r="I43" s="43"/>
      <c r="J43" s="45"/>
      <c r="K43" s="36"/>
    </row>
    <row r="44" spans="1:19" ht="15" customHeight="1" x14ac:dyDescent="0.3">
      <c r="A44" s="18">
        <v>6</v>
      </c>
      <c r="B44" s="30" t="s">
        <v>30</v>
      </c>
      <c r="C44" s="19">
        <v>1</v>
      </c>
      <c r="D44" s="20"/>
      <c r="E44" s="21"/>
      <c r="F44" s="21"/>
      <c r="G44" s="34">
        <f t="shared" ref="G44" si="4">PRODUCT(C44:F44)</f>
        <v>1</v>
      </c>
      <c r="H44" s="22" t="s">
        <v>31</v>
      </c>
      <c r="I44" s="23">
        <v>500</v>
      </c>
      <c r="J44" s="34">
        <f>G44*I44</f>
        <v>500</v>
      </c>
      <c r="K44" s="21"/>
      <c r="M44" s="25"/>
    </row>
    <row r="45" spans="1:19" ht="15" customHeight="1" x14ac:dyDescent="0.3">
      <c r="A45" s="18"/>
      <c r="B45" s="24"/>
      <c r="C45" s="19"/>
      <c r="D45" s="20"/>
      <c r="E45" s="21"/>
      <c r="F45" s="21"/>
      <c r="G45" s="23"/>
      <c r="H45" s="22"/>
      <c r="I45" s="23"/>
      <c r="J45" s="41"/>
      <c r="K45" s="21"/>
      <c r="M45" s="25"/>
      <c r="N45" s="1"/>
      <c r="O45" s="1"/>
      <c r="P45" s="1"/>
      <c r="Q45" s="1"/>
      <c r="R45" s="25"/>
      <c r="S45" s="25"/>
    </row>
    <row r="46" spans="1:19" x14ac:dyDescent="0.3">
      <c r="A46" s="40"/>
      <c r="B46" s="46" t="s">
        <v>17</v>
      </c>
      <c r="C46" s="47"/>
      <c r="D46" s="38"/>
      <c r="E46" s="38"/>
      <c r="F46" s="38"/>
      <c r="G46" s="41"/>
      <c r="H46" s="41"/>
      <c r="I46" s="41"/>
      <c r="J46" s="41">
        <f>SUM(J10:J44)</f>
        <v>262421.84455559734</v>
      </c>
      <c r="K46" s="36"/>
    </row>
    <row r="47" spans="1:19" x14ac:dyDescent="0.3">
      <c r="A47" s="58"/>
      <c r="B47" s="61"/>
      <c r="C47" s="62"/>
      <c r="D47" s="59"/>
      <c r="E47" s="59"/>
      <c r="F47" s="59"/>
      <c r="G47" s="60"/>
      <c r="H47" s="60"/>
      <c r="I47" s="60"/>
      <c r="J47" s="60"/>
      <c r="K47" s="57"/>
    </row>
    <row r="48" spans="1:19" s="1" customFormat="1" x14ac:dyDescent="0.3">
      <c r="A48" s="50"/>
      <c r="B48" s="29" t="s">
        <v>56</v>
      </c>
      <c r="C48" s="83">
        <f>J46</f>
        <v>262421.84455559734</v>
      </c>
      <c r="D48" s="83"/>
      <c r="E48" s="39">
        <v>100</v>
      </c>
      <c r="F48" s="51"/>
      <c r="G48" s="52"/>
      <c r="H48" s="51"/>
      <c r="I48" s="53"/>
      <c r="J48" s="54"/>
      <c r="K48" s="55"/>
    </row>
    <row r="49" spans="1:11" x14ac:dyDescent="0.3">
      <c r="A49" s="56"/>
      <c r="B49" s="29" t="s">
        <v>32</v>
      </c>
      <c r="C49" s="86">
        <v>250000</v>
      </c>
      <c r="D49" s="86"/>
      <c r="E49" s="39"/>
      <c r="F49" s="49"/>
      <c r="G49" s="48"/>
      <c r="H49" s="48"/>
      <c r="I49" s="48"/>
      <c r="J49" s="48"/>
      <c r="K49" s="49"/>
    </row>
    <row r="50" spans="1:11" x14ac:dyDescent="0.3">
      <c r="A50" s="56"/>
      <c r="B50" s="29" t="s">
        <v>33</v>
      </c>
      <c r="C50" s="86">
        <f>C49-C52-C53</f>
        <v>237500</v>
      </c>
      <c r="D50" s="86"/>
      <c r="E50" s="39">
        <f>C50/C48*100</f>
        <v>90.503136429895278</v>
      </c>
      <c r="F50" s="49"/>
      <c r="G50" s="48"/>
      <c r="H50" s="48"/>
      <c r="I50" s="48"/>
      <c r="J50" s="48"/>
      <c r="K50" s="49"/>
    </row>
    <row r="51" spans="1:11" x14ac:dyDescent="0.3">
      <c r="A51" s="56"/>
      <c r="B51" s="29" t="s">
        <v>34</v>
      </c>
      <c r="C51" s="83">
        <f>C48-C50</f>
        <v>24921.844555597345</v>
      </c>
      <c r="D51" s="83"/>
      <c r="E51" s="39">
        <f>100-E50</f>
        <v>9.4968635701047219</v>
      </c>
      <c r="F51" s="49"/>
      <c r="G51" s="48"/>
      <c r="H51" s="48"/>
      <c r="I51" s="48"/>
      <c r="J51" s="48"/>
      <c r="K51" s="49"/>
    </row>
    <row r="52" spans="1:11" x14ac:dyDescent="0.3">
      <c r="A52" s="56"/>
      <c r="B52" s="29" t="s">
        <v>35</v>
      </c>
      <c r="C52" s="83">
        <f>C49*0.03</f>
        <v>7500</v>
      </c>
      <c r="D52" s="83"/>
      <c r="E52" s="39">
        <v>3</v>
      </c>
      <c r="F52" s="49"/>
      <c r="G52" s="48"/>
      <c r="H52" s="48"/>
      <c r="I52" s="48"/>
      <c r="J52" s="48"/>
      <c r="K52" s="49"/>
    </row>
    <row r="53" spans="1:11" x14ac:dyDescent="0.3">
      <c r="A53" s="56"/>
      <c r="B53" s="29" t="s">
        <v>36</v>
      </c>
      <c r="C53" s="83">
        <f>C49*0.02</f>
        <v>5000</v>
      </c>
      <c r="D53" s="83"/>
      <c r="E53" s="39">
        <v>2</v>
      </c>
      <c r="F53" s="49"/>
      <c r="G53" s="48"/>
      <c r="H53" s="48"/>
      <c r="I53" s="48"/>
      <c r="J53" s="48"/>
      <c r="K53" s="49"/>
    </row>
    <row r="54" spans="1:11" s="35" customFormat="1" x14ac:dyDescent="0.3">
      <c r="A54" s="57"/>
      <c r="B54" s="57"/>
      <c r="C54" s="57"/>
      <c r="D54" s="57"/>
      <c r="E54" s="57"/>
      <c r="F54" s="57"/>
      <c r="G54" s="57"/>
      <c r="H54" s="57"/>
      <c r="I54" s="57"/>
      <c r="J54" s="57"/>
      <c r="K54" s="57"/>
    </row>
    <row r="55" spans="1:11" s="35" customFormat="1" x14ac:dyDescent="0.3"/>
    <row r="56" spans="1:11" s="35" customFormat="1" x14ac:dyDescent="0.3"/>
    <row r="57" spans="1:11" s="35" customFormat="1" x14ac:dyDescent="0.3"/>
    <row r="58" spans="1:11" s="35" customFormat="1" x14ac:dyDescent="0.3"/>
    <row r="59" spans="1:11" s="35" customFormat="1" x14ac:dyDescent="0.3"/>
    <row r="60" spans="1:11" s="35" customFormat="1" x14ac:dyDescent="0.3"/>
    <row r="61" spans="1:11" s="35" customFormat="1" x14ac:dyDescent="0.3"/>
    <row r="62" spans="1:11" s="35" customFormat="1" x14ac:dyDescent="0.3"/>
    <row r="63" spans="1:11" s="35" customFormat="1" x14ac:dyDescent="0.3"/>
    <row r="64" spans="1:11"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sheetData>
  <mergeCells count="15">
    <mergeCell ref="C52:D52"/>
    <mergeCell ref="C53:D53"/>
    <mergeCell ref="A7:F7"/>
    <mergeCell ref="H7:K7"/>
    <mergeCell ref="C48:D48"/>
    <mergeCell ref="C49:D49"/>
    <mergeCell ref="C50:D50"/>
    <mergeCell ref="C51:D51"/>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200k</vt:lpstr>
      <vt:lpstr>WCR</vt:lpstr>
      <vt:lpstr>V</vt:lpstr>
      <vt:lpstr>'200k'!Print_Area</vt:lpstr>
      <vt:lpstr>V!Print_Area</vt:lpstr>
      <vt:lpstr>'200k'!Print_Titles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2025-01-22T08:17:43Z</cp:lastPrinted>
  <dcterms:created xsi:type="dcterms:W3CDTF">2015-06-05T18:17:20Z</dcterms:created>
  <dcterms:modified xsi:type="dcterms:W3CDTF">2025-06-17T00:18:52Z</dcterms:modified>
</cp:coreProperties>
</file>