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2"/>
  </bookViews>
  <sheets>
    <sheet name="Estimate" sheetId="19" r:id="rId1"/>
    <sheet name="WCR" sheetId="7"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WCR!$A$1:$K$25</definedName>
    <definedName name="_xlnm.Print_Titles" localSheetId="1">WCR!$1:$12</definedName>
  </definedNames>
  <calcPr calcId="162913"/>
</workbook>
</file>

<file path=xl/calcChain.xml><?xml version="1.0" encoding="utf-8"?>
<calcChain xmlns="http://schemas.openxmlformats.org/spreadsheetml/2006/main">
  <c r="A9" i="7" l="1"/>
  <c r="A8" i="7"/>
  <c r="I24" i="20"/>
  <c r="H20" i="7" s="1"/>
  <c r="M13" i="7"/>
  <c r="H22" i="7"/>
  <c r="G22" i="7"/>
  <c r="E22" i="7"/>
  <c r="C22" i="7"/>
  <c r="D22" i="7"/>
  <c r="B22" i="7"/>
  <c r="A22" i="7"/>
  <c r="G20" i="7"/>
  <c r="E20" i="7"/>
  <c r="D20" i="7"/>
  <c r="C20" i="7"/>
  <c r="B20" i="7"/>
  <c r="A20" i="7"/>
  <c r="I18" i="7"/>
  <c r="H17" i="7"/>
  <c r="G17" i="7"/>
  <c r="F18" i="7"/>
  <c r="E17" i="7"/>
  <c r="D17" i="7"/>
  <c r="C17" i="7"/>
  <c r="B18" i="7"/>
  <c r="B17" i="7"/>
  <c r="A17" i="7"/>
  <c r="H15" i="7"/>
  <c r="G15" i="7"/>
  <c r="E15" i="7"/>
  <c r="D15" i="7"/>
  <c r="C15" i="7"/>
  <c r="B15" i="7"/>
  <c r="A15" i="7"/>
  <c r="H13" i="7"/>
  <c r="E13" i="7"/>
  <c r="D13" i="7"/>
  <c r="C13" i="7"/>
  <c r="B13" i="7"/>
  <c r="A13" i="7"/>
  <c r="G21" i="20"/>
  <c r="D20" i="20"/>
  <c r="G20" i="20"/>
  <c r="C15" i="20"/>
  <c r="G15" i="20" s="1"/>
  <c r="D10" i="20"/>
  <c r="C35" i="20"/>
  <c r="C32" i="20" s="1"/>
  <c r="C34" i="20"/>
  <c r="G26" i="20"/>
  <c r="J26" i="20" s="1"/>
  <c r="G24" i="20"/>
  <c r="C10" i="20"/>
  <c r="G10" i="20" l="1"/>
  <c r="G11" i="20" s="1"/>
  <c r="G16" i="20"/>
  <c r="G19" i="20"/>
  <c r="D10" i="19"/>
  <c r="D15" i="19" s="1"/>
  <c r="C10" i="19"/>
  <c r="C20" i="19"/>
  <c r="C15" i="19"/>
  <c r="C35" i="19"/>
  <c r="C32" i="19" s="1"/>
  <c r="C34" i="19"/>
  <c r="G26" i="19"/>
  <c r="J26" i="19" s="1"/>
  <c r="G24" i="19"/>
  <c r="J11" i="20" l="1"/>
  <c r="G13" i="7"/>
  <c r="J21" i="20"/>
  <c r="J22" i="20" s="1"/>
  <c r="J24" i="20"/>
  <c r="J16" i="20"/>
  <c r="D20" i="19"/>
  <c r="G20" i="19" s="1"/>
  <c r="C19" i="19"/>
  <c r="G19" i="19" s="1"/>
  <c r="G10" i="19"/>
  <c r="G11" i="19" s="1"/>
  <c r="J11" i="19" s="1"/>
  <c r="F15" i="19"/>
  <c r="G15" i="19" s="1"/>
  <c r="G16" i="19" s="1"/>
  <c r="J28" i="20" l="1"/>
  <c r="C30" i="20" s="1"/>
  <c r="E32" i="20" s="1"/>
  <c r="E33" i="20" s="1"/>
  <c r="G21" i="19"/>
  <c r="J21" i="19" s="1"/>
  <c r="J22" i="19" s="1"/>
  <c r="J16" i="19"/>
  <c r="I24" i="19"/>
  <c r="J24" i="19" s="1"/>
  <c r="C33" i="20" l="1"/>
  <c r="J28" i="19"/>
  <c r="C30" i="19" s="1"/>
  <c r="C33" i="19"/>
  <c r="E32" i="19"/>
  <c r="E33" i="19" s="1"/>
  <c r="L29" i="7" l="1"/>
  <c r="M29" i="7" s="1"/>
  <c r="M18" i="7" l="1"/>
  <c r="J18" i="7" l="1"/>
  <c r="F20" i="7"/>
  <c r="M20" i="7" s="1"/>
  <c r="F13" i="7"/>
  <c r="I22" i="7" l="1"/>
  <c r="F17" i="7"/>
  <c r="M17" i="7" s="1"/>
  <c r="F15" i="7"/>
  <c r="M15" i="7" s="1"/>
  <c r="I13" i="7"/>
  <c r="J13" i="7" s="1"/>
  <c r="I15" i="7"/>
  <c r="I20" i="7"/>
  <c r="J20" i="7" s="1"/>
  <c r="J15" i="7" l="1"/>
  <c r="F22" i="7" l="1"/>
  <c r="I17" i="7"/>
  <c r="J22" i="7" l="1"/>
  <c r="M22" i="7"/>
  <c r="F24" i="7"/>
  <c r="C6" i="7" s="1"/>
  <c r="J17" i="7"/>
  <c r="I24" i="7"/>
  <c r="J24" i="7" l="1"/>
  <c r="J6" i="7"/>
</calcChain>
</file>

<file path=xl/sharedStrings.xml><?xml version="1.0" encoding="utf-8"?>
<sst xmlns="http://schemas.openxmlformats.org/spreadsheetml/2006/main" count="115" uniqueCount="60">
  <si>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</si>
  <si>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</si>
  <si>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</si>
  <si>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</si>
  <si>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</si>
  <si>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</si>
  <si>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</si>
  <si>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</si>
  <si>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</si>
  <si>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</si>
  <si>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</si>
  <si>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</si>
  <si>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</si>
  <si>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</si>
  <si>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</si>
  <si>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</si>
  <si>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</si>
  <si>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</si>
  <si>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</si>
  <si>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</si>
  <si>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</si>
  <si>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</si>
  <si>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</si>
  <si>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</si>
  <si>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</si>
  <si>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</si>
  <si>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</si>
  <si>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</si>
  <si>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</si>
  <si>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</si>
  <si>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</si>
  <si>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</si>
  <si>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</si>
  <si>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</si>
  <si>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</si>
  <si>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</si>
  <si>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</si>
  <si>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</si>
  <si>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</si>
  <si>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</si>
  <si>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</si>
  <si>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</si>
  <si>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</si>
  <si>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</si>
  <si>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</si>
  <si>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</si>
  <si>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</si>
  <si>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</si>
  <si>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</si>
  <si>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</si>
  <si>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</si>
  <si>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</si>
  <si>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</si>
  <si>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Date:                  </t>
  </si>
  <si>
    <t>-for empty bag filling</t>
  </si>
  <si>
    <t>Project:- कुसुमथली पहिरो संरक्षण</t>
  </si>
  <si>
    <t>Detail Valuated Sheet</t>
  </si>
  <si>
    <t>Total Valuated</t>
  </si>
  <si>
    <t xml:space="preserve">Date:2082/03/03       </t>
  </si>
  <si>
    <t>Date:2082/03/03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</si>
</sst>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5">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1" fontId="16" fillId="0" borderId="2" xfId="0" applyNumberFormat="1" applyFont="1" applyBorder="1" applyAlignment="1">
      <alignment vertical="center" wrapText="1"/>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5"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1" fontId="15" fillId="3" borderId="2" xfId="0" applyNumberFormat="1"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election activeCell="E15" sqref="E15"/>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1" x14ac:dyDescent="0.3">
      <c r="A1" s="68" t="s">
        <v>0</v>
      </c>
      <c r="B1" s="68"/>
      <c r="C1" s="68"/>
      <c r="D1" s="68"/>
      <c r="E1" s="68"/>
      <c r="F1" s="68"/>
      <c r="G1" s="68"/>
      <c r="H1" s="68"/>
      <c r="I1" s="68"/>
      <c r="J1" s="68"/>
      <c r="K1" s="68"/>
    </row>
    <row r="2" spans="1:11" ht="22.8" x14ac:dyDescent="0.3">
      <c r="A2" s="69" t="s">
        <v>1</v>
      </c>
      <c r="B2" s="69"/>
      <c r="C2" s="69"/>
      <c r="D2" s="69"/>
      <c r="E2" s="69"/>
      <c r="F2" s="69"/>
      <c r="G2" s="69"/>
      <c r="H2" s="69"/>
      <c r="I2" s="69"/>
      <c r="J2" s="69"/>
      <c r="K2" s="69"/>
    </row>
    <row r="3" spans="1:11" x14ac:dyDescent="0.3">
      <c r="A3" s="70" t="s">
        <v>2</v>
      </c>
      <c r="B3" s="70"/>
      <c r="C3" s="70"/>
      <c r="D3" s="70"/>
      <c r="E3" s="70"/>
      <c r="F3" s="70"/>
      <c r="G3" s="70"/>
      <c r="H3" s="70"/>
      <c r="I3" s="70"/>
      <c r="J3" s="70"/>
      <c r="K3" s="70"/>
    </row>
    <row r="4" spans="1:11" x14ac:dyDescent="0.3">
      <c r="A4" s="70" t="s">
        <v>3</v>
      </c>
      <c r="B4" s="70"/>
      <c r="C4" s="70"/>
      <c r="D4" s="70"/>
      <c r="E4" s="70"/>
      <c r="F4" s="70"/>
      <c r="G4" s="70"/>
      <c r="H4" s="70"/>
      <c r="I4" s="70"/>
      <c r="J4" s="70"/>
      <c r="K4" s="70"/>
    </row>
    <row r="5" spans="1:11" ht="17.399999999999999" x14ac:dyDescent="0.3">
      <c r="A5" s="71" t="s">
        <v>4</v>
      </c>
      <c r="B5" s="71"/>
      <c r="C5" s="71"/>
      <c r="D5" s="71"/>
      <c r="E5" s="71"/>
      <c r="F5" s="71"/>
      <c r="G5" s="71"/>
      <c r="H5" s="71"/>
      <c r="I5" s="71"/>
      <c r="J5" s="71"/>
      <c r="K5" s="71"/>
    </row>
    <row r="6" spans="1:11" ht="15.6" x14ac:dyDescent="0.3">
      <c r="A6" s="66" t="s">
        <v>55</v>
      </c>
      <c r="B6" s="66"/>
      <c r="C6" s="66"/>
      <c r="D6" s="66"/>
      <c r="E6" s="66"/>
      <c r="F6" s="66"/>
      <c r="G6" s="1"/>
      <c r="H6" s="67" t="s">
        <v>5</v>
      </c>
      <c r="I6" s="67"/>
      <c r="J6" s="67"/>
      <c r="K6" s="67"/>
    </row>
    <row r="7" spans="1:11" ht="15.6" x14ac:dyDescent="0.3">
      <c r="A7" s="61" t="s">
        <v>6</v>
      </c>
      <c r="B7" s="61"/>
      <c r="C7" s="61"/>
      <c r="D7" s="61"/>
      <c r="E7" s="61"/>
      <c r="F7" s="61"/>
      <c r="G7" s="2"/>
      <c r="H7" s="62" t="s">
        <v>53</v>
      </c>
      <c r="I7" s="62"/>
      <c r="J7" s="62"/>
      <c r="K7" s="62"/>
    </row>
    <row r="8" spans="1:11" ht="15.6" x14ac:dyDescent="0.3">
      <c r="A8" s="3" t="s">
        <v>7</v>
      </c>
      <c r="B8" s="4" t="s">
        <v>8</v>
      </c>
      <c r="C8" s="3" t="s">
        <v>9</v>
      </c>
      <c r="D8" s="5" t="s">
        <v>10</v>
      </c>
      <c r="E8" s="5" t="s">
        <v>11</v>
      </c>
      <c r="F8" s="5" t="s">
        <v>12</v>
      </c>
      <c r="G8" s="5" t="s">
        <v>13</v>
      </c>
      <c r="H8" s="3" t="s">
        <v>14</v>
      </c>
      <c r="I8" s="5" t="s">
        <v>15</v>
      </c>
      <c r="J8" s="5" t="s">
        <v>16</v>
      </c>
      <c r="K8" s="6" t="s">
        <v>17</v>
      </c>
    </row>
    <row r="9" spans="1:11" ht="27.6" x14ac:dyDescent="0.3">
      <c r="A9" s="8">
        <v>1</v>
      </c>
      <c r="B9" s="58" t="s">
        <v>49</v>
      </c>
      <c r="C9" s="10"/>
      <c r="D9" s="11"/>
      <c r="E9" s="12"/>
      <c r="F9" s="12"/>
      <c r="G9" s="13"/>
      <c r="H9" s="14"/>
      <c r="I9" s="13"/>
      <c r="J9" s="15"/>
      <c r="K9" s="12"/>
    </row>
    <row r="10" spans="1:11" x14ac:dyDescent="0.3">
      <c r="A10" s="8"/>
      <c r="B10" s="9"/>
      <c r="C10" s="17">
        <f>2*0.5</f>
        <v>1</v>
      </c>
      <c r="D10" s="18">
        <f>24</f>
        <v>24</v>
      </c>
      <c r="E10" s="18">
        <v>0.82</v>
      </c>
      <c r="F10" s="18">
        <v>1.6</v>
      </c>
      <c r="G10" s="19">
        <f>(PRODUCT(C10:F10))</f>
        <v>31.488</v>
      </c>
      <c r="H10" s="20"/>
      <c r="I10" s="20"/>
      <c r="J10" s="20"/>
      <c r="K10" s="12"/>
    </row>
    <row r="11" spans="1:11" x14ac:dyDescent="0.3">
      <c r="A11" s="8"/>
      <c r="B11" s="9" t="s">
        <v>18</v>
      </c>
      <c r="C11" s="10"/>
      <c r="D11" s="11"/>
      <c r="E11" s="12"/>
      <c r="F11" s="12"/>
      <c r="G11" s="13">
        <f>SUM(G10:G10)</f>
        <v>31.488</v>
      </c>
      <c r="H11" s="14" t="s">
        <v>19</v>
      </c>
      <c r="I11" s="13">
        <v>663.31</v>
      </c>
      <c r="J11" s="15">
        <f>G11*I11</f>
        <v>20886.305279999997</v>
      </c>
      <c r="K11" s="12"/>
    </row>
    <row r="12" spans="1:11" x14ac:dyDescent="0.3">
      <c r="A12" s="8"/>
      <c r="B12" s="9"/>
      <c r="C12" s="10"/>
      <c r="D12" s="11"/>
      <c r="E12" s="12"/>
      <c r="F12" s="12"/>
      <c r="G12" s="13"/>
      <c r="H12" s="14"/>
      <c r="I12" s="13"/>
      <c r="J12" s="15"/>
      <c r="K12" s="12"/>
    </row>
    <row r="13" spans="1:11" x14ac:dyDescent="0.3">
      <c r="A13" s="8"/>
      <c r="B13" s="9"/>
      <c r="C13" s="10"/>
      <c r="D13" s="11"/>
      <c r="E13" s="12"/>
      <c r="F13" s="12"/>
      <c r="G13" s="13"/>
      <c r="H13" s="14"/>
      <c r="I13" s="13"/>
      <c r="J13" s="15"/>
      <c r="K13" s="12"/>
    </row>
    <row r="14" spans="1:11" ht="55.2" x14ac:dyDescent="0.3">
      <c r="A14" s="8">
        <v>2</v>
      </c>
      <c r="B14" s="7" t="s">
        <v>44</v>
      </c>
      <c r="C14" s="10"/>
      <c r="D14" s="11"/>
      <c r="E14" s="12"/>
      <c r="F14" s="12"/>
      <c r="G14" s="13"/>
      <c r="H14" s="14"/>
      <c r="I14" s="13"/>
      <c r="J14" s="15"/>
      <c r="K14" s="12"/>
    </row>
    <row r="15" spans="1:11" x14ac:dyDescent="0.3">
      <c r="A15" s="8"/>
      <c r="B15" s="9" t="s">
        <v>54</v>
      </c>
      <c r="C15" s="10">
        <f>2*(3*5)</f>
        <v>30</v>
      </c>
      <c r="D15" s="11">
        <f>D10</f>
        <v>24</v>
      </c>
      <c r="E15" s="12">
        <v>0.38</v>
      </c>
      <c r="F15" s="18">
        <f>ROUNDUP(D15/E15,0)</f>
        <v>64</v>
      </c>
      <c r="G15" s="19">
        <f>F15*C15</f>
        <v>1920</v>
      </c>
      <c r="H15" s="14"/>
      <c r="I15" s="13"/>
      <c r="J15" s="15"/>
      <c r="K15" s="64" t="s">
        <v>50</v>
      </c>
    </row>
    <row r="16" spans="1:11" x14ac:dyDescent="0.3">
      <c r="A16" s="8"/>
      <c r="B16" s="9" t="s">
        <v>18</v>
      </c>
      <c r="C16" s="10"/>
      <c r="D16" s="11"/>
      <c r="E16" s="12"/>
      <c r="F16" s="12"/>
      <c r="G16" s="13">
        <f>SUM(G15:G15)</f>
        <v>1920</v>
      </c>
      <c r="H16" s="14" t="s">
        <v>48</v>
      </c>
      <c r="I16" s="13">
        <v>92</v>
      </c>
      <c r="J16" s="15">
        <f>G16*I16</f>
        <v>176640</v>
      </c>
      <c r="K16" s="65"/>
    </row>
    <row r="17" spans="1:11" x14ac:dyDescent="0.3">
      <c r="A17" s="8"/>
      <c r="B17" s="9"/>
      <c r="C17" s="10"/>
      <c r="D17" s="11"/>
      <c r="E17" s="12"/>
      <c r="F17" s="12"/>
      <c r="G17" s="13"/>
      <c r="H17" s="14"/>
      <c r="I17" s="13"/>
      <c r="J17" s="15"/>
      <c r="K17" s="12"/>
    </row>
    <row r="18" spans="1:11" ht="27.6" x14ac:dyDescent="0.3">
      <c r="A18" s="8">
        <v>3</v>
      </c>
      <c r="B18" s="7" t="s">
        <v>45</v>
      </c>
      <c r="C18" s="10"/>
      <c r="D18" s="11"/>
      <c r="E18" s="12"/>
      <c r="F18" s="12"/>
      <c r="G18" s="13"/>
      <c r="H18" s="14"/>
      <c r="I18" s="13"/>
      <c r="J18" s="15"/>
      <c r="K18" s="12"/>
    </row>
    <row r="19" spans="1:11" x14ac:dyDescent="0.3">
      <c r="A19" s="8"/>
      <c r="B19" s="9" t="s">
        <v>46</v>
      </c>
      <c r="C19" s="36">
        <f>2*(TRUNC(D15/1.5,0)+1)</f>
        <v>34</v>
      </c>
      <c r="D19" s="18">
        <v>4</v>
      </c>
      <c r="E19" s="18"/>
      <c r="F19" s="18"/>
      <c r="G19" s="19">
        <f>PRODUCT(C19:F19)</f>
        <v>136</v>
      </c>
      <c r="H19" s="20"/>
      <c r="I19" s="20"/>
      <c r="J19" s="20"/>
      <c r="K19" s="12"/>
    </row>
    <row r="20" spans="1:11" x14ac:dyDescent="0.3">
      <c r="A20" s="8"/>
      <c r="B20" s="9" t="s">
        <v>47</v>
      </c>
      <c r="C20" s="36">
        <f>2*5</f>
        <v>10</v>
      </c>
      <c r="D20" s="18">
        <f>D15</f>
        <v>24</v>
      </c>
      <c r="E20" s="18"/>
      <c r="F20" s="18"/>
      <c r="G20" s="19">
        <f>PRODUCT(C20:F20)</f>
        <v>240</v>
      </c>
      <c r="H20" s="20"/>
      <c r="I20" s="20"/>
      <c r="J20" s="20"/>
      <c r="K20" s="12"/>
    </row>
    <row r="21" spans="1:11" x14ac:dyDescent="0.3">
      <c r="A21" s="8"/>
      <c r="B21" s="9" t="s">
        <v>18</v>
      </c>
      <c r="C21" s="10"/>
      <c r="D21" s="11"/>
      <c r="E21" s="12"/>
      <c r="F21" s="12"/>
      <c r="G21" s="13">
        <f>TRUNC((SUM(G19:G20))/6,0)+1</f>
        <v>63</v>
      </c>
      <c r="H21" s="14" t="s">
        <v>9</v>
      </c>
      <c r="I21" s="13">
        <v>240</v>
      </c>
      <c r="J21" s="15">
        <f>G21*I21</f>
        <v>15120</v>
      </c>
      <c r="K21" s="12"/>
    </row>
    <row r="22" spans="1:11" x14ac:dyDescent="0.3">
      <c r="A22" s="8"/>
      <c r="B22" s="9" t="s">
        <v>20</v>
      </c>
      <c r="C22" s="10"/>
      <c r="D22" s="11"/>
      <c r="E22" s="12"/>
      <c r="F22" s="12"/>
      <c r="G22" s="13"/>
      <c r="H22" s="14"/>
      <c r="I22" s="13"/>
      <c r="J22" s="15">
        <f>0.13*J21</f>
        <v>1965.6000000000001</v>
      </c>
      <c r="K22" s="12"/>
    </row>
    <row r="23" spans="1:11" x14ac:dyDescent="0.3">
      <c r="A23" s="8"/>
      <c r="B23" s="9"/>
      <c r="C23" s="10"/>
      <c r="D23" s="11"/>
      <c r="E23" s="12"/>
      <c r="F23" s="12"/>
      <c r="G23" s="13"/>
      <c r="H23" s="14"/>
      <c r="I23" s="13"/>
      <c r="J23" s="15"/>
      <c r="K23" s="12"/>
    </row>
    <row r="24" spans="1:11" x14ac:dyDescent="0.3">
      <c r="A24" s="8">
        <v>4</v>
      </c>
      <c r="B24" s="59" t="s">
        <v>51</v>
      </c>
      <c r="C24" s="10">
        <v>1</v>
      </c>
      <c r="D24" s="11"/>
      <c r="E24" s="12"/>
      <c r="F24" s="12"/>
      <c r="G24" s="25">
        <f t="shared" ref="G24" si="0">PRODUCT(C24:F24)</f>
        <v>1</v>
      </c>
      <c r="H24" s="14" t="s">
        <v>52</v>
      </c>
      <c r="I24" s="13">
        <f>G16*5</f>
        <v>9600</v>
      </c>
      <c r="J24" s="25">
        <f>G24*I24</f>
        <v>9600</v>
      </c>
      <c r="K24" s="12"/>
    </row>
    <row r="25" spans="1:11" x14ac:dyDescent="0.3">
      <c r="A25" s="8"/>
      <c r="B25" s="9"/>
      <c r="C25" s="10"/>
      <c r="D25" s="11"/>
      <c r="E25" s="12"/>
      <c r="F25" s="12"/>
      <c r="G25" s="13"/>
      <c r="H25" s="14"/>
      <c r="I25" s="13"/>
      <c r="J25" s="15"/>
      <c r="K25" s="12"/>
    </row>
    <row r="26" spans="1:11" x14ac:dyDescent="0.3">
      <c r="A26" s="8">
        <v>5</v>
      </c>
      <c r="B26" s="7" t="s">
        <v>21</v>
      </c>
      <c r="C26" s="10">
        <v>1</v>
      </c>
      <c r="D26" s="11"/>
      <c r="E26" s="12"/>
      <c r="F26" s="12"/>
      <c r="G26" s="25">
        <f t="shared" ref="G26" si="1">PRODUCT(C26:F26)</f>
        <v>1</v>
      </c>
      <c r="H26" s="14" t="s">
        <v>22</v>
      </c>
      <c r="I26" s="13">
        <v>500</v>
      </c>
      <c r="J26" s="25">
        <f>G26*I26</f>
        <v>500</v>
      </c>
      <c r="K26" s="12"/>
    </row>
    <row r="27" spans="1:11" x14ac:dyDescent="0.3">
      <c r="A27" s="8"/>
      <c r="B27" s="24"/>
      <c r="C27" s="10"/>
      <c r="D27" s="11"/>
      <c r="E27" s="12"/>
      <c r="F27" s="12"/>
      <c r="G27" s="13"/>
      <c r="H27" s="14"/>
      <c r="I27" s="13"/>
      <c r="J27" s="15"/>
      <c r="K27" s="12"/>
    </row>
    <row r="28" spans="1:11" x14ac:dyDescent="0.3">
      <c r="A28" s="20"/>
      <c r="B28" s="35" t="s">
        <v>29</v>
      </c>
      <c r="C28" s="36"/>
      <c r="D28" s="18"/>
      <c r="E28" s="18"/>
      <c r="F28" s="18"/>
      <c r="G28" s="15"/>
      <c r="H28" s="15"/>
      <c r="I28" s="15"/>
      <c r="J28" s="15">
        <f>SUM(J9:J26)</f>
        <v>224711.90528000001</v>
      </c>
      <c r="K28" s="17"/>
    </row>
    <row r="29" spans="1:11" x14ac:dyDescent="0.3">
      <c r="A29" s="52"/>
      <c r="B29" s="53"/>
      <c r="C29" s="54"/>
      <c r="D29" s="55"/>
      <c r="E29" s="55"/>
      <c r="F29" s="55"/>
      <c r="G29" s="56"/>
      <c r="H29" s="56"/>
      <c r="I29" s="56"/>
      <c r="J29" s="56"/>
      <c r="K29" s="57"/>
    </row>
    <row r="30" spans="1:11" x14ac:dyDescent="0.3">
      <c r="A30" s="26"/>
      <c r="B30" s="22" t="s">
        <v>23</v>
      </c>
      <c r="C30" s="60">
        <f>J28</f>
        <v>224711.90528000001</v>
      </c>
      <c r="D30" s="60"/>
      <c r="E30" s="19">
        <v>100</v>
      </c>
      <c r="F30" s="27"/>
      <c r="G30" s="28"/>
      <c r="H30" s="27"/>
      <c r="I30" s="29"/>
      <c r="J30" s="30"/>
      <c r="K30" s="31"/>
    </row>
    <row r="31" spans="1:11" x14ac:dyDescent="0.3">
      <c r="A31" s="32"/>
      <c r="B31" s="22" t="s">
        <v>24</v>
      </c>
      <c r="C31" s="63">
        <v>200000</v>
      </c>
      <c r="D31" s="63"/>
      <c r="E31" s="19"/>
      <c r="F31" s="33"/>
      <c r="G31" s="34"/>
      <c r="H31" s="34"/>
      <c r="I31" s="34"/>
      <c r="J31" s="34"/>
      <c r="K31" s="33"/>
    </row>
    <row r="32" spans="1:11" x14ac:dyDescent="0.3">
      <c r="A32" s="32"/>
      <c r="B32" s="22" t="s">
        <v>25</v>
      </c>
      <c r="C32" s="63">
        <f>C31-C34-C35</f>
        <v>190000</v>
      </c>
      <c r="D32" s="63"/>
      <c r="E32" s="19">
        <f>C32/C30*100</f>
        <v>84.552707504861573</v>
      </c>
      <c r="F32" s="33"/>
      <c r="G32" s="34"/>
      <c r="H32" s="34"/>
      <c r="I32" s="34"/>
      <c r="J32" s="34"/>
      <c r="K32" s="33"/>
    </row>
    <row r="33" spans="1:11" x14ac:dyDescent="0.3">
      <c r="A33" s="32"/>
      <c r="B33" s="22" t="s">
        <v>26</v>
      </c>
      <c r="C33" s="60">
        <f>C30-C32</f>
        <v>34711.905280000006</v>
      </c>
      <c r="D33" s="60"/>
      <c r="E33" s="19">
        <f>100-E32</f>
        <v>15.447292495138427</v>
      </c>
      <c r="F33" s="33"/>
      <c r="G33" s="34"/>
      <c r="H33" s="34"/>
      <c r="I33" s="34"/>
      <c r="J33" s="34"/>
      <c r="K33" s="33"/>
    </row>
    <row r="34" spans="1:11" x14ac:dyDescent="0.3">
      <c r="A34" s="32"/>
      <c r="B34" s="22" t="s">
        <v>27</v>
      </c>
      <c r="C34" s="60">
        <f>C31*0.03</f>
        <v>6000</v>
      </c>
      <c r="D34" s="60"/>
      <c r="E34" s="19">
        <v>3</v>
      </c>
      <c r="F34" s="33"/>
      <c r="G34" s="34"/>
      <c r="H34" s="34"/>
      <c r="I34" s="34"/>
      <c r="J34" s="34"/>
      <c r="K34" s="33"/>
    </row>
    <row r="35" spans="1:11" x14ac:dyDescent="0.3">
      <c r="A35" s="32"/>
      <c r="B35" s="22" t="s">
        <v>28</v>
      </c>
      <c r="C35" s="60">
        <f>C31*0.02</f>
        <v>4000</v>
      </c>
      <c r="D35" s="60"/>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74" t="s">
        <v>0</v>
      </c>
      <c r="B1" s="74"/>
      <c r="C1" s="74"/>
      <c r="D1" s="74"/>
      <c r="E1" s="74"/>
      <c r="F1" s="74"/>
      <c r="G1" s="74"/>
      <c r="H1" s="74"/>
      <c r="I1" s="74"/>
      <c r="J1" s="74"/>
      <c r="K1" s="74"/>
    </row>
    <row r="2" spans="1:13" ht="24.6" x14ac:dyDescent="0.4">
      <c r="A2" s="75" t="s">
        <v>1</v>
      </c>
      <c r="B2" s="75"/>
      <c r="C2" s="75"/>
      <c r="D2" s="75"/>
      <c r="E2" s="75"/>
      <c r="F2" s="75"/>
      <c r="G2" s="75"/>
      <c r="H2" s="75"/>
      <c r="I2" s="75"/>
      <c r="J2" s="75"/>
      <c r="K2" s="75"/>
    </row>
    <row r="3" spans="1:13" s="16" customFormat="1" x14ac:dyDescent="0.3">
      <c r="A3" s="70" t="s">
        <v>2</v>
      </c>
      <c r="B3" s="70"/>
      <c r="C3" s="70"/>
      <c r="D3" s="70"/>
      <c r="E3" s="70"/>
      <c r="F3" s="70"/>
      <c r="G3" s="70"/>
      <c r="H3" s="70"/>
      <c r="I3" s="70"/>
      <c r="J3" s="70"/>
      <c r="K3" s="70"/>
    </row>
    <row r="4" spans="1:13" s="16" customFormat="1" x14ac:dyDescent="0.3">
      <c r="A4" s="70" t="s">
        <v>3</v>
      </c>
      <c r="B4" s="70"/>
      <c r="C4" s="70"/>
      <c r="D4" s="70"/>
      <c r="E4" s="70"/>
      <c r="F4" s="70"/>
      <c r="G4" s="70"/>
      <c r="H4" s="70"/>
      <c r="I4" s="70"/>
      <c r="J4" s="70"/>
      <c r="K4" s="70"/>
    </row>
    <row r="5" spans="1:13" ht="18" x14ac:dyDescent="0.35">
      <c r="A5" s="76" t="s">
        <v>30</v>
      </c>
      <c r="B5" s="76"/>
      <c r="C5" s="76"/>
      <c r="D5" s="76"/>
      <c r="E5" s="76"/>
      <c r="F5" s="76"/>
      <c r="G5" s="76"/>
      <c r="H5" s="76"/>
      <c r="I5" s="76"/>
      <c r="J5" s="76"/>
      <c r="K5" s="76"/>
    </row>
    <row r="6" spans="1:13" ht="18" x14ac:dyDescent="0.35">
      <c r="A6" s="37" t="s">
        <v>31</v>
      </c>
      <c r="B6" s="37"/>
      <c r="C6" s="72">
        <f>F24</f>
        <v>224711.90528000001</v>
      </c>
      <c r="D6" s="73"/>
      <c r="E6" s="38"/>
      <c r="F6" s="37"/>
      <c r="G6" s="37"/>
      <c r="H6" s="37" t="s">
        <v>32</v>
      </c>
      <c r="I6" s="37"/>
      <c r="J6" s="72">
        <f>I24</f>
        <v>224167.88795336787</v>
      </c>
      <c r="K6" s="73"/>
    </row>
    <row r="7" spans="1:13" x14ac:dyDescent="0.3">
      <c r="A7" s="39" t="s">
        <v>33</v>
      </c>
      <c r="B7" s="39"/>
      <c r="C7" s="39"/>
      <c r="D7" s="39"/>
      <c r="F7" s="77"/>
      <c r="G7" s="77"/>
      <c r="I7" s="78" t="s">
        <v>34</v>
      </c>
      <c r="J7" s="78"/>
      <c r="K7" s="78"/>
    </row>
    <row r="8" spans="1:13" ht="15.6" x14ac:dyDescent="0.3">
      <c r="A8" s="66" t="str">
        <f>Estimate!A6</f>
        <v>Project:- कुसुमथली पहिरो संरक्षण</v>
      </c>
      <c r="B8" s="66"/>
      <c r="C8" s="66"/>
      <c r="D8" s="66"/>
      <c r="E8" s="66"/>
      <c r="F8" s="66"/>
      <c r="I8" s="79" t="s">
        <v>43</v>
      </c>
      <c r="J8" s="79"/>
      <c r="K8" s="79"/>
    </row>
    <row r="9" spans="1:13" x14ac:dyDescent="0.3">
      <c r="A9" s="80" t="str">
        <f>Estimate!A7</f>
        <v>Location:- Shankharapur Municipality 9</v>
      </c>
      <c r="B9" s="80"/>
      <c r="C9" s="80"/>
      <c r="D9" s="80"/>
      <c r="E9" s="80"/>
      <c r="F9" s="80"/>
      <c r="I9" s="79" t="s">
        <v>58</v>
      </c>
      <c r="J9" s="79"/>
      <c r="K9" s="79"/>
    </row>
    <row r="11" spans="1:13" x14ac:dyDescent="0.3">
      <c r="A11" s="82" t="s">
        <v>35</v>
      </c>
      <c r="B11" s="82" t="s">
        <v>36</v>
      </c>
      <c r="C11" s="82" t="s">
        <v>14</v>
      </c>
      <c r="D11" s="83" t="s">
        <v>37</v>
      </c>
      <c r="E11" s="83"/>
      <c r="F11" s="83"/>
      <c r="G11" s="83" t="s">
        <v>38</v>
      </c>
      <c r="H11" s="83"/>
      <c r="I11" s="83"/>
      <c r="J11" s="82" t="s">
        <v>39</v>
      </c>
      <c r="K11" s="81" t="s">
        <v>40</v>
      </c>
    </row>
    <row r="12" spans="1:13" x14ac:dyDescent="0.3">
      <c r="A12" s="82"/>
      <c r="B12" s="82"/>
      <c r="C12" s="82"/>
      <c r="D12" s="40" t="s">
        <v>41</v>
      </c>
      <c r="E12" s="40" t="s">
        <v>15</v>
      </c>
      <c r="F12" s="40" t="s">
        <v>16</v>
      </c>
      <c r="G12" s="40" t="s">
        <v>41</v>
      </c>
      <c r="H12" s="40" t="s">
        <v>15</v>
      </c>
      <c r="I12" s="40" t="s">
        <v>16</v>
      </c>
      <c r="J12" s="82"/>
      <c r="K12" s="81"/>
    </row>
    <row r="13" spans="1:13" s="16" customFormat="1" ht="15" x14ac:dyDescent="0.25">
      <c r="A13" s="49">
        <f>Estimate!A9</f>
        <v>1</v>
      </c>
      <c r="B13" s="84" t="str">
        <f>Estimate!B9</f>
        <v xml:space="preserve">g/d k|sf/sf] Sn] / l;N6L df6f]df ;j} lsl;dsf] vGg] sfd </v>
      </c>
      <c r="C13" s="41" t="str">
        <f>Estimate!H11</f>
        <v>m3</v>
      </c>
      <c r="D13" s="41">
        <f>Estimate!G11</f>
        <v>31.488</v>
      </c>
      <c r="E13" s="41">
        <f>Estimate!I11</f>
        <v>663.31</v>
      </c>
      <c r="F13" s="41">
        <f>D13*E13</f>
        <v>20886.305279999997</v>
      </c>
      <c r="G13" s="41">
        <f>V!G11</f>
        <v>37.888601036269435</v>
      </c>
      <c r="H13" s="41">
        <f>V!I11</f>
        <v>663.31</v>
      </c>
      <c r="I13" s="41">
        <f>G13*H13</f>
        <v>25131.887953367877</v>
      </c>
      <c r="J13" s="42">
        <f>I13-F13</f>
        <v>4245.5826733678805</v>
      </c>
      <c r="K13" s="43"/>
      <c r="M13" s="51">
        <f>1.25*F13</f>
        <v>26107.881599999997</v>
      </c>
    </row>
    <row r="14" spans="1:13" s="16" customFormat="1" x14ac:dyDescent="0.3">
      <c r="A14" s="21"/>
      <c r="B14" s="22"/>
      <c r="C14" s="41"/>
      <c r="D14" s="41"/>
      <c r="E14" s="41"/>
      <c r="F14" s="41"/>
      <c r="G14" s="41"/>
      <c r="H14" s="41"/>
      <c r="I14" s="41"/>
      <c r="J14" s="42"/>
      <c r="K14" s="43"/>
      <c r="M14" s="51"/>
    </row>
    <row r="15" spans="1:13" s="16" customFormat="1" ht="30" x14ac:dyDescent="0.3">
      <c r="A15" s="49">
        <f>Estimate!A14</f>
        <v>2</v>
      </c>
      <c r="B15" s="50" t="str">
        <f>Estimate!B14</f>
        <v>Filling empty bags with local sand, sewing them closes and pacing them including haulage upto 100 m distance</v>
      </c>
      <c r="C15" s="41" t="str">
        <f>Estimate!H16</f>
        <v>sack</v>
      </c>
      <c r="D15" s="41">
        <f>Estimate!G16</f>
        <v>1920</v>
      </c>
      <c r="E15" s="41">
        <f>Estimate!I16</f>
        <v>92</v>
      </c>
      <c r="F15" s="41">
        <f>D15*E15</f>
        <v>176640</v>
      </c>
      <c r="G15" s="41">
        <f>V!G16</f>
        <v>1921</v>
      </c>
      <c r="H15" s="41">
        <f>V!I16</f>
        <v>92</v>
      </c>
      <c r="I15" s="41">
        <f>G15*H15</f>
        <v>176732</v>
      </c>
      <c r="J15" s="42">
        <f>I15-F15</f>
        <v>92</v>
      </c>
      <c r="K15" s="43"/>
      <c r="M15" s="51">
        <f t="shared" ref="M15:M22" si="0">1.25*F15</f>
        <v>220800</v>
      </c>
    </row>
    <row r="16" spans="1:13" s="16" customFormat="1" x14ac:dyDescent="0.3">
      <c r="A16" s="21"/>
      <c r="B16" s="22"/>
      <c r="C16" s="41"/>
      <c r="D16" s="41"/>
      <c r="E16" s="41"/>
      <c r="F16" s="41"/>
      <c r="G16" s="41"/>
      <c r="H16" s="41"/>
      <c r="I16" s="41"/>
      <c r="J16" s="42"/>
      <c r="K16" s="43"/>
      <c r="M16" s="51"/>
    </row>
    <row r="17" spans="1:13" s="16" customFormat="1" ht="60" x14ac:dyDescent="0.3">
      <c r="A17" s="49">
        <f>Estimate!A18</f>
        <v>3</v>
      </c>
      <c r="B17" s="50" t="str">
        <f>Estimate!B18</f>
        <v>Providing and laying Bamboo for the protection all complete</v>
      </c>
      <c r="C17" s="41" t="str">
        <f>Estimate!H21</f>
        <v>No.</v>
      </c>
      <c r="D17" s="41">
        <f>Estimate!G21</f>
        <v>63</v>
      </c>
      <c r="E17" s="41">
        <f>Estimate!I21</f>
        <v>240</v>
      </c>
      <c r="F17" s="41">
        <f>D17*E17</f>
        <v>15120</v>
      </c>
      <c r="G17" s="41">
        <f>V!G21</f>
        <v>45</v>
      </c>
      <c r="H17" s="41">
        <f>V!I21</f>
        <v>240</v>
      </c>
      <c r="I17" s="41">
        <f>G17*H17</f>
        <v>10800</v>
      </c>
      <c r="J17" s="42">
        <f>I17-F17</f>
        <v>-4320</v>
      </c>
      <c r="K17" s="43"/>
      <c r="M17" s="51">
        <f t="shared" si="0"/>
        <v>18900</v>
      </c>
    </row>
    <row r="18" spans="1:13" s="16" customFormat="1" ht="15.6" x14ac:dyDescent="0.3">
      <c r="A18" s="49"/>
      <c r="B18" s="48" t="str">
        <f>Estimate!B22</f>
        <v>VAT calculation</v>
      </c>
      <c r="C18" s="41"/>
      <c r="D18" s="41"/>
      <c r="E18" s="41"/>
      <c r="F18" s="41">
        <f>Estimate!J22</f>
        <v>1965.6000000000001</v>
      </c>
      <c r="G18" s="41"/>
      <c r="H18" s="41"/>
      <c r="I18" s="41">
        <f>V!J22</f>
        <v>1404</v>
      </c>
      <c r="J18" s="42">
        <f>I18-F18</f>
        <v>-561.60000000000014</v>
      </c>
      <c r="K18" s="43"/>
      <c r="M18" s="51">
        <f t="shared" si="0"/>
        <v>2457</v>
      </c>
    </row>
    <row r="19" spans="1:13" s="16" customFormat="1" x14ac:dyDescent="0.3">
      <c r="A19" s="21"/>
      <c r="B19" s="22"/>
      <c r="C19" s="41"/>
      <c r="D19" s="41"/>
      <c r="E19" s="41"/>
      <c r="F19" s="41"/>
      <c r="G19" s="41"/>
      <c r="H19" s="41"/>
      <c r="I19" s="41"/>
      <c r="J19" s="42"/>
      <c r="K19" s="43"/>
      <c r="M19" s="51"/>
    </row>
    <row r="20" spans="1:13" s="16" customFormat="1" x14ac:dyDescent="0.3">
      <c r="A20" s="49">
        <f>Estimate!A24</f>
        <v>4</v>
      </c>
      <c r="B20" s="7" t="str">
        <f>Estimate!B24</f>
        <v>Provisional sum for unforseen works</v>
      </c>
      <c r="C20" s="41" t="str">
        <f>Estimate!H24</f>
        <v>PS</v>
      </c>
      <c r="D20" s="41">
        <f>Estimate!G24</f>
        <v>1</v>
      </c>
      <c r="E20" s="41">
        <f>Estimate!I24</f>
        <v>9600</v>
      </c>
      <c r="F20" s="41">
        <f>D20*E20</f>
        <v>9600</v>
      </c>
      <c r="G20" s="41">
        <f>V!G24</f>
        <v>1</v>
      </c>
      <c r="H20" s="41">
        <f>V!I24</f>
        <v>9600</v>
      </c>
      <c r="I20" s="41">
        <f>G20*H20</f>
        <v>9600</v>
      </c>
      <c r="J20" s="42">
        <f>I20-F20</f>
        <v>0</v>
      </c>
      <c r="K20" s="43"/>
      <c r="M20" s="51">
        <f t="shared" si="0"/>
        <v>12000</v>
      </c>
    </row>
    <row r="21" spans="1:13" s="16" customFormat="1" x14ac:dyDescent="0.3">
      <c r="A21" s="21"/>
      <c r="B21" s="22"/>
      <c r="C21" s="41"/>
      <c r="D21" s="41"/>
      <c r="E21" s="41"/>
      <c r="F21" s="41"/>
      <c r="G21" s="41"/>
      <c r="H21" s="41"/>
      <c r="I21" s="41"/>
      <c r="J21" s="42"/>
      <c r="K21" s="43"/>
      <c r="M21" s="51"/>
    </row>
    <row r="22" spans="1:13" s="16" customFormat="1" x14ac:dyDescent="0.3">
      <c r="A22" s="49">
        <f>Estimate!A26</f>
        <v>5</v>
      </c>
      <c r="B22" s="44" t="str">
        <f>Estimate!B26</f>
        <v>Information board (सुचना पाटि)</v>
      </c>
      <c r="C22" s="41" t="str">
        <f>Estimate!H26</f>
        <v>no.</v>
      </c>
      <c r="D22" s="41">
        <f>Estimate!G26</f>
        <v>1</v>
      </c>
      <c r="E22" s="41">
        <f>Estimate!I26</f>
        <v>500</v>
      </c>
      <c r="F22" s="41">
        <f>D22*E22</f>
        <v>500</v>
      </c>
      <c r="G22" s="41">
        <f>V!G26</f>
        <v>1</v>
      </c>
      <c r="H22" s="41">
        <f>V!I26</f>
        <v>500</v>
      </c>
      <c r="I22" s="41">
        <f>G22*H22</f>
        <v>500</v>
      </c>
      <c r="J22" s="42">
        <f>I22-F22</f>
        <v>0</v>
      </c>
      <c r="K22" s="43"/>
      <c r="M22" s="51">
        <f t="shared" si="0"/>
        <v>625</v>
      </c>
    </row>
    <row r="23" spans="1:13" s="16" customFormat="1" x14ac:dyDescent="0.3">
      <c r="A23" s="22"/>
      <c r="B23" s="22"/>
      <c r="C23" s="41"/>
      <c r="D23" s="41"/>
      <c r="E23" s="41"/>
      <c r="F23" s="41"/>
      <c r="G23" s="41"/>
      <c r="H23" s="41"/>
      <c r="I23" s="41"/>
      <c r="J23" s="42"/>
      <c r="K23" s="43"/>
    </row>
    <row r="24" spans="1:13" x14ac:dyDescent="0.3">
      <c r="A24" s="23"/>
      <c r="B24" s="45" t="s">
        <v>42</v>
      </c>
      <c r="C24" s="45"/>
      <c r="D24" s="46"/>
      <c r="E24" s="46"/>
      <c r="F24" s="46">
        <f>SUM(F13:F22)</f>
        <v>224711.90528000001</v>
      </c>
      <c r="G24" s="46"/>
      <c r="H24" s="46"/>
      <c r="I24" s="46">
        <f>SUM(I13:I22)</f>
        <v>224167.88795336787</v>
      </c>
      <c r="J24" s="47">
        <f>I24-F24</f>
        <v>-544.01732663213625</v>
      </c>
      <c r="K24" s="23"/>
    </row>
    <row r="29" spans="1:13" x14ac:dyDescent="0.3">
      <c r="K29">
        <v>1070</v>
      </c>
      <c r="L29">
        <f>(21/3.281)*(36/3.281)</f>
        <v>70.227843835198286</v>
      </c>
      <c r="M29">
        <f>L29*K29</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Normal="100" workbookViewId="0">
      <selection activeCell="L8" sqref="L8"/>
    </sheetView>
  </sheetViews>
  <sheetFormatPr defaultRowHeight="14.4" x14ac:dyDescent="0.3"/>
  <cols>
    <col min="1" max="1" width="4.6640625" customWidth="1"/>
    <col min="2" max="2" width="31.33203125" customWidth="1"/>
    <col min="3" max="3" width="6.5546875" bestFit="1" customWidth="1"/>
    <col min="4" max="4" width="7.5546875" customWidth="1"/>
    <col min="5" max="5" width="8.5546875" customWidth="1"/>
    <col min="6" max="6" width="8.88671875" bestFit="1" customWidth="1"/>
    <col min="7" max="7" width="8.77734375" customWidth="1"/>
    <col min="8" max="8" width="5" bestFit="1" customWidth="1"/>
    <col min="9" max="9" width="10.88671875" customWidth="1"/>
    <col min="10" max="10" width="10.6640625" bestFit="1" customWidth="1"/>
  </cols>
  <sheetData>
    <row r="1" spans="1:11" x14ac:dyDescent="0.3">
      <c r="A1" s="68" t="s">
        <v>0</v>
      </c>
      <c r="B1" s="68"/>
      <c r="C1" s="68"/>
      <c r="D1" s="68"/>
      <c r="E1" s="68"/>
      <c r="F1" s="68"/>
      <c r="G1" s="68"/>
      <c r="H1" s="68"/>
      <c r="I1" s="68"/>
      <c r="J1" s="68"/>
      <c r="K1" s="68"/>
    </row>
    <row r="2" spans="1:11" ht="22.8" x14ac:dyDescent="0.3">
      <c r="A2" s="69" t="s">
        <v>1</v>
      </c>
      <c r="B2" s="69"/>
      <c r="C2" s="69"/>
      <c r="D2" s="69"/>
      <c r="E2" s="69"/>
      <c r="F2" s="69"/>
      <c r="G2" s="69"/>
      <c r="H2" s="69"/>
      <c r="I2" s="69"/>
      <c r="J2" s="69"/>
      <c r="K2" s="69"/>
    </row>
    <row r="3" spans="1:11" x14ac:dyDescent="0.3">
      <c r="A3" s="70" t="s">
        <v>2</v>
      </c>
      <c r="B3" s="70"/>
      <c r="C3" s="70"/>
      <c r="D3" s="70"/>
      <c r="E3" s="70"/>
      <c r="F3" s="70"/>
      <c r="G3" s="70"/>
      <c r="H3" s="70"/>
      <c r="I3" s="70"/>
      <c r="J3" s="70"/>
      <c r="K3" s="70"/>
    </row>
    <row r="4" spans="1:11" x14ac:dyDescent="0.3">
      <c r="A4" s="70" t="s">
        <v>3</v>
      </c>
      <c r="B4" s="70"/>
      <c r="C4" s="70"/>
      <c r="D4" s="70"/>
      <c r="E4" s="70"/>
      <c r="F4" s="70"/>
      <c r="G4" s="70"/>
      <c r="H4" s="70"/>
      <c r="I4" s="70"/>
      <c r="J4" s="70"/>
      <c r="K4" s="70"/>
    </row>
    <row r="5" spans="1:11" ht="17.399999999999999" x14ac:dyDescent="0.3">
      <c r="A5" s="71" t="s">
        <v>56</v>
      </c>
      <c r="B5" s="71"/>
      <c r="C5" s="71"/>
      <c r="D5" s="71"/>
      <c r="E5" s="71"/>
      <c r="F5" s="71"/>
      <c r="G5" s="71"/>
      <c r="H5" s="71"/>
      <c r="I5" s="71"/>
      <c r="J5" s="71"/>
      <c r="K5" s="71"/>
    </row>
    <row r="6" spans="1:11" ht="15.6" x14ac:dyDescent="0.3">
      <c r="A6" s="66" t="s">
        <v>55</v>
      </c>
      <c r="B6" s="66"/>
      <c r="C6" s="66"/>
      <c r="D6" s="66"/>
      <c r="E6" s="66"/>
      <c r="F6" s="66"/>
      <c r="G6" s="1"/>
      <c r="H6" s="67" t="s">
        <v>5</v>
      </c>
      <c r="I6" s="67"/>
      <c r="J6" s="67"/>
      <c r="K6" s="67"/>
    </row>
    <row r="7" spans="1:11" ht="15.6" x14ac:dyDescent="0.3">
      <c r="A7" s="61" t="s">
        <v>6</v>
      </c>
      <c r="B7" s="61"/>
      <c r="C7" s="61"/>
      <c r="D7" s="61"/>
      <c r="E7" s="61"/>
      <c r="F7" s="61"/>
      <c r="G7" s="2"/>
      <c r="H7" s="62" t="s">
        <v>59</v>
      </c>
      <c r="I7" s="62"/>
      <c r="J7" s="62"/>
      <c r="K7" s="62"/>
    </row>
    <row r="8" spans="1:11" ht="15.6" x14ac:dyDescent="0.3">
      <c r="A8" s="3" t="s">
        <v>7</v>
      </c>
      <c r="B8" s="4" t="s">
        <v>8</v>
      </c>
      <c r="C8" s="3" t="s">
        <v>9</v>
      </c>
      <c r="D8" s="5" t="s">
        <v>10</v>
      </c>
      <c r="E8" s="5" t="s">
        <v>11</v>
      </c>
      <c r="F8" s="5" t="s">
        <v>12</v>
      </c>
      <c r="G8" s="5" t="s">
        <v>13</v>
      </c>
      <c r="H8" s="3" t="s">
        <v>14</v>
      </c>
      <c r="I8" s="5" t="s">
        <v>15</v>
      </c>
      <c r="J8" s="5" t="s">
        <v>16</v>
      </c>
      <c r="K8" s="6" t="s">
        <v>17</v>
      </c>
    </row>
    <row r="9" spans="1:11" ht="27.6" x14ac:dyDescent="0.3">
      <c r="A9" s="8">
        <v>1</v>
      </c>
      <c r="B9" s="58" t="s">
        <v>49</v>
      </c>
      <c r="C9" s="10"/>
      <c r="D9" s="11"/>
      <c r="E9" s="12"/>
      <c r="F9" s="12"/>
      <c r="G9" s="13"/>
      <c r="H9" s="14"/>
      <c r="I9" s="13"/>
      <c r="J9" s="15"/>
      <c r="K9" s="12"/>
    </row>
    <row r="10" spans="1:11" x14ac:dyDescent="0.3">
      <c r="A10" s="8"/>
      <c r="B10" s="9"/>
      <c r="C10" s="17">
        <f>2*0.5</f>
        <v>1</v>
      </c>
      <c r="D10" s="18">
        <f>(10+16+31+22+16+15+12+14+29+31+25)/3.281</f>
        <v>67.357512953367873</v>
      </c>
      <c r="E10" s="18">
        <v>0.45</v>
      </c>
      <c r="F10" s="18">
        <v>1.25</v>
      </c>
      <c r="G10" s="19">
        <f>(PRODUCT(C10:F10))</f>
        <v>37.888601036269435</v>
      </c>
      <c r="H10" s="20"/>
      <c r="I10" s="20"/>
      <c r="J10" s="20"/>
      <c r="K10" s="12"/>
    </row>
    <row r="11" spans="1:11" x14ac:dyDescent="0.3">
      <c r="A11" s="8"/>
      <c r="B11" s="9" t="s">
        <v>18</v>
      </c>
      <c r="C11" s="10"/>
      <c r="D11" s="11"/>
      <c r="E11" s="12"/>
      <c r="F11" s="12"/>
      <c r="G11" s="13">
        <f>SUM(G10:G10)</f>
        <v>37.888601036269435</v>
      </c>
      <c r="H11" s="14" t="s">
        <v>19</v>
      </c>
      <c r="I11" s="13">
        <v>663.31</v>
      </c>
      <c r="J11" s="15">
        <f>G11*I11</f>
        <v>25131.887953367877</v>
      </c>
      <c r="K11" s="12"/>
    </row>
    <row r="12" spans="1:11" x14ac:dyDescent="0.3">
      <c r="A12" s="8"/>
      <c r="B12" s="9"/>
      <c r="C12" s="10"/>
      <c r="D12" s="11"/>
      <c r="E12" s="12"/>
      <c r="F12" s="12"/>
      <c r="G12" s="13"/>
      <c r="H12" s="14"/>
      <c r="I12" s="13"/>
      <c r="J12" s="15"/>
      <c r="K12" s="12"/>
    </row>
    <row r="13" spans="1:11" x14ac:dyDescent="0.3">
      <c r="A13" s="8"/>
      <c r="B13" s="9"/>
      <c r="C13" s="10"/>
      <c r="D13" s="11"/>
      <c r="E13" s="12"/>
      <c r="F13" s="12"/>
      <c r="G13" s="13"/>
      <c r="H13" s="14"/>
      <c r="I13" s="13"/>
      <c r="J13" s="15"/>
      <c r="K13" s="12"/>
    </row>
    <row r="14" spans="1:11" ht="55.2" x14ac:dyDescent="0.3">
      <c r="A14" s="8">
        <v>2</v>
      </c>
      <c r="B14" s="7" t="s">
        <v>44</v>
      </c>
      <c r="C14" s="10"/>
      <c r="D14" s="11"/>
      <c r="E14" s="12"/>
      <c r="F14" s="12"/>
      <c r="G14" s="13"/>
      <c r="H14" s="14"/>
      <c r="I14" s="13"/>
      <c r="J14" s="15"/>
      <c r="K14" s="12"/>
    </row>
    <row r="15" spans="1:11" x14ac:dyDescent="0.3">
      <c r="A15" s="8"/>
      <c r="B15" s="9" t="s">
        <v>54</v>
      </c>
      <c r="C15" s="10">
        <f>10*8+15*10+30*10+19*10+15*10+13*10+10*9+12*10+25*10+30*10+23*7</f>
        <v>1921</v>
      </c>
      <c r="D15" s="11"/>
      <c r="E15" s="12"/>
      <c r="F15" s="18"/>
      <c r="G15" s="19">
        <f>(PRODUCT(C15:F15))</f>
        <v>1921</v>
      </c>
      <c r="H15" s="14"/>
      <c r="I15" s="13"/>
      <c r="J15" s="15"/>
      <c r="K15" s="64" t="s">
        <v>50</v>
      </c>
    </row>
    <row r="16" spans="1:11" x14ac:dyDescent="0.3">
      <c r="A16" s="8"/>
      <c r="B16" s="9" t="s">
        <v>18</v>
      </c>
      <c r="C16" s="10"/>
      <c r="D16" s="11"/>
      <c r="E16" s="12"/>
      <c r="F16" s="12"/>
      <c r="G16" s="13">
        <f>SUM(G15:G15)</f>
        <v>1921</v>
      </c>
      <c r="H16" s="14" t="s">
        <v>48</v>
      </c>
      <c r="I16" s="13">
        <v>92</v>
      </c>
      <c r="J16" s="15">
        <f>G16*I16</f>
        <v>176732</v>
      </c>
      <c r="K16" s="65"/>
    </row>
    <row r="17" spans="1:11" x14ac:dyDescent="0.3">
      <c r="A17" s="8"/>
      <c r="B17" s="9"/>
      <c r="C17" s="10"/>
      <c r="D17" s="11"/>
      <c r="E17" s="12"/>
      <c r="F17" s="12"/>
      <c r="G17" s="13"/>
      <c r="H17" s="14"/>
      <c r="I17" s="13"/>
      <c r="J17" s="15"/>
      <c r="K17" s="12"/>
    </row>
    <row r="18" spans="1:11" ht="27.6" x14ac:dyDescent="0.3">
      <c r="A18" s="8">
        <v>3</v>
      </c>
      <c r="B18" s="7" t="s">
        <v>45</v>
      </c>
      <c r="C18" s="10"/>
      <c r="D18" s="11"/>
      <c r="E18" s="12"/>
      <c r="F18" s="12"/>
      <c r="G18" s="13"/>
      <c r="H18" s="14"/>
      <c r="I18" s="13"/>
      <c r="J18" s="15"/>
      <c r="K18" s="12"/>
    </row>
    <row r="19" spans="1:11" x14ac:dyDescent="0.3">
      <c r="A19" s="8"/>
      <c r="B19" s="9" t="s">
        <v>46</v>
      </c>
      <c r="C19" s="36">
        <v>70</v>
      </c>
      <c r="D19" s="18">
        <v>3</v>
      </c>
      <c r="E19" s="18"/>
      <c r="F19" s="18"/>
      <c r="G19" s="19">
        <f>PRODUCT(C19:F19)</f>
        <v>210</v>
      </c>
      <c r="H19" s="20"/>
      <c r="I19" s="20"/>
      <c r="J19" s="20"/>
      <c r="K19" s="12"/>
    </row>
    <row r="20" spans="1:11" x14ac:dyDescent="0.3">
      <c r="A20" s="8"/>
      <c r="B20" s="9" t="s">
        <v>47</v>
      </c>
      <c r="C20" s="36">
        <v>1</v>
      </c>
      <c r="D20" s="18">
        <f>(10*6+16*8+31*6+22*6+16*6+15*4+12*6+14*6+30*6+31*6+25*6)</f>
        <v>1334</v>
      </c>
      <c r="E20" s="18"/>
      <c r="F20" s="18"/>
      <c r="G20" s="19">
        <f>(PRODUCT(C20:F20))/4/6</f>
        <v>55.583333333333336</v>
      </c>
      <c r="H20" s="20"/>
      <c r="I20" s="20"/>
      <c r="J20" s="20"/>
      <c r="K20" s="12"/>
    </row>
    <row r="21" spans="1:11" x14ac:dyDescent="0.3">
      <c r="A21" s="8"/>
      <c r="B21" s="9" t="s">
        <v>18</v>
      </c>
      <c r="C21" s="10"/>
      <c r="D21" s="11"/>
      <c r="E21" s="12"/>
      <c r="F21" s="12"/>
      <c r="G21" s="13">
        <f>TRUNC((SUM(G19:G20))/6,0)+1</f>
        <v>45</v>
      </c>
      <c r="H21" s="14" t="s">
        <v>9</v>
      </c>
      <c r="I21" s="13">
        <v>240</v>
      </c>
      <c r="J21" s="15">
        <f>G21*I21</f>
        <v>10800</v>
      </c>
      <c r="K21" s="12"/>
    </row>
    <row r="22" spans="1:11" x14ac:dyDescent="0.3">
      <c r="A22" s="8"/>
      <c r="B22" s="9" t="s">
        <v>20</v>
      </c>
      <c r="C22" s="10"/>
      <c r="D22" s="11"/>
      <c r="E22" s="12"/>
      <c r="F22" s="12"/>
      <c r="G22" s="13"/>
      <c r="H22" s="14"/>
      <c r="I22" s="13"/>
      <c r="J22" s="15">
        <f>0.13*J21</f>
        <v>1404</v>
      </c>
      <c r="K22" s="12"/>
    </row>
    <row r="23" spans="1:11" x14ac:dyDescent="0.3">
      <c r="A23" s="8"/>
      <c r="B23" s="9"/>
      <c r="C23" s="10"/>
      <c r="D23" s="11"/>
      <c r="E23" s="12"/>
      <c r="F23" s="12"/>
      <c r="G23" s="13"/>
      <c r="H23" s="14"/>
      <c r="I23" s="13"/>
      <c r="J23" s="15"/>
      <c r="K23" s="12"/>
    </row>
    <row r="24" spans="1:11" x14ac:dyDescent="0.3">
      <c r="A24" s="8">
        <v>4</v>
      </c>
      <c r="B24" s="59" t="s">
        <v>51</v>
      </c>
      <c r="C24" s="10">
        <v>1</v>
      </c>
      <c r="D24" s="11"/>
      <c r="E24" s="12"/>
      <c r="F24" s="12"/>
      <c r="G24" s="25">
        <f t="shared" ref="G24" si="0">PRODUCT(C24:F24)</f>
        <v>1</v>
      </c>
      <c r="H24" s="14" t="s">
        <v>52</v>
      </c>
      <c r="I24" s="13">
        <f>G16*5-5</f>
        <v>9600</v>
      </c>
      <c r="J24" s="25">
        <f>G24*I24</f>
        <v>9600</v>
      </c>
      <c r="K24" s="12"/>
    </row>
    <row r="25" spans="1:11" x14ac:dyDescent="0.3">
      <c r="A25" s="8"/>
      <c r="B25" s="9"/>
      <c r="C25" s="10"/>
      <c r="D25" s="11"/>
      <c r="E25" s="12"/>
      <c r="F25" s="12"/>
      <c r="G25" s="13"/>
      <c r="H25" s="14"/>
      <c r="I25" s="13"/>
      <c r="J25" s="15"/>
      <c r="K25" s="12"/>
    </row>
    <row r="26" spans="1:11" x14ac:dyDescent="0.3">
      <c r="A26" s="8">
        <v>5</v>
      </c>
      <c r="B26" s="7" t="s">
        <v>21</v>
      </c>
      <c r="C26" s="10">
        <v>1</v>
      </c>
      <c r="D26" s="11"/>
      <c r="E26" s="12"/>
      <c r="F26" s="12"/>
      <c r="G26" s="25">
        <f t="shared" ref="G26" si="1">PRODUCT(C26:F26)</f>
        <v>1</v>
      </c>
      <c r="H26" s="14" t="s">
        <v>22</v>
      </c>
      <c r="I26" s="13">
        <v>500</v>
      </c>
      <c r="J26" s="25">
        <f>G26*I26</f>
        <v>500</v>
      </c>
      <c r="K26" s="12"/>
    </row>
    <row r="27" spans="1:11" x14ac:dyDescent="0.3">
      <c r="A27" s="8"/>
      <c r="B27" s="24"/>
      <c r="C27" s="10"/>
      <c r="D27" s="11"/>
      <c r="E27" s="12"/>
      <c r="F27" s="12"/>
      <c r="G27" s="13"/>
      <c r="H27" s="14"/>
      <c r="I27" s="13"/>
      <c r="J27" s="15"/>
      <c r="K27" s="12"/>
    </row>
    <row r="28" spans="1:11" x14ac:dyDescent="0.3">
      <c r="A28" s="20"/>
      <c r="B28" s="35" t="s">
        <v>29</v>
      </c>
      <c r="C28" s="36"/>
      <c r="D28" s="18"/>
      <c r="E28" s="18"/>
      <c r="F28" s="18"/>
      <c r="G28" s="15"/>
      <c r="H28" s="15"/>
      <c r="I28" s="15"/>
      <c r="J28" s="15">
        <f>SUM(J9:J26)</f>
        <v>224167.88795336787</v>
      </c>
      <c r="K28" s="17"/>
    </row>
    <row r="29" spans="1:11" x14ac:dyDescent="0.3">
      <c r="A29" s="52"/>
      <c r="B29" s="53"/>
      <c r="C29" s="54"/>
      <c r="D29" s="55"/>
      <c r="E29" s="55"/>
      <c r="F29" s="55"/>
      <c r="G29" s="56"/>
      <c r="H29" s="56"/>
      <c r="I29" s="56"/>
      <c r="J29" s="56"/>
      <c r="K29" s="57"/>
    </row>
    <row r="30" spans="1:11" x14ac:dyDescent="0.3">
      <c r="A30" s="26"/>
      <c r="B30" s="22" t="s">
        <v>57</v>
      </c>
      <c r="C30" s="60">
        <f>J28</f>
        <v>224167.88795336787</v>
      </c>
      <c r="D30" s="60"/>
      <c r="E30" s="19">
        <v>100</v>
      </c>
      <c r="F30" s="27"/>
      <c r="G30" s="28"/>
      <c r="H30" s="27"/>
      <c r="I30" s="29"/>
      <c r="J30" s="30"/>
      <c r="K30" s="31"/>
    </row>
    <row r="31" spans="1:11" x14ac:dyDescent="0.3">
      <c r="A31" s="32"/>
      <c r="B31" s="22" t="s">
        <v>24</v>
      </c>
      <c r="C31" s="63">
        <v>200000</v>
      </c>
      <c r="D31" s="63"/>
      <c r="E31" s="19"/>
      <c r="F31" s="33"/>
      <c r="G31" s="34"/>
      <c r="H31" s="34"/>
      <c r="I31" s="34"/>
      <c r="J31" s="34"/>
      <c r="K31" s="33"/>
    </row>
    <row r="32" spans="1:11" x14ac:dyDescent="0.3">
      <c r="A32" s="32"/>
      <c r="B32" s="22" t="s">
        <v>25</v>
      </c>
      <c r="C32" s="63">
        <f>C31-C34-C35</f>
        <v>190000</v>
      </c>
      <c r="D32" s="63"/>
      <c r="E32" s="19">
        <f>C32/C30*100</f>
        <v>84.757902541118838</v>
      </c>
      <c r="F32" s="33"/>
      <c r="G32" s="34"/>
      <c r="H32" s="34"/>
      <c r="I32" s="34"/>
      <c r="J32" s="34"/>
      <c r="K32" s="33"/>
    </row>
    <row r="33" spans="1:11" x14ac:dyDescent="0.3">
      <c r="A33" s="32"/>
      <c r="B33" s="22" t="s">
        <v>26</v>
      </c>
      <c r="C33" s="60">
        <f>C30-C32</f>
        <v>34167.88795336787</v>
      </c>
      <c r="D33" s="60"/>
      <c r="E33" s="19">
        <f>100-E32</f>
        <v>15.242097458881162</v>
      </c>
      <c r="F33" s="33"/>
      <c r="G33" s="34"/>
      <c r="H33" s="34"/>
      <c r="I33" s="34"/>
      <c r="J33" s="34"/>
      <c r="K33" s="33"/>
    </row>
    <row r="34" spans="1:11" x14ac:dyDescent="0.3">
      <c r="A34" s="32"/>
      <c r="B34" s="22" t="s">
        <v>27</v>
      </c>
      <c r="C34" s="60">
        <f>C31*0.03</f>
        <v>6000</v>
      </c>
      <c r="D34" s="60"/>
      <c r="E34" s="19">
        <v>3</v>
      </c>
      <c r="F34" s="33"/>
      <c r="G34" s="34"/>
      <c r="H34" s="34"/>
      <c r="I34" s="34"/>
      <c r="J34" s="34"/>
      <c r="K34" s="33"/>
    </row>
    <row r="35" spans="1:11" x14ac:dyDescent="0.3">
      <c r="A35" s="32"/>
      <c r="B35" s="22" t="s">
        <v>28</v>
      </c>
      <c r="C35" s="60">
        <f>C31*0.02</f>
        <v>4000</v>
      </c>
      <c r="D35" s="60"/>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Estimate</vt:lpstr>
      <vt:lpstr>WCR</vt:lpstr>
      <vt:lpstr>V</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2025-06-16T23:56:23Z</dcterms:modified>
</cp:coreProperties>
</file>