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ganapati baatika mandir samrakxan\"/>
    </mc:Choice>
  </mc:AlternateContent>
  <bookViews>
    <workbookView xWindow="-120" yWindow="-120" windowWidth="20736" windowHeight="11160" activeTab="4"/>
  </bookViews>
  <sheets>
    <sheet name="re-estimate" sheetId="18" r:id="rId1"/>
    <sheet name="WCR" sheetId="6" r:id="rId2"/>
    <sheet name="V" sheetId="19" r:id="rId3"/>
    <sheet name="M" sheetId="20" r:id="rId4"/>
    <sheet name="Sheet1" sheetId="21" r:id="rId5"/>
  </sheets>
  <externalReferences>
    <externalReference r:id="rId6"/>
    <externalReference r:id="rId7"/>
    <externalReference r:id="rId8"/>
    <externalReference r:id="rId9"/>
    <externalReference r:id="rId10"/>
    <externalReference r:id="rId11"/>
  </externalReferences>
  <definedNames>
    <definedName name="description_103">[1]Abstract!$B$16</definedName>
    <definedName name="description_124" localSheetId="3">#REF!</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3">M!$A$1:$K$44</definedName>
    <definedName name="_xlnm.Print_Area" localSheetId="0">'re-estimate'!$A$1:$K$39</definedName>
    <definedName name="_xlnm.Print_Area" localSheetId="2">V!$A$1:$K$44</definedName>
    <definedName name="_xlnm.Print_Area" localSheetId="1">WCR!$A$1:$K$26</definedName>
    <definedName name="_xlnm.Print_Titles" localSheetId="3">M!$1:$8</definedName>
    <definedName name="_xlnm.Print_Titles" localSheetId="0">'re-estimate'!$1:$8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7" i="21" l="1"/>
  <c r="H17" i="21" s="1"/>
  <c r="G15" i="21"/>
  <c r="G14" i="21"/>
  <c r="H14" i="21" s="1"/>
  <c r="I14" i="21" s="1"/>
  <c r="O24" i="19"/>
  <c r="G16" i="21"/>
  <c r="H16" i="21"/>
  <c r="I13" i="21"/>
  <c r="I12" i="21"/>
  <c r="H13" i="21"/>
  <c r="G13" i="21"/>
  <c r="H12" i="21"/>
  <c r="G12" i="21"/>
  <c r="I16" i="21" l="1"/>
  <c r="I17" i="21"/>
  <c r="H15" i="21"/>
  <c r="I15" i="21" l="1"/>
  <c r="B14" i="6" l="1"/>
  <c r="C44" i="20"/>
  <c r="C43" i="20"/>
  <c r="C41" i="20" s="1"/>
  <c r="G35" i="20"/>
  <c r="J35" i="20" s="1"/>
  <c r="N32" i="20"/>
  <c r="M32" i="20"/>
  <c r="G31" i="20"/>
  <c r="G30" i="20"/>
  <c r="G29" i="20"/>
  <c r="G28" i="20"/>
  <c r="N24" i="20"/>
  <c r="M24" i="20"/>
  <c r="C23" i="20"/>
  <c r="G23" i="20" s="1"/>
  <c r="C22" i="20"/>
  <c r="G22" i="20" s="1"/>
  <c r="G24" i="20" s="1"/>
  <c r="G21" i="20"/>
  <c r="G17" i="20"/>
  <c r="G18" i="20" s="1"/>
  <c r="J18" i="20" s="1"/>
  <c r="G16" i="20"/>
  <c r="B16" i="20"/>
  <c r="E11" i="20"/>
  <c r="G11" i="20" s="1"/>
  <c r="G10" i="20"/>
  <c r="G12" i="20" s="1"/>
  <c r="E10" i="20"/>
  <c r="E10" i="19"/>
  <c r="G32" i="20" l="1"/>
  <c r="J33" i="20" s="1"/>
  <c r="J13" i="20"/>
  <c r="J12" i="20"/>
  <c r="J24" i="20"/>
  <c r="J25" i="20"/>
  <c r="G17" i="19"/>
  <c r="G11" i="19"/>
  <c r="E11" i="19"/>
  <c r="G31" i="19"/>
  <c r="C23" i="19"/>
  <c r="C22" i="19"/>
  <c r="J32" i="20" l="1"/>
  <c r="J37" i="20"/>
  <c r="C39" i="20" s="1"/>
  <c r="G29" i="19"/>
  <c r="G30" i="19"/>
  <c r="C42" i="20" l="1"/>
  <c r="E41" i="20"/>
  <c r="E42" i="20" s="1"/>
  <c r="H24" i="6"/>
  <c r="E24" i="6"/>
  <c r="C24" i="6"/>
  <c r="B24" i="6"/>
  <c r="A24" i="6"/>
  <c r="H21" i="6"/>
  <c r="E21" i="6"/>
  <c r="C21" i="6"/>
  <c r="B22" i="6"/>
  <c r="B21" i="6"/>
  <c r="A21" i="6"/>
  <c r="H18" i="6"/>
  <c r="E18" i="6"/>
  <c r="C18" i="6"/>
  <c r="B19" i="6"/>
  <c r="B18" i="6"/>
  <c r="A18" i="6"/>
  <c r="H16" i="6"/>
  <c r="E16" i="6"/>
  <c r="C16" i="6"/>
  <c r="B16" i="6"/>
  <c r="A16" i="6"/>
  <c r="H13" i="6"/>
  <c r="E13" i="6"/>
  <c r="C13" i="6"/>
  <c r="B13" i="6"/>
  <c r="A13" i="6"/>
  <c r="A9" i="6"/>
  <c r="A8" i="6"/>
  <c r="G22" i="19"/>
  <c r="G23" i="19"/>
  <c r="C44" i="19"/>
  <c r="C43" i="19"/>
  <c r="G35" i="19"/>
  <c r="J35" i="19" s="1"/>
  <c r="N32" i="19"/>
  <c r="M32" i="19"/>
  <c r="G28" i="19"/>
  <c r="N24" i="19"/>
  <c r="M24" i="19"/>
  <c r="G21" i="19"/>
  <c r="G24" i="19" s="1"/>
  <c r="B16" i="19"/>
  <c r="G32" i="19" l="1"/>
  <c r="G21" i="6" s="1"/>
  <c r="I21" i="6" s="1"/>
  <c r="G18" i="6"/>
  <c r="I18" i="6" s="1"/>
  <c r="C41" i="19"/>
  <c r="G24" i="6"/>
  <c r="G10" i="19"/>
  <c r="G12" i="19" s="1"/>
  <c r="G16" i="19"/>
  <c r="G18" i="19" s="1"/>
  <c r="J32" i="19"/>
  <c r="E10" i="18"/>
  <c r="D10" i="18"/>
  <c r="D15" i="18" s="1"/>
  <c r="D20" i="18"/>
  <c r="G20" i="18" s="1"/>
  <c r="E15" i="18"/>
  <c r="B15" i="18"/>
  <c r="J33" i="19" l="1"/>
  <c r="I22" i="6" s="1"/>
  <c r="J18" i="19"/>
  <c r="G16" i="6"/>
  <c r="I16" i="6" s="1"/>
  <c r="J13" i="19"/>
  <c r="I14" i="6" s="1"/>
  <c r="G13" i="6"/>
  <c r="J12" i="19"/>
  <c r="G15" i="18"/>
  <c r="G16" i="18" s="1"/>
  <c r="J24" i="19"/>
  <c r="J25" i="19"/>
  <c r="I19" i="6" s="1"/>
  <c r="D21" i="18"/>
  <c r="G21" i="18" s="1"/>
  <c r="J37" i="19" l="1"/>
  <c r="C39" i="19" s="1"/>
  <c r="C42" i="19" s="1"/>
  <c r="J16" i="18"/>
  <c r="D16" i="6"/>
  <c r="F16" i="6" s="1"/>
  <c r="M16" i="6" s="1"/>
  <c r="D26" i="18"/>
  <c r="J16" i="6" l="1"/>
  <c r="E41" i="19"/>
  <c r="E42" i="19" s="1"/>
  <c r="G19" i="18"/>
  <c r="G22" i="18" s="1"/>
  <c r="D18" i="6" s="1"/>
  <c r="F18" i="6" s="1"/>
  <c r="J18" i="6" s="1"/>
  <c r="N27" i="18"/>
  <c r="M27" i="18"/>
  <c r="G26" i="18"/>
  <c r="N22" i="18"/>
  <c r="M22" i="18"/>
  <c r="J23" i="18" l="1"/>
  <c r="F19" i="6" s="1"/>
  <c r="J19" i="6" s="1"/>
  <c r="G27" i="18"/>
  <c r="J28" i="18" l="1"/>
  <c r="F22" i="6" s="1"/>
  <c r="J22" i="6" s="1"/>
  <c r="D21" i="6"/>
  <c r="F21" i="6" s="1"/>
  <c r="J21" i="6" s="1"/>
  <c r="J27" i="18"/>
  <c r="J22" i="18"/>
  <c r="G10" i="18" l="1"/>
  <c r="G11" i="18" l="1"/>
  <c r="C39" i="18"/>
  <c r="C38" i="18"/>
  <c r="G30" i="18"/>
  <c r="J30" i="18" l="1"/>
  <c r="D24" i="6"/>
  <c r="J12" i="18"/>
  <c r="F14" i="6" s="1"/>
  <c r="J14" i="6" s="1"/>
  <c r="D13" i="6"/>
  <c r="J11" i="18"/>
  <c r="J32" i="18" s="1"/>
  <c r="C36" i="18"/>
  <c r="C34" i="18" l="1"/>
  <c r="C37" i="18" l="1"/>
  <c r="E36" i="18"/>
  <c r="E37" i="18" s="1"/>
  <c r="I24" i="6" l="1"/>
  <c r="F24" i="6"/>
  <c r="J24" i="6" l="1"/>
  <c r="I13" i="6"/>
  <c r="I26" i="6" s="1"/>
  <c r="F13" i="6" l="1"/>
  <c r="J13" i="6" l="1"/>
  <c r="M13" i="6"/>
  <c r="F26" i="6"/>
  <c r="J26" i="6" s="1"/>
  <c r="J6" i="6" l="1"/>
  <c r="C6" i="6" l="1"/>
</calcChain>
</file>

<file path=xl/sharedStrings.xml><?xml version="1.0" encoding="utf-8"?>
<sst xmlns="http://schemas.openxmlformats.org/spreadsheetml/2006/main" count="175" uniqueCount="65">
  <si>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</si>
  <si>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</si>
  <si>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</si>
  <si>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</si>
  <si>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</si>
  <si>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</si>
  <si>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</si>
  <si>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</si>
  <si>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</si>
  <si>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</si>
  <si>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</si>
  <si>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</si>
  <si>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</si>
  <si>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</si>
  <si>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</si>
  <si>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</si>
  <si>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</si>
  <si>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</si>
  <si>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</si>
  <si>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</si>
  <si>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</si>
  <si>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</si>
  <si>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</si>
  <si>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</si>
  <si>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</si>
  <si>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</si>
  <si>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</si>
  <si>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</si>
  <si>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</si>
  <si>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</si>
  <si>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</si>
  <si>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</si>
  <si>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</si>
  <si>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</si>
  <si>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</si>
  <si>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</si>
  <si>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</si>
  <si>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</si>
  <si>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m3</t>
  </si>
  <si>
    <t>Sub-total</t>
  </si>
  <si>
    <t>F.Y.: 2081/2082</t>
  </si>
  <si>
    <t>m2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</si>
  <si>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</si>
  <si>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</si>
  <si>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</si>
  <si>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-VAT 13% calculation</t>
  </si>
  <si>
    <t>Laying and fixing of Geo-Textile all complete as per specification., Providing  and laying of a geotextile filter between pitching and embankment slopes as per Drawing and Technical Specifications.</t>
  </si>
  <si>
    <t>-for gabion wall back edge</t>
  </si>
  <si>
    <t>Providing suitable material and Back filling behind abutment, wing wall and return wall complete as per Drawing and Technical Specifications., locally available material including compaction by tamping rod(without watering)</t>
  </si>
  <si>
    <t>Date:2081/12/08</t>
  </si>
  <si>
    <t>Project:- गणपती गणेश मन्दिर मनोहरा नदीबाट कटान संरक्षण गर्ने</t>
  </si>
  <si>
    <t xml:space="preserve">F.Y:2081/2082             </t>
  </si>
  <si>
    <t>Detail Valuated Sheet</t>
  </si>
  <si>
    <t>Total Valuated</t>
  </si>
  <si>
    <t>Detail Quantity Measurement Sheet</t>
  </si>
  <si>
    <t>Date: 2082/02/20</t>
  </si>
  <si>
    <t>Date:2082/02/20</t>
  </si>
  <si>
    <t xml:space="preserve">Date:2082/02/20       </t>
  </si>
  <si>
    <t>JCB</t>
  </si>
  <si>
    <t>VAT</t>
  </si>
  <si>
    <t>Geotextile</t>
  </si>
  <si>
    <t>mesh wire</t>
  </si>
  <si>
    <t>selvrged wire</t>
  </si>
  <si>
    <t>binding wire</t>
  </si>
  <si>
    <t>boulder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</si>
</sst>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2" fontId="13" fillId="0" borderId="1" xfId="0" applyNumberFormat="1" applyFont="1" applyFill="1" applyBorder="1" applyAlignment="1">
      <alignment vertical="center" wrapText="1"/>
    </xf>
    <xf numFmtId="0" fontId="14" fillId="0" borderId="1" xfId="0" quotePrefix="1" applyFont="1" applyBorder="1" applyAlignment="1">
      <alignment wrapText="1"/>
    </xf>
    <xf numFmtId="2" fontId="13" fillId="0" borderId="1" xfId="0" applyNumberFormat="1" applyFont="1" applyFill="1" applyBorder="1" applyAlignment="1">
      <alignment horizontal="center" vertical="center" wrapText="1"/>
    </xf>
    <xf numFmtId="0" fontId="6" fillId="0" borderId="2" xfId="0" applyFont="1" applyBorder="1" applyAlignment="1">
      <alignment horizontal="right"/>
    </xf>
    <xf numFmtId="0" fontId="6" fillId="0" borderId="0" xfId="0" applyFont="1" applyAlignment="1">
      <alignment horizontal="right"/>
    </xf>
    <xf numFmtId="0" fontId="6" fillId="0" borderId="0" xfId="0" applyFont="1" applyAlignment="1"/>
    <xf numFmtId="0" fontId="6" fillId="0" borderId="2" xfId="0" applyFont="1" applyBorder="1" applyAlignment="1"/>
    <xf numFmtId="1" fontId="6" fillId="0" borderId="1" xfId="0" applyNumberFormat="1" applyFont="1" applyFill="1" applyBorder="1" applyAlignment="1">
      <alignment horizontal="right" vertical="center" wrapText="1"/>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2" fontId="0" fillId="0" borderId="0" xfId="0" applyNumberFormat="1"/>
    <xf numFmtId="0" fontId="2" fillId="0" borderId="1" xfId="0" applyFont="1" applyBorder="1"/>
    <xf numFmtId="2" fontId="0" fillId="0" borderId="1" xfId="0" applyNumberForma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row r="3076">
          <cell r="K3076">
            <v>27957.474000000002</v>
          </cell>
        </row>
        <row r="3089">
          <cell r="K3089">
            <v>29182.103999999999</v>
          </cell>
        </row>
        <row r="3091">
          <cell r="U3091">
            <v>7708.28</v>
          </cell>
        </row>
        <row r="3102">
          <cell r="K3102">
            <v>29286.683999999997</v>
          </cell>
        </row>
        <row r="3104">
          <cell r="U3104">
            <v>7728.32</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A4" zoomScaleNormal="100" workbookViewId="0">
      <selection activeCell="O18" sqref="O18"/>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8.44140625" bestFit="1" customWidth="1"/>
    <col min="10" max="10" width="10.6640625" bestFit="1" customWidth="1"/>
  </cols>
  <sheetData>
    <row r="1" spans="1:11" s="1" customFormat="1" x14ac:dyDescent="0.3">
      <c r="A1" s="72" t="s">
        <v>0</v>
      </c>
      <c r="B1" s="72"/>
      <c r="C1" s="72"/>
      <c r="D1" s="72"/>
      <c r="E1" s="72"/>
      <c r="F1" s="72"/>
      <c r="G1" s="72"/>
      <c r="H1" s="72"/>
      <c r="I1" s="72"/>
      <c r="J1" s="72"/>
      <c r="K1" s="72"/>
    </row>
    <row r="2" spans="1:11" s="1" customFormat="1" ht="22.8" x14ac:dyDescent="0.3">
      <c r="A2" s="73" t="s">
        <v>1</v>
      </c>
      <c r="B2" s="73"/>
      <c r="C2" s="73"/>
      <c r="D2" s="73"/>
      <c r="E2" s="73"/>
      <c r="F2" s="73"/>
      <c r="G2" s="73"/>
      <c r="H2" s="73"/>
      <c r="I2" s="73"/>
      <c r="J2" s="73"/>
      <c r="K2" s="73"/>
    </row>
    <row r="3" spans="1:11" s="1" customFormat="1" x14ac:dyDescent="0.3">
      <c r="A3" s="74" t="s">
        <v>2</v>
      </c>
      <c r="B3" s="74"/>
      <c r="C3" s="74"/>
      <c r="D3" s="74"/>
      <c r="E3" s="74"/>
      <c r="F3" s="74"/>
      <c r="G3" s="74"/>
      <c r="H3" s="74"/>
      <c r="I3" s="74"/>
      <c r="J3" s="74"/>
      <c r="K3" s="74"/>
    </row>
    <row r="4" spans="1:11" s="1" customFormat="1" x14ac:dyDescent="0.3">
      <c r="A4" s="74" t="s">
        <v>3</v>
      </c>
      <c r="B4" s="74"/>
      <c r="C4" s="74"/>
      <c r="D4" s="74"/>
      <c r="E4" s="74"/>
      <c r="F4" s="74"/>
      <c r="G4" s="74"/>
      <c r="H4" s="74"/>
      <c r="I4" s="74"/>
      <c r="J4" s="74"/>
      <c r="K4" s="74"/>
    </row>
    <row r="5" spans="1:11" ht="17.399999999999999" x14ac:dyDescent="0.3">
      <c r="A5" s="75" t="s">
        <v>4</v>
      </c>
      <c r="B5" s="75"/>
      <c r="C5" s="75"/>
      <c r="D5" s="75"/>
      <c r="E5" s="75"/>
      <c r="F5" s="75"/>
      <c r="G5" s="75"/>
      <c r="H5" s="75"/>
      <c r="I5" s="75"/>
      <c r="J5" s="75"/>
      <c r="K5" s="75"/>
    </row>
    <row r="6" spans="1:11" ht="15.6" x14ac:dyDescent="0.3">
      <c r="A6" s="70" t="s">
        <v>50</v>
      </c>
      <c r="B6" s="70"/>
      <c r="C6" s="70"/>
      <c r="D6" s="70"/>
      <c r="E6" s="70"/>
      <c r="F6" s="70"/>
      <c r="G6" s="2"/>
      <c r="H6" s="71" t="s">
        <v>40</v>
      </c>
      <c r="I6" s="71"/>
      <c r="J6" s="71"/>
      <c r="K6" s="71"/>
    </row>
    <row r="7" spans="1:11" ht="15.6" x14ac:dyDescent="0.3">
      <c r="A7" s="67" t="s">
        <v>28</v>
      </c>
      <c r="B7" s="67"/>
      <c r="C7" s="67"/>
      <c r="D7" s="67"/>
      <c r="E7" s="67"/>
      <c r="F7" s="67"/>
      <c r="G7" s="3"/>
      <c r="H7" s="68" t="s">
        <v>49</v>
      </c>
      <c r="I7" s="68"/>
      <c r="J7" s="68"/>
      <c r="K7" s="68"/>
    </row>
    <row r="8" spans="1:11" ht="15" customHeight="1" x14ac:dyDescent="0.3">
      <c r="A8" s="4" t="s">
        <v>5</v>
      </c>
      <c r="B8" s="15" t="s">
        <v>6</v>
      </c>
      <c r="C8" s="4" t="s">
        <v>7</v>
      </c>
      <c r="D8" s="16" t="s">
        <v>8</v>
      </c>
      <c r="E8" s="16" t="s">
        <v>9</v>
      </c>
      <c r="F8" s="16" t="s">
        <v>10</v>
      </c>
      <c r="G8" s="16" t="s">
        <v>11</v>
      </c>
      <c r="H8" s="4" t="s">
        <v>12</v>
      </c>
      <c r="I8" s="16" t="s">
        <v>13</v>
      </c>
      <c r="J8" s="16" t="s">
        <v>14</v>
      </c>
      <c r="K8" s="17" t="s">
        <v>15</v>
      </c>
    </row>
    <row r="9" spans="1:11" ht="124.2" x14ac:dyDescent="0.3">
      <c r="A9" s="18">
        <v>1</v>
      </c>
      <c r="B9" s="29" t="s">
        <v>42</v>
      </c>
      <c r="C9" s="19"/>
      <c r="D9" s="20"/>
      <c r="E9" s="21"/>
      <c r="F9" s="21"/>
      <c r="G9" s="23"/>
      <c r="H9" s="22"/>
      <c r="I9" s="23"/>
      <c r="J9" s="40"/>
      <c r="K9" s="58"/>
    </row>
    <row r="10" spans="1:11" ht="15" customHeight="1" x14ac:dyDescent="0.3">
      <c r="A10" s="18"/>
      <c r="B10" s="36" t="s">
        <v>43</v>
      </c>
      <c r="C10" s="35">
        <v>1</v>
      </c>
      <c r="D10" s="37">
        <f>D19</f>
        <v>13</v>
      </c>
      <c r="E10" s="37">
        <f>2.5+0.2+0.2</f>
        <v>2.9000000000000004</v>
      </c>
      <c r="F10" s="37">
        <v>1</v>
      </c>
      <c r="G10" s="38">
        <f>PRODUCT(C10:F10)</f>
        <v>37.700000000000003</v>
      </c>
      <c r="H10" s="39"/>
      <c r="I10" s="39"/>
      <c r="J10" s="39"/>
      <c r="K10" s="58"/>
    </row>
    <row r="11" spans="1:11" ht="15" customHeight="1" x14ac:dyDescent="0.3">
      <c r="A11" s="18"/>
      <c r="B11" s="36" t="s">
        <v>39</v>
      </c>
      <c r="C11" s="19"/>
      <c r="D11" s="20"/>
      <c r="E11" s="21"/>
      <c r="F11" s="21"/>
      <c r="G11" s="23">
        <f>SUM(G10:G10)</f>
        <v>37.700000000000003</v>
      </c>
      <c r="H11" s="22" t="s">
        <v>38</v>
      </c>
      <c r="I11" s="23">
        <v>64.63</v>
      </c>
      <c r="J11" s="40">
        <f>G11*I11</f>
        <v>2436.5509999999999</v>
      </c>
      <c r="K11" s="58"/>
    </row>
    <row r="12" spans="1:11" ht="15" customHeight="1" x14ac:dyDescent="0.3">
      <c r="A12" s="18"/>
      <c r="B12" s="36" t="s">
        <v>45</v>
      </c>
      <c r="C12" s="19"/>
      <c r="D12" s="20"/>
      <c r="E12" s="21"/>
      <c r="F12" s="21"/>
      <c r="G12" s="23"/>
      <c r="H12" s="22"/>
      <c r="I12" s="23"/>
      <c r="J12" s="40">
        <f>0.13*G11*19284/360</f>
        <v>262.5302333333334</v>
      </c>
      <c r="K12" s="60"/>
    </row>
    <row r="13" spans="1:11" ht="15" customHeight="1" x14ac:dyDescent="0.3">
      <c r="A13" s="18"/>
      <c r="B13" s="36"/>
      <c r="C13" s="19"/>
      <c r="D13" s="20"/>
      <c r="E13" s="21"/>
      <c r="F13" s="21"/>
      <c r="G13" s="23"/>
      <c r="H13" s="22"/>
      <c r="I13" s="23"/>
      <c r="J13" s="40"/>
      <c r="K13" s="21"/>
    </row>
    <row r="14" spans="1:11" ht="97.2" x14ac:dyDescent="0.3">
      <c r="A14" s="18">
        <v>2</v>
      </c>
      <c r="B14" s="59" t="s">
        <v>48</v>
      </c>
      <c r="C14" s="19"/>
      <c r="D14" s="20"/>
      <c r="E14" s="21"/>
      <c r="F14" s="21"/>
      <c r="G14" s="23"/>
      <c r="H14" s="22"/>
      <c r="I14" s="23"/>
      <c r="J14" s="40"/>
      <c r="K14" s="21"/>
    </row>
    <row r="15" spans="1:11" ht="15" customHeight="1" x14ac:dyDescent="0.3">
      <c r="A15" s="18"/>
      <c r="B15" s="36" t="str">
        <f>B10</f>
        <v>-for gabion wall</v>
      </c>
      <c r="C15" s="19">
        <v>1</v>
      </c>
      <c r="D15" s="20">
        <f>D10</f>
        <v>13</v>
      </c>
      <c r="E15" s="21">
        <f>0.5</f>
        <v>0.5</v>
      </c>
      <c r="F15" s="21">
        <v>1</v>
      </c>
      <c r="G15" s="38">
        <f>PRODUCT(C15:F15)</f>
        <v>6.5</v>
      </c>
      <c r="H15" s="22"/>
      <c r="I15" s="23"/>
      <c r="J15" s="40"/>
      <c r="K15" s="21"/>
    </row>
    <row r="16" spans="1:11" ht="15" customHeight="1" x14ac:dyDescent="0.3">
      <c r="A16" s="18"/>
      <c r="B16" s="36" t="s">
        <v>39</v>
      </c>
      <c r="C16" s="19"/>
      <c r="D16" s="20"/>
      <c r="E16" s="21"/>
      <c r="F16" s="21"/>
      <c r="G16" s="23">
        <f>SUM(G15:G15)</f>
        <v>6.5</v>
      </c>
      <c r="H16" s="22" t="s">
        <v>38</v>
      </c>
      <c r="I16" s="23">
        <v>404.28</v>
      </c>
      <c r="J16" s="40">
        <f>G16*I16</f>
        <v>2627.8199999999997</v>
      </c>
      <c r="K16" s="21"/>
    </row>
    <row r="17" spans="1:14" ht="15" customHeight="1" x14ac:dyDescent="0.3">
      <c r="A17" s="18"/>
      <c r="B17" s="36"/>
      <c r="C17" s="19"/>
      <c r="D17" s="20"/>
      <c r="E17" s="21"/>
      <c r="F17" s="21"/>
      <c r="G17" s="23"/>
      <c r="H17" s="22"/>
      <c r="I17" s="23"/>
      <c r="J17" s="40"/>
      <c r="K17" s="21"/>
    </row>
    <row r="18" spans="1:14" ht="193.2" x14ac:dyDescent="0.3">
      <c r="A18" s="18">
        <v>3</v>
      </c>
      <c r="B18" s="29" t="s">
        <v>44</v>
      </c>
      <c r="C18" s="19"/>
      <c r="D18" s="20"/>
      <c r="E18" s="21"/>
      <c r="F18" s="21"/>
      <c r="G18" s="23"/>
      <c r="H18" s="22"/>
      <c r="I18" s="23"/>
      <c r="J18" s="40"/>
      <c r="K18" s="60"/>
    </row>
    <row r="19" spans="1:14" ht="15" customHeight="1" x14ac:dyDescent="0.3">
      <c r="A19" s="18"/>
      <c r="B19" s="36" t="s">
        <v>43</v>
      </c>
      <c r="C19" s="35">
        <v>1</v>
      </c>
      <c r="D19" s="37">
        <v>13</v>
      </c>
      <c r="E19" s="37">
        <v>2.5</v>
      </c>
      <c r="F19" s="37">
        <v>1</v>
      </c>
      <c r="G19" s="38">
        <f>PRODUCT(C19:F19)</f>
        <v>32.5</v>
      </c>
      <c r="H19" s="39"/>
      <c r="I19" s="39"/>
      <c r="J19" s="39"/>
      <c r="K19" s="58"/>
    </row>
    <row r="20" spans="1:14" ht="15" customHeight="1" x14ac:dyDescent="0.3">
      <c r="A20" s="18"/>
      <c r="B20" s="36"/>
      <c r="C20" s="35">
        <v>1</v>
      </c>
      <c r="D20" s="37">
        <f>D19</f>
        <v>13</v>
      </c>
      <c r="E20" s="37">
        <v>2</v>
      </c>
      <c r="F20" s="37">
        <v>1</v>
      </c>
      <c r="G20" s="38">
        <f>PRODUCT(C20:F20)</f>
        <v>26</v>
      </c>
      <c r="H20" s="39"/>
      <c r="I20" s="39"/>
      <c r="J20" s="39"/>
      <c r="K20" s="58"/>
    </row>
    <row r="21" spans="1:14" ht="15" customHeight="1" x14ac:dyDescent="0.3">
      <c r="A21" s="18"/>
      <c r="B21" s="36"/>
      <c r="C21" s="35">
        <v>1</v>
      </c>
      <c r="D21" s="37">
        <f>D20</f>
        <v>13</v>
      </c>
      <c r="E21" s="37">
        <v>1.5</v>
      </c>
      <c r="F21" s="37">
        <v>1</v>
      </c>
      <c r="G21" s="38">
        <f>PRODUCT(C21:F21)</f>
        <v>19.5</v>
      </c>
      <c r="H21" s="39"/>
      <c r="I21" s="39"/>
      <c r="J21" s="39"/>
      <c r="K21" s="58"/>
    </row>
    <row r="22" spans="1:14" ht="15" customHeight="1" x14ac:dyDescent="0.3">
      <c r="A22" s="18"/>
      <c r="B22" s="36" t="s">
        <v>39</v>
      </c>
      <c r="C22" s="19"/>
      <c r="D22" s="20"/>
      <c r="E22" s="21"/>
      <c r="F22" s="21"/>
      <c r="G22" s="23">
        <f>SUM(G19:G21)</f>
        <v>78</v>
      </c>
      <c r="H22" s="22" t="s">
        <v>38</v>
      </c>
      <c r="I22" s="23">
        <v>6509.3</v>
      </c>
      <c r="J22" s="40">
        <f>G22*I22</f>
        <v>507725.4</v>
      </c>
      <c r="K22" s="21"/>
      <c r="M22">
        <f>(7208.94+7297.22+[5]Rate_Analysis!$U$3091+[5]Rate_Analysis!$U$3104)/4</f>
        <v>7485.69</v>
      </c>
      <c r="N22">
        <f>([5]Rate_Analysis!$K$3063/6+[5]Rate_Analysis!$K$3076/6++[5]Rate_Analysis!$K$3089/6+[5]Rate_Analysis!$K$3102/6)/4</f>
        <v>4746.7977499999997</v>
      </c>
    </row>
    <row r="23" spans="1:14" ht="15" customHeight="1" x14ac:dyDescent="0.3">
      <c r="A23" s="18"/>
      <c r="B23" s="36" t="s">
        <v>45</v>
      </c>
      <c r="C23" s="19"/>
      <c r="D23" s="20"/>
      <c r="E23" s="21"/>
      <c r="F23" s="21"/>
      <c r="G23" s="23"/>
      <c r="H23" s="22"/>
      <c r="I23" s="23"/>
      <c r="J23" s="40">
        <f>0.13*G22*4746.798</f>
        <v>48132.531719999999</v>
      </c>
      <c r="K23" s="21"/>
    </row>
    <row r="24" spans="1:14" ht="15" customHeight="1" x14ac:dyDescent="0.3">
      <c r="A24" s="18"/>
      <c r="B24" s="36"/>
      <c r="C24" s="19"/>
      <c r="D24" s="20"/>
      <c r="E24" s="21"/>
      <c r="F24" s="21"/>
      <c r="G24" s="23"/>
      <c r="H24" s="22"/>
      <c r="I24" s="23"/>
      <c r="J24" s="40"/>
      <c r="K24" s="21"/>
    </row>
    <row r="25" spans="1:14" ht="82.8" x14ac:dyDescent="0.3">
      <c r="A25" s="18">
        <v>4</v>
      </c>
      <c r="B25" s="29" t="s">
        <v>46</v>
      </c>
      <c r="C25" s="19"/>
      <c r="D25" s="20"/>
      <c r="E25" s="21"/>
      <c r="F25" s="21"/>
      <c r="G25" s="23"/>
      <c r="H25" s="22"/>
      <c r="I25" s="23"/>
      <c r="J25" s="40"/>
      <c r="K25" s="58"/>
    </row>
    <row r="26" spans="1:14" ht="15" customHeight="1" x14ac:dyDescent="0.3">
      <c r="A26" s="18"/>
      <c r="B26" s="36" t="s">
        <v>47</v>
      </c>
      <c r="C26" s="35">
        <v>1</v>
      </c>
      <c r="D26" s="37">
        <f>D19</f>
        <v>13</v>
      </c>
      <c r="E26" s="37"/>
      <c r="F26" s="37">
        <v>3</v>
      </c>
      <c r="G26" s="38">
        <f>PRODUCT(C26:F26)</f>
        <v>39</v>
      </c>
      <c r="H26" s="39"/>
      <c r="I26" s="39"/>
      <c r="J26" s="39"/>
      <c r="K26" s="21"/>
    </row>
    <row r="27" spans="1:14" ht="15" customHeight="1" x14ac:dyDescent="0.3">
      <c r="A27" s="18"/>
      <c r="B27" s="36" t="s">
        <v>39</v>
      </c>
      <c r="C27" s="19"/>
      <c r="D27" s="20"/>
      <c r="E27" s="21"/>
      <c r="F27" s="21"/>
      <c r="G27" s="23">
        <f>SUM(G26:G26)</f>
        <v>39</v>
      </c>
      <c r="H27" s="22" t="s">
        <v>41</v>
      </c>
      <c r="I27" s="23">
        <v>161.41999999999999</v>
      </c>
      <c r="J27" s="40">
        <f>G27*I27</f>
        <v>6295.3799999999992</v>
      </c>
      <c r="K27" s="21"/>
      <c r="M27">
        <f>(7208.94+7297.22+[5]Rate_Analysis!$U$3091+[5]Rate_Analysis!$U$3104)/4</f>
        <v>7485.69</v>
      </c>
      <c r="N27">
        <f>([5]Rate_Analysis!$K$3063/6+[5]Rate_Analysis!$K$3076/6++[5]Rate_Analysis!$K$3089/6+[5]Rate_Analysis!$K$3102/6)/4</f>
        <v>4746.7977499999997</v>
      </c>
    </row>
    <row r="28" spans="1:14" ht="15" customHeight="1" x14ac:dyDescent="0.3">
      <c r="A28" s="18"/>
      <c r="B28" s="36" t="s">
        <v>45</v>
      </c>
      <c r="C28" s="19"/>
      <c r="D28" s="20"/>
      <c r="E28" s="21"/>
      <c r="F28" s="21"/>
      <c r="G28" s="23"/>
      <c r="H28" s="22"/>
      <c r="I28" s="23"/>
      <c r="J28" s="40">
        <f>0.13*G27*45360/300</f>
        <v>766.58400000000006</v>
      </c>
      <c r="K28" s="21"/>
    </row>
    <row r="29" spans="1:14" ht="15" customHeight="1" x14ac:dyDescent="0.3">
      <c r="A29" s="18"/>
      <c r="B29" s="36"/>
      <c r="C29" s="19"/>
      <c r="D29" s="20"/>
      <c r="E29" s="21"/>
      <c r="F29" s="21"/>
      <c r="G29" s="23"/>
      <c r="H29" s="22"/>
      <c r="I29" s="23"/>
      <c r="J29" s="40"/>
      <c r="K29" s="21"/>
    </row>
    <row r="30" spans="1:14" ht="15" customHeight="1" x14ac:dyDescent="0.3">
      <c r="A30" s="18">
        <v>5</v>
      </c>
      <c r="B30" s="29" t="s">
        <v>30</v>
      </c>
      <c r="C30" s="19">
        <v>1</v>
      </c>
      <c r="D30" s="20"/>
      <c r="E30" s="21"/>
      <c r="F30" s="21"/>
      <c r="G30" s="33">
        <f t="shared" ref="G30" si="0">PRODUCT(C30:F30)</f>
        <v>1</v>
      </c>
      <c r="H30" s="22" t="s">
        <v>31</v>
      </c>
      <c r="I30" s="23">
        <v>500</v>
      </c>
      <c r="J30" s="33">
        <f>G30*I30</f>
        <v>500</v>
      </c>
      <c r="K30" s="21"/>
    </row>
    <row r="31" spans="1:14" ht="15" customHeight="1" x14ac:dyDescent="0.3">
      <c r="A31" s="18"/>
      <c r="B31" s="24"/>
      <c r="C31" s="19"/>
      <c r="D31" s="20"/>
      <c r="E31" s="21"/>
      <c r="F31" s="21"/>
      <c r="G31" s="23"/>
      <c r="H31" s="22"/>
      <c r="I31" s="23"/>
      <c r="J31" s="40"/>
      <c r="K31" s="21"/>
    </row>
    <row r="32" spans="1:14" x14ac:dyDescent="0.3">
      <c r="A32" s="39"/>
      <c r="B32" s="41" t="s">
        <v>17</v>
      </c>
      <c r="C32" s="42"/>
      <c r="D32" s="37"/>
      <c r="E32" s="37"/>
      <c r="F32" s="37"/>
      <c r="G32" s="40"/>
      <c r="H32" s="40"/>
      <c r="I32" s="40"/>
      <c r="J32" s="40">
        <f>SUM(J9:J30)</f>
        <v>568746.79695333343</v>
      </c>
      <c r="K32" s="35"/>
    </row>
    <row r="33" spans="1:11" x14ac:dyDescent="0.3">
      <c r="A33" s="53"/>
      <c r="B33" s="56"/>
      <c r="C33" s="57"/>
      <c r="D33" s="54"/>
      <c r="E33" s="54"/>
      <c r="F33" s="54"/>
      <c r="G33" s="55"/>
      <c r="H33" s="55"/>
      <c r="I33" s="55"/>
      <c r="J33" s="55"/>
      <c r="K33" s="52"/>
    </row>
    <row r="34" spans="1:11" s="1" customFormat="1" x14ac:dyDescent="0.3">
      <c r="A34" s="45"/>
      <c r="B34" s="28" t="s">
        <v>27</v>
      </c>
      <c r="C34" s="66">
        <f>J32</f>
        <v>568746.79695333343</v>
      </c>
      <c r="D34" s="66"/>
      <c r="E34" s="38">
        <v>100</v>
      </c>
      <c r="F34" s="46"/>
      <c r="G34" s="47"/>
      <c r="H34" s="46"/>
      <c r="I34" s="48"/>
      <c r="J34" s="49"/>
      <c r="K34" s="50"/>
    </row>
    <row r="35" spans="1:11" x14ac:dyDescent="0.3">
      <c r="A35" s="51"/>
      <c r="B35" s="28" t="s">
        <v>32</v>
      </c>
      <c r="C35" s="69">
        <v>500000</v>
      </c>
      <c r="D35" s="69"/>
      <c r="E35" s="38"/>
      <c r="F35" s="44"/>
      <c r="G35" s="43"/>
      <c r="H35" s="43"/>
      <c r="I35" s="43"/>
      <c r="J35" s="43"/>
      <c r="K35" s="44"/>
    </row>
    <row r="36" spans="1:11" x14ac:dyDescent="0.3">
      <c r="A36" s="51"/>
      <c r="B36" s="28" t="s">
        <v>33</v>
      </c>
      <c r="C36" s="69">
        <f>C35-C38-C39</f>
        <v>475000</v>
      </c>
      <c r="D36" s="69"/>
      <c r="E36" s="38">
        <f>C36/C34*100</f>
        <v>83.516953861451725</v>
      </c>
      <c r="F36" s="44"/>
      <c r="G36" s="43"/>
      <c r="H36" s="43"/>
      <c r="I36" s="43"/>
      <c r="J36" s="43"/>
      <c r="K36" s="44"/>
    </row>
    <row r="37" spans="1:11" x14ac:dyDescent="0.3">
      <c r="A37" s="51"/>
      <c r="B37" s="28" t="s">
        <v>34</v>
      </c>
      <c r="C37" s="66">
        <f>C34-C36</f>
        <v>93746.796953333425</v>
      </c>
      <c r="D37" s="66"/>
      <c r="E37" s="38">
        <f>100-E36</f>
        <v>16.483046138548275</v>
      </c>
      <c r="F37" s="44"/>
      <c r="G37" s="43"/>
      <c r="H37" s="43"/>
      <c r="I37" s="43"/>
      <c r="J37" s="43"/>
      <c r="K37" s="44"/>
    </row>
    <row r="38" spans="1:11" x14ac:dyDescent="0.3">
      <c r="A38" s="51"/>
      <c r="B38" s="28" t="s">
        <v>35</v>
      </c>
      <c r="C38" s="66">
        <f>C35*0.03</f>
        <v>15000</v>
      </c>
      <c r="D38" s="66"/>
      <c r="E38" s="38">
        <v>3</v>
      </c>
      <c r="F38" s="44"/>
      <c r="G38" s="43"/>
      <c r="H38" s="43"/>
      <c r="I38" s="43"/>
      <c r="J38" s="43"/>
      <c r="K38" s="44"/>
    </row>
    <row r="39" spans="1:11" x14ac:dyDescent="0.3">
      <c r="A39" s="51"/>
      <c r="B39" s="28" t="s">
        <v>36</v>
      </c>
      <c r="C39" s="66">
        <f>C35*0.02</f>
        <v>10000</v>
      </c>
      <c r="D39" s="66"/>
      <c r="E39" s="38">
        <v>2</v>
      </c>
      <c r="F39" s="44"/>
      <c r="G39" s="43"/>
      <c r="H39" s="43"/>
      <c r="I39" s="43"/>
      <c r="J39" s="43"/>
      <c r="K39" s="44"/>
    </row>
    <row r="40" spans="1:11" s="34" customFormat="1" x14ac:dyDescent="0.3">
      <c r="A40" s="52"/>
      <c r="B40" s="52"/>
      <c r="C40" s="52"/>
      <c r="D40" s="52"/>
      <c r="E40" s="52"/>
      <c r="F40" s="52"/>
      <c r="G40" s="52"/>
      <c r="H40" s="52"/>
      <c r="I40" s="52"/>
      <c r="J40" s="52"/>
      <c r="K40" s="52"/>
    </row>
    <row r="41" spans="1:11" s="34" customFormat="1" x14ac:dyDescent="0.3"/>
    <row r="42" spans="1:11" s="34" customFormat="1" x14ac:dyDescent="0.3"/>
    <row r="43" spans="1:11" s="34" customFormat="1" x14ac:dyDescent="0.3"/>
    <row r="44" spans="1:11" s="34" customFormat="1" x14ac:dyDescent="0.3"/>
    <row r="45" spans="1:11" s="34" customFormat="1" x14ac:dyDescent="0.3"/>
    <row r="46" spans="1:11" s="34" customFormat="1" x14ac:dyDescent="0.3"/>
    <row r="47" spans="1:11" s="34" customFormat="1" x14ac:dyDescent="0.3"/>
    <row r="48" spans="1:11" s="34" customFormat="1" x14ac:dyDescent="0.3"/>
    <row r="49" s="34" customFormat="1" x14ac:dyDescent="0.3"/>
    <row r="50" s="34" customFormat="1" x14ac:dyDescent="0.3"/>
    <row r="51" s="34" customFormat="1" x14ac:dyDescent="0.3"/>
    <row r="52" s="34" customFormat="1" x14ac:dyDescent="0.3"/>
    <row r="53" s="34" customFormat="1" x14ac:dyDescent="0.3"/>
    <row r="54" s="34" customFormat="1" x14ac:dyDescent="0.3"/>
    <row r="55" s="34" customFormat="1" x14ac:dyDescent="0.3"/>
    <row r="56" s="34" customFormat="1" x14ac:dyDescent="0.3"/>
    <row r="57" s="34" customFormat="1" x14ac:dyDescent="0.3"/>
    <row r="58" s="34" customFormat="1" x14ac:dyDescent="0.3"/>
    <row r="59" s="34" customFormat="1" x14ac:dyDescent="0.3"/>
    <row r="60" s="34" customFormat="1" x14ac:dyDescent="0.3"/>
    <row r="61" s="34" customFormat="1" x14ac:dyDescent="0.3"/>
    <row r="62" s="34" customFormat="1" x14ac:dyDescent="0.3"/>
    <row r="63" s="34" customFormat="1" x14ac:dyDescent="0.3"/>
    <row r="64"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sheetData>
  <mergeCells count="15">
    <mergeCell ref="A6:F6"/>
    <mergeCell ref="H6:K6"/>
    <mergeCell ref="A1:K1"/>
    <mergeCell ref="A2:K2"/>
    <mergeCell ref="A3:K3"/>
    <mergeCell ref="A4:K4"/>
    <mergeCell ref="A5:K5"/>
    <mergeCell ref="C38:D38"/>
    <mergeCell ref="C39:D39"/>
    <mergeCell ref="A7:F7"/>
    <mergeCell ref="H7:K7"/>
    <mergeCell ref="C34:D34"/>
    <mergeCell ref="C35:D35"/>
    <mergeCell ref="C36:D36"/>
    <mergeCell ref="C37:D37"/>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4"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view="pageBreakPreview" topLeftCell="A16" zoomScale="60" zoomScaleNormal="100" workbookViewId="0">
      <selection activeCell="D13" sqref="D1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78" t="s">
        <v>0</v>
      </c>
      <c r="B1" s="78"/>
      <c r="C1" s="78"/>
      <c r="D1" s="78"/>
      <c r="E1" s="78"/>
      <c r="F1" s="78"/>
      <c r="G1" s="78"/>
      <c r="H1" s="78"/>
      <c r="I1" s="78"/>
      <c r="J1" s="78"/>
      <c r="K1" s="78"/>
    </row>
    <row r="2" spans="1:13" ht="24.6" x14ac:dyDescent="0.4">
      <c r="A2" s="79" t="s">
        <v>1</v>
      </c>
      <c r="B2" s="79"/>
      <c r="C2" s="79"/>
      <c r="D2" s="79"/>
      <c r="E2" s="79"/>
      <c r="F2" s="79"/>
      <c r="G2" s="79"/>
      <c r="H2" s="79"/>
      <c r="I2" s="79"/>
      <c r="J2" s="79"/>
      <c r="K2" s="79"/>
    </row>
    <row r="3" spans="1:13" s="1" customFormat="1" x14ac:dyDescent="0.3">
      <c r="A3" s="74" t="s">
        <v>2</v>
      </c>
      <c r="B3" s="74"/>
      <c r="C3" s="74"/>
      <c r="D3" s="74"/>
      <c r="E3" s="74"/>
      <c r="F3" s="74"/>
      <c r="G3" s="74"/>
      <c r="H3" s="74"/>
      <c r="I3" s="74"/>
      <c r="J3" s="74"/>
      <c r="K3" s="74"/>
    </row>
    <row r="4" spans="1:13" s="1" customFormat="1" x14ac:dyDescent="0.3">
      <c r="A4" s="74" t="s">
        <v>3</v>
      </c>
      <c r="B4" s="74"/>
      <c r="C4" s="74"/>
      <c r="D4" s="74"/>
      <c r="E4" s="74"/>
      <c r="F4" s="74"/>
      <c r="G4" s="74"/>
      <c r="H4" s="74"/>
      <c r="I4" s="74"/>
      <c r="J4" s="74"/>
      <c r="K4" s="74"/>
    </row>
    <row r="5" spans="1:13" ht="18" x14ac:dyDescent="0.35">
      <c r="A5" s="80" t="s">
        <v>18</v>
      </c>
      <c r="B5" s="80"/>
      <c r="C5" s="80"/>
      <c r="D5" s="80"/>
      <c r="E5" s="80"/>
      <c r="F5" s="80"/>
      <c r="G5" s="80"/>
      <c r="H5" s="80"/>
      <c r="I5" s="80"/>
      <c r="J5" s="80"/>
      <c r="K5" s="80"/>
    </row>
    <row r="6" spans="1:13" ht="18" x14ac:dyDescent="0.35">
      <c r="A6" s="8" t="s">
        <v>19</v>
      </c>
      <c r="B6" s="8"/>
      <c r="C6" s="76">
        <f>F26</f>
        <v>568746.79695333343</v>
      </c>
      <c r="D6" s="77"/>
      <c r="E6" s="9"/>
      <c r="F6" s="8"/>
      <c r="G6" s="8"/>
      <c r="H6" s="8" t="s">
        <v>20</v>
      </c>
      <c r="I6" s="8"/>
      <c r="J6" s="76">
        <f>I26</f>
        <v>568795.26818666677</v>
      </c>
      <c r="K6" s="77"/>
    </row>
    <row r="7" spans="1:13" x14ac:dyDescent="0.3">
      <c r="A7" s="25" t="s">
        <v>29</v>
      </c>
      <c r="B7" s="10"/>
      <c r="C7" s="10"/>
      <c r="D7" s="10"/>
      <c r="F7" s="83"/>
      <c r="G7" s="83"/>
      <c r="I7" s="84" t="s">
        <v>37</v>
      </c>
      <c r="J7" s="84"/>
      <c r="K7" s="84"/>
    </row>
    <row r="8" spans="1:13" ht="15.6" x14ac:dyDescent="0.3">
      <c r="A8" s="70" t="str">
        <f>'re-estimate'!A6:F6</f>
        <v>Project:- गणपती गणेश मन्दिर मनोहरा नदीबाट कटान संरक्षण गर्ने</v>
      </c>
      <c r="B8" s="70"/>
      <c r="C8" s="70"/>
      <c r="D8" s="70"/>
      <c r="E8" s="70"/>
      <c r="F8" s="70"/>
      <c r="I8" s="85" t="s">
        <v>51</v>
      </c>
      <c r="J8" s="85"/>
      <c r="K8" s="85"/>
    </row>
    <row r="9" spans="1:13" ht="15.6" x14ac:dyDescent="0.3">
      <c r="A9" s="70" t="str">
        <f>'re-estimate'!A7:F7</f>
        <v>Location:- Shankharapur Municipality 9</v>
      </c>
      <c r="B9" s="70"/>
      <c r="C9" s="70"/>
      <c r="D9" s="70"/>
      <c r="E9" s="70"/>
      <c r="F9" s="70"/>
      <c r="I9" s="85" t="s">
        <v>57</v>
      </c>
      <c r="J9" s="85"/>
      <c r="K9" s="85"/>
    </row>
    <row r="11" spans="1:13" x14ac:dyDescent="0.3">
      <c r="A11" s="81" t="s">
        <v>21</v>
      </c>
      <c r="B11" s="81" t="s">
        <v>22</v>
      </c>
      <c r="C11" s="81" t="s">
        <v>12</v>
      </c>
      <c r="D11" s="86" t="s">
        <v>23</v>
      </c>
      <c r="E11" s="86"/>
      <c r="F11" s="86"/>
      <c r="G11" s="86" t="s">
        <v>24</v>
      </c>
      <c r="H11" s="86"/>
      <c r="I11" s="86"/>
      <c r="J11" s="81" t="s">
        <v>25</v>
      </c>
      <c r="K11" s="82" t="s">
        <v>15</v>
      </c>
    </row>
    <row r="12" spans="1:13" x14ac:dyDescent="0.3">
      <c r="A12" s="81"/>
      <c r="B12" s="81"/>
      <c r="C12" s="81"/>
      <c r="D12" s="11" t="s">
        <v>26</v>
      </c>
      <c r="E12" s="11" t="s">
        <v>13</v>
      </c>
      <c r="F12" s="11" t="s">
        <v>14</v>
      </c>
      <c r="G12" s="11" t="s">
        <v>26</v>
      </c>
      <c r="H12" s="11" t="s">
        <v>13</v>
      </c>
      <c r="I12" s="11" t="s">
        <v>14</v>
      </c>
      <c r="J12" s="81"/>
      <c r="K12" s="82"/>
    </row>
    <row r="13" spans="1:13" s="1" customFormat="1" ht="140.4" x14ac:dyDescent="0.3">
      <c r="A13" s="26">
        <f>'re-estimate'!A9</f>
        <v>1</v>
      </c>
      <c r="B13" s="32" t="str">
        <f>'re-estimate'!B9</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13" s="12" t="str">
        <f>'re-estimate'!H11</f>
        <v>m3</v>
      </c>
      <c r="D13" s="12">
        <f>'re-estimate'!G11</f>
        <v>37.700000000000003</v>
      </c>
      <c r="E13" s="12">
        <f>'re-estimate'!I11</f>
        <v>64.63</v>
      </c>
      <c r="F13" s="12">
        <f>D13*E13</f>
        <v>2436.5509999999999</v>
      </c>
      <c r="G13" s="12">
        <f>V!G12</f>
        <v>45.400000000000006</v>
      </c>
      <c r="H13" s="12">
        <f>V!I12</f>
        <v>64.63</v>
      </c>
      <c r="I13" s="12">
        <f>G13*H13</f>
        <v>2934.2020000000002</v>
      </c>
      <c r="J13" s="27">
        <f>I13-F13</f>
        <v>497.65100000000029</v>
      </c>
      <c r="K13" s="14"/>
      <c r="M13" s="1">
        <f>1.25*F13</f>
        <v>3045.6887499999998</v>
      </c>
    </row>
    <row r="14" spans="1:13" s="1" customFormat="1" ht="15.6" x14ac:dyDescent="0.3">
      <c r="A14" s="26"/>
      <c r="B14" s="65" t="str">
        <f>'re-estimate'!B12</f>
        <v>-VAT 13% calculation</v>
      </c>
      <c r="C14" s="12"/>
      <c r="D14" s="12"/>
      <c r="E14" s="12"/>
      <c r="F14" s="12">
        <f>'re-estimate'!J12</f>
        <v>262.5302333333334</v>
      </c>
      <c r="G14" s="12"/>
      <c r="H14" s="12"/>
      <c r="I14" s="12">
        <f>V!J13</f>
        <v>316.15046666666672</v>
      </c>
      <c r="J14" s="27">
        <f>I14-F14</f>
        <v>53.620233333333317</v>
      </c>
      <c r="K14" s="14"/>
    </row>
    <row r="15" spans="1:13" s="1" customFormat="1" x14ac:dyDescent="0.3">
      <c r="A15" s="28"/>
      <c r="B15" s="28"/>
      <c r="C15" s="12"/>
      <c r="D15" s="12"/>
      <c r="E15" s="12"/>
      <c r="F15" s="12"/>
      <c r="G15" s="12"/>
      <c r="H15" s="12"/>
      <c r="I15" s="12"/>
      <c r="J15" s="27"/>
      <c r="K15" s="14"/>
    </row>
    <row r="16" spans="1:13" s="1" customFormat="1" ht="109.2" x14ac:dyDescent="0.3">
      <c r="A16" s="26">
        <f>'re-estimate'!A14</f>
        <v>2</v>
      </c>
      <c r="B16" s="31" t="str">
        <f>'re-estimate'!B14</f>
        <v>Providing suitable material and Back filling behind abutment, wing wall and return wall complete as per Drawing and Technical Specifications., locally available material including compaction by tamping rod(without watering)</v>
      </c>
      <c r="C16" s="12" t="str">
        <f>'re-estimate'!H16</f>
        <v>m3</v>
      </c>
      <c r="D16" s="12">
        <f>'re-estimate'!G16</f>
        <v>6.5</v>
      </c>
      <c r="E16" s="12">
        <f>'re-estimate'!I16</f>
        <v>404.28</v>
      </c>
      <c r="F16" s="12">
        <f>D16*E16</f>
        <v>2627.8199999999997</v>
      </c>
      <c r="G16" s="12">
        <f>V!G18</f>
        <v>6.6</v>
      </c>
      <c r="H16" s="12">
        <f>V!I18</f>
        <v>404.28</v>
      </c>
      <c r="I16" s="12">
        <f>G16*H16</f>
        <v>2668.2479999999996</v>
      </c>
      <c r="J16" s="27">
        <f>I16-F16</f>
        <v>40.427999999999884</v>
      </c>
      <c r="K16" s="14"/>
      <c r="M16" s="1">
        <f>1.25*F16</f>
        <v>3284.7749999999996</v>
      </c>
    </row>
    <row r="17" spans="1:11" s="1" customFormat="1" x14ac:dyDescent="0.3">
      <c r="A17" s="28"/>
      <c r="B17" s="28"/>
      <c r="C17" s="12"/>
      <c r="D17" s="12"/>
      <c r="E17" s="12"/>
      <c r="F17" s="12"/>
      <c r="G17" s="12"/>
      <c r="H17" s="12"/>
      <c r="I17" s="12"/>
      <c r="J17" s="27"/>
      <c r="K17" s="14"/>
    </row>
    <row r="18" spans="1:11" s="1" customFormat="1" ht="202.8" x14ac:dyDescent="0.3">
      <c r="A18" s="26">
        <f>'re-estimate'!A18</f>
        <v>3</v>
      </c>
      <c r="B18" s="32" t="str">
        <f>'re-estimate'!B18</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v>
      </c>
      <c r="C18" s="12" t="str">
        <f>'re-estimate'!H22</f>
        <v>m3</v>
      </c>
      <c r="D18" s="12">
        <f>'re-estimate'!G22</f>
        <v>78</v>
      </c>
      <c r="E18" s="12">
        <f>'re-estimate'!I22</f>
        <v>6509.3</v>
      </c>
      <c r="F18" s="12">
        <f>D18*E18</f>
        <v>507725.4</v>
      </c>
      <c r="G18" s="12">
        <f>V!G24</f>
        <v>78</v>
      </c>
      <c r="H18" s="12">
        <f>V!I24</f>
        <v>6509.3</v>
      </c>
      <c r="I18" s="12">
        <f>G18*H18</f>
        <v>507725.4</v>
      </c>
      <c r="J18" s="27">
        <f>I18-F18</f>
        <v>0</v>
      </c>
      <c r="K18" s="14"/>
    </row>
    <row r="19" spans="1:11" s="1" customFormat="1" ht="15.6" x14ac:dyDescent="0.3">
      <c r="A19" s="26"/>
      <c r="B19" s="65" t="str">
        <f>'re-estimate'!B23</f>
        <v>-VAT 13% calculation</v>
      </c>
      <c r="C19" s="12"/>
      <c r="D19" s="12"/>
      <c r="E19" s="12"/>
      <c r="F19" s="12">
        <f>'re-estimate'!J23</f>
        <v>48132.531719999999</v>
      </c>
      <c r="G19" s="12"/>
      <c r="H19" s="12"/>
      <c r="I19" s="12">
        <f>V!J25</f>
        <v>48132.531719999999</v>
      </c>
      <c r="J19" s="27">
        <f>I19-F19</f>
        <v>0</v>
      </c>
      <c r="K19" s="14"/>
    </row>
    <row r="20" spans="1:11" s="1" customFormat="1" x14ac:dyDescent="0.3">
      <c r="A20" s="28"/>
      <c r="B20" s="28"/>
      <c r="C20" s="12"/>
      <c r="D20" s="12"/>
      <c r="E20" s="12"/>
      <c r="F20" s="12"/>
      <c r="G20" s="12"/>
      <c r="H20" s="12"/>
      <c r="I20" s="12"/>
      <c r="J20" s="27"/>
      <c r="K20" s="14"/>
    </row>
    <row r="21" spans="1:11" s="1" customFormat="1" ht="93.6" x14ac:dyDescent="0.3">
      <c r="A21" s="26">
        <f>'re-estimate'!A25</f>
        <v>4</v>
      </c>
      <c r="B21" s="32" t="str">
        <f>'re-estimate'!B25</f>
        <v>Laying and fixing of Geo-Textile all complete as per specification., Providing  and laying of a geotextile filter between pitching and embankment slopes as per Drawing and Technical Specifications.</v>
      </c>
      <c r="C21" s="12" t="str">
        <f>'re-estimate'!H27</f>
        <v>m2</v>
      </c>
      <c r="D21" s="12">
        <f>'re-estimate'!G27</f>
        <v>39</v>
      </c>
      <c r="E21" s="12">
        <f>'re-estimate'!I27</f>
        <v>161.41999999999999</v>
      </c>
      <c r="F21" s="12">
        <f>D21*E21</f>
        <v>6295.3799999999992</v>
      </c>
      <c r="G21" s="12">
        <f>V!G32</f>
        <v>36</v>
      </c>
      <c r="H21" s="12">
        <f>V!I32</f>
        <v>161.41999999999999</v>
      </c>
      <c r="I21" s="12">
        <f>G21*H21</f>
        <v>5811.12</v>
      </c>
      <c r="J21" s="27">
        <f>I21-F21</f>
        <v>-484.25999999999931</v>
      </c>
      <c r="K21" s="14"/>
    </row>
    <row r="22" spans="1:11" s="1" customFormat="1" ht="15.6" x14ac:dyDescent="0.3">
      <c r="A22" s="26"/>
      <c r="B22" s="65" t="str">
        <f>'re-estimate'!B28</f>
        <v>-VAT 13% calculation</v>
      </c>
      <c r="C22" s="12"/>
      <c r="D22" s="12"/>
      <c r="E22" s="12"/>
      <c r="F22" s="12">
        <f>'re-estimate'!J28</f>
        <v>766.58400000000006</v>
      </c>
      <c r="G22" s="12"/>
      <c r="H22" s="12"/>
      <c r="I22" s="12">
        <f>V!J33</f>
        <v>707.61599999999999</v>
      </c>
      <c r="J22" s="27">
        <f>I22-F22</f>
        <v>-58.968000000000075</v>
      </c>
      <c r="K22" s="14"/>
    </row>
    <row r="23" spans="1:11" s="1" customFormat="1" x14ac:dyDescent="0.3">
      <c r="A23" s="28"/>
      <c r="B23" s="28"/>
      <c r="C23" s="12"/>
      <c r="D23" s="12"/>
      <c r="E23" s="12"/>
      <c r="F23" s="12"/>
      <c r="G23" s="12"/>
      <c r="H23" s="12"/>
      <c r="I23" s="12"/>
      <c r="J23" s="27"/>
      <c r="K23" s="14"/>
    </row>
    <row r="24" spans="1:11" s="1" customFormat="1" x14ac:dyDescent="0.3">
      <c r="A24" s="26">
        <f>'re-estimate'!A30</f>
        <v>5</v>
      </c>
      <c r="B24" s="30" t="str">
        <f>'re-estimate'!B30</f>
        <v>Information board (सुचना पाटि)</v>
      </c>
      <c r="C24" s="12" t="str">
        <f>'re-estimate'!H30</f>
        <v>no.</v>
      </c>
      <c r="D24" s="12">
        <f>'re-estimate'!G30</f>
        <v>1</v>
      </c>
      <c r="E24" s="12">
        <f>'re-estimate'!I30</f>
        <v>500</v>
      </c>
      <c r="F24" s="12">
        <f>D24*E24</f>
        <v>500</v>
      </c>
      <c r="G24" s="12">
        <f>V!G35</f>
        <v>1</v>
      </c>
      <c r="H24" s="12">
        <f>V!I35</f>
        <v>500</v>
      </c>
      <c r="I24" s="12">
        <f>G24*H24</f>
        <v>500</v>
      </c>
      <c r="J24" s="27">
        <f>I24-F24</f>
        <v>0</v>
      </c>
      <c r="K24" s="14"/>
    </row>
    <row r="25" spans="1:11" s="1" customFormat="1" x14ac:dyDescent="0.3">
      <c r="A25" s="28"/>
      <c r="B25" s="28"/>
      <c r="C25" s="12"/>
      <c r="D25" s="12"/>
      <c r="E25" s="12"/>
      <c r="F25" s="12"/>
      <c r="G25" s="12"/>
      <c r="H25" s="12"/>
      <c r="I25" s="12"/>
      <c r="J25" s="27"/>
      <c r="K25" s="14"/>
    </row>
    <row r="26" spans="1:11" x14ac:dyDescent="0.3">
      <c r="A26" s="5"/>
      <c r="B26" s="6" t="s">
        <v>16</v>
      </c>
      <c r="C26" s="6"/>
      <c r="D26" s="7"/>
      <c r="E26" s="7"/>
      <c r="F26" s="7">
        <f>SUM(F13:F24)</f>
        <v>568746.79695333343</v>
      </c>
      <c r="G26" s="7"/>
      <c r="H26" s="7"/>
      <c r="I26" s="7">
        <f>SUM(I13:I24)</f>
        <v>568795.26818666677</v>
      </c>
      <c r="J26" s="13">
        <f>I26-F26</f>
        <v>48.471233333344571</v>
      </c>
      <c r="K26"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topLeftCell="A25" zoomScaleNormal="100" workbookViewId="0">
      <selection activeCell="N24" sqref="N24"/>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8.44140625" bestFit="1" customWidth="1"/>
    <col min="10" max="10" width="10.6640625" bestFit="1" customWidth="1"/>
  </cols>
  <sheetData>
    <row r="1" spans="1:11" s="1" customFormat="1" x14ac:dyDescent="0.3">
      <c r="A1" s="72" t="s">
        <v>0</v>
      </c>
      <c r="B1" s="72"/>
      <c r="C1" s="72"/>
      <c r="D1" s="72"/>
      <c r="E1" s="72"/>
      <c r="F1" s="72"/>
      <c r="G1" s="72"/>
      <c r="H1" s="72"/>
      <c r="I1" s="72"/>
      <c r="J1" s="72"/>
      <c r="K1" s="72"/>
    </row>
    <row r="2" spans="1:11" s="1" customFormat="1" ht="22.8" x14ac:dyDescent="0.3">
      <c r="A2" s="73" t="s">
        <v>1</v>
      </c>
      <c r="B2" s="73"/>
      <c r="C2" s="73"/>
      <c r="D2" s="73"/>
      <c r="E2" s="73"/>
      <c r="F2" s="73"/>
      <c r="G2" s="73"/>
      <c r="H2" s="73"/>
      <c r="I2" s="73"/>
      <c r="J2" s="73"/>
      <c r="K2" s="73"/>
    </row>
    <row r="3" spans="1:11" s="1" customFormat="1" x14ac:dyDescent="0.3">
      <c r="A3" s="74" t="s">
        <v>2</v>
      </c>
      <c r="B3" s="74"/>
      <c r="C3" s="74"/>
      <c r="D3" s="74"/>
      <c r="E3" s="74"/>
      <c r="F3" s="74"/>
      <c r="G3" s="74"/>
      <c r="H3" s="74"/>
      <c r="I3" s="74"/>
      <c r="J3" s="74"/>
      <c r="K3" s="74"/>
    </row>
    <row r="4" spans="1:11" s="1" customFormat="1" x14ac:dyDescent="0.3">
      <c r="A4" s="74" t="s">
        <v>3</v>
      </c>
      <c r="B4" s="74"/>
      <c r="C4" s="74"/>
      <c r="D4" s="74"/>
      <c r="E4" s="74"/>
      <c r="F4" s="74"/>
      <c r="G4" s="74"/>
      <c r="H4" s="74"/>
      <c r="I4" s="74"/>
      <c r="J4" s="74"/>
      <c r="K4" s="74"/>
    </row>
    <row r="5" spans="1:11" ht="17.399999999999999" x14ac:dyDescent="0.3">
      <c r="A5" s="75" t="s">
        <v>52</v>
      </c>
      <c r="B5" s="75"/>
      <c r="C5" s="75"/>
      <c r="D5" s="75"/>
      <c r="E5" s="75"/>
      <c r="F5" s="75"/>
      <c r="G5" s="75"/>
      <c r="H5" s="75"/>
      <c r="I5" s="75"/>
      <c r="J5" s="75"/>
      <c r="K5" s="75"/>
    </row>
    <row r="6" spans="1:11" ht="15.6" x14ac:dyDescent="0.3">
      <c r="A6" s="70" t="s">
        <v>50</v>
      </c>
      <c r="B6" s="70"/>
      <c r="C6" s="70"/>
      <c r="D6" s="70"/>
      <c r="E6" s="70"/>
      <c r="F6" s="70"/>
      <c r="G6" s="2"/>
      <c r="H6" s="71" t="s">
        <v>40</v>
      </c>
      <c r="I6" s="71"/>
      <c r="J6" s="71"/>
      <c r="K6" s="71"/>
    </row>
    <row r="7" spans="1:11" ht="15.6" x14ac:dyDescent="0.3">
      <c r="A7" s="67" t="s">
        <v>28</v>
      </c>
      <c r="B7" s="67"/>
      <c r="C7" s="67"/>
      <c r="D7" s="67"/>
      <c r="E7" s="67"/>
      <c r="F7" s="67"/>
      <c r="G7" s="3"/>
      <c r="H7" s="68" t="s">
        <v>56</v>
      </c>
      <c r="I7" s="68"/>
      <c r="J7" s="68"/>
      <c r="K7" s="68"/>
    </row>
    <row r="8" spans="1:11" ht="15" customHeight="1" x14ac:dyDescent="0.3">
      <c r="A8" s="4" t="s">
        <v>5</v>
      </c>
      <c r="B8" s="15" t="s">
        <v>6</v>
      </c>
      <c r="C8" s="4" t="s">
        <v>7</v>
      </c>
      <c r="D8" s="16" t="s">
        <v>8</v>
      </c>
      <c r="E8" s="16" t="s">
        <v>9</v>
      </c>
      <c r="F8" s="16" t="s">
        <v>10</v>
      </c>
      <c r="G8" s="16" t="s">
        <v>11</v>
      </c>
      <c r="H8" s="4" t="s">
        <v>12</v>
      </c>
      <c r="I8" s="16" t="s">
        <v>13</v>
      </c>
      <c r="J8" s="16" t="s">
        <v>14</v>
      </c>
      <c r="K8" s="17" t="s">
        <v>15</v>
      </c>
    </row>
    <row r="9" spans="1:11" ht="124.2" x14ac:dyDescent="0.3">
      <c r="A9" s="18">
        <v>1</v>
      </c>
      <c r="B9" s="29" t="s">
        <v>42</v>
      </c>
      <c r="C9" s="19"/>
      <c r="D9" s="20"/>
      <c r="E9" s="21"/>
      <c r="F9" s="21"/>
      <c r="G9" s="23"/>
      <c r="H9" s="22"/>
      <c r="I9" s="23"/>
      <c r="J9" s="40"/>
      <c r="K9" s="58"/>
    </row>
    <row r="10" spans="1:11" ht="15" customHeight="1" x14ac:dyDescent="0.3">
      <c r="A10" s="18"/>
      <c r="B10" s="36" t="s">
        <v>43</v>
      </c>
      <c r="C10" s="35">
        <v>1</v>
      </c>
      <c r="D10" s="37">
        <v>14</v>
      </c>
      <c r="E10" s="37">
        <f>2.5+0.2+0.2</f>
        <v>2.9000000000000004</v>
      </c>
      <c r="F10" s="37">
        <v>1</v>
      </c>
      <c r="G10" s="38">
        <f>PRODUCT(C10:F10)</f>
        <v>40.600000000000009</v>
      </c>
      <c r="H10" s="39"/>
      <c r="I10" s="39"/>
      <c r="J10" s="39"/>
      <c r="K10" s="58"/>
    </row>
    <row r="11" spans="1:11" ht="15" customHeight="1" x14ac:dyDescent="0.3">
      <c r="A11" s="18"/>
      <c r="B11" s="36"/>
      <c r="C11" s="35">
        <v>1</v>
      </c>
      <c r="D11" s="37">
        <v>2</v>
      </c>
      <c r="E11" s="37">
        <f>2+0.2+0.2</f>
        <v>2.4000000000000004</v>
      </c>
      <c r="F11" s="37">
        <v>1</v>
      </c>
      <c r="G11" s="38">
        <f>PRODUCT(C11:F11)</f>
        <v>4.8000000000000007</v>
      </c>
      <c r="H11" s="39"/>
      <c r="I11" s="39"/>
      <c r="J11" s="39"/>
      <c r="K11" s="58"/>
    </row>
    <row r="12" spans="1:11" ht="15" customHeight="1" x14ac:dyDescent="0.3">
      <c r="A12" s="18"/>
      <c r="B12" s="36" t="s">
        <v>39</v>
      </c>
      <c r="C12" s="19"/>
      <c r="D12" s="20"/>
      <c r="E12" s="21"/>
      <c r="F12" s="21"/>
      <c r="G12" s="23">
        <f>SUM(G10:G11)</f>
        <v>45.400000000000006</v>
      </c>
      <c r="H12" s="22" t="s">
        <v>38</v>
      </c>
      <c r="I12" s="23">
        <v>64.63</v>
      </c>
      <c r="J12" s="40">
        <f>G12*I12</f>
        <v>2934.2020000000002</v>
      </c>
      <c r="K12" s="58"/>
    </row>
    <row r="13" spans="1:11" ht="15" customHeight="1" x14ac:dyDescent="0.3">
      <c r="A13" s="18"/>
      <c r="B13" s="36" t="s">
        <v>45</v>
      </c>
      <c r="C13" s="19"/>
      <c r="D13" s="20"/>
      <c r="E13" s="21"/>
      <c r="F13" s="21"/>
      <c r="G13" s="23"/>
      <c r="H13" s="22"/>
      <c r="I13" s="23"/>
      <c r="J13" s="40">
        <f>0.13*G12*19284/360</f>
        <v>316.15046666666672</v>
      </c>
      <c r="K13" s="60"/>
    </row>
    <row r="14" spans="1:11" ht="15" customHeight="1" x14ac:dyDescent="0.3">
      <c r="A14" s="18"/>
      <c r="B14" s="36"/>
      <c r="C14" s="19"/>
      <c r="D14" s="20"/>
      <c r="E14" s="21"/>
      <c r="F14" s="21"/>
      <c r="G14" s="23"/>
      <c r="H14" s="22"/>
      <c r="I14" s="23"/>
      <c r="J14" s="40"/>
      <c r="K14" s="21"/>
    </row>
    <row r="15" spans="1:11" ht="97.2" x14ac:dyDescent="0.3">
      <c r="A15" s="18">
        <v>2</v>
      </c>
      <c r="B15" s="59" t="s">
        <v>48</v>
      </c>
      <c r="C15" s="19"/>
      <c r="D15" s="20"/>
      <c r="E15" s="21"/>
      <c r="F15" s="21"/>
      <c r="G15" s="23"/>
      <c r="H15" s="22"/>
      <c r="I15" s="23"/>
      <c r="J15" s="40"/>
      <c r="K15" s="21"/>
    </row>
    <row r="16" spans="1:11" ht="15" customHeight="1" x14ac:dyDescent="0.3">
      <c r="A16" s="18"/>
      <c r="B16" s="36" t="str">
        <f>B10</f>
        <v>-for gabion wall</v>
      </c>
      <c r="C16" s="19">
        <v>1</v>
      </c>
      <c r="D16" s="20">
        <v>14</v>
      </c>
      <c r="E16" s="21">
        <v>0.45</v>
      </c>
      <c r="F16" s="21">
        <v>1</v>
      </c>
      <c r="G16" s="38">
        <f>PRODUCT(C16:F16)</f>
        <v>6.3</v>
      </c>
      <c r="H16" s="22"/>
      <c r="I16" s="23"/>
      <c r="J16" s="40"/>
      <c r="K16" s="21"/>
    </row>
    <row r="17" spans="1:15" ht="15" customHeight="1" x14ac:dyDescent="0.3">
      <c r="A17" s="18"/>
      <c r="B17" s="36"/>
      <c r="C17" s="19">
        <v>1</v>
      </c>
      <c r="D17" s="20">
        <v>2</v>
      </c>
      <c r="E17" s="21">
        <v>0.3</v>
      </c>
      <c r="F17" s="21">
        <v>0.5</v>
      </c>
      <c r="G17" s="38">
        <f>PRODUCT(C17:F17)</f>
        <v>0.3</v>
      </c>
      <c r="H17" s="22"/>
      <c r="I17" s="23"/>
      <c r="J17" s="40"/>
      <c r="K17" s="21"/>
    </row>
    <row r="18" spans="1:15" ht="15" customHeight="1" x14ac:dyDescent="0.3">
      <c r="A18" s="18"/>
      <c r="B18" s="36" t="s">
        <v>39</v>
      </c>
      <c r="C18" s="19"/>
      <c r="D18" s="20"/>
      <c r="E18" s="21"/>
      <c r="F18" s="21"/>
      <c r="G18" s="23">
        <f>SUM(G16:G17)</f>
        <v>6.6</v>
      </c>
      <c r="H18" s="22" t="s">
        <v>38</v>
      </c>
      <c r="I18" s="23">
        <v>404.28</v>
      </c>
      <c r="J18" s="40">
        <f>G18*I18</f>
        <v>2668.2479999999996</v>
      </c>
      <c r="K18" s="21"/>
    </row>
    <row r="19" spans="1:15" ht="15" customHeight="1" x14ac:dyDescent="0.3">
      <c r="A19" s="18"/>
      <c r="B19" s="36"/>
      <c r="C19" s="19"/>
      <c r="D19" s="20"/>
      <c r="E19" s="21"/>
      <c r="F19" s="21"/>
      <c r="G19" s="23"/>
      <c r="H19" s="22"/>
      <c r="I19" s="23"/>
      <c r="J19" s="40"/>
      <c r="K19" s="21"/>
    </row>
    <row r="20" spans="1:15" ht="193.2" x14ac:dyDescent="0.3">
      <c r="A20" s="18">
        <v>3</v>
      </c>
      <c r="B20" s="29" t="s">
        <v>44</v>
      </c>
      <c r="C20" s="19"/>
      <c r="D20" s="20"/>
      <c r="E20" s="21"/>
      <c r="F20" s="21"/>
      <c r="G20" s="23"/>
      <c r="H20" s="22"/>
      <c r="I20" s="23"/>
      <c r="J20" s="40"/>
      <c r="K20" s="60"/>
    </row>
    <row r="21" spans="1:15" ht="15" customHeight="1" x14ac:dyDescent="0.3">
      <c r="A21" s="18"/>
      <c r="B21" s="36" t="s">
        <v>43</v>
      </c>
      <c r="C21" s="35">
        <v>1</v>
      </c>
      <c r="D21" s="37">
        <v>3</v>
      </c>
      <c r="E21" s="37">
        <v>1</v>
      </c>
      <c r="F21" s="37">
        <v>1</v>
      </c>
      <c r="G21" s="38">
        <f>PRODUCT(C21:F21)</f>
        <v>3</v>
      </c>
      <c r="H21" s="39"/>
      <c r="I21" s="39"/>
      <c r="J21" s="39"/>
      <c r="K21" s="58"/>
    </row>
    <row r="22" spans="1:15" ht="15" customHeight="1" x14ac:dyDescent="0.3">
      <c r="A22" s="18"/>
      <c r="B22" s="36"/>
      <c r="C22" s="35">
        <f>(4+2+2)+8+3+2</f>
        <v>21</v>
      </c>
      <c r="D22" s="37">
        <v>2</v>
      </c>
      <c r="E22" s="37">
        <v>1</v>
      </c>
      <c r="F22" s="37">
        <v>1</v>
      </c>
      <c r="G22" s="38">
        <f t="shared" ref="G22:G23" si="0">PRODUCT(C22:F22)</f>
        <v>42</v>
      </c>
      <c r="H22" s="39"/>
      <c r="I22" s="39"/>
      <c r="J22" s="39"/>
      <c r="K22" s="58"/>
    </row>
    <row r="23" spans="1:15" ht="15" customHeight="1" x14ac:dyDescent="0.3">
      <c r="A23" s="18"/>
      <c r="B23" s="36"/>
      <c r="C23" s="35">
        <f>(8+4)+(2+4)+2+2</f>
        <v>22</v>
      </c>
      <c r="D23" s="37">
        <v>1.5</v>
      </c>
      <c r="E23" s="37">
        <v>1</v>
      </c>
      <c r="F23" s="37">
        <v>1</v>
      </c>
      <c r="G23" s="38">
        <f t="shared" si="0"/>
        <v>33</v>
      </c>
      <c r="H23" s="39"/>
      <c r="I23" s="39"/>
      <c r="J23" s="39"/>
      <c r="K23" s="58"/>
    </row>
    <row r="24" spans="1:15" ht="15" customHeight="1" x14ac:dyDescent="0.3">
      <c r="A24" s="18"/>
      <c r="B24" s="36" t="s">
        <v>39</v>
      </c>
      <c r="C24" s="19"/>
      <c r="D24" s="20"/>
      <c r="E24" s="21"/>
      <c r="F24" s="21"/>
      <c r="G24" s="23">
        <f>SUM(G21:G23)</f>
        <v>78</v>
      </c>
      <c r="H24" s="22" t="s">
        <v>38</v>
      </c>
      <c r="I24" s="23">
        <v>6509.3</v>
      </c>
      <c r="J24" s="40">
        <f>G24*I24</f>
        <v>507725.4</v>
      </c>
      <c r="K24" s="21"/>
      <c r="M24">
        <f>(7208.94+7297.22+[5]Rate_Analysis!$U$3091+[5]Rate_Analysis!$U$3104)/4</f>
        <v>7485.69</v>
      </c>
      <c r="N24">
        <f>([5]Rate_Analysis!$K$3063/6+[5]Rate_Analysis!$K$3076/6++[5]Rate_Analysis!$K$3089/6+[5]Rate_Analysis!$K$3102/6)/4</f>
        <v>4746.7977499999997</v>
      </c>
      <c r="O24">
        <f>(26798.3/6+27258.9/6+28483.6/6+28588.1/6)/4*G24</f>
        <v>361168.92499999999</v>
      </c>
    </row>
    <row r="25" spans="1:15" ht="15" customHeight="1" x14ac:dyDescent="0.3">
      <c r="A25" s="18"/>
      <c r="B25" s="36" t="s">
        <v>45</v>
      </c>
      <c r="C25" s="19"/>
      <c r="D25" s="20"/>
      <c r="E25" s="21"/>
      <c r="F25" s="21"/>
      <c r="G25" s="23"/>
      <c r="H25" s="22"/>
      <c r="I25" s="23"/>
      <c r="J25" s="40">
        <f>0.13*G24*4746.798</f>
        <v>48132.531719999999</v>
      </c>
      <c r="K25" s="21"/>
    </row>
    <row r="26" spans="1:15" ht="15" customHeight="1" x14ac:dyDescent="0.3">
      <c r="A26" s="18"/>
      <c r="B26" s="36"/>
      <c r="C26" s="19"/>
      <c r="D26" s="20"/>
      <c r="E26" s="21"/>
      <c r="F26" s="21"/>
      <c r="G26" s="23"/>
      <c r="H26" s="22"/>
      <c r="I26" s="23"/>
      <c r="J26" s="40"/>
      <c r="K26" s="21"/>
    </row>
    <row r="27" spans="1:15" ht="82.8" x14ac:dyDescent="0.3">
      <c r="A27" s="18">
        <v>4</v>
      </c>
      <c r="B27" s="29" t="s">
        <v>46</v>
      </c>
      <c r="C27" s="19"/>
      <c r="D27" s="20"/>
      <c r="E27" s="21"/>
      <c r="F27" s="21"/>
      <c r="G27" s="23"/>
      <c r="H27" s="22"/>
      <c r="I27" s="23"/>
      <c r="J27" s="40"/>
      <c r="K27" s="58"/>
    </row>
    <row r="28" spans="1:15" ht="15" customHeight="1" x14ac:dyDescent="0.3">
      <c r="A28" s="18"/>
      <c r="B28" s="36" t="s">
        <v>47</v>
      </c>
      <c r="C28" s="35">
        <v>1</v>
      </c>
      <c r="D28" s="37">
        <v>14</v>
      </c>
      <c r="E28" s="37"/>
      <c r="F28" s="37">
        <v>1</v>
      </c>
      <c r="G28" s="38">
        <f>PRODUCT(C28:F28)</f>
        <v>14</v>
      </c>
      <c r="H28" s="39"/>
      <c r="I28" s="39"/>
      <c r="J28" s="39"/>
      <c r="K28" s="21"/>
    </row>
    <row r="29" spans="1:15" ht="15" customHeight="1" x14ac:dyDescent="0.3">
      <c r="A29" s="18"/>
      <c r="B29" s="36"/>
      <c r="C29" s="35">
        <v>1</v>
      </c>
      <c r="D29" s="37">
        <v>12</v>
      </c>
      <c r="E29" s="37"/>
      <c r="F29" s="37">
        <v>1</v>
      </c>
      <c r="G29" s="38">
        <f t="shared" ref="G29:G31" si="1">PRODUCT(C29:F29)</f>
        <v>12</v>
      </c>
      <c r="H29" s="39"/>
      <c r="I29" s="39"/>
      <c r="J29" s="39"/>
      <c r="K29" s="21"/>
    </row>
    <row r="30" spans="1:15" ht="15" customHeight="1" x14ac:dyDescent="0.3">
      <c r="A30" s="18"/>
      <c r="B30" s="36"/>
      <c r="C30" s="35">
        <v>1</v>
      </c>
      <c r="D30" s="37">
        <v>6</v>
      </c>
      <c r="E30" s="37"/>
      <c r="F30" s="37">
        <v>1</v>
      </c>
      <c r="G30" s="38">
        <f t="shared" si="1"/>
        <v>6</v>
      </c>
      <c r="H30" s="39"/>
      <c r="I30" s="39"/>
      <c r="J30" s="39"/>
      <c r="K30" s="21"/>
    </row>
    <row r="31" spans="1:15" ht="15" customHeight="1" x14ac:dyDescent="0.3">
      <c r="A31" s="18"/>
      <c r="B31" s="36"/>
      <c r="C31" s="35">
        <v>1</v>
      </c>
      <c r="D31" s="37">
        <v>2</v>
      </c>
      <c r="E31" s="37"/>
      <c r="F31" s="37">
        <v>2</v>
      </c>
      <c r="G31" s="38">
        <f t="shared" si="1"/>
        <v>4</v>
      </c>
      <c r="H31" s="39"/>
      <c r="I31" s="39"/>
      <c r="J31" s="39"/>
      <c r="K31" s="21"/>
    </row>
    <row r="32" spans="1:15" ht="15" customHeight="1" x14ac:dyDescent="0.3">
      <c r="A32" s="18"/>
      <c r="B32" s="36" t="s">
        <v>39</v>
      </c>
      <c r="C32" s="19"/>
      <c r="D32" s="20"/>
      <c r="E32" s="21"/>
      <c r="F32" s="21"/>
      <c r="G32" s="23">
        <f>SUM(G28:G31)</f>
        <v>36</v>
      </c>
      <c r="H32" s="22" t="s">
        <v>41</v>
      </c>
      <c r="I32" s="23">
        <v>161.41999999999999</v>
      </c>
      <c r="J32" s="40">
        <f>G32*I32</f>
        <v>5811.12</v>
      </c>
      <c r="K32" s="21"/>
      <c r="M32">
        <f>(7208.94+7297.22+[5]Rate_Analysis!$U$3091+[5]Rate_Analysis!$U$3104)/4</f>
        <v>7485.69</v>
      </c>
      <c r="N32">
        <f>([5]Rate_Analysis!$K$3063/6+[5]Rate_Analysis!$K$3076/6++[5]Rate_Analysis!$K$3089/6+[5]Rate_Analysis!$K$3102/6)/4</f>
        <v>4746.7977499999997</v>
      </c>
    </row>
    <row r="33" spans="1:11" ht="15" customHeight="1" x14ac:dyDescent="0.3">
      <c r="A33" s="18"/>
      <c r="B33" s="36" t="s">
        <v>45</v>
      </c>
      <c r="C33" s="19"/>
      <c r="D33" s="20"/>
      <c r="E33" s="21"/>
      <c r="F33" s="21"/>
      <c r="G33" s="23"/>
      <c r="H33" s="22"/>
      <c r="I33" s="23"/>
      <c r="J33" s="40">
        <f>0.13*G32*45360/300</f>
        <v>707.61599999999999</v>
      </c>
      <c r="K33" s="21"/>
    </row>
    <row r="34" spans="1:11" ht="15" customHeight="1" x14ac:dyDescent="0.3">
      <c r="A34" s="18"/>
      <c r="B34" s="36"/>
      <c r="C34" s="19"/>
      <c r="D34" s="20"/>
      <c r="E34" s="21"/>
      <c r="F34" s="21"/>
      <c r="G34" s="23"/>
      <c r="H34" s="22"/>
      <c r="I34" s="23"/>
      <c r="J34" s="40"/>
      <c r="K34" s="21"/>
    </row>
    <row r="35" spans="1:11" ht="15" customHeight="1" x14ac:dyDescent="0.3">
      <c r="A35" s="18">
        <v>5</v>
      </c>
      <c r="B35" s="29" t="s">
        <v>30</v>
      </c>
      <c r="C35" s="19">
        <v>1</v>
      </c>
      <c r="D35" s="20"/>
      <c r="E35" s="21"/>
      <c r="F35" s="21"/>
      <c r="G35" s="33">
        <f t="shared" ref="G35" si="2">PRODUCT(C35:F35)</f>
        <v>1</v>
      </c>
      <c r="H35" s="22" t="s">
        <v>31</v>
      </c>
      <c r="I35" s="23">
        <v>500</v>
      </c>
      <c r="J35" s="33">
        <f>G35*I35</f>
        <v>500</v>
      </c>
      <c r="K35" s="21"/>
    </row>
    <row r="36" spans="1:11" ht="15" customHeight="1" x14ac:dyDescent="0.3">
      <c r="A36" s="18"/>
      <c r="B36" s="24"/>
      <c r="C36" s="19"/>
      <c r="D36" s="20"/>
      <c r="E36" s="21"/>
      <c r="F36" s="21"/>
      <c r="G36" s="23"/>
      <c r="H36" s="22"/>
      <c r="I36" s="23"/>
      <c r="J36" s="40"/>
      <c r="K36" s="21"/>
    </row>
    <row r="37" spans="1:11" x14ac:dyDescent="0.3">
      <c r="A37" s="39"/>
      <c r="B37" s="41" t="s">
        <v>17</v>
      </c>
      <c r="C37" s="42"/>
      <c r="D37" s="37"/>
      <c r="E37" s="37"/>
      <c r="F37" s="37"/>
      <c r="G37" s="40"/>
      <c r="H37" s="40"/>
      <c r="I37" s="40"/>
      <c r="J37" s="40">
        <f>SUM(J9:J35)</f>
        <v>568795.26818666677</v>
      </c>
      <c r="K37" s="35"/>
    </row>
    <row r="38" spans="1:11" x14ac:dyDescent="0.3">
      <c r="A38" s="53"/>
      <c r="B38" s="56"/>
      <c r="C38" s="57"/>
      <c r="D38" s="54"/>
      <c r="E38" s="54"/>
      <c r="F38" s="54"/>
      <c r="G38" s="55"/>
      <c r="H38" s="55"/>
      <c r="I38" s="55"/>
      <c r="J38" s="55"/>
      <c r="K38" s="52"/>
    </row>
    <row r="39" spans="1:11" s="1" customFormat="1" x14ac:dyDescent="0.3">
      <c r="A39" s="45"/>
      <c r="B39" s="28" t="s">
        <v>53</v>
      </c>
      <c r="C39" s="66">
        <f>J37</f>
        <v>568795.26818666677</v>
      </c>
      <c r="D39" s="66"/>
      <c r="E39" s="38">
        <v>100</v>
      </c>
      <c r="F39" s="46"/>
      <c r="G39" s="47"/>
      <c r="H39" s="46"/>
      <c r="I39" s="48"/>
      <c r="J39" s="49"/>
      <c r="K39" s="50"/>
    </row>
    <row r="40" spans="1:11" x14ac:dyDescent="0.3">
      <c r="A40" s="51"/>
      <c r="B40" s="28" t="s">
        <v>32</v>
      </c>
      <c r="C40" s="69">
        <v>500000</v>
      </c>
      <c r="D40" s="69"/>
      <c r="E40" s="38"/>
      <c r="F40" s="44"/>
      <c r="G40" s="43"/>
      <c r="H40" s="43"/>
      <c r="I40" s="43"/>
      <c r="J40" s="43"/>
      <c r="K40" s="44"/>
    </row>
    <row r="41" spans="1:11" x14ac:dyDescent="0.3">
      <c r="A41" s="51"/>
      <c r="B41" s="28" t="s">
        <v>33</v>
      </c>
      <c r="C41" s="69">
        <f>C40-C43-C44</f>
        <v>475000</v>
      </c>
      <c r="D41" s="69"/>
      <c r="E41" s="38">
        <f>C41/C39*100</f>
        <v>83.509836766805677</v>
      </c>
      <c r="F41" s="44"/>
      <c r="G41" s="43"/>
      <c r="H41" s="43"/>
      <c r="I41" s="43"/>
      <c r="J41" s="43"/>
      <c r="K41" s="44"/>
    </row>
    <row r="42" spans="1:11" x14ac:dyDescent="0.3">
      <c r="A42" s="51"/>
      <c r="B42" s="28" t="s">
        <v>34</v>
      </c>
      <c r="C42" s="66">
        <f>C39-C41</f>
        <v>93795.26818666677</v>
      </c>
      <c r="D42" s="66"/>
      <c r="E42" s="38">
        <f>100-E41</f>
        <v>16.490163233194323</v>
      </c>
      <c r="F42" s="44"/>
      <c r="G42" s="43"/>
      <c r="H42" s="43"/>
      <c r="I42" s="43"/>
      <c r="J42" s="43"/>
      <c r="K42" s="44"/>
    </row>
    <row r="43" spans="1:11" x14ac:dyDescent="0.3">
      <c r="A43" s="51"/>
      <c r="B43" s="28" t="s">
        <v>35</v>
      </c>
      <c r="C43" s="66">
        <f>C40*0.03</f>
        <v>15000</v>
      </c>
      <c r="D43" s="66"/>
      <c r="E43" s="38">
        <v>3</v>
      </c>
      <c r="F43" s="44"/>
      <c r="G43" s="43"/>
      <c r="H43" s="43"/>
      <c r="I43" s="43"/>
      <c r="J43" s="43"/>
      <c r="K43" s="44"/>
    </row>
    <row r="44" spans="1:11" x14ac:dyDescent="0.3">
      <c r="A44" s="51"/>
      <c r="B44" s="28" t="s">
        <v>36</v>
      </c>
      <c r="C44" s="66">
        <f>C40*0.02</f>
        <v>10000</v>
      </c>
      <c r="D44" s="66"/>
      <c r="E44" s="38">
        <v>2</v>
      </c>
      <c r="F44" s="44"/>
      <c r="G44" s="43"/>
      <c r="H44" s="43"/>
      <c r="I44" s="43"/>
      <c r="J44" s="43"/>
      <c r="K44" s="44"/>
    </row>
    <row r="45" spans="1:11" s="34" customFormat="1" x14ac:dyDescent="0.3">
      <c r="A45" s="52"/>
      <c r="B45" s="52"/>
      <c r="C45" s="52"/>
      <c r="D45" s="52"/>
      <c r="E45" s="52"/>
      <c r="F45" s="52"/>
      <c r="G45" s="52"/>
      <c r="H45" s="52"/>
      <c r="I45" s="52"/>
      <c r="J45" s="52"/>
      <c r="K45" s="52"/>
    </row>
    <row r="46" spans="1:11" s="34" customFormat="1" x14ac:dyDescent="0.3"/>
    <row r="47" spans="1:11" s="34" customFormat="1" x14ac:dyDescent="0.3"/>
    <row r="48" spans="1:11" s="34" customFormat="1" x14ac:dyDescent="0.3"/>
    <row r="49" s="34" customFormat="1" x14ac:dyDescent="0.3"/>
    <row r="50" s="34" customFormat="1" x14ac:dyDescent="0.3"/>
    <row r="51" s="34" customFormat="1" x14ac:dyDescent="0.3"/>
    <row r="52" s="34" customFormat="1" x14ac:dyDescent="0.3"/>
    <row r="53" s="34" customFormat="1" x14ac:dyDescent="0.3"/>
    <row r="54" s="34" customFormat="1" x14ac:dyDescent="0.3"/>
    <row r="55" s="34" customFormat="1" x14ac:dyDescent="0.3"/>
    <row r="56" s="34" customFormat="1" x14ac:dyDescent="0.3"/>
    <row r="57" s="34" customFormat="1" x14ac:dyDescent="0.3"/>
    <row r="58" s="34" customFormat="1" x14ac:dyDescent="0.3"/>
    <row r="59" s="34" customFormat="1" x14ac:dyDescent="0.3"/>
    <row r="60" s="34" customFormat="1" x14ac:dyDescent="0.3"/>
    <row r="61" s="34" customFormat="1" x14ac:dyDescent="0.3"/>
    <row r="62" s="34" customFormat="1" x14ac:dyDescent="0.3"/>
    <row r="63" s="34" customFormat="1" x14ac:dyDescent="0.3"/>
    <row r="64"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row r="97" s="34" customFormat="1" x14ac:dyDescent="0.3"/>
    <row r="98" s="34" customFormat="1" x14ac:dyDescent="0.3"/>
    <row r="99" s="34" customFormat="1" x14ac:dyDescent="0.3"/>
    <row r="100" s="34" customFormat="1" x14ac:dyDescent="0.3"/>
    <row r="101" s="34" customFormat="1" x14ac:dyDescent="0.3"/>
  </sheetData>
  <mergeCells count="15">
    <mergeCell ref="C43:D43"/>
    <mergeCell ref="C44:D44"/>
    <mergeCell ref="A7:F7"/>
    <mergeCell ref="H7:K7"/>
    <mergeCell ref="C39:D39"/>
    <mergeCell ref="C40:D40"/>
    <mergeCell ref="C41:D41"/>
    <mergeCell ref="C42:D42"/>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6"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opLeftCell="A5" zoomScaleNormal="100" workbookViewId="0">
      <selection activeCell="K8" sqref="K8"/>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8.44140625" hidden="1" customWidth="1"/>
    <col min="10" max="10" width="10.6640625" hidden="1" customWidth="1"/>
  </cols>
  <sheetData>
    <row r="1" spans="1:11" s="1" customFormat="1" x14ac:dyDescent="0.3">
      <c r="A1" s="72" t="s">
        <v>0</v>
      </c>
      <c r="B1" s="72"/>
      <c r="C1" s="72"/>
      <c r="D1" s="72"/>
      <c r="E1" s="72"/>
      <c r="F1" s="72"/>
      <c r="G1" s="72"/>
      <c r="H1" s="72"/>
      <c r="I1" s="72"/>
      <c r="J1" s="72"/>
      <c r="K1" s="72"/>
    </row>
    <row r="2" spans="1:11" s="1" customFormat="1" ht="22.8" x14ac:dyDescent="0.3">
      <c r="A2" s="73" t="s">
        <v>1</v>
      </c>
      <c r="B2" s="73"/>
      <c r="C2" s="73"/>
      <c r="D2" s="73"/>
      <c r="E2" s="73"/>
      <c r="F2" s="73"/>
      <c r="G2" s="73"/>
      <c r="H2" s="73"/>
      <c r="I2" s="73"/>
      <c r="J2" s="73"/>
      <c r="K2" s="73"/>
    </row>
    <row r="3" spans="1:11" s="1" customFormat="1" x14ac:dyDescent="0.3">
      <c r="A3" s="74" t="s">
        <v>2</v>
      </c>
      <c r="B3" s="74"/>
      <c r="C3" s="74"/>
      <c r="D3" s="74"/>
      <c r="E3" s="74"/>
      <c r="F3" s="74"/>
      <c r="G3" s="74"/>
      <c r="H3" s="74"/>
      <c r="I3" s="74"/>
      <c r="J3" s="74"/>
      <c r="K3" s="74"/>
    </row>
    <row r="4" spans="1:11" s="1" customFormat="1" x14ac:dyDescent="0.3">
      <c r="A4" s="74" t="s">
        <v>3</v>
      </c>
      <c r="B4" s="74"/>
      <c r="C4" s="74"/>
      <c r="D4" s="74"/>
      <c r="E4" s="74"/>
      <c r="F4" s="74"/>
      <c r="G4" s="74"/>
      <c r="H4" s="74"/>
      <c r="I4" s="74"/>
      <c r="J4" s="74"/>
      <c r="K4" s="74"/>
    </row>
    <row r="5" spans="1:11" ht="17.399999999999999" x14ac:dyDescent="0.3">
      <c r="A5" s="75" t="s">
        <v>54</v>
      </c>
      <c r="B5" s="75"/>
      <c r="C5" s="75"/>
      <c r="D5" s="75"/>
      <c r="E5" s="75"/>
      <c r="F5" s="75"/>
      <c r="G5" s="75"/>
      <c r="H5" s="75"/>
      <c r="I5" s="75"/>
      <c r="J5" s="75"/>
      <c r="K5" s="75"/>
    </row>
    <row r="6" spans="1:11" ht="15.6" x14ac:dyDescent="0.3">
      <c r="A6" s="70" t="s">
        <v>50</v>
      </c>
      <c r="B6" s="70"/>
      <c r="C6" s="70"/>
      <c r="D6" s="70"/>
      <c r="E6" s="70"/>
      <c r="F6" s="70"/>
      <c r="G6" s="2"/>
      <c r="I6" s="63"/>
      <c r="J6" s="63"/>
      <c r="K6" s="62" t="s">
        <v>40</v>
      </c>
    </row>
    <row r="7" spans="1:11" ht="15.6" x14ac:dyDescent="0.3">
      <c r="A7" s="67" t="s">
        <v>28</v>
      </c>
      <c r="B7" s="67"/>
      <c r="C7" s="67"/>
      <c r="D7" s="67"/>
      <c r="E7" s="67"/>
      <c r="F7" s="67"/>
      <c r="G7" s="3"/>
      <c r="I7" s="64"/>
      <c r="J7" s="64"/>
      <c r="K7" s="61" t="s">
        <v>55</v>
      </c>
    </row>
    <row r="8" spans="1:11" ht="15" customHeight="1" x14ac:dyDescent="0.3">
      <c r="A8" s="4" t="s">
        <v>5</v>
      </c>
      <c r="B8" s="15" t="s">
        <v>6</v>
      </c>
      <c r="C8" s="4" t="s">
        <v>7</v>
      </c>
      <c r="D8" s="16" t="s">
        <v>8</v>
      </c>
      <c r="E8" s="16" t="s">
        <v>9</v>
      </c>
      <c r="F8" s="16" t="s">
        <v>10</v>
      </c>
      <c r="G8" s="16" t="s">
        <v>11</v>
      </c>
      <c r="H8" s="4" t="s">
        <v>12</v>
      </c>
      <c r="I8" s="16" t="s">
        <v>13</v>
      </c>
      <c r="J8" s="16" t="s">
        <v>14</v>
      </c>
      <c r="K8" s="17" t="s">
        <v>15</v>
      </c>
    </row>
    <row r="9" spans="1:11" ht="124.2" x14ac:dyDescent="0.3">
      <c r="A9" s="18">
        <v>1</v>
      </c>
      <c r="B9" s="29" t="s">
        <v>42</v>
      </c>
      <c r="C9" s="19"/>
      <c r="D9" s="20"/>
      <c r="E9" s="21"/>
      <c r="F9" s="21"/>
      <c r="G9" s="23"/>
      <c r="H9" s="22"/>
      <c r="I9" s="23"/>
      <c r="J9" s="40"/>
      <c r="K9" s="58"/>
    </row>
    <row r="10" spans="1:11" ht="15" customHeight="1" x14ac:dyDescent="0.3">
      <c r="A10" s="18"/>
      <c r="B10" s="36" t="s">
        <v>43</v>
      </c>
      <c r="C10" s="35">
        <v>1</v>
      </c>
      <c r="D10" s="37">
        <v>14</v>
      </c>
      <c r="E10" s="37">
        <f>2.5+0.2+0.2</f>
        <v>2.9000000000000004</v>
      </c>
      <c r="F10" s="37">
        <v>1</v>
      </c>
      <c r="G10" s="38">
        <f>PRODUCT(C10:F10)</f>
        <v>40.600000000000009</v>
      </c>
      <c r="H10" s="39"/>
      <c r="I10" s="39"/>
      <c r="J10" s="39"/>
      <c r="K10" s="58"/>
    </row>
    <row r="11" spans="1:11" ht="15" customHeight="1" x14ac:dyDescent="0.3">
      <c r="A11" s="18"/>
      <c r="B11" s="36"/>
      <c r="C11" s="35">
        <v>1</v>
      </c>
      <c r="D11" s="37">
        <v>2</v>
      </c>
      <c r="E11" s="37">
        <f>2+0.2+0.2</f>
        <v>2.4000000000000004</v>
      </c>
      <c r="F11" s="37">
        <v>1</v>
      </c>
      <c r="G11" s="38">
        <f>PRODUCT(C11:F11)</f>
        <v>4.8000000000000007</v>
      </c>
      <c r="H11" s="39"/>
      <c r="I11" s="39"/>
      <c r="J11" s="39"/>
      <c r="K11" s="58"/>
    </row>
    <row r="12" spans="1:11" ht="15" customHeight="1" x14ac:dyDescent="0.3">
      <c r="A12" s="18"/>
      <c r="B12" s="36" t="s">
        <v>39</v>
      </c>
      <c r="C12" s="19"/>
      <c r="D12" s="20"/>
      <c r="E12" s="21"/>
      <c r="F12" s="21"/>
      <c r="G12" s="23">
        <f>SUM(G10:G11)</f>
        <v>45.400000000000006</v>
      </c>
      <c r="H12" s="22" t="s">
        <v>38</v>
      </c>
      <c r="I12" s="23">
        <v>64.63</v>
      </c>
      <c r="J12" s="40">
        <f>G12*I12</f>
        <v>2934.2020000000002</v>
      </c>
      <c r="K12" s="58"/>
    </row>
    <row r="13" spans="1:11" ht="15" hidden="1" customHeight="1" x14ac:dyDescent="0.3">
      <c r="A13" s="18"/>
      <c r="B13" s="36" t="s">
        <v>45</v>
      </c>
      <c r="C13" s="19"/>
      <c r="D13" s="20"/>
      <c r="E13" s="21"/>
      <c r="F13" s="21"/>
      <c r="G13" s="23"/>
      <c r="H13" s="22"/>
      <c r="I13" s="23"/>
      <c r="J13" s="40">
        <f>0.13*G12*19284/360</f>
        <v>316.15046666666672</v>
      </c>
      <c r="K13" s="60"/>
    </row>
    <row r="14" spans="1:11" ht="15" customHeight="1" x14ac:dyDescent="0.3">
      <c r="A14" s="18"/>
      <c r="B14" s="36"/>
      <c r="C14" s="19"/>
      <c r="D14" s="20"/>
      <c r="E14" s="21"/>
      <c r="F14" s="21"/>
      <c r="G14" s="23"/>
      <c r="H14" s="22"/>
      <c r="I14" s="23"/>
      <c r="J14" s="40"/>
      <c r="K14" s="21"/>
    </row>
    <row r="15" spans="1:11" ht="97.2" x14ac:dyDescent="0.3">
      <c r="A15" s="18">
        <v>2</v>
      </c>
      <c r="B15" s="59" t="s">
        <v>48</v>
      </c>
      <c r="C15" s="19"/>
      <c r="D15" s="20"/>
      <c r="E15" s="21"/>
      <c r="F15" s="21"/>
      <c r="G15" s="23"/>
      <c r="H15" s="22"/>
      <c r="I15" s="23"/>
      <c r="J15" s="40"/>
      <c r="K15" s="21"/>
    </row>
    <row r="16" spans="1:11" ht="15" customHeight="1" x14ac:dyDescent="0.3">
      <c r="A16" s="18"/>
      <c r="B16" s="36" t="str">
        <f>B10</f>
        <v>-for gabion wall</v>
      </c>
      <c r="C16" s="19">
        <v>1</v>
      </c>
      <c r="D16" s="20">
        <v>14</v>
      </c>
      <c r="E16" s="21">
        <v>0.45</v>
      </c>
      <c r="F16" s="21">
        <v>1</v>
      </c>
      <c r="G16" s="38">
        <f>PRODUCT(C16:F16)</f>
        <v>6.3</v>
      </c>
      <c r="H16" s="22"/>
      <c r="I16" s="23"/>
      <c r="J16" s="40"/>
      <c r="K16" s="21"/>
    </row>
    <row r="17" spans="1:14" ht="15" customHeight="1" x14ac:dyDescent="0.3">
      <c r="A17" s="18"/>
      <c r="B17" s="36"/>
      <c r="C17" s="19">
        <v>1</v>
      </c>
      <c r="D17" s="20">
        <v>2</v>
      </c>
      <c r="E17" s="21">
        <v>0.3</v>
      </c>
      <c r="F17" s="21">
        <v>0.5</v>
      </c>
      <c r="G17" s="38">
        <f>PRODUCT(C17:F17)</f>
        <v>0.3</v>
      </c>
      <c r="H17" s="22"/>
      <c r="I17" s="23"/>
      <c r="J17" s="40"/>
      <c r="K17" s="21"/>
    </row>
    <row r="18" spans="1:14" ht="15" customHeight="1" x14ac:dyDescent="0.3">
      <c r="A18" s="18"/>
      <c r="B18" s="36" t="s">
        <v>39</v>
      </c>
      <c r="C18" s="19"/>
      <c r="D18" s="20"/>
      <c r="E18" s="21"/>
      <c r="F18" s="21"/>
      <c r="G18" s="23">
        <f>SUM(G16:G17)</f>
        <v>6.6</v>
      </c>
      <c r="H18" s="22" t="s">
        <v>38</v>
      </c>
      <c r="I18" s="23">
        <v>404.28</v>
      </c>
      <c r="J18" s="40">
        <f>G18*I18</f>
        <v>2668.2479999999996</v>
      </c>
      <c r="K18" s="21"/>
    </row>
    <row r="19" spans="1:14" ht="15" customHeight="1" x14ac:dyDescent="0.3">
      <c r="A19" s="18"/>
      <c r="B19" s="36"/>
      <c r="C19" s="19"/>
      <c r="D19" s="20"/>
      <c r="E19" s="21"/>
      <c r="F19" s="21"/>
      <c r="G19" s="23"/>
      <c r="H19" s="22"/>
      <c r="I19" s="23"/>
      <c r="J19" s="40"/>
      <c r="K19" s="21"/>
    </row>
    <row r="20" spans="1:14" ht="193.2" x14ac:dyDescent="0.3">
      <c r="A20" s="18">
        <v>3</v>
      </c>
      <c r="B20" s="29" t="s">
        <v>44</v>
      </c>
      <c r="C20" s="19"/>
      <c r="D20" s="20"/>
      <c r="E20" s="21"/>
      <c r="F20" s="21"/>
      <c r="G20" s="23"/>
      <c r="H20" s="22"/>
      <c r="I20" s="23"/>
      <c r="J20" s="40"/>
      <c r="K20" s="60"/>
    </row>
    <row r="21" spans="1:14" ht="15" customHeight="1" x14ac:dyDescent="0.3">
      <c r="A21" s="18"/>
      <c r="B21" s="36" t="s">
        <v>43</v>
      </c>
      <c r="C21" s="35">
        <v>1</v>
      </c>
      <c r="D21" s="37">
        <v>3</v>
      </c>
      <c r="E21" s="37">
        <v>1</v>
      </c>
      <c r="F21" s="37">
        <v>1</v>
      </c>
      <c r="G21" s="38">
        <f>PRODUCT(C21:F21)</f>
        <v>3</v>
      </c>
      <c r="H21" s="39"/>
      <c r="I21" s="39"/>
      <c r="J21" s="39"/>
      <c r="K21" s="58"/>
    </row>
    <row r="22" spans="1:14" ht="15" customHeight="1" x14ac:dyDescent="0.3">
      <c r="A22" s="18"/>
      <c r="B22" s="36"/>
      <c r="C22" s="35">
        <f>(4+2+2)+8+3+2</f>
        <v>21</v>
      </c>
      <c r="D22" s="37">
        <v>2</v>
      </c>
      <c r="E22" s="37">
        <v>1</v>
      </c>
      <c r="F22" s="37">
        <v>1</v>
      </c>
      <c r="G22" s="38">
        <f t="shared" ref="G22:G23" si="0">PRODUCT(C22:F22)</f>
        <v>42</v>
      </c>
      <c r="H22" s="39"/>
      <c r="I22" s="39"/>
      <c r="J22" s="39"/>
      <c r="K22" s="58"/>
    </row>
    <row r="23" spans="1:14" ht="15" customHeight="1" x14ac:dyDescent="0.3">
      <c r="A23" s="18"/>
      <c r="B23" s="36"/>
      <c r="C23" s="35">
        <f>(8+4)+(2+4)+2+2</f>
        <v>22</v>
      </c>
      <c r="D23" s="37">
        <v>1.5</v>
      </c>
      <c r="E23" s="37">
        <v>1</v>
      </c>
      <c r="F23" s="37">
        <v>1</v>
      </c>
      <c r="G23" s="38">
        <f t="shared" si="0"/>
        <v>33</v>
      </c>
      <c r="H23" s="39"/>
      <c r="I23" s="39"/>
      <c r="J23" s="39"/>
      <c r="K23" s="58"/>
    </row>
    <row r="24" spans="1:14" ht="15" customHeight="1" x14ac:dyDescent="0.3">
      <c r="A24" s="18"/>
      <c r="B24" s="36" t="s">
        <v>39</v>
      </c>
      <c r="C24" s="19"/>
      <c r="D24" s="20"/>
      <c r="E24" s="21"/>
      <c r="F24" s="21"/>
      <c r="G24" s="23">
        <f>SUM(G21:G23)</f>
        <v>78</v>
      </c>
      <c r="H24" s="22" t="s">
        <v>38</v>
      </c>
      <c r="I24" s="23">
        <v>6509.3</v>
      </c>
      <c r="J24" s="40">
        <f>G24*I24</f>
        <v>507725.4</v>
      </c>
      <c r="K24" s="21"/>
      <c r="M24">
        <f>(7208.94+7297.22+[5]Rate_Analysis!$U$3091+[5]Rate_Analysis!$U$3104)/4</f>
        <v>7485.69</v>
      </c>
      <c r="N24">
        <f>([5]Rate_Analysis!$K$3063/6+[5]Rate_Analysis!$K$3076/6++[5]Rate_Analysis!$K$3089/6+[5]Rate_Analysis!$K$3102/6)/4</f>
        <v>4746.7977499999997</v>
      </c>
    </row>
    <row r="25" spans="1:14" ht="15" hidden="1" customHeight="1" x14ac:dyDescent="0.3">
      <c r="A25" s="18"/>
      <c r="B25" s="36" t="s">
        <v>45</v>
      </c>
      <c r="C25" s="19"/>
      <c r="D25" s="20"/>
      <c r="E25" s="21"/>
      <c r="F25" s="21"/>
      <c r="G25" s="23"/>
      <c r="H25" s="22"/>
      <c r="I25" s="23"/>
      <c r="J25" s="40">
        <f>0.13*G24*4746.798</f>
        <v>48132.531719999999</v>
      </c>
      <c r="K25" s="21"/>
    </row>
    <row r="26" spans="1:14" ht="15" customHeight="1" x14ac:dyDescent="0.3">
      <c r="A26" s="18"/>
      <c r="B26" s="36"/>
      <c r="C26" s="19"/>
      <c r="D26" s="20"/>
      <c r="E26" s="21"/>
      <c r="F26" s="21"/>
      <c r="G26" s="23"/>
      <c r="H26" s="22"/>
      <c r="I26" s="23"/>
      <c r="J26" s="40"/>
      <c r="K26" s="21"/>
    </row>
    <row r="27" spans="1:14" ht="82.8" x14ac:dyDescent="0.3">
      <c r="A27" s="18">
        <v>4</v>
      </c>
      <c r="B27" s="29" t="s">
        <v>46</v>
      </c>
      <c r="C27" s="19"/>
      <c r="D27" s="20"/>
      <c r="E27" s="21"/>
      <c r="F27" s="21"/>
      <c r="G27" s="23"/>
      <c r="H27" s="22"/>
      <c r="I27" s="23"/>
      <c r="J27" s="40"/>
      <c r="K27" s="58"/>
    </row>
    <row r="28" spans="1:14" ht="15" customHeight="1" x14ac:dyDescent="0.3">
      <c r="A28" s="18"/>
      <c r="B28" s="36" t="s">
        <v>47</v>
      </c>
      <c r="C28" s="35">
        <v>1</v>
      </c>
      <c r="D28" s="37">
        <v>14</v>
      </c>
      <c r="E28" s="37"/>
      <c r="F28" s="37">
        <v>1</v>
      </c>
      <c r="G28" s="38">
        <f>PRODUCT(C28:F28)</f>
        <v>14</v>
      </c>
      <c r="H28" s="39"/>
      <c r="I28" s="39"/>
      <c r="J28" s="39"/>
      <c r="K28" s="21"/>
    </row>
    <row r="29" spans="1:14" ht="15" customHeight="1" x14ac:dyDescent="0.3">
      <c r="A29" s="18"/>
      <c r="B29" s="36"/>
      <c r="C29" s="35">
        <v>1</v>
      </c>
      <c r="D29" s="37">
        <v>12</v>
      </c>
      <c r="E29" s="37"/>
      <c r="F29" s="37">
        <v>1</v>
      </c>
      <c r="G29" s="38">
        <f t="shared" ref="G29:G31" si="1">PRODUCT(C29:F29)</f>
        <v>12</v>
      </c>
      <c r="H29" s="39"/>
      <c r="I29" s="39"/>
      <c r="J29" s="39"/>
      <c r="K29" s="21"/>
    </row>
    <row r="30" spans="1:14" ht="15" customHeight="1" x14ac:dyDescent="0.3">
      <c r="A30" s="18"/>
      <c r="B30" s="36"/>
      <c r="C30" s="35">
        <v>1</v>
      </c>
      <c r="D30" s="37">
        <v>6</v>
      </c>
      <c r="E30" s="37"/>
      <c r="F30" s="37">
        <v>1</v>
      </c>
      <c r="G30" s="38">
        <f t="shared" si="1"/>
        <v>6</v>
      </c>
      <c r="H30" s="39"/>
      <c r="I30" s="39"/>
      <c r="J30" s="39"/>
      <c r="K30" s="21"/>
    </row>
    <row r="31" spans="1:14" ht="15" customHeight="1" x14ac:dyDescent="0.3">
      <c r="A31" s="18"/>
      <c r="B31" s="36"/>
      <c r="C31" s="35">
        <v>1</v>
      </c>
      <c r="D31" s="37">
        <v>2</v>
      </c>
      <c r="E31" s="37"/>
      <c r="F31" s="37">
        <v>2</v>
      </c>
      <c r="G31" s="38">
        <f t="shared" si="1"/>
        <v>4</v>
      </c>
      <c r="H31" s="39"/>
      <c r="I31" s="39"/>
      <c r="J31" s="39"/>
      <c r="K31" s="21"/>
    </row>
    <row r="32" spans="1:14" ht="15" customHeight="1" x14ac:dyDescent="0.3">
      <c r="A32" s="18"/>
      <c r="B32" s="36" t="s">
        <v>39</v>
      </c>
      <c r="C32" s="19"/>
      <c r="D32" s="20"/>
      <c r="E32" s="21"/>
      <c r="F32" s="21"/>
      <c r="G32" s="23">
        <f>SUM(G28:G31)</f>
        <v>36</v>
      </c>
      <c r="H32" s="22" t="s">
        <v>41</v>
      </c>
      <c r="I32" s="23">
        <v>161.41999999999999</v>
      </c>
      <c r="J32" s="40">
        <f>G32*I32</f>
        <v>5811.12</v>
      </c>
      <c r="K32" s="21"/>
      <c r="M32">
        <f>(7208.94+7297.22+[5]Rate_Analysis!$U$3091+[5]Rate_Analysis!$U$3104)/4</f>
        <v>7485.69</v>
      </c>
      <c r="N32">
        <f>([5]Rate_Analysis!$K$3063/6+[5]Rate_Analysis!$K$3076/6++[5]Rate_Analysis!$K$3089/6+[5]Rate_Analysis!$K$3102/6)/4</f>
        <v>4746.7977499999997</v>
      </c>
    </row>
    <row r="33" spans="1:11" ht="15" hidden="1" customHeight="1" x14ac:dyDescent="0.3">
      <c r="A33" s="18"/>
      <c r="B33" s="36" t="s">
        <v>45</v>
      </c>
      <c r="C33" s="19"/>
      <c r="D33" s="20"/>
      <c r="E33" s="21"/>
      <c r="F33" s="21"/>
      <c r="G33" s="23"/>
      <c r="H33" s="22"/>
      <c r="I33" s="23"/>
      <c r="J33" s="40">
        <f>0.13*G32*45360/300</f>
        <v>707.61599999999999</v>
      </c>
      <c r="K33" s="21"/>
    </row>
    <row r="34" spans="1:11" ht="15" customHeight="1" x14ac:dyDescent="0.3">
      <c r="A34" s="18"/>
      <c r="B34" s="36"/>
      <c r="C34" s="19"/>
      <c r="D34" s="20"/>
      <c r="E34" s="21"/>
      <c r="F34" s="21"/>
      <c r="G34" s="23"/>
      <c r="H34" s="22"/>
      <c r="I34" s="23"/>
      <c r="J34" s="40"/>
      <c r="K34" s="21"/>
    </row>
    <row r="35" spans="1:11" ht="15" customHeight="1" x14ac:dyDescent="0.3">
      <c r="A35" s="18">
        <v>5</v>
      </c>
      <c r="B35" s="29" t="s">
        <v>30</v>
      </c>
      <c r="C35" s="19">
        <v>1</v>
      </c>
      <c r="D35" s="20"/>
      <c r="E35" s="21"/>
      <c r="F35" s="21"/>
      <c r="G35" s="33">
        <f t="shared" ref="G35" si="2">PRODUCT(C35:F35)</f>
        <v>1</v>
      </c>
      <c r="H35" s="22" t="s">
        <v>31</v>
      </c>
      <c r="I35" s="23">
        <v>500</v>
      </c>
      <c r="J35" s="33">
        <f>G35*I35</f>
        <v>500</v>
      </c>
      <c r="K35" s="21"/>
    </row>
    <row r="36" spans="1:11" ht="15" customHeight="1" x14ac:dyDescent="0.3">
      <c r="A36" s="18"/>
      <c r="B36" s="24"/>
      <c r="C36" s="19"/>
      <c r="D36" s="20"/>
      <c r="E36" s="21"/>
      <c r="F36" s="21"/>
      <c r="G36" s="23"/>
      <c r="H36" s="22"/>
      <c r="I36" s="23"/>
      <c r="J36" s="40"/>
      <c r="K36" s="21"/>
    </row>
    <row r="37" spans="1:11" x14ac:dyDescent="0.3">
      <c r="A37" s="39"/>
      <c r="B37" s="41" t="s">
        <v>17</v>
      </c>
      <c r="C37" s="42"/>
      <c r="D37" s="37"/>
      <c r="E37" s="37"/>
      <c r="F37" s="37"/>
      <c r="G37" s="40"/>
      <c r="H37" s="40"/>
      <c r="I37" s="40"/>
      <c r="J37" s="40">
        <f>SUM(J9:J35)</f>
        <v>568795.26818666677</v>
      </c>
      <c r="K37" s="35"/>
    </row>
    <row r="38" spans="1:11" x14ac:dyDescent="0.3">
      <c r="A38" s="53"/>
      <c r="B38" s="56"/>
      <c r="C38" s="57"/>
      <c r="D38" s="54"/>
      <c r="E38" s="54"/>
      <c r="F38" s="54"/>
      <c r="G38" s="55"/>
      <c r="H38" s="55"/>
      <c r="I38" s="55"/>
      <c r="J38" s="55"/>
      <c r="K38" s="52"/>
    </row>
    <row r="39" spans="1:11" s="1" customFormat="1" hidden="1" x14ac:dyDescent="0.3">
      <c r="A39" s="45"/>
      <c r="B39" s="28" t="s">
        <v>53</v>
      </c>
      <c r="C39" s="66">
        <f>J37</f>
        <v>568795.26818666677</v>
      </c>
      <c r="D39" s="66"/>
      <c r="E39" s="38">
        <v>100</v>
      </c>
      <c r="F39" s="46"/>
      <c r="G39" s="47"/>
      <c r="H39" s="46"/>
      <c r="I39" s="48"/>
      <c r="J39" s="49"/>
      <c r="K39" s="50"/>
    </row>
    <row r="40" spans="1:11" hidden="1" x14ac:dyDescent="0.3">
      <c r="A40" s="51"/>
      <c r="B40" s="28" t="s">
        <v>32</v>
      </c>
      <c r="C40" s="69">
        <v>500000</v>
      </c>
      <c r="D40" s="69"/>
      <c r="E40" s="38"/>
      <c r="F40" s="44"/>
      <c r="G40" s="43"/>
      <c r="H40" s="43"/>
      <c r="I40" s="43"/>
      <c r="J40" s="43"/>
      <c r="K40" s="44"/>
    </row>
    <row r="41" spans="1:11" hidden="1" x14ac:dyDescent="0.3">
      <c r="A41" s="51"/>
      <c r="B41" s="28" t="s">
        <v>33</v>
      </c>
      <c r="C41" s="69">
        <f>C40-C43-C44</f>
        <v>475000</v>
      </c>
      <c r="D41" s="69"/>
      <c r="E41" s="38">
        <f>C41/C39*100</f>
        <v>83.509836766805677</v>
      </c>
      <c r="F41" s="44"/>
      <c r="G41" s="43"/>
      <c r="H41" s="43"/>
      <c r="I41" s="43"/>
      <c r="J41" s="43"/>
      <c r="K41" s="44"/>
    </row>
    <row r="42" spans="1:11" hidden="1" x14ac:dyDescent="0.3">
      <c r="A42" s="51"/>
      <c r="B42" s="28" t="s">
        <v>34</v>
      </c>
      <c r="C42" s="66">
        <f>C39-C41</f>
        <v>93795.26818666677</v>
      </c>
      <c r="D42" s="66"/>
      <c r="E42" s="38">
        <f>100-E41</f>
        <v>16.490163233194323</v>
      </c>
      <c r="F42" s="44"/>
      <c r="G42" s="43"/>
      <c r="H42" s="43"/>
      <c r="I42" s="43"/>
      <c r="J42" s="43"/>
      <c r="K42" s="44"/>
    </row>
    <row r="43" spans="1:11" hidden="1" x14ac:dyDescent="0.3">
      <c r="A43" s="51"/>
      <c r="B43" s="28" t="s">
        <v>35</v>
      </c>
      <c r="C43" s="66">
        <f>C40*0.03</f>
        <v>15000</v>
      </c>
      <c r="D43" s="66"/>
      <c r="E43" s="38">
        <v>3</v>
      </c>
      <c r="F43" s="44"/>
      <c r="G43" s="43"/>
      <c r="H43" s="43"/>
      <c r="I43" s="43"/>
      <c r="J43" s="43"/>
      <c r="K43" s="44"/>
    </row>
    <row r="44" spans="1:11" hidden="1" x14ac:dyDescent="0.3">
      <c r="A44" s="51"/>
      <c r="B44" s="28" t="s">
        <v>36</v>
      </c>
      <c r="C44" s="66">
        <f>C40*0.02</f>
        <v>10000</v>
      </c>
      <c r="D44" s="66"/>
      <c r="E44" s="38">
        <v>2</v>
      </c>
      <c r="F44" s="44"/>
      <c r="G44" s="43"/>
      <c r="H44" s="43"/>
      <c r="I44" s="43"/>
      <c r="J44" s="43"/>
      <c r="K44" s="44"/>
    </row>
    <row r="45" spans="1:11" s="34" customFormat="1" x14ac:dyDescent="0.3">
      <c r="A45" s="52"/>
      <c r="B45" s="52"/>
      <c r="C45" s="52"/>
      <c r="D45" s="52"/>
      <c r="E45" s="52"/>
      <c r="F45" s="52"/>
      <c r="G45" s="52"/>
      <c r="H45" s="52"/>
      <c r="I45" s="52"/>
      <c r="J45" s="52"/>
      <c r="K45" s="52"/>
    </row>
    <row r="46" spans="1:11" s="34" customFormat="1" x14ac:dyDescent="0.3"/>
    <row r="47" spans="1:11" s="34" customFormat="1" x14ac:dyDescent="0.3"/>
    <row r="48" spans="1:11" s="34" customFormat="1" x14ac:dyDescent="0.3"/>
    <row r="49" s="34" customFormat="1" x14ac:dyDescent="0.3"/>
    <row r="50" s="34" customFormat="1" x14ac:dyDescent="0.3"/>
    <row r="51" s="34" customFormat="1" x14ac:dyDescent="0.3"/>
    <row r="52" s="34" customFormat="1" x14ac:dyDescent="0.3"/>
    <row r="53" s="34" customFormat="1" x14ac:dyDescent="0.3"/>
    <row r="54" s="34" customFormat="1" x14ac:dyDescent="0.3"/>
    <row r="55" s="34" customFormat="1" x14ac:dyDescent="0.3"/>
    <row r="56" s="34" customFormat="1" x14ac:dyDescent="0.3"/>
    <row r="57" s="34" customFormat="1" x14ac:dyDescent="0.3"/>
    <row r="58" s="34" customFormat="1" x14ac:dyDescent="0.3"/>
    <row r="59" s="34" customFormat="1" x14ac:dyDescent="0.3"/>
    <row r="60" s="34" customFormat="1" x14ac:dyDescent="0.3"/>
    <row r="61" s="34" customFormat="1" x14ac:dyDescent="0.3"/>
    <row r="62" s="34" customFormat="1" x14ac:dyDescent="0.3"/>
    <row r="63" s="34" customFormat="1" x14ac:dyDescent="0.3"/>
    <row r="64"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row r="97" s="34" customFormat="1" x14ac:dyDescent="0.3"/>
    <row r="98" s="34" customFormat="1" x14ac:dyDescent="0.3"/>
    <row r="99" s="34" customFormat="1" x14ac:dyDescent="0.3"/>
    <row r="100" s="34" customFormat="1" x14ac:dyDescent="0.3"/>
    <row r="101" s="34" customFormat="1" x14ac:dyDescent="0.3"/>
  </sheetData>
  <mergeCells count="13">
    <mergeCell ref="A6:F6"/>
    <mergeCell ref="A1:K1"/>
    <mergeCell ref="A2:K2"/>
    <mergeCell ref="A3:K3"/>
    <mergeCell ref="A4:K4"/>
    <mergeCell ref="A5:K5"/>
    <mergeCell ref="C43:D43"/>
    <mergeCell ref="C44:D44"/>
    <mergeCell ref="A7:F7"/>
    <mergeCell ref="C39:D39"/>
    <mergeCell ref="C40:D40"/>
    <mergeCell ref="C41:D41"/>
    <mergeCell ref="C42:D42"/>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6"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I17"/>
  <sheetViews>
    <sheetView tabSelected="1" workbookViewId="0">
      <selection activeCell="J6" sqref="J6"/>
    </sheetView>
  </sheetViews>
  <sheetFormatPr defaultRowHeight="14.4" x14ac:dyDescent="0.3"/>
  <cols>
    <col min="2" max="2" width="11.6640625" bestFit="1" customWidth="1"/>
    <col min="3" max="3" width="11.6640625" customWidth="1"/>
    <col min="4" max="4" width="10.44140625" customWidth="1"/>
    <col min="5" max="5" width="11.33203125" customWidth="1"/>
    <col min="6" max="6" width="12" bestFit="1" customWidth="1"/>
    <col min="7" max="7" width="11.33203125" customWidth="1"/>
    <col min="8" max="8" width="11.88671875" customWidth="1"/>
    <col min="9" max="9" width="12" customWidth="1"/>
  </cols>
  <sheetData>
    <row r="7" spans="6:9" x14ac:dyDescent="0.3">
      <c r="G7" s="87"/>
    </row>
    <row r="11" spans="6:9" x14ac:dyDescent="0.3">
      <c r="F11" s="5"/>
      <c r="G11" s="88" t="s">
        <v>14</v>
      </c>
      <c r="H11" s="88" t="s">
        <v>59</v>
      </c>
      <c r="I11" s="88" t="s">
        <v>16</v>
      </c>
    </row>
    <row r="12" spans="6:9" x14ac:dyDescent="0.3">
      <c r="F12" s="88" t="s">
        <v>58</v>
      </c>
      <c r="G12" s="89">
        <f>19284/360*V!G12</f>
        <v>2431.9266666666672</v>
      </c>
      <c r="H12" s="89">
        <f>0.13*G12</f>
        <v>316.15046666666677</v>
      </c>
      <c r="I12" s="89">
        <f>SUM(G12:H12)</f>
        <v>2748.0771333333341</v>
      </c>
    </row>
    <row r="13" spans="6:9" x14ac:dyDescent="0.3">
      <c r="F13" s="88" t="s">
        <v>60</v>
      </c>
      <c r="G13" s="89">
        <f>45360/300*V!G32</f>
        <v>5443.2</v>
      </c>
      <c r="H13" s="89">
        <f>0.13*G13</f>
        <v>707.61599999999999</v>
      </c>
      <c r="I13" s="89">
        <f>SUM(G13:H13)</f>
        <v>6150.8159999999998</v>
      </c>
    </row>
    <row r="14" spans="6:9" x14ac:dyDescent="0.3">
      <c r="F14" s="88" t="s">
        <v>61</v>
      </c>
      <c r="G14" s="89">
        <f>((9055.8/6+9346.05/6+10191/6+10185.84/6)/4)*V!G24</f>
        <v>126030.74250000001</v>
      </c>
      <c r="H14" s="89">
        <f>0.13*G14</f>
        <v>16383.996525000002</v>
      </c>
      <c r="I14" s="89">
        <f>SUM(G14:H14)</f>
        <v>142414.73902500002</v>
      </c>
    </row>
    <row r="15" spans="6:9" x14ac:dyDescent="0.3">
      <c r="F15" s="88" t="s">
        <v>62</v>
      </c>
      <c r="G15" s="89">
        <f>((1008.78/6+1145.52/6+1393.2/6+1555.74/6)/4)*V!G24</f>
        <v>16585.53</v>
      </c>
      <c r="H15" s="89">
        <f>0.13*G15</f>
        <v>2156.1188999999999</v>
      </c>
      <c r="I15" s="89">
        <f>SUM(G15:H15)</f>
        <v>18741.6489</v>
      </c>
    </row>
    <row r="16" spans="6:9" x14ac:dyDescent="0.3">
      <c r="F16" s="88" t="s">
        <v>63</v>
      </c>
      <c r="G16" s="89">
        <f>((434.4/6+468/6+600/6+547.2/6)/4)*V!G24</f>
        <v>6661.1999999999989</v>
      </c>
      <c r="H16" s="89">
        <f>0.13*G16</f>
        <v>865.9559999999999</v>
      </c>
      <c r="I16" s="89">
        <f>SUM(G16:H16)</f>
        <v>7527.155999999999</v>
      </c>
    </row>
    <row r="17" spans="6:9" x14ac:dyDescent="0.3">
      <c r="F17" s="88" t="s">
        <v>64</v>
      </c>
      <c r="G17" s="89">
        <f>((16997.904*4/6)/4)*V!G24</f>
        <v>220972.75200000001</v>
      </c>
      <c r="H17" s="89">
        <f>0.13*G17</f>
        <v>28726.457760000001</v>
      </c>
      <c r="I17" s="89">
        <f>SUM(G17:H17)</f>
        <v>249699.20976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re-estimate</vt:lpstr>
      <vt:lpstr>WCR</vt:lpstr>
      <vt:lpstr>V</vt:lpstr>
      <vt:lpstr>M</vt:lpstr>
      <vt:lpstr>Sheet1</vt:lpstr>
      <vt:lpstr>M!Print_Area</vt:lpstr>
      <vt:lpstr>'re-estimate'!Print_Area</vt:lpstr>
      <vt:lpstr>V!Print_Area</vt:lpstr>
      <vt:lpstr>WCR!Print_Area</vt:lpstr>
      <vt:lpstr>M!Print_Titles</vt:lpstr>
      <vt:lpstr>'re-estimate'!Print_Titles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2025-06-11T06:15:09Z</cp:lastPrinted>
  <dcterms:created xsi:type="dcterms:W3CDTF">2015-06-05T18:17:20Z</dcterms:created>
  <dcterms:modified xsi:type="dcterms:W3CDTF">2025-06-16T23:29:47Z</dcterms:modified>
</cp:coreProperties>
</file>