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activeTab="4"/>
  </bookViews>
  <sheets>
    <sheet name="WCR" sheetId="6" r:id="rId1"/>
    <sheet name="estimate" sheetId="17" r:id="rId2"/>
    <sheet name="dachi both sides" sheetId="18" r:id="rId3"/>
    <sheet name="dachi one side only" sheetId="19" r:id="rId4"/>
    <sheet name="dachi one side only 500k" sheetId="20" r:id="rId5"/>
  </sheets>
  <externalReferences>
    <externalReference r:id="rId6"/>
    <externalReference r:id="rId7"/>
    <externalReference r:id="rId8"/>
  </externalReferences>
  <definedNames>
    <definedName name="description_124" localSheetId="2">#REF!</definedName>
    <definedName name="description_124" localSheetId="3">#REF!</definedName>
    <definedName name="description_124" localSheetId="4">#REF!</definedName>
    <definedName name="description_124" localSheetId="1">#REF!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3">'dachi one side only'!$A$1:$K$240</definedName>
    <definedName name="_xlnm.Print_Area" localSheetId="4">'dachi one side only 500k'!$A$1:$K$127</definedName>
    <definedName name="_xlnm.Print_Area" localSheetId="1">estimate!$A$1:$K$171</definedName>
    <definedName name="_xlnm.Print_Titles" localSheetId="2">'dachi both sides'!$1:$8</definedName>
    <definedName name="_xlnm.Print_Titles" localSheetId="3">'dachi one side only'!$1:$8</definedName>
    <definedName name="_xlnm.Print_Titles" localSheetId="4">'dachi one side only 500k'!$1:$8</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98" i="20" l="1"/>
  <c r="G95" i="20"/>
  <c r="J95" i="20" s="1"/>
  <c r="I95" i="20"/>
  <c r="F94" i="20"/>
  <c r="D94" i="20"/>
  <c r="F93" i="20"/>
  <c r="D93" i="20"/>
  <c r="G93" i="20" s="1"/>
  <c r="F72" i="20"/>
  <c r="D73" i="20"/>
  <c r="E73" i="20"/>
  <c r="F73" i="20"/>
  <c r="D88" i="20"/>
  <c r="E88" i="20"/>
  <c r="F88" i="20"/>
  <c r="I89" i="20"/>
  <c r="D85" i="20"/>
  <c r="F86" i="20"/>
  <c r="E86" i="20"/>
  <c r="D86" i="20"/>
  <c r="C86" i="20"/>
  <c r="F85" i="20"/>
  <c r="E85" i="20"/>
  <c r="C85" i="20"/>
  <c r="E72" i="20"/>
  <c r="D72" i="20"/>
  <c r="C72" i="20"/>
  <c r="G94" i="20" l="1"/>
  <c r="G73" i="20"/>
  <c r="G88" i="20"/>
  <c r="G72" i="20"/>
  <c r="G86" i="20"/>
  <c r="G85" i="20"/>
  <c r="D57" i="20" l="1"/>
  <c r="G57" i="20" s="1"/>
  <c r="D62" i="20"/>
  <c r="G62" i="20" s="1"/>
  <c r="G63" i="20" s="1"/>
  <c r="I63" i="20"/>
  <c r="F112" i="20"/>
  <c r="D112" i="20"/>
  <c r="F108" i="20"/>
  <c r="F107" i="20"/>
  <c r="F106" i="20"/>
  <c r="F105" i="20"/>
  <c r="F104" i="20"/>
  <c r="D108" i="20"/>
  <c r="C108" i="20"/>
  <c r="D107" i="20"/>
  <c r="C107" i="20"/>
  <c r="D106" i="20"/>
  <c r="C106" i="20"/>
  <c r="D105" i="20"/>
  <c r="C105" i="20"/>
  <c r="D104" i="20"/>
  <c r="C104" i="20"/>
  <c r="F102" i="20"/>
  <c r="F103" i="20"/>
  <c r="F101" i="20"/>
  <c r="F100" i="20"/>
  <c r="C100" i="20"/>
  <c r="C101" i="20"/>
  <c r="C102" i="20"/>
  <c r="C103" i="20"/>
  <c r="D103" i="20"/>
  <c r="D102" i="20"/>
  <c r="D101" i="20"/>
  <c r="D100" i="20"/>
  <c r="F99" i="20"/>
  <c r="D99" i="20"/>
  <c r="C99" i="20"/>
  <c r="C98" i="20"/>
  <c r="E87" i="20"/>
  <c r="F87" i="20"/>
  <c r="E71" i="20"/>
  <c r="F71" i="20"/>
  <c r="E70" i="20"/>
  <c r="F70" i="20"/>
  <c r="D87" i="20"/>
  <c r="C87" i="20"/>
  <c r="D71" i="20"/>
  <c r="C71" i="20"/>
  <c r="F84" i="20"/>
  <c r="E84" i="20"/>
  <c r="D84" i="20"/>
  <c r="C84" i="20"/>
  <c r="F83" i="20"/>
  <c r="E83" i="20"/>
  <c r="D83" i="20"/>
  <c r="C83" i="20"/>
  <c r="F82" i="20"/>
  <c r="E82" i="20"/>
  <c r="D82" i="20"/>
  <c r="C82" i="20"/>
  <c r="D70" i="20"/>
  <c r="C70" i="20"/>
  <c r="F69" i="20"/>
  <c r="E69" i="20"/>
  <c r="D69" i="20"/>
  <c r="C69" i="20"/>
  <c r="C68" i="20"/>
  <c r="F68" i="20"/>
  <c r="E68" i="20"/>
  <c r="D81" i="20"/>
  <c r="F81" i="20"/>
  <c r="E81" i="20"/>
  <c r="F80" i="20"/>
  <c r="E80" i="20"/>
  <c r="D80" i="20"/>
  <c r="F79" i="20"/>
  <c r="E79" i="20"/>
  <c r="D79" i="20"/>
  <c r="M69" i="20"/>
  <c r="N69" i="20" s="1"/>
  <c r="M68" i="20"/>
  <c r="F78" i="20"/>
  <c r="E78" i="20"/>
  <c r="D78" i="20"/>
  <c r="D67" i="20"/>
  <c r="D36" i="20"/>
  <c r="D41" i="20" s="1"/>
  <c r="F28" i="20"/>
  <c r="F15" i="20" s="1"/>
  <c r="D15" i="20"/>
  <c r="D46" i="20" s="1"/>
  <c r="F31" i="20"/>
  <c r="D31" i="20"/>
  <c r="B31" i="20"/>
  <c r="F14" i="20"/>
  <c r="D14" i="20"/>
  <c r="F20" i="20"/>
  <c r="D20" i="20"/>
  <c r="D51" i="20" s="1"/>
  <c r="C20" i="20"/>
  <c r="F19" i="20"/>
  <c r="D19" i="20"/>
  <c r="C19" i="20"/>
  <c r="F18" i="20"/>
  <c r="D18" i="20"/>
  <c r="F17" i="20"/>
  <c r="D17" i="20"/>
  <c r="C14" i="20"/>
  <c r="C15" i="20"/>
  <c r="F12" i="20"/>
  <c r="F11" i="20"/>
  <c r="C30" i="20"/>
  <c r="C29" i="20"/>
  <c r="C16" i="20" s="1"/>
  <c r="F26" i="20"/>
  <c r="F25" i="20"/>
  <c r="G80" i="20" l="1"/>
  <c r="G101" i="20"/>
  <c r="G99" i="20"/>
  <c r="G105" i="20"/>
  <c r="G106" i="20"/>
  <c r="G31" i="20"/>
  <c r="G100" i="20"/>
  <c r="G108" i="20"/>
  <c r="G107" i="20"/>
  <c r="G104" i="20"/>
  <c r="G102" i="20"/>
  <c r="G82" i="20"/>
  <c r="G83" i="20"/>
  <c r="G79" i="20"/>
  <c r="G103" i="20"/>
  <c r="J63" i="20"/>
  <c r="J64" i="20"/>
  <c r="G81" i="20"/>
  <c r="G84" i="20"/>
  <c r="G87" i="20"/>
  <c r="G20" i="20"/>
  <c r="G70" i="20"/>
  <c r="G71" i="20"/>
  <c r="G19" i="20"/>
  <c r="D56" i="20"/>
  <c r="G56" i="20" s="1"/>
  <c r="G58" i="20" s="1"/>
  <c r="C127" i="20"/>
  <c r="C126" i="20"/>
  <c r="G118" i="20"/>
  <c r="J118" i="20" s="1"/>
  <c r="G116" i="20"/>
  <c r="J116" i="20" s="1"/>
  <c r="I113" i="20"/>
  <c r="G112" i="20"/>
  <c r="I109" i="20"/>
  <c r="I74" i="20"/>
  <c r="G68" i="20"/>
  <c r="G78" i="20"/>
  <c r="E67" i="20"/>
  <c r="I58" i="20"/>
  <c r="I52" i="20"/>
  <c r="G51" i="20"/>
  <c r="G52" i="20" s="1"/>
  <c r="J53" i="20" s="1"/>
  <c r="I47" i="20"/>
  <c r="G46" i="20"/>
  <c r="G47" i="20" s="1"/>
  <c r="I42" i="20"/>
  <c r="G41" i="20"/>
  <c r="G42" i="20" s="1"/>
  <c r="I37" i="20"/>
  <c r="G36" i="20"/>
  <c r="G37" i="20" s="1"/>
  <c r="D30" i="20"/>
  <c r="D13" i="20" s="1"/>
  <c r="D29" i="20"/>
  <c r="G27" i="20"/>
  <c r="I21" i="20"/>
  <c r="G18" i="20"/>
  <c r="G17" i="20"/>
  <c r="F16" i="20"/>
  <c r="G16" i="20" s="1"/>
  <c r="G15" i="20"/>
  <c r="F13" i="20"/>
  <c r="C13" i="20"/>
  <c r="G12" i="20"/>
  <c r="G11" i="20"/>
  <c r="G89" i="20" l="1"/>
  <c r="J90" i="20"/>
  <c r="M80" i="20"/>
  <c r="G69" i="20"/>
  <c r="G98" i="20"/>
  <c r="G109" i="20" s="1"/>
  <c r="G13" i="20"/>
  <c r="G26" i="20"/>
  <c r="C124" i="20"/>
  <c r="G113" i="20"/>
  <c r="J114" i="20" s="1"/>
  <c r="F29" i="20"/>
  <c r="G29" i="20" s="1"/>
  <c r="G25" i="20"/>
  <c r="G67" i="20"/>
  <c r="G74" i="20" s="1"/>
  <c r="G14" i="20"/>
  <c r="G30" i="20"/>
  <c r="G28" i="20"/>
  <c r="J59" i="20"/>
  <c r="J58" i="20"/>
  <c r="J48" i="20"/>
  <c r="J47" i="20"/>
  <c r="J43" i="20"/>
  <c r="J42" i="20"/>
  <c r="J38" i="20"/>
  <c r="J37" i="20"/>
  <c r="J52" i="20"/>
  <c r="D225" i="19"/>
  <c r="D220" i="19"/>
  <c r="D11" i="19"/>
  <c r="F215" i="19"/>
  <c r="E215" i="19" s="1"/>
  <c r="G215" i="19" s="1"/>
  <c r="G216" i="19" s="1"/>
  <c r="J216" i="19" s="1"/>
  <c r="J89" i="20" l="1"/>
  <c r="J109" i="20"/>
  <c r="G21" i="20"/>
  <c r="J22" i="20" s="1"/>
  <c r="G32" i="20"/>
  <c r="J33" i="20" s="1"/>
  <c r="J113" i="20"/>
  <c r="G11" i="19"/>
  <c r="E11" i="19"/>
  <c r="E220" i="19"/>
  <c r="E225" i="19" s="1"/>
  <c r="G225" i="19" s="1"/>
  <c r="G226" i="19" s="1"/>
  <c r="J227" i="19" s="1"/>
  <c r="G220" i="19"/>
  <c r="G221" i="19" s="1"/>
  <c r="J222" i="19" s="1"/>
  <c r="J217" i="19"/>
  <c r="J32" i="20" l="1"/>
  <c r="J21" i="20"/>
  <c r="J226" i="19"/>
  <c r="J221" i="19"/>
  <c r="G210" i="19"/>
  <c r="G211" i="19" s="1"/>
  <c r="J211" i="19" l="1"/>
  <c r="J212" i="19" s="1"/>
  <c r="C205" i="19" l="1"/>
  <c r="B205" i="19"/>
  <c r="B203" i="19"/>
  <c r="B114" i="19"/>
  <c r="B113" i="19"/>
  <c r="G33" i="19"/>
  <c r="F34" i="19"/>
  <c r="D34" i="19"/>
  <c r="D150" i="19"/>
  <c r="D147" i="19"/>
  <c r="D148" i="19"/>
  <c r="E155" i="19"/>
  <c r="F168" i="19"/>
  <c r="C164" i="19"/>
  <c r="E164" i="19"/>
  <c r="E160" i="19"/>
  <c r="G34" i="19" l="1"/>
  <c r="C113" i="19" l="1"/>
  <c r="C114" i="19"/>
  <c r="F113" i="19"/>
  <c r="F99" i="19"/>
  <c r="F114" i="19" s="1"/>
  <c r="D99" i="19"/>
  <c r="D205" i="19" s="1"/>
  <c r="G205" i="19" s="1"/>
  <c r="D98" i="19"/>
  <c r="B111" i="19"/>
  <c r="F97" i="19"/>
  <c r="F112" i="19" s="1"/>
  <c r="F96" i="19"/>
  <c r="F111" i="19" s="1"/>
  <c r="C97" i="19"/>
  <c r="C112" i="19" s="1"/>
  <c r="C204" i="19" s="1"/>
  <c r="C96" i="19"/>
  <c r="C111" i="19" s="1"/>
  <c r="C203" i="19" s="1"/>
  <c r="D32" i="19"/>
  <c r="G32" i="19" s="1"/>
  <c r="D31" i="19"/>
  <c r="D96" i="19" s="1"/>
  <c r="C240" i="19"/>
  <c r="C239" i="19"/>
  <c r="G231" i="19"/>
  <c r="J231" i="19" s="1"/>
  <c r="G229" i="19"/>
  <c r="J229" i="19" s="1"/>
  <c r="I199" i="19"/>
  <c r="G198" i="19"/>
  <c r="G199" i="19" s="1"/>
  <c r="I194" i="19"/>
  <c r="D193" i="19"/>
  <c r="G193" i="19" s="1"/>
  <c r="D192" i="19"/>
  <c r="G192" i="19" s="1"/>
  <c r="D191" i="19"/>
  <c r="G191" i="19" s="1"/>
  <c r="G194" i="19" s="1"/>
  <c r="I187" i="19"/>
  <c r="C186" i="19"/>
  <c r="G186" i="19" s="1"/>
  <c r="I182" i="19"/>
  <c r="C181" i="19"/>
  <c r="B181" i="19"/>
  <c r="C180" i="19"/>
  <c r="B180" i="19"/>
  <c r="I176" i="19"/>
  <c r="E175" i="19"/>
  <c r="E181" i="19" s="1"/>
  <c r="D175" i="19"/>
  <c r="E174" i="19"/>
  <c r="E180" i="19" s="1"/>
  <c r="D174" i="19"/>
  <c r="D180" i="19" s="1"/>
  <c r="I170" i="19"/>
  <c r="D169" i="19"/>
  <c r="G169" i="19" s="1"/>
  <c r="D168" i="19"/>
  <c r="G168" i="19" s="1"/>
  <c r="I165" i="19"/>
  <c r="G164" i="19"/>
  <c r="I161" i="19"/>
  <c r="F160" i="19"/>
  <c r="G160" i="19" s="1"/>
  <c r="G161" i="19" s="1"/>
  <c r="I156" i="19"/>
  <c r="F155" i="19"/>
  <c r="G155" i="19" s="1"/>
  <c r="G156" i="19" s="1"/>
  <c r="I151" i="19"/>
  <c r="C150" i="19"/>
  <c r="G150" i="19" s="1"/>
  <c r="C149" i="19"/>
  <c r="G149" i="19" s="1"/>
  <c r="G148" i="19"/>
  <c r="E147" i="19"/>
  <c r="D142" i="19"/>
  <c r="G142" i="19" s="1"/>
  <c r="G143" i="19" s="1"/>
  <c r="D137" i="19"/>
  <c r="G137" i="19" s="1"/>
  <c r="E132" i="19"/>
  <c r="D132" i="19"/>
  <c r="E131" i="19"/>
  <c r="D131" i="19"/>
  <c r="E130" i="19"/>
  <c r="D130" i="19"/>
  <c r="G129" i="19"/>
  <c r="D128" i="19"/>
  <c r="G128" i="19" s="1"/>
  <c r="G127" i="19"/>
  <c r="G126" i="19"/>
  <c r="E125" i="19"/>
  <c r="D125" i="19"/>
  <c r="I116" i="19"/>
  <c r="F115" i="19"/>
  <c r="B115" i="19"/>
  <c r="D101" i="19"/>
  <c r="G101" i="19" s="1"/>
  <c r="D100" i="19"/>
  <c r="G100" i="19" s="1"/>
  <c r="G91" i="19"/>
  <c r="I87" i="19"/>
  <c r="D86" i="19"/>
  <c r="G86" i="19" s="1"/>
  <c r="G87" i="19" s="1"/>
  <c r="I82" i="19"/>
  <c r="D81" i="19"/>
  <c r="G81" i="19" s="1"/>
  <c r="G82" i="19" s="1"/>
  <c r="I77" i="19"/>
  <c r="D76" i="19"/>
  <c r="G76" i="19" s="1"/>
  <c r="G77" i="19" s="1"/>
  <c r="I72" i="19"/>
  <c r="D71" i="19"/>
  <c r="G71" i="19" s="1"/>
  <c r="G72" i="19" s="1"/>
  <c r="I67" i="19"/>
  <c r="D66" i="19"/>
  <c r="G66" i="19" s="1"/>
  <c r="G67" i="19" s="1"/>
  <c r="I62" i="19"/>
  <c r="D61" i="19"/>
  <c r="G61" i="19" s="1"/>
  <c r="G62" i="19" s="1"/>
  <c r="I57" i="19"/>
  <c r="D56" i="19"/>
  <c r="G56" i="19" s="1"/>
  <c r="G57" i="19" s="1"/>
  <c r="I52" i="19"/>
  <c r="D51" i="19"/>
  <c r="G51" i="19" s="1"/>
  <c r="G52" i="19" s="1"/>
  <c r="I47" i="19"/>
  <c r="D46" i="19"/>
  <c r="G46" i="19" s="1"/>
  <c r="G47" i="19" s="1"/>
  <c r="I42" i="19"/>
  <c r="D41" i="19"/>
  <c r="G41" i="19" s="1"/>
  <c r="G42" i="19" s="1"/>
  <c r="D36" i="19"/>
  <c r="G36" i="19" s="1"/>
  <c r="D35" i="19"/>
  <c r="I27" i="19"/>
  <c r="G26" i="19"/>
  <c r="D25" i="19"/>
  <c r="G25" i="19" s="1"/>
  <c r="F24" i="19"/>
  <c r="F23" i="19"/>
  <c r="D23" i="19"/>
  <c r="F22" i="19"/>
  <c r="F21" i="19"/>
  <c r="F35" i="19" s="1"/>
  <c r="F20" i="19"/>
  <c r="C20" i="19"/>
  <c r="D19" i="19"/>
  <c r="D24" i="19" s="1"/>
  <c r="C19" i="19"/>
  <c r="G19" i="19" s="1"/>
  <c r="F18" i="19"/>
  <c r="C18" i="19"/>
  <c r="D17" i="19"/>
  <c r="G17" i="19" s="1"/>
  <c r="D16" i="19"/>
  <c r="G16" i="19" s="1"/>
  <c r="F10" i="19"/>
  <c r="G10" i="19" s="1"/>
  <c r="G12" i="19" s="1"/>
  <c r="G170" i="19" l="1"/>
  <c r="G165" i="19"/>
  <c r="J165" i="19" s="1"/>
  <c r="G187" i="19"/>
  <c r="J187" i="19" s="1"/>
  <c r="J188" i="19" s="1"/>
  <c r="G98" i="19"/>
  <c r="D18" i="19"/>
  <c r="G18" i="19" s="1"/>
  <c r="G31" i="19"/>
  <c r="G20" i="19"/>
  <c r="C237" i="19"/>
  <c r="D115" i="19"/>
  <c r="G115" i="19" s="1"/>
  <c r="G99" i="19"/>
  <c r="D114" i="19"/>
  <c r="G114" i="19" s="1"/>
  <c r="G138" i="19"/>
  <c r="J138" i="19" s="1"/>
  <c r="J139" i="19" s="1"/>
  <c r="G24" i="19"/>
  <c r="J161" i="19"/>
  <c r="D113" i="19"/>
  <c r="G113" i="19" s="1"/>
  <c r="G21" i="19"/>
  <c r="J92" i="19"/>
  <c r="G92" i="19"/>
  <c r="J93" i="19" s="1"/>
  <c r="D22" i="19"/>
  <c r="G22" i="19" s="1"/>
  <c r="G125" i="19"/>
  <c r="G96" i="19"/>
  <c r="D97" i="19"/>
  <c r="G97" i="19" s="1"/>
  <c r="D106" i="19"/>
  <c r="G106" i="19" s="1"/>
  <c r="G107" i="19" s="1"/>
  <c r="J108" i="19" s="1"/>
  <c r="G132" i="19"/>
  <c r="G35" i="19"/>
  <c r="G23" i="19"/>
  <c r="D111" i="19"/>
  <c r="J200" i="19"/>
  <c r="J199" i="19"/>
  <c r="G130" i="19"/>
  <c r="G147" i="19"/>
  <c r="G151" i="19" s="1"/>
  <c r="G131" i="19"/>
  <c r="G175" i="19"/>
  <c r="G180" i="19"/>
  <c r="J195" i="19"/>
  <c r="J62" i="19"/>
  <c r="J63" i="19"/>
  <c r="J48" i="19"/>
  <c r="J47" i="19"/>
  <c r="J144" i="19"/>
  <c r="J143" i="19"/>
  <c r="J53" i="19"/>
  <c r="J52" i="19"/>
  <c r="J157" i="19"/>
  <c r="J156" i="19"/>
  <c r="J82" i="19"/>
  <c r="J83" i="19"/>
  <c r="J68" i="19"/>
  <c r="J67" i="19"/>
  <c r="J42" i="19"/>
  <c r="J43" i="19"/>
  <c r="J58" i="19"/>
  <c r="J57" i="19"/>
  <c r="J171" i="19"/>
  <c r="J170" i="19"/>
  <c r="J78" i="19"/>
  <c r="J77" i="19"/>
  <c r="J102" i="19"/>
  <c r="J13" i="19"/>
  <c r="J12" i="19"/>
  <c r="J73" i="19"/>
  <c r="J72" i="19"/>
  <c r="J88" i="19"/>
  <c r="J87" i="19"/>
  <c r="D181" i="19"/>
  <c r="G181" i="19" s="1"/>
  <c r="G174" i="19"/>
  <c r="I183" i="18"/>
  <c r="G182" i="18"/>
  <c r="G183" i="18" s="1"/>
  <c r="J184" i="18" s="1"/>
  <c r="G27" i="18"/>
  <c r="D26" i="18"/>
  <c r="G26" i="18"/>
  <c r="I178" i="18"/>
  <c r="D177" i="18"/>
  <c r="G177" i="18" s="1"/>
  <c r="D176" i="18"/>
  <c r="G176" i="18" s="1"/>
  <c r="D175" i="18"/>
  <c r="G175" i="18" s="1"/>
  <c r="C170" i="18"/>
  <c r="G170" i="18" s="1"/>
  <c r="G171" i="18" s="1"/>
  <c r="I171" i="18"/>
  <c r="F24" i="18"/>
  <c r="F23" i="18"/>
  <c r="F22" i="18"/>
  <c r="F32" i="18" s="1"/>
  <c r="C19" i="18"/>
  <c r="F19" i="18"/>
  <c r="D33" i="18"/>
  <c r="G33" i="18" s="1"/>
  <c r="D32" i="18"/>
  <c r="G178" i="18" l="1"/>
  <c r="G176" i="19"/>
  <c r="J177" i="19" s="1"/>
  <c r="G182" i="19"/>
  <c r="J183" i="19" s="1"/>
  <c r="G111" i="19"/>
  <c r="D203" i="19"/>
  <c r="G203" i="19" s="1"/>
  <c r="G37" i="19"/>
  <c r="J37" i="19" s="1"/>
  <c r="J107" i="19"/>
  <c r="G133" i="19"/>
  <c r="J134" i="19" s="1"/>
  <c r="G102" i="19"/>
  <c r="J103" i="19" s="1"/>
  <c r="D112" i="19"/>
  <c r="G27" i="19"/>
  <c r="J27" i="19" s="1"/>
  <c r="J194" i="19"/>
  <c r="J152" i="19"/>
  <c r="J151" i="19"/>
  <c r="J179" i="18"/>
  <c r="J183" i="18"/>
  <c r="D19" i="18"/>
  <c r="G19" i="18" s="1"/>
  <c r="J178" i="18"/>
  <c r="J171" i="18"/>
  <c r="J172" i="18" s="1"/>
  <c r="J133" i="19" l="1"/>
  <c r="J182" i="19"/>
  <c r="G112" i="19"/>
  <c r="G116" i="19" s="1"/>
  <c r="G120" i="19" s="1"/>
  <c r="G121" i="19" s="1"/>
  <c r="D204" i="19"/>
  <c r="G204" i="19" s="1"/>
  <c r="G206" i="19" s="1"/>
  <c r="J38" i="19"/>
  <c r="J28" i="19"/>
  <c r="J176" i="19"/>
  <c r="C21" i="18"/>
  <c r="C20" i="18"/>
  <c r="D43" i="18"/>
  <c r="D38" i="18"/>
  <c r="D23" i="18" s="1"/>
  <c r="F18" i="18"/>
  <c r="D18" i="18"/>
  <c r="D17" i="18"/>
  <c r="G17" i="18" s="1"/>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G127" i="18" s="1"/>
  <c r="D121" i="18"/>
  <c r="G121" i="18" s="1"/>
  <c r="E116" i="18"/>
  <c r="D116" i="18"/>
  <c r="E115" i="18"/>
  <c r="D115" i="18"/>
  <c r="E114" i="18"/>
  <c r="D114" i="18"/>
  <c r="G113" i="18"/>
  <c r="D112" i="18"/>
  <c r="G112" i="18" s="1"/>
  <c r="G111" i="18"/>
  <c r="G110" i="18"/>
  <c r="E109" i="18"/>
  <c r="D109" i="18"/>
  <c r="I105" i="18"/>
  <c r="F104" i="18"/>
  <c r="B104" i="18"/>
  <c r="D94" i="18"/>
  <c r="D104" i="18" s="1"/>
  <c r="D93" i="18"/>
  <c r="G93" i="18" s="1"/>
  <c r="G88" i="18"/>
  <c r="I84" i="18"/>
  <c r="D83" i="18"/>
  <c r="G83" i="18" s="1"/>
  <c r="G84" i="18" s="1"/>
  <c r="I79" i="18"/>
  <c r="D78" i="18"/>
  <c r="G78" i="18" s="1"/>
  <c r="G79" i="18" s="1"/>
  <c r="I74" i="18"/>
  <c r="D73" i="18"/>
  <c r="G73" i="18" s="1"/>
  <c r="G74" i="18" s="1"/>
  <c r="I69" i="18"/>
  <c r="D68" i="18"/>
  <c r="G68" i="18" s="1"/>
  <c r="G69" i="18" s="1"/>
  <c r="I64" i="18"/>
  <c r="D63" i="18"/>
  <c r="G63" i="18" s="1"/>
  <c r="G64" i="18" s="1"/>
  <c r="I59" i="18"/>
  <c r="D58" i="18"/>
  <c r="G58" i="18" s="1"/>
  <c r="G59" i="18" s="1"/>
  <c r="I54" i="18"/>
  <c r="D53" i="18"/>
  <c r="G53" i="18" s="1"/>
  <c r="G54" i="18" s="1"/>
  <c r="I49" i="18"/>
  <c r="D48" i="18"/>
  <c r="G48" i="18" s="1"/>
  <c r="G49" i="18" s="1"/>
  <c r="I44" i="18"/>
  <c r="G43" i="18"/>
  <c r="G44" i="18" s="1"/>
  <c r="I39" i="18"/>
  <c r="I28" i="18"/>
  <c r="F25" i="18"/>
  <c r="D24" i="18"/>
  <c r="G22" i="18"/>
  <c r="F21" i="18"/>
  <c r="D20" i="18"/>
  <c r="D25" i="18" s="1"/>
  <c r="G15" i="18"/>
  <c r="F10" i="18"/>
  <c r="G10" i="18" s="1"/>
  <c r="G11" i="18" s="1"/>
  <c r="J116" i="19" l="1"/>
  <c r="J233" i="19" s="1"/>
  <c r="J117" i="19"/>
  <c r="J207" i="19"/>
  <c r="J206" i="19"/>
  <c r="J122" i="19"/>
  <c r="J121" i="19"/>
  <c r="G95" i="18"/>
  <c r="J90" i="18"/>
  <c r="G89" i="18"/>
  <c r="G122" i="18"/>
  <c r="J122" i="18" s="1"/>
  <c r="J123" i="18" s="1"/>
  <c r="G114" i="18"/>
  <c r="G109" i="18"/>
  <c r="G139" i="18"/>
  <c r="G152" i="18"/>
  <c r="G154" i="18" s="1"/>
  <c r="J155" i="18" s="1"/>
  <c r="G148" i="18"/>
  <c r="G18" i="18"/>
  <c r="J89" i="18"/>
  <c r="G104" i="18"/>
  <c r="G131" i="18"/>
  <c r="G94" i="18"/>
  <c r="G134" i="18"/>
  <c r="G158" i="18"/>
  <c r="G160" i="18" s="1"/>
  <c r="G165" i="18"/>
  <c r="J55" i="18"/>
  <c r="J54" i="18"/>
  <c r="J75" i="18"/>
  <c r="J74" i="18"/>
  <c r="D164" i="18"/>
  <c r="G164" i="18" s="1"/>
  <c r="G115" i="18"/>
  <c r="D99" i="18"/>
  <c r="G99" i="18" s="1"/>
  <c r="G23" i="18"/>
  <c r="G25" i="18"/>
  <c r="G32" i="18"/>
  <c r="G116" i="18"/>
  <c r="G144" i="18"/>
  <c r="G24" i="18"/>
  <c r="G21" i="18"/>
  <c r="J80" i="18"/>
  <c r="J79" i="18"/>
  <c r="J69" i="18"/>
  <c r="J70" i="18"/>
  <c r="J85" i="18"/>
  <c r="J84" i="18"/>
  <c r="J60" i="18"/>
  <c r="J59" i="18"/>
  <c r="J45" i="18"/>
  <c r="J44" i="18"/>
  <c r="J49" i="18"/>
  <c r="J50" i="18"/>
  <c r="J12" i="18"/>
  <c r="J11" i="18"/>
  <c r="J65" i="18"/>
  <c r="J64" i="18"/>
  <c r="J95" i="18"/>
  <c r="J128" i="18"/>
  <c r="J127" i="18"/>
  <c r="G20" i="18"/>
  <c r="G38" i="18"/>
  <c r="G39" i="18" s="1"/>
  <c r="G159" i="18"/>
  <c r="I154" i="17"/>
  <c r="C153" i="17"/>
  <c r="C152" i="17"/>
  <c r="B153" i="17"/>
  <c r="B152" i="17"/>
  <c r="D141" i="17"/>
  <c r="G141" i="17" s="1"/>
  <c r="I148" i="17"/>
  <c r="E147" i="17"/>
  <c r="E153" i="17" s="1"/>
  <c r="D147" i="17"/>
  <c r="G147" i="17" s="1"/>
  <c r="E146" i="17"/>
  <c r="E152" i="17" s="1"/>
  <c r="D146" i="17"/>
  <c r="D152" i="17" s="1"/>
  <c r="G166" i="18" l="1"/>
  <c r="G28" i="18"/>
  <c r="C235" i="19"/>
  <c r="E237" i="19" s="1"/>
  <c r="E238" i="19" s="1"/>
  <c r="G117" i="18"/>
  <c r="G135" i="18"/>
  <c r="J135" i="18" s="1"/>
  <c r="G105" i="18"/>
  <c r="J105" i="18" s="1"/>
  <c r="G145" i="18"/>
  <c r="J145" i="18" s="1"/>
  <c r="G34" i="18"/>
  <c r="J35" i="18" s="1"/>
  <c r="J100" i="18"/>
  <c r="G100" i="18"/>
  <c r="J101" i="18" s="1"/>
  <c r="G140" i="18"/>
  <c r="J141" i="18" s="1"/>
  <c r="D153" i="17"/>
  <c r="G153" i="17" s="1"/>
  <c r="J96" i="18"/>
  <c r="G152" i="17"/>
  <c r="G149" i="18"/>
  <c r="J149" i="18" s="1"/>
  <c r="J154" i="18"/>
  <c r="J136" i="18"/>
  <c r="J167" i="18"/>
  <c r="J117" i="18"/>
  <c r="J29" i="18"/>
  <c r="J161" i="18"/>
  <c r="J160" i="18"/>
  <c r="J140" i="18" l="1"/>
  <c r="J106" i="18"/>
  <c r="G154" i="17"/>
  <c r="J155" i="17" s="1"/>
  <c r="C238" i="19"/>
  <c r="J154" i="17"/>
  <c r="J118" i="18"/>
  <c r="J166" i="18"/>
  <c r="J34" i="18"/>
  <c r="J28" i="18"/>
  <c r="G146" i="17"/>
  <c r="G148" i="17" s="1"/>
  <c r="J149" i="17" s="1"/>
  <c r="J40" i="18" l="1"/>
  <c r="J39" i="18"/>
  <c r="J148" i="17"/>
  <c r="J190" i="18" l="1"/>
  <c r="C192" i="18"/>
  <c r="C195" i="18" s="1"/>
  <c r="F20" i="17"/>
  <c r="F21" i="17"/>
  <c r="D20" i="17"/>
  <c r="F19" i="17"/>
  <c r="I47" i="17"/>
  <c r="I52" i="17"/>
  <c r="I57" i="17"/>
  <c r="I62" i="17"/>
  <c r="I67" i="17"/>
  <c r="I72" i="17"/>
  <c r="D71" i="17"/>
  <c r="G71" i="17" s="1"/>
  <c r="G72" i="17" s="1"/>
  <c r="J73" i="17" s="1"/>
  <c r="D66" i="17"/>
  <c r="G66" i="17" s="1"/>
  <c r="G67" i="17" s="1"/>
  <c r="J68" i="17" s="1"/>
  <c r="D61" i="17"/>
  <c r="G61" i="17" s="1"/>
  <c r="G62" i="17" s="1"/>
  <c r="J63" i="17" s="1"/>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G102" i="17" s="1"/>
  <c r="D102" i="17"/>
  <c r="F140" i="17"/>
  <c r="D140" i="17"/>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G140" i="17" l="1"/>
  <c r="G142" i="17" s="1"/>
  <c r="D19" i="17"/>
  <c r="G19" i="17" s="1"/>
  <c r="E194" i="18"/>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D21" i="17"/>
  <c r="G21" i="17" s="1"/>
  <c r="J88" i="17"/>
  <c r="G88" i="17"/>
  <c r="J89" i="17" s="1"/>
  <c r="I93" i="17"/>
  <c r="C171" i="17"/>
  <c r="C170" i="17"/>
  <c r="G22" i="17" l="1"/>
  <c r="J23" i="17" s="1"/>
  <c r="C168" i="17"/>
  <c r="J22" i="17"/>
  <c r="G82" i="17" l="1"/>
  <c r="G81" i="17"/>
  <c r="G83" i="17" l="1"/>
  <c r="J83" i="17"/>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 r="J75" i="20"/>
  <c r="J74" i="20"/>
  <c r="J120" i="20"/>
  <c r="C122" i="20" s="1"/>
  <c r="E124" i="20" l="1"/>
  <c r="E125" i="20" s="1"/>
  <c r="C125" i="20"/>
</calcChain>
</file>

<file path=xl/sharedStrings.xml><?xml version="1.0" encoding="utf-8"?>
<sst xmlns="http://schemas.openxmlformats.org/spreadsheetml/2006/main" count="733" uniqueCount="139">
  <si>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</si>
  <si>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</si>
  <si>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</si>
  <si>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</si>
  <si>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</si>
  <si>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</si>
  <si>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</si>
  <si>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</si>
  <si>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</si>
  <si>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</si>
  <si>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</si>
  <si>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</si>
  <si>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</si>
  <si>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</si>
  <si>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</si>
  <si>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</si>
  <si>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</si>
  <si>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</si>
  <si>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</si>
  <si>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</si>
  <si>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</si>
  <si>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</si>
  <si>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</si>
  <si>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</si>
  <si>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</si>
  <si>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</si>
  <si>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</si>
  <si>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</si>
  <si>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</si>
  <si>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</si>
  <si>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</si>
  <si>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</si>
  <si>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</si>
  <si>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</si>
  <si>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</si>
  <si>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</si>
  <si>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</si>
  <si>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</si>
  <si>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</si>
  <si>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</si>
  <si>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</si>
  <si>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</si>
  <si>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</si>
  <si>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</si>
  <si>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</si>
  <si>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</si>
  <si>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</si>
  <si>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</si>
  <si>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</si>
  <si>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</si>
  <si>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</si>
  <si>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</si>
  <si>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</si>
  <si>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</si>
  <si>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</si>
  <si>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</si>
  <si>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</si>
  <si>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</si>
  <si>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</si>
  <si>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</si>
  <si>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</si>
  <si>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</si>
  <si>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</si>
  <si>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</si>
  <si>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</si>
  <si>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</si>
  <si>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</si>
  <si>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</si>
  <si>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</si>
  <si>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</si>
  <si>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</si>
  <si>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</si>
  <si>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</si>
  <si>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</si>
  <si>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</si>
  <si>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</si>
  <si>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</si>
  <si>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</si>
  <si>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</si>
  <si>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</si>
  <si>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</si>
  <si>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</si>
  <si>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</si>
  <si>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</si>
  <si>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</si>
  <si>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</si>
  <si>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</si>
  <si>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</si>
  <si>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</si>
  <si>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</si>
  <si>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</si>
  <si>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</si>
  <si>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</si>
  <si>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</si>
  <si>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</si>
  <si>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</si>
  <si>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</si>
  <si>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</si>
  <si>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</si>
  <si>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</si>
  <si>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</si>
  <si>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</si>
  <si>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</si>
  <si>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</si>
  <si>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</si>
  <si>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</si>
  <si>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</si>
  <si>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</si>
  <si>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</si>
  <si>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</si>
  <si>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</si>
  <si>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</si>
  <si>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</si>
  <si>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</si>
  <si>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</si>
  <si>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</si>
  <si>
    <t>-inner wall</t>
  </si>
  <si>
    <t>-inside worship area</t>
  </si>
  <si>
    <t>Knf:6/ ;km]{;df XjfO6 l;d]G6 b'O{ sf]6 nufpg] sfd .</t>
  </si>
  <si>
    <t>-as of item no. 17</t>
  </si>
  <si>
    <t>-deduction for window</t>
  </si>
  <si>
    <t>-deduction for door</t>
  </si>
  <si>
    <r>
      <t>kf]/l;lng Un]H8 6fO{n</t>
    </r>
    <r>
      <rPr>
        <sz val="10"/>
        <rFont val="Arial"/>
        <family val="2"/>
      </rPr>
      <t>(Ordinary floor and Wall Tile-as per approved standard of manufactured country)</t>
    </r>
    <r>
      <rPr>
        <sz val="12"/>
        <rFont val="Preeti"/>
      </rPr>
      <t xml:space="preserve"> !M$ l;d]G6 afn'jfdf 5fKg] sfd .</t>
    </r>
  </si>
  <si>
    <t>Provisional sum for fittings works &amp; other unforseen works/items</t>
  </si>
  <si>
    <t>kmnfd] /f]lnË ;6/ agfO{ h8fg ug]{ , k]G6LË / Hofnf ;d]t</t>
  </si>
  <si>
    <t>-at GF</t>
  </si>
  <si>
    <t>Random Rubble Masonry, Providing and laying of Stone Masonry Work in Cement Mortar 1:6 in Foundation complete as per Drawing and Technical Specifications.</t>
  </si>
  <si>
    <t>Providing and laying of Plain/Reinforced Cement Concrete in Foundation complete as per Drawing and Technical Specifications, PCC Grade M 15</t>
  </si>
  <si>
    <t>Providing and laying of hand pack locally available Stone soling with 150 to 200 mm thick stones and packing with smaller stone on prepared surface as per Drawing and Technical Specifications.</t>
  </si>
  <si>
    <t>-for masonary</t>
  </si>
  <si>
    <t>Date: 2081/12/14</t>
  </si>
  <si>
    <t>-mikha fushi</t>
  </si>
  <si>
    <t>-Pali butta</t>
  </si>
  <si>
    <t>-thaam</t>
  </si>
  <si>
    <t>-2nd floor window</t>
  </si>
  <si>
    <t>-1st floor</t>
  </si>
  <si>
    <t>Sal timber work for joist beam, column, etc. (upto 8'-0")</t>
  </si>
  <si>
    <t>-for window</t>
  </si>
  <si>
    <t>-twaka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</si>
</sst>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
      <sz val="10"/>
      <name val="Arial"/>
      <family val="2"/>
    </font>
    <font>
      <sz val="12"/>
      <name val="Preeti"/>
    </font>
    <font>
      <sz val="11"/>
      <color theme="9"/>
      <name val="Calibri"/>
      <family val="2"/>
      <scheme val="minor"/>
    </font>
    <font>
      <b/>
      <sz val="11"/>
      <color theme="9"/>
      <name val="Calibri"/>
      <family val="2"/>
      <scheme val="minor"/>
    </font>
    <font>
      <b/>
      <sz val="11"/>
      <color theme="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5"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0" fontId="16" fillId="3" borderId="1" xfId="0" applyFont="1" applyFill="1" applyBorder="1" applyAlignment="1">
      <alignment vertical="top" wrapText="1"/>
    </xf>
    <xf numFmtId="0" fontId="25" fillId="3" borderId="1" xfId="0" applyFont="1" applyFill="1" applyBorder="1" applyAlignment="1">
      <alignment vertical="top" wrapText="1"/>
    </xf>
    <xf numFmtId="2" fontId="0" fillId="0" borderId="0" xfId="0" applyNumberFormat="1" applyAlignment="1">
      <alignment vertical="center"/>
    </xf>
    <xf numFmtId="2" fontId="0" fillId="0" borderId="0" xfId="0" applyNumberFormat="1"/>
    <xf numFmtId="2" fontId="26" fillId="0" borderId="1" xfId="0" applyNumberFormat="1" applyFont="1" applyBorder="1" applyAlignment="1">
      <alignment vertical="center"/>
    </xf>
    <xf numFmtId="2" fontId="27" fillId="0" borderId="1" xfId="0" applyNumberFormat="1" applyFont="1" applyBorder="1" applyAlignment="1">
      <alignment vertical="center"/>
    </xf>
    <xf numFmtId="2" fontId="28" fillId="0" borderId="1" xfId="1" applyNumberFormat="1" applyFont="1" applyFill="1" applyBorder="1" applyAlignment="1">
      <alignment vertical="center"/>
    </xf>
    <xf numFmtId="0" fontId="26" fillId="0" borderId="1" xfId="0" quotePrefix="1" applyFont="1" applyBorder="1" applyAlignment="1">
      <alignment horizontal="right" wrapText="1"/>
    </xf>
    <xf numFmtId="165" fontId="26" fillId="0" borderId="1" xfId="0" applyNumberFormat="1" applyFont="1" applyBorder="1" applyAlignment="1"/>
    <xf numFmtId="2" fontId="26" fillId="0" borderId="1" xfId="0" applyNumberFormat="1" applyFont="1" applyBorder="1" applyAlignment="1"/>
    <xf numFmtId="166" fontId="26" fillId="0" borderId="1" xfId="0" applyNumberFormat="1" applyFont="1" applyBorder="1" applyAlignment="1"/>
    <xf numFmtId="2" fontId="27" fillId="0" borderId="1" xfId="0" applyNumberFormat="1" applyFont="1" applyBorder="1" applyAlignment="1"/>
    <xf numFmtId="0" fontId="2" fillId="0" borderId="1" xfId="0" quotePrefix="1" applyFont="1" applyBorder="1" applyAlignment="1">
      <alignment horizontal="center" vertical="center" wrapText="1"/>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92" t="s">
        <v>0</v>
      </c>
      <c r="B1" s="92"/>
      <c r="C1" s="92"/>
      <c r="D1" s="92"/>
      <c r="E1" s="92"/>
      <c r="F1" s="92"/>
      <c r="G1" s="92"/>
      <c r="H1" s="92"/>
      <c r="I1" s="92"/>
      <c r="J1" s="92"/>
      <c r="K1" s="92"/>
    </row>
    <row r="2" spans="1:11" ht="24.6" x14ac:dyDescent="0.4">
      <c r="A2" s="93" t="s">
        <v>1</v>
      </c>
      <c r="B2" s="93"/>
      <c r="C2" s="93"/>
      <c r="D2" s="93"/>
      <c r="E2" s="93"/>
      <c r="F2" s="93"/>
      <c r="G2" s="93"/>
      <c r="H2" s="93"/>
      <c r="I2" s="93"/>
      <c r="J2" s="93"/>
      <c r="K2" s="93"/>
    </row>
    <row r="3" spans="1:11" s="1" customFormat="1" x14ac:dyDescent="0.3">
      <c r="A3" s="94" t="s">
        <v>2</v>
      </c>
      <c r="B3" s="94"/>
      <c r="C3" s="94"/>
      <c r="D3" s="94"/>
      <c r="E3" s="94"/>
      <c r="F3" s="94"/>
      <c r="G3" s="94"/>
      <c r="H3" s="94"/>
      <c r="I3" s="94"/>
      <c r="J3" s="94"/>
      <c r="K3" s="94"/>
    </row>
    <row r="4" spans="1:11" s="1" customFormat="1" x14ac:dyDescent="0.3">
      <c r="A4" s="94" t="s">
        <v>3</v>
      </c>
      <c r="B4" s="94"/>
      <c r="C4" s="94"/>
      <c r="D4" s="94"/>
      <c r="E4" s="94"/>
      <c r="F4" s="94"/>
      <c r="G4" s="94"/>
      <c r="H4" s="94"/>
      <c r="I4" s="94"/>
      <c r="J4" s="94"/>
      <c r="K4" s="94"/>
    </row>
    <row r="5" spans="1:11" ht="18" x14ac:dyDescent="0.35">
      <c r="A5" s="95" t="s">
        <v>16</v>
      </c>
      <c r="B5" s="95"/>
      <c r="C5" s="95"/>
      <c r="D5" s="95"/>
      <c r="E5" s="95"/>
      <c r="F5" s="95"/>
      <c r="G5" s="95"/>
      <c r="H5" s="95"/>
      <c r="I5" s="95"/>
      <c r="J5" s="95"/>
      <c r="K5" s="95"/>
    </row>
    <row r="6" spans="1:11" ht="18" x14ac:dyDescent="0.35">
      <c r="A6" s="10" t="s">
        <v>17</v>
      </c>
      <c r="B6" s="10"/>
      <c r="C6" s="90" t="e">
        <f>F18</f>
        <v>#REF!</v>
      </c>
      <c r="D6" s="91"/>
      <c r="E6" s="11"/>
      <c r="F6" s="10"/>
      <c r="G6" s="10"/>
      <c r="H6" s="10" t="s">
        <v>18</v>
      </c>
      <c r="I6" s="10"/>
      <c r="J6" s="90" t="e">
        <f>I18</f>
        <v>#REF!</v>
      </c>
      <c r="K6" s="91"/>
    </row>
    <row r="7" spans="1:11" x14ac:dyDescent="0.3">
      <c r="A7" s="32" t="s">
        <v>27</v>
      </c>
      <c r="B7" s="12"/>
      <c r="C7" s="12"/>
      <c r="D7" s="12"/>
      <c r="F7" s="37"/>
      <c r="G7" s="37"/>
      <c r="I7" s="99" t="s">
        <v>37</v>
      </c>
      <c r="J7" s="99"/>
      <c r="K7" s="99"/>
    </row>
    <row r="8" spans="1:11" ht="15.6" x14ac:dyDescent="0.3">
      <c r="A8" s="98" t="e">
        <f>#REF!</f>
        <v>#REF!</v>
      </c>
      <c r="B8" s="98"/>
      <c r="C8" s="98"/>
      <c r="D8" s="98"/>
      <c r="E8" s="98"/>
      <c r="F8" s="98"/>
      <c r="I8" s="100" t="s">
        <v>35</v>
      </c>
      <c r="J8" s="100"/>
      <c r="K8" s="100"/>
    </row>
    <row r="9" spans="1:11" x14ac:dyDescent="0.3">
      <c r="A9" s="101" t="e">
        <f>#REF!</f>
        <v>#REF!</v>
      </c>
      <c r="B9" s="101"/>
      <c r="C9" s="101"/>
      <c r="D9" s="101"/>
      <c r="E9" s="101"/>
      <c r="F9" s="101"/>
      <c r="I9" s="100" t="s">
        <v>36</v>
      </c>
      <c r="J9" s="100"/>
      <c r="K9" s="100"/>
    </row>
    <row r="11" spans="1:11" x14ac:dyDescent="0.3">
      <c r="A11" s="96" t="s">
        <v>19</v>
      </c>
      <c r="B11" s="96" t="s">
        <v>20</v>
      </c>
      <c r="C11" s="96" t="s">
        <v>11</v>
      </c>
      <c r="D11" s="102" t="s">
        <v>21</v>
      </c>
      <c r="E11" s="102"/>
      <c r="F11" s="102"/>
      <c r="G11" s="102" t="s">
        <v>22</v>
      </c>
      <c r="H11" s="102"/>
      <c r="I11" s="102"/>
      <c r="J11" s="96" t="s">
        <v>23</v>
      </c>
      <c r="K11" s="97" t="s">
        <v>14</v>
      </c>
    </row>
    <row r="12" spans="1:11" x14ac:dyDescent="0.3">
      <c r="A12" s="96"/>
      <c r="B12" s="96"/>
      <c r="C12" s="96"/>
      <c r="D12" s="13" t="s">
        <v>24</v>
      </c>
      <c r="E12" s="13" t="s">
        <v>12</v>
      </c>
      <c r="F12" s="13" t="s">
        <v>13</v>
      </c>
      <c r="G12" s="13" t="s">
        <v>24</v>
      </c>
      <c r="H12" s="13" t="s">
        <v>12</v>
      </c>
      <c r="I12" s="13" t="s">
        <v>13</v>
      </c>
      <c r="J12" s="96"/>
      <c r="K12" s="97"/>
    </row>
    <row r="13" spans="1:11" s="1" customFormat="1" x14ac:dyDescent="0.3">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3">
      <c r="A14" s="33"/>
      <c r="B14" s="36" t="e">
        <f>#REF!</f>
        <v>#REF!</v>
      </c>
      <c r="C14" s="14"/>
      <c r="D14" s="14"/>
      <c r="E14" s="14"/>
      <c r="F14" s="14" t="e">
        <f>#REF!</f>
        <v>#REF!</v>
      </c>
      <c r="G14" s="14"/>
      <c r="H14" s="14"/>
      <c r="I14" s="14" t="e">
        <f>#REF!</f>
        <v>#REF!</v>
      </c>
      <c r="J14" s="34" t="e">
        <f t="shared" si="0"/>
        <v>#REF!</v>
      </c>
      <c r="K14" s="17"/>
    </row>
    <row r="15" spans="1:11" s="1" customFormat="1" x14ac:dyDescent="0.3">
      <c r="A15" s="33"/>
      <c r="B15" s="36"/>
      <c r="C15" s="14"/>
      <c r="D15" s="14"/>
      <c r="E15" s="14"/>
      <c r="F15" s="14"/>
      <c r="G15" s="14"/>
      <c r="H15" s="14"/>
      <c r="I15" s="14"/>
      <c r="J15" s="34"/>
      <c r="K15" s="17"/>
    </row>
    <row r="16" spans="1:11" s="1" customFormat="1" x14ac:dyDescent="0.3">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3">
      <c r="A17" s="35"/>
      <c r="B17" s="35"/>
      <c r="C17" s="14"/>
      <c r="D17" s="14"/>
      <c r="E17" s="14"/>
      <c r="F17" s="14"/>
      <c r="G17" s="14"/>
      <c r="H17" s="14"/>
      <c r="I17" s="14"/>
      <c r="J17" s="34"/>
      <c r="K17" s="17"/>
    </row>
    <row r="18" spans="1:11" x14ac:dyDescent="0.3">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52" zoomScaleNormal="100" zoomScaleSheetLayoutView="80" workbookViewId="0">
      <selection activeCell="G160" sqref="G160"/>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07" t="s">
        <v>0</v>
      </c>
      <c r="B1" s="107"/>
      <c r="C1" s="107"/>
      <c r="D1" s="107"/>
      <c r="E1" s="107"/>
      <c r="F1" s="107"/>
      <c r="G1" s="107"/>
      <c r="H1" s="107"/>
      <c r="I1" s="107"/>
      <c r="J1" s="107"/>
      <c r="K1" s="107"/>
    </row>
    <row r="2" spans="1:19" s="1" customFormat="1" ht="22.8" x14ac:dyDescent="0.3">
      <c r="A2" s="108" t="s">
        <v>1</v>
      </c>
      <c r="B2" s="108"/>
      <c r="C2" s="108"/>
      <c r="D2" s="108"/>
      <c r="E2" s="108"/>
      <c r="F2" s="108"/>
      <c r="G2" s="108"/>
      <c r="H2" s="108"/>
      <c r="I2" s="108"/>
      <c r="J2" s="108"/>
      <c r="K2" s="108"/>
    </row>
    <row r="3" spans="1:19" s="1" customFormat="1" x14ac:dyDescent="0.3">
      <c r="A3" s="94" t="s">
        <v>2</v>
      </c>
      <c r="B3" s="94"/>
      <c r="C3" s="94"/>
      <c r="D3" s="94"/>
      <c r="E3" s="94"/>
      <c r="F3" s="94"/>
      <c r="G3" s="94"/>
      <c r="H3" s="94"/>
      <c r="I3" s="94"/>
      <c r="J3" s="94"/>
      <c r="K3" s="94"/>
    </row>
    <row r="4" spans="1:19" s="1" customFormat="1" x14ac:dyDescent="0.3">
      <c r="A4" s="94" t="s">
        <v>3</v>
      </c>
      <c r="B4" s="94"/>
      <c r="C4" s="94"/>
      <c r="D4" s="94"/>
      <c r="E4" s="94"/>
      <c r="F4" s="94"/>
      <c r="G4" s="94"/>
      <c r="H4" s="94"/>
      <c r="I4" s="94"/>
      <c r="J4" s="94"/>
      <c r="K4" s="94"/>
    </row>
    <row r="5" spans="1:19" ht="17.399999999999999" x14ac:dyDescent="0.3">
      <c r="A5" s="109" t="s">
        <v>50</v>
      </c>
      <c r="B5" s="109"/>
      <c r="C5" s="109"/>
      <c r="D5" s="109"/>
      <c r="E5" s="109"/>
      <c r="F5" s="109"/>
      <c r="G5" s="109"/>
      <c r="H5" s="109"/>
      <c r="I5" s="109"/>
      <c r="J5" s="109"/>
      <c r="K5" s="109"/>
    </row>
    <row r="6" spans="1:19" ht="15.6" x14ac:dyDescent="0.3">
      <c r="A6" s="42" t="s">
        <v>46</v>
      </c>
      <c r="B6" s="42"/>
      <c r="C6" s="42"/>
      <c r="D6" s="42"/>
      <c r="E6" s="42"/>
      <c r="F6" s="42"/>
      <c r="G6" s="2"/>
      <c r="H6" s="106" t="s">
        <v>48</v>
      </c>
      <c r="I6" s="106"/>
      <c r="J6" s="106"/>
      <c r="K6" s="106"/>
    </row>
    <row r="7" spans="1:19" ht="15.6" x14ac:dyDescent="0.3">
      <c r="A7" s="110" t="s">
        <v>26</v>
      </c>
      <c r="B7" s="110"/>
      <c r="C7" s="110"/>
      <c r="D7" s="110"/>
      <c r="E7" s="110"/>
      <c r="F7" s="110"/>
      <c r="G7" s="3"/>
      <c r="H7" s="106" t="s">
        <v>49</v>
      </c>
      <c r="I7" s="106"/>
      <c r="J7" s="106"/>
      <c r="K7" s="106"/>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3">
      <c r="A16" s="43"/>
      <c r="B16" s="45" t="s">
        <v>44</v>
      </c>
      <c r="C16" s="46">
        <v>-3</v>
      </c>
      <c r="D16" s="14">
        <f>0.9</f>
        <v>0.9</v>
      </c>
      <c r="E16" s="14"/>
      <c r="F16" s="14">
        <v>0.9</v>
      </c>
      <c r="G16" s="14">
        <f t="shared" ref="G16" si="2">PRODUCT(C16:F16)</f>
        <v>-2.4300000000000002</v>
      </c>
      <c r="H16" s="47"/>
      <c r="I16" s="44"/>
      <c r="J16" s="44"/>
      <c r="K16" s="16"/>
    </row>
    <row r="17" spans="1:19" ht="15" customHeight="1" x14ac:dyDescent="0.3">
      <c r="A17" s="43"/>
      <c r="B17" s="45" t="s">
        <v>43</v>
      </c>
      <c r="C17" s="46">
        <v>-1</v>
      </c>
      <c r="D17" s="14">
        <v>1.2</v>
      </c>
      <c r="E17" s="14"/>
      <c r="F17" s="14">
        <f>7/3.281</f>
        <v>2.1334958854007922</v>
      </c>
      <c r="G17" s="14">
        <f>PRODUCT(C17:F17)</f>
        <v>-2.5601950624809504</v>
      </c>
      <c r="H17" s="47"/>
      <c r="I17" s="44"/>
      <c r="J17" s="44"/>
      <c r="K17" s="16"/>
    </row>
    <row r="18" spans="1:19" ht="15" customHeight="1" x14ac:dyDescent="0.3">
      <c r="A18" s="43"/>
      <c r="B18" s="45" t="s">
        <v>65</v>
      </c>
      <c r="C18" s="46">
        <v>1</v>
      </c>
      <c r="D18" s="14">
        <v>2.08</v>
      </c>
      <c r="E18" s="14"/>
      <c r="F18" s="14">
        <v>0.75</v>
      </c>
      <c r="G18" s="14">
        <f>PRODUCT(C18:F18)</f>
        <v>1.56</v>
      </c>
      <c r="H18" s="47"/>
      <c r="I18" s="44"/>
      <c r="J18" s="44"/>
      <c r="K18" s="16"/>
    </row>
    <row r="19" spans="1:19" ht="15" customHeight="1" x14ac:dyDescent="0.3">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3">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3">
      <c r="A21" s="43"/>
      <c r="B21" s="45" t="s">
        <v>92</v>
      </c>
      <c r="C21" s="46">
        <v>1</v>
      </c>
      <c r="D21" s="14">
        <f>D16</f>
        <v>0.9</v>
      </c>
      <c r="E21" s="14"/>
      <c r="F21" s="14">
        <f>(3*6)/12/3.281</f>
        <v>0.45717768972874123</v>
      </c>
      <c r="G21" s="14">
        <f>PRODUCT(C21:F21)</f>
        <v>0.41145992075586713</v>
      </c>
      <c r="H21" s="47"/>
      <c r="I21" s="44"/>
      <c r="J21" s="44"/>
      <c r="K21" s="16"/>
    </row>
    <row r="22" spans="1:19" ht="15" customHeight="1" x14ac:dyDescent="0.3">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3">
      <c r="A23" s="43"/>
      <c r="B23" s="45" t="s">
        <v>52</v>
      </c>
      <c r="C23" s="46"/>
      <c r="D23" s="14"/>
      <c r="E23" s="14"/>
      <c r="F23" s="14"/>
      <c r="G23" s="44"/>
      <c r="H23" s="44"/>
      <c r="I23" s="44"/>
      <c r="J23" s="44">
        <f>0.13*G22*(340055.78/100)</f>
        <v>2923.9795112712936</v>
      </c>
      <c r="K23" s="16"/>
    </row>
    <row r="24" spans="1:19" ht="15" customHeight="1" x14ac:dyDescent="0.3">
      <c r="A24" s="26"/>
      <c r="B24" s="30"/>
      <c r="C24" s="27"/>
      <c r="D24" s="28"/>
      <c r="E24" s="29"/>
      <c r="F24" s="29"/>
      <c r="G24" s="39"/>
      <c r="H24" s="38"/>
      <c r="I24" s="39"/>
      <c r="J24" s="44"/>
      <c r="K24" s="29"/>
      <c r="M24" s="31"/>
      <c r="N24" s="1"/>
      <c r="O24" s="1"/>
      <c r="P24" s="1"/>
      <c r="Q24" s="1"/>
      <c r="R24" s="31"/>
      <c r="S24" s="31"/>
    </row>
    <row r="25" spans="1:19" ht="27.6" x14ac:dyDescent="0.3">
      <c r="A25" s="26">
        <v>3</v>
      </c>
      <c r="B25" s="41" t="s">
        <v>78</v>
      </c>
      <c r="C25" s="27"/>
      <c r="D25" s="28"/>
      <c r="E25" s="29"/>
      <c r="F25" s="29"/>
      <c r="G25" s="39"/>
      <c r="H25" s="38"/>
      <c r="I25" s="39"/>
      <c r="J25" s="44"/>
      <c r="K25" s="29"/>
      <c r="M25" s="31"/>
      <c r="N25" s="1"/>
      <c r="O25" s="1"/>
      <c r="P25" s="1"/>
      <c r="Q25" s="1"/>
      <c r="R25" s="31"/>
      <c r="S25" s="31"/>
    </row>
    <row r="26" spans="1:19" ht="15" customHeight="1" x14ac:dyDescent="0.3">
      <c r="A26" s="43"/>
      <c r="B26" s="45" t="s">
        <v>79</v>
      </c>
      <c r="C26" s="46">
        <v>1</v>
      </c>
      <c r="D26" s="14">
        <f>(2.7+0.1+0.1)*4</f>
        <v>11.600000000000001</v>
      </c>
      <c r="E26" s="14"/>
      <c r="F26" s="14"/>
      <c r="G26" s="14">
        <f>PRODUCT(C26:F26)</f>
        <v>11.600000000000001</v>
      </c>
      <c r="H26" s="47"/>
      <c r="I26" s="44"/>
      <c r="J26" s="44"/>
      <c r="K26" s="16"/>
    </row>
    <row r="27" spans="1:19" ht="15" customHeight="1" x14ac:dyDescent="0.3">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3">
      <c r="A28" s="43"/>
      <c r="B28" s="45" t="s">
        <v>52</v>
      </c>
      <c r="C28" s="46"/>
      <c r="D28" s="14"/>
      <c r="E28" s="14"/>
      <c r="F28" s="14"/>
      <c r="G28" s="44"/>
      <c r="H28" s="44"/>
      <c r="I28" s="44"/>
      <c r="J28" s="44">
        <f>0.13*G27*(2780.61/10)</f>
        <v>419.31598800000012</v>
      </c>
      <c r="K28" s="16"/>
    </row>
    <row r="29" spans="1:19" ht="15" customHeight="1" x14ac:dyDescent="0.3">
      <c r="A29" s="26"/>
      <c r="B29" s="30"/>
      <c r="C29" s="27"/>
      <c r="D29" s="28"/>
      <c r="E29" s="29"/>
      <c r="F29" s="29"/>
      <c r="G29" s="39"/>
      <c r="H29" s="38"/>
      <c r="I29" s="39"/>
      <c r="J29" s="44"/>
      <c r="K29" s="29"/>
      <c r="M29" s="31"/>
      <c r="N29" s="1"/>
      <c r="O29" s="1"/>
      <c r="P29" s="1"/>
      <c r="Q29" s="1"/>
      <c r="R29" s="31"/>
      <c r="S29" s="31"/>
    </row>
    <row r="30" spans="1:19" ht="27.6" x14ac:dyDescent="0.3">
      <c r="A30" s="26">
        <v>3</v>
      </c>
      <c r="B30" s="41" t="s">
        <v>81</v>
      </c>
      <c r="C30" s="27"/>
      <c r="D30" s="28"/>
      <c r="E30" s="29"/>
      <c r="F30" s="29"/>
      <c r="G30" s="39"/>
      <c r="H30" s="38"/>
      <c r="I30" s="39"/>
      <c r="J30" s="44"/>
      <c r="K30" s="29"/>
      <c r="M30" s="31"/>
      <c r="N30" s="1"/>
      <c r="O30" s="1"/>
      <c r="P30" s="1"/>
      <c r="Q30" s="1"/>
      <c r="R30" s="31"/>
      <c r="S30" s="31"/>
    </row>
    <row r="31" spans="1:19" ht="15" customHeight="1" x14ac:dyDescent="0.3">
      <c r="A31" s="43"/>
      <c r="B31" s="45" t="s">
        <v>79</v>
      </c>
      <c r="C31" s="46">
        <v>1</v>
      </c>
      <c r="D31" s="14">
        <f>(2.7+0.1+0.1)*4</f>
        <v>11.600000000000001</v>
      </c>
      <c r="E31" s="14"/>
      <c r="F31" s="14"/>
      <c r="G31" s="14">
        <f>PRODUCT(C31:F31)</f>
        <v>11.600000000000001</v>
      </c>
      <c r="H31" s="47"/>
      <c r="I31" s="44"/>
      <c r="J31" s="44"/>
      <c r="K31" s="16"/>
    </row>
    <row r="32" spans="1:19" ht="15" customHeight="1" x14ac:dyDescent="0.3">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3">
      <c r="A33" s="43"/>
      <c r="B33" s="45" t="s">
        <v>52</v>
      </c>
      <c r="C33" s="46"/>
      <c r="D33" s="14"/>
      <c r="E33" s="14"/>
      <c r="F33" s="14"/>
      <c r="G33" s="44"/>
      <c r="H33" s="44"/>
      <c r="I33" s="44"/>
      <c r="J33" s="44">
        <f>0.13*G32*(2182.61/10)</f>
        <v>329.13758800000011</v>
      </c>
      <c r="K33" s="16"/>
    </row>
    <row r="34" spans="1:19" ht="15" customHeight="1" x14ac:dyDescent="0.3">
      <c r="A34" s="26"/>
      <c r="B34" s="30"/>
      <c r="C34" s="27"/>
      <c r="D34" s="28"/>
      <c r="E34" s="29"/>
      <c r="F34" s="29"/>
      <c r="G34" s="39"/>
      <c r="H34" s="38"/>
      <c r="I34" s="39"/>
      <c r="J34" s="44"/>
      <c r="K34" s="29"/>
      <c r="M34" s="31"/>
      <c r="N34" s="1"/>
      <c r="O34" s="1"/>
      <c r="P34" s="1"/>
      <c r="Q34" s="1"/>
      <c r="R34" s="31"/>
      <c r="S34" s="31"/>
    </row>
    <row r="35" spans="1:19" ht="27.6" x14ac:dyDescent="0.3">
      <c r="A35" s="26">
        <v>3</v>
      </c>
      <c r="B35" s="41" t="s">
        <v>82</v>
      </c>
      <c r="C35" s="27"/>
      <c r="D35" s="28"/>
      <c r="E35" s="29"/>
      <c r="F35" s="29"/>
      <c r="G35" s="39"/>
      <c r="H35" s="38"/>
      <c r="I35" s="39"/>
      <c r="J35" s="44"/>
      <c r="K35" s="29"/>
      <c r="M35" s="31"/>
      <c r="N35" s="1"/>
      <c r="O35" s="1"/>
      <c r="P35" s="1"/>
      <c r="Q35" s="1"/>
      <c r="R35" s="31"/>
      <c r="S35" s="31"/>
    </row>
    <row r="36" spans="1:19" ht="15" customHeight="1" x14ac:dyDescent="0.3">
      <c r="A36" s="43"/>
      <c r="B36" s="45" t="s">
        <v>79</v>
      </c>
      <c r="C36" s="46">
        <v>1</v>
      </c>
      <c r="D36" s="14">
        <f>(2.7+0.1+0.1)*4</f>
        <v>11.600000000000001</v>
      </c>
      <c r="E36" s="14"/>
      <c r="F36" s="14"/>
      <c r="G36" s="14">
        <f>PRODUCT(C36:F36)</f>
        <v>11.600000000000001</v>
      </c>
      <c r="H36" s="47"/>
      <c r="I36" s="44"/>
      <c r="J36" s="44"/>
      <c r="K36" s="16"/>
    </row>
    <row r="37" spans="1:19" ht="15" customHeight="1" x14ac:dyDescent="0.3">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3">
      <c r="A38" s="43"/>
      <c r="B38" s="45" t="s">
        <v>52</v>
      </c>
      <c r="C38" s="46"/>
      <c r="D38" s="14"/>
      <c r="E38" s="14"/>
      <c r="F38" s="14"/>
      <c r="G38" s="44"/>
      <c r="H38" s="44"/>
      <c r="I38" s="44"/>
      <c r="J38" s="44">
        <f>0.13*G37*(2620.61/10)</f>
        <v>395.18798800000013</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3</v>
      </c>
      <c r="B40" s="41" t="s">
        <v>84</v>
      </c>
      <c r="C40" s="27"/>
      <c r="D40" s="28"/>
      <c r="E40" s="29"/>
      <c r="F40" s="29"/>
      <c r="G40" s="39"/>
      <c r="H40" s="38"/>
      <c r="I40" s="39"/>
      <c r="J40" s="44"/>
      <c r="K40" s="29"/>
      <c r="M40" s="31"/>
      <c r="N40" s="1"/>
      <c r="O40" s="1"/>
      <c r="P40" s="1"/>
      <c r="Q40" s="1"/>
      <c r="R40" s="31"/>
      <c r="S40" s="31"/>
    </row>
    <row r="41" spans="1:19" ht="15" customHeight="1" x14ac:dyDescent="0.3">
      <c r="A41" s="43"/>
      <c r="B41" s="45" t="s">
        <v>79</v>
      </c>
      <c r="C41" s="46">
        <v>2</v>
      </c>
      <c r="D41" s="14">
        <f>(2.7+0.1+0.1)*4</f>
        <v>11.600000000000001</v>
      </c>
      <c r="E41" s="14"/>
      <c r="F41" s="14"/>
      <c r="G41" s="14">
        <f>PRODUCT(C41:F41)</f>
        <v>23.200000000000003</v>
      </c>
      <c r="H41" s="47"/>
      <c r="I41" s="44"/>
      <c r="J41" s="44"/>
      <c r="K41" s="16"/>
    </row>
    <row r="42" spans="1:19" ht="15" customHeight="1" x14ac:dyDescent="0.3">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3">
      <c r="A43" s="43"/>
      <c r="B43" s="45" t="s">
        <v>52</v>
      </c>
      <c r="C43" s="46"/>
      <c r="D43" s="14"/>
      <c r="E43" s="14"/>
      <c r="F43" s="14"/>
      <c r="G43" s="44"/>
      <c r="H43" s="44"/>
      <c r="I43" s="44"/>
      <c r="J43" s="44">
        <f>0.13*G42*(2268.61/10)</f>
        <v>684.21277600000019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64">
        <v>3</v>
      </c>
      <c r="B45" s="41" t="s">
        <v>83</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f>
        <v>11.600000000000001</v>
      </c>
      <c r="E46" s="14"/>
      <c r="F46" s="14"/>
      <c r="G46" s="14">
        <f>PRODUCT(C46:F46)</f>
        <v>11.600000000000001</v>
      </c>
      <c r="H46" s="47"/>
      <c r="I46" s="44"/>
      <c r="J46" s="44"/>
      <c r="K46" s="16"/>
    </row>
    <row r="47" spans="1:19" ht="15" customHeight="1" x14ac:dyDescent="0.3">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3">
      <c r="A48" s="43"/>
      <c r="B48" s="45" t="s">
        <v>52</v>
      </c>
      <c r="C48" s="46"/>
      <c r="D48" s="14"/>
      <c r="E48" s="14"/>
      <c r="F48" s="14"/>
      <c r="G48" s="44"/>
      <c r="H48" s="44"/>
      <c r="I48" s="44"/>
      <c r="J48" s="44">
        <f>0.13*G47*(2140.61/10)</f>
        <v>322.80398800000006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64">
        <v>3</v>
      </c>
      <c r="B50" s="41" t="s">
        <v>85</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3">
      <c r="A53" s="43"/>
      <c r="B53" s="45" t="s">
        <v>52</v>
      </c>
      <c r="C53" s="46"/>
      <c r="D53" s="14"/>
      <c r="E53" s="14"/>
      <c r="F53" s="14"/>
      <c r="G53" s="44"/>
      <c r="H53" s="44"/>
      <c r="I53" s="44"/>
      <c r="J53" s="44">
        <f>0.13*G52*(2876.61/10)</f>
        <v>433.79278800000009</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3</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(2.7+0.1+0.1)*4</f>
        <v>11.600000000000001</v>
      </c>
      <c r="E56" s="14"/>
      <c r="F56" s="14"/>
      <c r="G56" s="14">
        <f>PRODUCT(C56:F56)</f>
        <v>11.600000000000001</v>
      </c>
      <c r="H56" s="47"/>
      <c r="I56" s="44"/>
      <c r="J56" s="44"/>
      <c r="K56" s="16"/>
    </row>
    <row r="57" spans="1:19" ht="15" customHeight="1" x14ac:dyDescent="0.3">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3">
      <c r="A58" s="43"/>
      <c r="B58" s="45" t="s">
        <v>52</v>
      </c>
      <c r="C58" s="46"/>
      <c r="D58" s="14"/>
      <c r="E58" s="14"/>
      <c r="F58" s="14"/>
      <c r="G58" s="44"/>
      <c r="H58" s="44"/>
      <c r="I58" s="44"/>
      <c r="J58" s="44">
        <f>0.13*G57*(3895.61/10)</f>
        <v>587.45798800000011</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3</v>
      </c>
      <c r="B60" s="41" t="s">
        <v>87</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3">
      <c r="A63" s="43"/>
      <c r="B63" s="45" t="s">
        <v>52</v>
      </c>
      <c r="C63" s="46"/>
      <c r="D63" s="14"/>
      <c r="E63" s="14"/>
      <c r="F63" s="14"/>
      <c r="G63" s="44"/>
      <c r="H63" s="44"/>
      <c r="I63" s="44"/>
      <c r="J63" s="44">
        <f>0.13*G62*(2972.61/10)</f>
        <v>448.26958800000011</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3</v>
      </c>
      <c r="B65" s="41" t="s">
        <v>88</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3">
      <c r="A68" s="43"/>
      <c r="B68" s="45" t="s">
        <v>52</v>
      </c>
      <c r="C68" s="46"/>
      <c r="D68" s="14"/>
      <c r="E68" s="14"/>
      <c r="F68" s="14"/>
      <c r="G68" s="44"/>
      <c r="H68" s="44"/>
      <c r="I68" s="44"/>
      <c r="J68" s="44">
        <f>0.13*G67*(5480.61/10)</f>
        <v>826.47598800000003</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27.6" x14ac:dyDescent="0.3">
      <c r="A70" s="64">
        <v>3</v>
      </c>
      <c r="B70" s="41" t="s">
        <v>89</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3">
      <c r="A73" s="43"/>
      <c r="B73" s="45" t="s">
        <v>52</v>
      </c>
      <c r="C73" s="46"/>
      <c r="D73" s="14"/>
      <c r="E73" s="14"/>
      <c r="F73" s="14"/>
      <c r="G73" s="44"/>
      <c r="H73" s="44"/>
      <c r="I73" s="44"/>
      <c r="J73" s="44">
        <f>0.13*G72*(2780.61/10)</f>
        <v>419.31598800000012</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30" x14ac:dyDescent="0.3">
      <c r="A75" s="26">
        <v>3</v>
      </c>
      <c r="B75" s="48" t="s">
        <v>57</v>
      </c>
      <c r="C75" s="27"/>
      <c r="D75" s="28"/>
      <c r="E75" s="29"/>
      <c r="F75" s="29"/>
      <c r="G75" s="39"/>
      <c r="H75" s="38"/>
      <c r="I75" s="39"/>
      <c r="J75" s="44"/>
      <c r="K75" s="29"/>
      <c r="M75" s="31"/>
      <c r="N75" s="1"/>
      <c r="O75" s="1"/>
      <c r="P75" s="1"/>
      <c r="Q75" s="1"/>
      <c r="R75" s="31"/>
      <c r="S75" s="31"/>
    </row>
    <row r="76" spans="1:19" ht="15" customHeight="1" x14ac:dyDescent="0.3">
      <c r="A76" s="43"/>
      <c r="B76" s="45" t="s">
        <v>54</v>
      </c>
      <c r="C76" s="46">
        <v>1</v>
      </c>
      <c r="D76" s="14">
        <v>2.71</v>
      </c>
      <c r="E76" s="14"/>
      <c r="F76" s="14">
        <v>2.72</v>
      </c>
      <c r="G76" s="14">
        <f t="shared" ref="G76" si="3">PRODUCT(C76:F76)</f>
        <v>7.3712000000000009</v>
      </c>
      <c r="H76" s="47"/>
      <c r="I76" s="44"/>
      <c r="J76" s="44"/>
      <c r="K76" s="16"/>
    </row>
    <row r="77" spans="1:19" ht="15" customHeight="1" x14ac:dyDescent="0.3">
      <c r="A77" s="43"/>
      <c r="B77" s="45" t="s">
        <v>38</v>
      </c>
      <c r="C77" s="46"/>
      <c r="D77" s="14"/>
      <c r="E77" s="14"/>
      <c r="F77" s="14"/>
      <c r="G77" s="44">
        <f>SUM(G76:G76)</f>
        <v>7.3712000000000009</v>
      </c>
      <c r="H77" s="44" t="s">
        <v>41</v>
      </c>
      <c r="I77" s="44">
        <v>438.01</v>
      </c>
      <c r="J77" s="44">
        <f>G76*I77</f>
        <v>3228.6593120000002</v>
      </c>
      <c r="K77" s="16"/>
    </row>
    <row r="78" spans="1:19" ht="15" customHeight="1" x14ac:dyDescent="0.3">
      <c r="A78" s="43"/>
      <c r="B78" s="45" t="s">
        <v>52</v>
      </c>
      <c r="C78" s="46"/>
      <c r="D78" s="14"/>
      <c r="E78" s="14"/>
      <c r="F78" s="14"/>
      <c r="G78" s="44"/>
      <c r="H78" s="44"/>
      <c r="I78" s="44"/>
      <c r="J78" s="44">
        <f>0.13*G77*(2725.4/10)</f>
        <v>261.16309024000003</v>
      </c>
      <c r="K78" s="16"/>
    </row>
    <row r="79" spans="1:19" ht="15" customHeight="1" x14ac:dyDescent="0.3">
      <c r="A79" s="43"/>
      <c r="B79" s="45"/>
      <c r="C79" s="46"/>
      <c r="D79" s="14"/>
      <c r="E79" s="14"/>
      <c r="F79" s="14"/>
      <c r="G79" s="47"/>
      <c r="H79" s="47"/>
      <c r="I79" s="47"/>
      <c r="J79" s="40"/>
      <c r="K79" s="16"/>
    </row>
    <row r="80" spans="1:19" ht="30" x14ac:dyDescent="0.3">
      <c r="A80" s="43">
        <v>4</v>
      </c>
      <c r="B80" s="48" t="s">
        <v>40</v>
      </c>
      <c r="C80" s="46"/>
      <c r="D80" s="14"/>
      <c r="E80" s="14"/>
      <c r="F80" s="14"/>
      <c r="G80" s="47"/>
      <c r="H80" s="47"/>
      <c r="I80" s="47"/>
      <c r="J80" s="40"/>
      <c r="K80" s="16"/>
    </row>
    <row r="81" spans="1:11" ht="15" customHeight="1" x14ac:dyDescent="0.3">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3">
      <c r="A82" s="43"/>
      <c r="B82" s="45" t="s">
        <v>55</v>
      </c>
      <c r="C82" s="46">
        <v>1</v>
      </c>
      <c r="D82" s="14">
        <f>0.32+0.15+2.06+0.12+0.13+2.1+0.12+0.1+2.06+0.14+0.3</f>
        <v>7.6</v>
      </c>
      <c r="E82" s="14"/>
      <c r="F82" s="14">
        <v>2.72</v>
      </c>
      <c r="G82" s="14">
        <f t="shared" si="4"/>
        <v>20.672000000000001</v>
      </c>
      <c r="H82" s="47"/>
      <c r="I82" s="44"/>
      <c r="J82" s="44"/>
      <c r="K82" s="16"/>
    </row>
    <row r="83" spans="1:11" ht="15" customHeight="1" x14ac:dyDescent="0.3">
      <c r="A83" s="43"/>
      <c r="B83" s="45" t="s">
        <v>38</v>
      </c>
      <c r="C83" s="46"/>
      <c r="D83" s="14"/>
      <c r="E83" s="14"/>
      <c r="F83" s="14"/>
      <c r="G83" s="44">
        <f>SUM(G81:G82)</f>
        <v>44.254400000000004</v>
      </c>
      <c r="H83" s="44" t="s">
        <v>41</v>
      </c>
      <c r="I83" s="44">
        <v>405.86</v>
      </c>
      <c r="J83" s="44">
        <f>G81*I83</f>
        <v>9571.1528640000033</v>
      </c>
      <c r="K83" s="16"/>
    </row>
    <row r="84" spans="1:11" ht="15" customHeight="1" x14ac:dyDescent="0.3">
      <c r="A84" s="43"/>
      <c r="B84" s="45" t="s">
        <v>52</v>
      </c>
      <c r="C84" s="46"/>
      <c r="D84" s="14"/>
      <c r="E84" s="14"/>
      <c r="F84" s="14"/>
      <c r="G84" s="44"/>
      <c r="H84" s="44"/>
      <c r="I84" s="44"/>
      <c r="J84" s="44">
        <f>0.13*G83*(11166.2/100)</f>
        <v>642.39952566400007</v>
      </c>
      <c r="K84" s="16"/>
    </row>
    <row r="85" spans="1:11" ht="15" customHeight="1" x14ac:dyDescent="0.3">
      <c r="A85" s="43"/>
      <c r="B85" s="45"/>
      <c r="C85" s="46"/>
      <c r="D85" s="14"/>
      <c r="E85" s="14"/>
      <c r="F85" s="14"/>
      <c r="G85" s="47"/>
      <c r="H85" s="47"/>
      <c r="I85" s="47"/>
      <c r="J85" s="40"/>
      <c r="K85" s="16"/>
    </row>
    <row r="86" spans="1:11" ht="30" x14ac:dyDescent="0.3">
      <c r="A86" s="43">
        <v>5</v>
      </c>
      <c r="B86" s="48" t="s">
        <v>58</v>
      </c>
      <c r="C86" s="46"/>
      <c r="D86" s="14"/>
      <c r="E86" s="14"/>
      <c r="F86" s="14"/>
      <c r="G86" s="47"/>
      <c r="H86" s="47"/>
      <c r="I86" s="47"/>
      <c r="J86" s="40"/>
      <c r="K86" s="16"/>
    </row>
    <row r="87" spans="1:11" ht="15" customHeight="1" x14ac:dyDescent="0.3">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3">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3">
      <c r="A89" s="43"/>
      <c r="B89" s="45" t="s">
        <v>52</v>
      </c>
      <c r="C89" s="46"/>
      <c r="D89" s="14"/>
      <c r="E89" s="14"/>
      <c r="F89" s="14"/>
      <c r="G89" s="44"/>
      <c r="H89" s="44"/>
      <c r="I89" s="44"/>
      <c r="J89" s="44">
        <f>0.13*G88*(345.36/10)</f>
        <v>105.87742963200003</v>
      </c>
      <c r="K89" s="16"/>
    </row>
    <row r="90" spans="1:11" ht="15" customHeight="1" x14ac:dyDescent="0.3">
      <c r="A90" s="43"/>
      <c r="B90" s="45"/>
      <c r="C90" s="46"/>
      <c r="D90" s="14"/>
      <c r="E90" s="14"/>
      <c r="F90" s="14"/>
      <c r="G90" s="47"/>
      <c r="H90" s="47"/>
      <c r="I90" s="47"/>
      <c r="J90" s="40"/>
      <c r="K90" s="16"/>
    </row>
    <row r="91" spans="1:11" ht="30" x14ac:dyDescent="0.3">
      <c r="A91" s="58">
        <v>6</v>
      </c>
      <c r="B91" s="48" t="s">
        <v>45</v>
      </c>
      <c r="C91" s="46"/>
      <c r="D91" s="14"/>
      <c r="E91" s="14"/>
      <c r="F91" s="14"/>
      <c r="G91" s="47"/>
      <c r="H91" s="47"/>
      <c r="I91" s="47"/>
      <c r="J91" s="40"/>
      <c r="K91" s="16"/>
    </row>
    <row r="92" spans="1:11" x14ac:dyDescent="0.3">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3">
      <c r="A93" s="43"/>
      <c r="B93" s="45" t="s">
        <v>38</v>
      </c>
      <c r="C93" s="46"/>
      <c r="D93" s="14"/>
      <c r="E93" s="14"/>
      <c r="F93" s="14"/>
      <c r="G93" s="44">
        <f>SUM(G92)</f>
        <v>20.672000000000001</v>
      </c>
      <c r="H93" s="44" t="s">
        <v>41</v>
      </c>
      <c r="I93" s="44">
        <f>184.41</f>
        <v>184.41</v>
      </c>
      <c r="J93" s="44">
        <f>G93*I93</f>
        <v>3812.1235200000001</v>
      </c>
      <c r="K93" s="16"/>
    </row>
    <row r="94" spans="1:11" ht="15" customHeight="1" x14ac:dyDescent="0.3">
      <c r="A94" s="43"/>
      <c r="B94" s="45" t="s">
        <v>52</v>
      </c>
      <c r="C94" s="46"/>
      <c r="D94" s="14"/>
      <c r="E94" s="14"/>
      <c r="F94" s="14"/>
      <c r="G94" s="44"/>
      <c r="H94" s="44"/>
      <c r="I94" s="44"/>
      <c r="J94" s="44">
        <f>0.13*G93*(6000/100)</f>
        <v>161.24160000000001</v>
      </c>
      <c r="K94" s="16"/>
    </row>
    <row r="95" spans="1:11" x14ac:dyDescent="0.3">
      <c r="A95" s="43"/>
      <c r="B95" s="45"/>
      <c r="C95" s="46"/>
      <c r="D95" s="14"/>
      <c r="E95" s="14"/>
      <c r="F95" s="14"/>
      <c r="G95" s="47"/>
      <c r="H95" s="47"/>
      <c r="I95" s="47"/>
      <c r="J95" s="40"/>
      <c r="K95" s="16"/>
    </row>
    <row r="96" spans="1:11" ht="30" x14ac:dyDescent="0.3">
      <c r="A96" s="58">
        <v>7</v>
      </c>
      <c r="B96" s="48" t="s">
        <v>59</v>
      </c>
      <c r="C96" s="46"/>
      <c r="D96" s="14"/>
      <c r="E96" s="14"/>
      <c r="F96" s="14"/>
      <c r="G96" s="47"/>
      <c r="H96" s="47"/>
      <c r="I96" s="47"/>
      <c r="J96" s="40"/>
      <c r="K96" s="16"/>
    </row>
    <row r="97" spans="1:11" x14ac:dyDescent="0.3">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3">
      <c r="A98" s="43"/>
      <c r="B98" s="45" t="s">
        <v>61</v>
      </c>
      <c r="C98" s="46">
        <v>-1</v>
      </c>
      <c r="D98" s="14">
        <v>0.12</v>
      </c>
      <c r="E98" s="14">
        <v>0.13</v>
      </c>
      <c r="F98" s="14"/>
      <c r="G98" s="14">
        <f t="shared" si="7"/>
        <v>-1.5599999999999999E-2</v>
      </c>
      <c r="H98" s="44"/>
      <c r="I98" s="9"/>
      <c r="J98" s="9"/>
      <c r="K98" s="16"/>
    </row>
    <row r="99" spans="1:11" x14ac:dyDescent="0.3">
      <c r="A99" s="43"/>
      <c r="B99" s="45"/>
      <c r="C99" s="46">
        <v>-1</v>
      </c>
      <c r="D99" s="14">
        <v>0.12</v>
      </c>
      <c r="E99" s="14">
        <v>0.1</v>
      </c>
      <c r="F99" s="14"/>
      <c r="G99" s="14">
        <f t="shared" si="7"/>
        <v>-1.2E-2</v>
      </c>
      <c r="H99" s="44"/>
      <c r="I99" s="9"/>
      <c r="J99" s="9"/>
      <c r="K99" s="16"/>
    </row>
    <row r="100" spans="1:11" x14ac:dyDescent="0.3">
      <c r="A100" s="43"/>
      <c r="B100" s="45"/>
      <c r="C100" s="46">
        <v>-1</v>
      </c>
      <c r="D100" s="14">
        <f>0.15</f>
        <v>0.15</v>
      </c>
      <c r="E100" s="14">
        <v>0.32</v>
      </c>
      <c r="F100" s="14"/>
      <c r="G100" s="14">
        <f t="shared" si="7"/>
        <v>-4.8000000000000001E-2</v>
      </c>
      <c r="H100" s="44"/>
      <c r="I100" s="9"/>
      <c r="J100" s="9"/>
      <c r="K100" s="16"/>
    </row>
    <row r="101" spans="1:11" x14ac:dyDescent="0.3">
      <c r="A101" s="43"/>
      <c r="B101" s="45"/>
      <c r="C101" s="46">
        <v>-1</v>
      </c>
      <c r="D101" s="14">
        <v>0.14000000000000001</v>
      </c>
      <c r="E101" s="14">
        <v>0.3</v>
      </c>
      <c r="F101" s="14"/>
      <c r="G101" s="14">
        <f t="shared" si="7"/>
        <v>-4.2000000000000003E-2</v>
      </c>
      <c r="H101" s="44"/>
      <c r="I101" s="9"/>
      <c r="J101" s="9"/>
      <c r="K101" s="16"/>
    </row>
    <row r="102" spans="1:11" x14ac:dyDescent="0.3">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3">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3">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3">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3">
      <c r="A106" s="43"/>
      <c r="B106" s="45" t="s">
        <v>52</v>
      </c>
      <c r="C106" s="46"/>
      <c r="D106" s="14"/>
      <c r="E106" s="14"/>
      <c r="F106" s="14"/>
      <c r="G106" s="44"/>
      <c r="H106" s="44"/>
      <c r="I106" s="44"/>
      <c r="J106" s="44">
        <f>0.13*G105*(45806.78/10)</f>
        <v>12415.300495735508</v>
      </c>
      <c r="K106" s="16"/>
    </row>
    <row r="107" spans="1:11" x14ac:dyDescent="0.3">
      <c r="A107" s="43"/>
      <c r="B107" s="45"/>
      <c r="C107" s="46"/>
      <c r="D107" s="14"/>
      <c r="E107" s="14"/>
      <c r="F107" s="14"/>
      <c r="G107" s="47"/>
      <c r="H107" s="47"/>
      <c r="I107" s="47"/>
      <c r="J107" s="40"/>
      <c r="K107" s="16"/>
    </row>
    <row r="108" spans="1:11" ht="30" x14ac:dyDescent="0.3">
      <c r="A108" s="43">
        <v>8</v>
      </c>
      <c r="B108" s="48" t="s">
        <v>62</v>
      </c>
      <c r="C108" s="46"/>
      <c r="D108" s="14"/>
      <c r="E108" s="14"/>
      <c r="F108" s="14"/>
      <c r="G108" s="47"/>
      <c r="H108" s="47"/>
      <c r="I108" s="47"/>
      <c r="J108" s="40"/>
      <c r="K108" s="16"/>
    </row>
    <row r="109" spans="1:11" x14ac:dyDescent="0.3">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3">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3">
      <c r="A111" s="43"/>
      <c r="B111" s="45" t="s">
        <v>52</v>
      </c>
      <c r="C111" s="46"/>
      <c r="D111" s="14"/>
      <c r="E111" s="14"/>
      <c r="F111" s="14"/>
      <c r="G111" s="44"/>
      <c r="H111" s="44"/>
      <c r="I111" s="44"/>
      <c r="J111" s="44">
        <f>0.13*J110</f>
        <v>9197.9596800000036</v>
      </c>
      <c r="K111" s="16"/>
    </row>
    <row r="112" spans="1:11" x14ac:dyDescent="0.3">
      <c r="A112" s="43"/>
      <c r="B112" s="45"/>
      <c r="C112" s="46"/>
      <c r="D112" s="14"/>
      <c r="E112" s="14"/>
      <c r="F112" s="14"/>
      <c r="G112" s="47"/>
      <c r="H112" s="47"/>
      <c r="I112" s="47"/>
      <c r="J112" s="40"/>
      <c r="K112" s="16"/>
    </row>
    <row r="113" spans="1:13" ht="30" x14ac:dyDescent="0.3">
      <c r="A113" s="43">
        <v>9</v>
      </c>
      <c r="B113" s="48" t="s">
        <v>64</v>
      </c>
      <c r="C113" s="46"/>
      <c r="D113" s="14"/>
      <c r="E113" s="14"/>
      <c r="F113" s="14"/>
      <c r="G113" s="47"/>
      <c r="H113" s="47"/>
      <c r="I113" s="47"/>
      <c r="J113" s="40"/>
      <c r="K113" s="16"/>
    </row>
    <row r="114" spans="1:13" x14ac:dyDescent="0.3">
      <c r="A114" s="43"/>
      <c r="B114" s="45" t="s">
        <v>63</v>
      </c>
      <c r="C114" s="46">
        <v>2</v>
      </c>
      <c r="D114" s="14">
        <f>4.46+4.5+4.5+4.5</f>
        <v>17.96</v>
      </c>
      <c r="E114" s="14"/>
      <c r="F114" s="14"/>
      <c r="G114" s="14">
        <f t="shared" ref="G114" si="10">PRODUCT(C114:F114)</f>
        <v>35.92</v>
      </c>
      <c r="H114" s="44"/>
      <c r="I114" s="9"/>
      <c r="J114" s="9"/>
      <c r="K114" s="16"/>
    </row>
    <row r="115" spans="1:13" ht="15" customHeight="1" x14ac:dyDescent="0.3">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3">
      <c r="A116" s="43"/>
      <c r="B116" s="45" t="s">
        <v>52</v>
      </c>
      <c r="C116" s="46"/>
      <c r="D116" s="14"/>
      <c r="E116" s="14"/>
      <c r="F116" s="14"/>
      <c r="G116" s="44"/>
      <c r="H116" s="44"/>
      <c r="I116" s="44"/>
      <c r="J116" s="44">
        <f>0.13*G115*97.64</f>
        <v>455.93974400000002</v>
      </c>
      <c r="K116" s="16"/>
    </row>
    <row r="117" spans="1:13" x14ac:dyDescent="0.3">
      <c r="A117" s="43"/>
      <c r="B117" s="45"/>
      <c r="C117" s="46"/>
      <c r="D117" s="14"/>
      <c r="E117" s="14"/>
      <c r="F117" s="14"/>
      <c r="G117" s="47"/>
      <c r="H117" s="47"/>
      <c r="I117" s="47"/>
      <c r="J117" s="40"/>
      <c r="K117" s="16"/>
    </row>
    <row r="118" spans="1:13" ht="28.8" x14ac:dyDescent="0.3">
      <c r="A118" s="43">
        <v>10</v>
      </c>
      <c r="B118" s="59" t="s">
        <v>66</v>
      </c>
      <c r="C118" s="53"/>
      <c r="D118" s="54"/>
      <c r="E118" s="54"/>
      <c r="F118" s="54"/>
      <c r="G118" s="57"/>
      <c r="H118" s="57"/>
      <c r="I118" s="57"/>
      <c r="J118" s="40"/>
      <c r="K118" s="5"/>
    </row>
    <row r="119" spans="1:13" x14ac:dyDescent="0.3">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3">
      <c r="A120" s="43"/>
      <c r="B120" s="56"/>
      <c r="C120" s="53">
        <v>2</v>
      </c>
      <c r="D120" s="54">
        <f>6.5/3.281</f>
        <v>1.9811033221578787</v>
      </c>
      <c r="E120" s="54">
        <v>0.1</v>
      </c>
      <c r="F120" s="54">
        <v>0.125</v>
      </c>
      <c r="G120" s="54">
        <f t="shared" si="11"/>
        <v>4.9527583053946972E-2</v>
      </c>
      <c r="H120" s="57"/>
      <c r="I120" s="57"/>
      <c r="J120" s="40"/>
      <c r="K120" s="5"/>
    </row>
    <row r="121" spans="1:13" x14ac:dyDescent="0.3">
      <c r="A121" s="43"/>
      <c r="B121" s="56" t="s">
        <v>68</v>
      </c>
      <c r="C121" s="53">
        <f>3*2</f>
        <v>6</v>
      </c>
      <c r="D121" s="54">
        <v>0.9</v>
      </c>
      <c r="E121" s="54">
        <v>7.4999999999999997E-2</v>
      </c>
      <c r="F121" s="54">
        <v>0.125</v>
      </c>
      <c r="G121" s="54">
        <f t="shared" si="11"/>
        <v>5.0625000000000003E-2</v>
      </c>
      <c r="H121" s="57"/>
      <c r="I121" s="57"/>
      <c r="J121" s="40"/>
      <c r="K121" s="5"/>
    </row>
    <row r="122" spans="1:13" x14ac:dyDescent="0.3">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3">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3">
      <c r="A124" s="43"/>
      <c r="B124" s="56" t="s">
        <v>52</v>
      </c>
      <c r="C124" s="53"/>
      <c r="D124" s="54"/>
      <c r="E124" s="54"/>
      <c r="F124" s="54"/>
      <c r="G124" s="55"/>
      <c r="H124" s="55"/>
      <c r="I124" s="60"/>
      <c r="J124" s="61">
        <f>0.13*G123*262808.07</f>
        <v>6425.0057481368767</v>
      </c>
      <c r="K124" s="5"/>
    </row>
    <row r="125" spans="1:13" ht="15" customHeight="1" x14ac:dyDescent="0.3">
      <c r="A125" s="43"/>
      <c r="B125" s="56"/>
      <c r="C125" s="53"/>
      <c r="D125" s="54"/>
      <c r="E125" s="54"/>
      <c r="F125" s="54"/>
      <c r="G125" s="55"/>
      <c r="H125" s="55"/>
      <c r="I125" s="60"/>
      <c r="J125" s="61"/>
      <c r="K125" s="5"/>
    </row>
    <row r="126" spans="1:13" ht="30.6" x14ac:dyDescent="0.3">
      <c r="A126" s="43">
        <v>11</v>
      </c>
      <c r="B126" s="52" t="s">
        <v>75</v>
      </c>
      <c r="C126" s="53"/>
      <c r="D126" s="54"/>
      <c r="E126" s="54"/>
      <c r="F126" s="54"/>
      <c r="G126" s="57"/>
      <c r="H126" s="57"/>
      <c r="I126" s="57"/>
      <c r="J126" s="40"/>
      <c r="K126" s="5"/>
      <c r="M126" s="63"/>
    </row>
    <row r="127" spans="1:13" ht="15" customHeight="1" x14ac:dyDescent="0.3">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3">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3">
      <c r="A129" s="43"/>
      <c r="B129" s="56" t="s">
        <v>52</v>
      </c>
      <c r="C129" s="53"/>
      <c r="D129" s="54"/>
      <c r="E129" s="54"/>
      <c r="F129" s="54"/>
      <c r="G129" s="55"/>
      <c r="H129" s="55"/>
      <c r="I129" s="60"/>
      <c r="J129" s="61">
        <f>0.13*G128*(20356.18/2.114)</f>
        <v>2306.4468335360807</v>
      </c>
      <c r="K129" s="5"/>
    </row>
    <row r="130" spans="1:13" ht="15.6" x14ac:dyDescent="0.3">
      <c r="A130" s="43"/>
      <c r="B130" s="52"/>
      <c r="C130" s="53"/>
      <c r="D130" s="54"/>
      <c r="E130" s="54"/>
      <c r="F130" s="54"/>
      <c r="G130" s="57"/>
      <c r="H130" s="57"/>
      <c r="I130" s="57"/>
      <c r="J130" s="40"/>
      <c r="K130" s="5"/>
      <c r="M130" s="63"/>
    </row>
    <row r="131" spans="1:13" x14ac:dyDescent="0.3">
      <c r="A131" s="43">
        <v>12</v>
      </c>
      <c r="B131" s="62" t="s">
        <v>69</v>
      </c>
      <c r="C131" s="53"/>
      <c r="D131" s="54"/>
      <c r="E131" s="54"/>
      <c r="F131" s="54"/>
      <c r="G131" s="57"/>
      <c r="H131" s="57"/>
      <c r="I131" s="57"/>
      <c r="J131" s="40"/>
      <c r="K131" s="5"/>
    </row>
    <row r="132" spans="1:13" ht="15" customHeight="1" x14ac:dyDescent="0.3">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3">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3">
      <c r="A134" s="43"/>
      <c r="B134" s="62"/>
      <c r="C134" s="53"/>
      <c r="D134" s="54"/>
      <c r="E134" s="54"/>
      <c r="F134" s="54"/>
      <c r="G134" s="57"/>
      <c r="H134" s="57"/>
      <c r="I134" s="57"/>
      <c r="J134" s="40"/>
      <c r="K134" s="5"/>
    </row>
    <row r="135" spans="1:13" ht="28.8" x14ac:dyDescent="0.3">
      <c r="A135" s="43">
        <v>13</v>
      </c>
      <c r="B135" s="62" t="s">
        <v>71</v>
      </c>
      <c r="C135" s="53"/>
      <c r="D135" s="54"/>
      <c r="E135" s="54"/>
      <c r="F135" s="54"/>
      <c r="G135" s="57"/>
      <c r="H135" s="57"/>
      <c r="I135" s="57"/>
      <c r="J135" s="40"/>
      <c r="K135" s="5"/>
    </row>
    <row r="136" spans="1:13" ht="15" customHeight="1" x14ac:dyDescent="0.3">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3">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3">
      <c r="A138" s="43"/>
      <c r="B138" s="62"/>
      <c r="C138" s="53"/>
      <c r="D138" s="54"/>
      <c r="E138" s="54"/>
      <c r="F138" s="54"/>
      <c r="G138" s="57"/>
      <c r="H138" s="57"/>
      <c r="I138" s="57"/>
      <c r="J138" s="40"/>
      <c r="K138" s="5"/>
    </row>
    <row r="139" spans="1:13" ht="43.2" x14ac:dyDescent="0.3">
      <c r="A139" s="43">
        <v>14</v>
      </c>
      <c r="B139" s="62" t="s">
        <v>73</v>
      </c>
      <c r="C139" s="53"/>
      <c r="D139" s="54"/>
      <c r="E139" s="54"/>
      <c r="F139" s="54"/>
      <c r="G139" s="57"/>
      <c r="H139" s="57"/>
      <c r="I139" s="57"/>
      <c r="J139" s="40"/>
      <c r="K139" s="5"/>
    </row>
    <row r="140" spans="1:13" ht="15" customHeight="1" x14ac:dyDescent="0.3">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3">
      <c r="A141" s="43"/>
      <c r="B141" s="70" t="s">
        <v>96</v>
      </c>
      <c r="C141" s="67">
        <v>4</v>
      </c>
      <c r="D141" s="68">
        <f>0.6</f>
        <v>0.6</v>
      </c>
      <c r="E141" s="68"/>
      <c r="F141" s="68">
        <v>0.6</v>
      </c>
      <c r="G141" s="68">
        <f>0*PRODUCT(C141:F141)</f>
        <v>0</v>
      </c>
      <c r="H141" s="57"/>
      <c r="I141" s="57"/>
      <c r="J141" s="40"/>
      <c r="K141" s="5"/>
    </row>
    <row r="142" spans="1:13" ht="15" customHeight="1" x14ac:dyDescent="0.3">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3">
      <c r="A143" s="43"/>
      <c r="B143" s="56" t="s">
        <v>52</v>
      </c>
      <c r="C143" s="53"/>
      <c r="D143" s="54"/>
      <c r="E143" s="54"/>
      <c r="F143" s="54"/>
      <c r="G143" s="55"/>
      <c r="H143" s="55"/>
      <c r="I143" s="60"/>
      <c r="J143" s="61">
        <f>0.13*G142*(9888.94/0.92)</f>
        <v>706.51645903656697</v>
      </c>
      <c r="K143" s="5"/>
    </row>
    <row r="144" spans="1:13" ht="15" customHeight="1" x14ac:dyDescent="0.3">
      <c r="A144" s="43"/>
      <c r="B144" s="56"/>
      <c r="C144" s="53"/>
      <c r="D144" s="54"/>
      <c r="E144" s="54"/>
      <c r="F144" s="54"/>
      <c r="G144" s="57"/>
      <c r="H144" s="57"/>
      <c r="I144" s="57"/>
      <c r="J144" s="40"/>
      <c r="K144" s="5"/>
      <c r="M144" s="63"/>
    </row>
    <row r="145" spans="1:19" ht="27.6" x14ac:dyDescent="0.3">
      <c r="A145" s="65">
        <v>15</v>
      </c>
      <c r="B145" s="66" t="s">
        <v>93</v>
      </c>
      <c r="C145" s="67"/>
      <c r="D145" s="68"/>
      <c r="E145" s="68"/>
      <c r="F145" s="68"/>
      <c r="G145" s="68"/>
      <c r="H145" s="68"/>
      <c r="I145" s="68"/>
      <c r="J145" s="69"/>
      <c r="K145" s="5"/>
      <c r="M145" s="63"/>
    </row>
    <row r="146" spans="1:19" ht="15" customHeight="1" x14ac:dyDescent="0.3">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3">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3">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3">
      <c r="A149" s="65"/>
      <c r="B149" s="70" t="s">
        <v>52</v>
      </c>
      <c r="C149" s="67"/>
      <c r="D149" s="68"/>
      <c r="E149" s="68"/>
      <c r="F149" s="68"/>
      <c r="G149" s="71"/>
      <c r="H149" s="71"/>
      <c r="I149" s="72"/>
      <c r="J149" s="73">
        <f>0.13*G148*(2795.1/10)</f>
        <v>0</v>
      </c>
      <c r="K149" s="5"/>
    </row>
    <row r="150" spans="1:19" ht="15.6" x14ac:dyDescent="0.3">
      <c r="A150" s="65"/>
      <c r="B150" s="74"/>
      <c r="C150" s="67"/>
      <c r="D150" s="68"/>
      <c r="E150" s="68"/>
      <c r="F150" s="68"/>
      <c r="G150" s="68"/>
      <c r="H150" s="68"/>
      <c r="I150" s="68"/>
      <c r="J150" s="69"/>
      <c r="K150" s="5"/>
      <c r="M150" s="63"/>
    </row>
    <row r="151" spans="1:19" ht="28.8" x14ac:dyDescent="0.3">
      <c r="A151" s="65">
        <v>16</v>
      </c>
      <c r="B151" s="75" t="s">
        <v>97</v>
      </c>
      <c r="C151" s="67"/>
      <c r="D151" s="68"/>
      <c r="E151" s="68"/>
      <c r="F151" s="68"/>
      <c r="G151" s="68"/>
      <c r="H151" s="68"/>
      <c r="I151" s="68"/>
      <c r="J151" s="69"/>
      <c r="K151" s="5"/>
      <c r="M151" s="63"/>
    </row>
    <row r="152" spans="1:19" ht="15" customHeight="1" x14ac:dyDescent="0.3">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3">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3">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3">
      <c r="A155" s="65"/>
      <c r="B155" s="70" t="s">
        <v>52</v>
      </c>
      <c r="C155" s="67"/>
      <c r="D155" s="68"/>
      <c r="E155" s="68"/>
      <c r="F155" s="68"/>
      <c r="G155" s="71"/>
      <c r="H155" s="71"/>
      <c r="I155" s="72"/>
      <c r="J155" s="73">
        <f>0.13*G154*(315405.75/100)</f>
        <v>0</v>
      </c>
      <c r="K155" s="5"/>
    </row>
    <row r="156" spans="1:19" ht="15.6" x14ac:dyDescent="0.3">
      <c r="A156" s="43"/>
      <c r="B156" s="52"/>
      <c r="C156" s="53"/>
      <c r="D156" s="54"/>
      <c r="E156" s="54"/>
      <c r="F156" s="54"/>
      <c r="G156" s="57"/>
      <c r="H156" s="57"/>
      <c r="I156" s="57"/>
      <c r="J156" s="40"/>
      <c r="K156" s="5"/>
      <c r="M156" s="63"/>
    </row>
    <row r="157" spans="1:19" ht="15" customHeight="1" x14ac:dyDescent="0.3">
      <c r="A157" s="43"/>
      <c r="B157" s="56"/>
      <c r="C157" s="53"/>
      <c r="D157" s="54"/>
      <c r="E157" s="54"/>
      <c r="F157" s="54"/>
      <c r="G157" s="57"/>
      <c r="H157" s="57"/>
      <c r="I157" s="57"/>
      <c r="J157" s="40"/>
      <c r="K157" s="5"/>
      <c r="M157" s="63"/>
    </row>
    <row r="158" spans="1:19" ht="15" customHeight="1" x14ac:dyDescent="0.3">
      <c r="A158" s="43"/>
      <c r="B158" s="56"/>
      <c r="C158" s="53"/>
      <c r="D158" s="54"/>
      <c r="E158" s="54"/>
      <c r="F158" s="54"/>
      <c r="G158" s="57"/>
      <c r="H158" s="57"/>
      <c r="I158" s="57"/>
      <c r="J158" s="40"/>
      <c r="K158" s="5"/>
      <c r="M158" s="63"/>
    </row>
    <row r="159" spans="1:19" ht="15" customHeight="1" x14ac:dyDescent="0.3">
      <c r="A159" s="43"/>
      <c r="B159" s="56"/>
      <c r="C159" s="53"/>
      <c r="D159" s="54"/>
      <c r="E159" s="54"/>
      <c r="F159" s="54"/>
      <c r="G159" s="57"/>
      <c r="H159" s="57"/>
      <c r="I159" s="57"/>
      <c r="J159" s="40"/>
      <c r="K159" s="5"/>
      <c r="M159" s="63"/>
    </row>
    <row r="160" spans="1:19" ht="41.4" x14ac:dyDescent="0.3">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3">
      <c r="A161" s="43"/>
      <c r="B161" s="45"/>
      <c r="C161" s="46"/>
      <c r="D161" s="14"/>
      <c r="E161" s="14"/>
      <c r="F161" s="14"/>
      <c r="G161" s="44"/>
      <c r="H161" s="44"/>
      <c r="I161" s="44"/>
      <c r="J161" s="44"/>
      <c r="K161" s="16"/>
    </row>
    <row r="162" spans="1:20" ht="19.8" x14ac:dyDescent="0.3">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8" x14ac:dyDescent="0.3">
      <c r="A163" s="26"/>
      <c r="B163" s="30"/>
      <c r="C163" s="27"/>
      <c r="D163" s="28"/>
      <c r="E163" s="29"/>
      <c r="F163" s="29"/>
      <c r="G163" s="39"/>
      <c r="H163" s="38"/>
      <c r="I163" s="39"/>
      <c r="J163" s="44"/>
      <c r="K163" s="29"/>
      <c r="M163" s="31"/>
      <c r="N163" s="18"/>
      <c r="O163" s="18"/>
      <c r="P163" s="18"/>
      <c r="Q163" s="18"/>
      <c r="R163" s="18"/>
      <c r="S163" s="18"/>
      <c r="T163" s="18"/>
    </row>
    <row r="164" spans="1:20" x14ac:dyDescent="0.3">
      <c r="A164" s="43"/>
      <c r="B164" s="50" t="s">
        <v>15</v>
      </c>
      <c r="C164" s="46"/>
      <c r="D164" s="14"/>
      <c r="E164" s="14"/>
      <c r="F164" s="14"/>
      <c r="G164" s="44"/>
      <c r="H164" s="44"/>
      <c r="I164" s="44"/>
      <c r="J164" s="44">
        <f>SUM(J10:J162)</f>
        <v>637771.83239571028</v>
      </c>
      <c r="K164" s="16"/>
    </row>
    <row r="166" spans="1:20" s="1" customFormat="1" x14ac:dyDescent="0.3">
      <c r="B166" s="16" t="s">
        <v>25</v>
      </c>
      <c r="C166" s="104">
        <f>J164</f>
        <v>637771.83239571028</v>
      </c>
      <c r="D166" s="105"/>
      <c r="E166" s="14">
        <v>100</v>
      </c>
      <c r="F166" s="18"/>
      <c r="G166" s="19"/>
      <c r="H166" s="18"/>
      <c r="I166" s="20"/>
      <c r="J166" s="21"/>
      <c r="K166" s="22"/>
    </row>
    <row r="167" spans="1:20" x14ac:dyDescent="0.3">
      <c r="B167" s="16" t="s">
        <v>30</v>
      </c>
      <c r="C167" s="111">
        <v>1000000</v>
      </c>
      <c r="D167" s="112"/>
      <c r="E167" s="14"/>
    </row>
    <row r="168" spans="1:20" x14ac:dyDescent="0.3">
      <c r="B168" s="16" t="s">
        <v>31</v>
      </c>
      <c r="C168" s="111">
        <f>C167-C170-C171</f>
        <v>950000</v>
      </c>
      <c r="D168" s="112"/>
      <c r="E168" s="14">
        <f>C168/C166*100</f>
        <v>148.95609240556195</v>
      </c>
    </row>
    <row r="169" spans="1:20" x14ac:dyDescent="0.3">
      <c r="B169" s="16" t="s">
        <v>32</v>
      </c>
      <c r="C169" s="103">
        <f>C166-C168</f>
        <v>-312228.16760428972</v>
      </c>
      <c r="D169" s="103"/>
      <c r="E169" s="14">
        <f>100-E168</f>
        <v>-48.956092405561947</v>
      </c>
    </row>
    <row r="170" spans="1:20" x14ac:dyDescent="0.3">
      <c r="B170" s="16" t="s">
        <v>33</v>
      </c>
      <c r="C170" s="104">
        <f>C167*0.03</f>
        <v>30000</v>
      </c>
      <c r="D170" s="105"/>
      <c r="E170" s="14">
        <v>3</v>
      </c>
    </row>
    <row r="171" spans="1:20" x14ac:dyDescent="0.3">
      <c r="B171" s="16" t="s">
        <v>34</v>
      </c>
      <c r="C171" s="104">
        <f>C167*0.02</f>
        <v>20000</v>
      </c>
      <c r="D171" s="105"/>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9" zoomScaleNormal="100" zoomScaleSheetLayoutView="80" workbookViewId="0">
      <selection activeCell="A7" sqref="A7:F7"/>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07" t="s">
        <v>0</v>
      </c>
      <c r="B1" s="107"/>
      <c r="C1" s="107"/>
      <c r="D1" s="107"/>
      <c r="E1" s="107"/>
      <c r="F1" s="107"/>
      <c r="G1" s="107"/>
      <c r="H1" s="107"/>
      <c r="I1" s="107"/>
      <c r="J1" s="107"/>
      <c r="K1" s="107"/>
    </row>
    <row r="2" spans="1:19" s="1" customFormat="1" ht="22.8" x14ac:dyDescent="0.3">
      <c r="A2" s="108" t="s">
        <v>1</v>
      </c>
      <c r="B2" s="108"/>
      <c r="C2" s="108"/>
      <c r="D2" s="108"/>
      <c r="E2" s="108"/>
      <c r="F2" s="108"/>
      <c r="G2" s="108"/>
      <c r="H2" s="108"/>
      <c r="I2" s="108"/>
      <c r="J2" s="108"/>
      <c r="K2" s="108"/>
    </row>
    <row r="3" spans="1:19" s="1" customFormat="1" x14ac:dyDescent="0.3">
      <c r="A3" s="94" t="s">
        <v>2</v>
      </c>
      <c r="B3" s="94"/>
      <c r="C3" s="94"/>
      <c r="D3" s="94"/>
      <c r="E3" s="94"/>
      <c r="F3" s="94"/>
      <c r="G3" s="94"/>
      <c r="H3" s="94"/>
      <c r="I3" s="94"/>
      <c r="J3" s="94"/>
      <c r="K3" s="94"/>
    </row>
    <row r="4" spans="1:19" s="1" customFormat="1" x14ac:dyDescent="0.3">
      <c r="A4" s="94" t="s">
        <v>3</v>
      </c>
      <c r="B4" s="94"/>
      <c r="C4" s="94"/>
      <c r="D4" s="94"/>
      <c r="E4" s="94"/>
      <c r="F4" s="94"/>
      <c r="G4" s="94"/>
      <c r="H4" s="94"/>
      <c r="I4" s="94"/>
      <c r="J4" s="94"/>
      <c r="K4" s="94"/>
    </row>
    <row r="5" spans="1:19" ht="17.399999999999999" x14ac:dyDescent="0.3">
      <c r="A5" s="109" t="s">
        <v>50</v>
      </c>
      <c r="B5" s="109"/>
      <c r="C5" s="109"/>
      <c r="D5" s="109"/>
      <c r="E5" s="109"/>
      <c r="F5" s="109"/>
      <c r="G5" s="109"/>
      <c r="H5" s="109"/>
      <c r="I5" s="109"/>
      <c r="J5" s="109"/>
      <c r="K5" s="109"/>
    </row>
    <row r="6" spans="1:19" ht="15.6" x14ac:dyDescent="0.3">
      <c r="A6" s="42" t="s">
        <v>115</v>
      </c>
      <c r="B6" s="42"/>
      <c r="C6" s="42"/>
      <c r="D6" s="42"/>
      <c r="E6" s="42"/>
      <c r="F6" s="42"/>
      <c r="G6" s="2"/>
      <c r="H6" s="106" t="s">
        <v>48</v>
      </c>
      <c r="I6" s="106"/>
      <c r="J6" s="106"/>
      <c r="K6" s="106"/>
    </row>
    <row r="7" spans="1:19" ht="15.6" x14ac:dyDescent="0.3">
      <c r="A7" s="110" t="s">
        <v>26</v>
      </c>
      <c r="B7" s="110"/>
      <c r="C7" s="110"/>
      <c r="D7" s="110"/>
      <c r="E7" s="110"/>
      <c r="F7" s="110"/>
      <c r="G7" s="3"/>
      <c r="H7" s="106" t="s">
        <v>49</v>
      </c>
      <c r="I7" s="106"/>
      <c r="J7" s="106"/>
      <c r="K7" s="106"/>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100</v>
      </c>
      <c r="C15" s="46">
        <v>2</v>
      </c>
      <c r="D15" s="14">
        <f>2.7+0.23</f>
        <v>2.93</v>
      </c>
      <c r="E15" s="14"/>
      <c r="F15" s="14">
        <v>2.41</v>
      </c>
      <c r="G15" s="14">
        <f t="shared" ref="G15:G20" si="1">PRODUCT(C15:F15)</f>
        <v>14.122600000000002</v>
      </c>
      <c r="H15" s="47"/>
      <c r="I15" s="44"/>
      <c r="J15" s="44"/>
      <c r="K15" s="16"/>
    </row>
    <row r="16" spans="1:19" ht="15" customHeight="1" x14ac:dyDescent="0.3">
      <c r="A16" s="43"/>
      <c r="B16" s="45"/>
      <c r="C16" s="46">
        <v>2</v>
      </c>
      <c r="D16" s="14">
        <f>2.7+0.23</f>
        <v>2.93</v>
      </c>
      <c r="E16" s="14"/>
      <c r="F16" s="14">
        <v>2.41</v>
      </c>
      <c r="G16" s="14">
        <f t="shared" ref="G16:G17" si="2">PRODUCT(C16:F16)</f>
        <v>14.122600000000002</v>
      </c>
      <c r="H16" s="47"/>
      <c r="I16" s="44"/>
      <c r="J16" s="44"/>
      <c r="K16" s="16"/>
    </row>
    <row r="17" spans="1:11" ht="15" customHeight="1" x14ac:dyDescent="0.3">
      <c r="A17" s="43"/>
      <c r="B17" s="45" t="s">
        <v>101</v>
      </c>
      <c r="C17" s="46">
        <v>1</v>
      </c>
      <c r="D17" s="14">
        <f>2.7-0.23+2.7-0.23+2.7-0.23</f>
        <v>7.4099999999999993</v>
      </c>
      <c r="E17" s="14"/>
      <c r="F17" s="14">
        <v>2.41</v>
      </c>
      <c r="G17" s="14">
        <f t="shared" si="2"/>
        <v>17.8581</v>
      </c>
      <c r="H17" s="47"/>
      <c r="I17" s="44"/>
      <c r="J17" s="44"/>
      <c r="K17" s="16"/>
    </row>
    <row r="18" spans="1:11" ht="15" customHeight="1" x14ac:dyDescent="0.3">
      <c r="A18" s="43"/>
      <c r="B18" s="45"/>
      <c r="C18" s="46">
        <v>1</v>
      </c>
      <c r="D18" s="14">
        <f>2.7-0.23</f>
        <v>2.4700000000000002</v>
      </c>
      <c r="E18" s="14"/>
      <c r="F18" s="14">
        <f>2.41-0.75</f>
        <v>1.6600000000000001</v>
      </c>
      <c r="G18" s="14">
        <f t="shared" ref="G18:G19" si="3">PRODUCT(C18:F18)</f>
        <v>4.100200000000001</v>
      </c>
      <c r="H18" s="47"/>
      <c r="I18" s="44"/>
      <c r="J18" s="44"/>
      <c r="K18" s="16"/>
    </row>
    <row r="19" spans="1:11" ht="28.8" x14ac:dyDescent="0.3">
      <c r="A19" s="43"/>
      <c r="B19" s="45" t="s">
        <v>103</v>
      </c>
      <c r="C19" s="46">
        <f>-C33</f>
        <v>-2</v>
      </c>
      <c r="D19" s="14">
        <f>D33</f>
        <v>0.53337397135019804</v>
      </c>
      <c r="E19" s="14"/>
      <c r="F19" s="14">
        <f>F33</f>
        <v>0.75</v>
      </c>
      <c r="G19" s="14">
        <f t="shared" si="3"/>
        <v>-0.800060957025297</v>
      </c>
      <c r="H19" s="47"/>
      <c r="I19" s="44"/>
      <c r="J19" s="44"/>
      <c r="K19" s="16"/>
    </row>
    <row r="20" spans="1:11" ht="15" customHeight="1" x14ac:dyDescent="0.3">
      <c r="A20" s="43"/>
      <c r="B20" s="45" t="s">
        <v>44</v>
      </c>
      <c r="C20" s="46">
        <f>2*-3</f>
        <v>-6</v>
      </c>
      <c r="D20" s="14">
        <f>0.9</f>
        <v>0.9</v>
      </c>
      <c r="E20" s="14"/>
      <c r="F20" s="14">
        <v>0.9</v>
      </c>
      <c r="G20" s="14">
        <f t="shared" si="1"/>
        <v>-4.8600000000000003</v>
      </c>
      <c r="H20" s="47"/>
      <c r="I20" s="44"/>
      <c r="J20" s="44"/>
      <c r="K20" s="16"/>
    </row>
    <row r="21" spans="1:11" ht="15" customHeight="1" x14ac:dyDescent="0.3">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3">
      <c r="A22" s="43"/>
      <c r="B22" s="45" t="s">
        <v>65</v>
      </c>
      <c r="C22" s="46">
        <v>1</v>
      </c>
      <c r="D22" s="14">
        <v>2.08</v>
      </c>
      <c r="E22" s="14"/>
      <c r="F22" s="14">
        <f>0.75-0.15*4</f>
        <v>0.15000000000000002</v>
      </c>
      <c r="G22" s="14">
        <f t="shared" si="4"/>
        <v>0.31200000000000006</v>
      </c>
      <c r="H22" s="47"/>
      <c r="I22" s="44"/>
      <c r="J22" s="44"/>
      <c r="K22" s="16"/>
    </row>
    <row r="23" spans="1:11" ht="15" customHeight="1" x14ac:dyDescent="0.3">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3">
      <c r="A24" s="43"/>
      <c r="B24" s="45" t="s">
        <v>91</v>
      </c>
      <c r="C24" s="46">
        <v>-1</v>
      </c>
      <c r="D24" s="14">
        <f>D21</f>
        <v>1.2</v>
      </c>
      <c r="E24" s="14"/>
      <c r="F24" s="14">
        <f>(7+6+3*6)/12/3.281</f>
        <v>0.78736157675505436</v>
      </c>
      <c r="G24" s="14">
        <f t="shared" si="4"/>
        <v>-0.94483389210606517</v>
      </c>
      <c r="H24" s="47"/>
      <c r="I24" s="44"/>
      <c r="J24" s="44"/>
      <c r="K24" s="16"/>
    </row>
    <row r="25" spans="1:11" ht="15" customHeight="1" x14ac:dyDescent="0.3">
      <c r="A25" s="43"/>
      <c r="B25" s="45" t="s">
        <v>92</v>
      </c>
      <c r="C25" s="46">
        <v>-1</v>
      </c>
      <c r="D25" s="14">
        <f>D20</f>
        <v>0.9</v>
      </c>
      <c r="E25" s="14"/>
      <c r="F25" s="14">
        <f>(3*6)/12/3.281</f>
        <v>0.45717768972874123</v>
      </c>
      <c r="G25" s="14">
        <f t="shared" si="4"/>
        <v>-0.41145992075586713</v>
      </c>
      <c r="H25" s="47"/>
      <c r="I25" s="44"/>
      <c r="J25" s="44"/>
      <c r="K25" s="16"/>
    </row>
    <row r="26" spans="1:11" ht="15" customHeight="1" x14ac:dyDescent="0.3">
      <c r="A26" s="43"/>
      <c r="B26" s="45" t="s">
        <v>109</v>
      </c>
      <c r="C26" s="46">
        <v>4</v>
      </c>
      <c r="D26" s="14">
        <f>3.5/3.281</f>
        <v>1.0667479427003961</v>
      </c>
      <c r="E26" s="14"/>
      <c r="F26" s="14">
        <v>0.6</v>
      </c>
      <c r="G26" s="14">
        <f t="shared" si="4"/>
        <v>2.5601950624809504</v>
      </c>
      <c r="H26" s="47"/>
      <c r="I26" s="44"/>
      <c r="J26" s="44"/>
      <c r="K26" s="16"/>
    </row>
    <row r="27" spans="1:11" ht="15" customHeight="1" x14ac:dyDescent="0.3">
      <c r="A27" s="43"/>
      <c r="B27" s="45" t="s">
        <v>110</v>
      </c>
      <c r="C27" s="46">
        <v>-4</v>
      </c>
      <c r="D27" s="14">
        <v>0.6</v>
      </c>
      <c r="E27" s="14"/>
      <c r="F27" s="14">
        <v>0.6</v>
      </c>
      <c r="G27" s="14">
        <f t="shared" si="4"/>
        <v>-1.44</v>
      </c>
      <c r="H27" s="47"/>
      <c r="I27" s="44"/>
      <c r="J27" s="44"/>
      <c r="K27" s="16"/>
    </row>
    <row r="28" spans="1:11" ht="15" customHeight="1" x14ac:dyDescent="0.3">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3">
      <c r="A29" s="43"/>
      <c r="B29" s="45" t="s">
        <v>52</v>
      </c>
      <c r="C29" s="46"/>
      <c r="D29" s="14"/>
      <c r="E29" s="14"/>
      <c r="F29" s="14"/>
      <c r="G29" s="44"/>
      <c r="H29" s="44"/>
      <c r="I29" s="44"/>
      <c r="J29" s="44">
        <f>0.13*G28*(340055.78/100)</f>
        <v>7034.7676206883689</v>
      </c>
      <c r="K29" s="16"/>
    </row>
    <row r="30" spans="1:11" ht="15" customHeight="1" x14ac:dyDescent="0.3">
      <c r="A30" s="43"/>
      <c r="B30" s="45"/>
      <c r="C30" s="46"/>
      <c r="D30" s="14"/>
      <c r="E30" s="14"/>
      <c r="F30" s="14"/>
      <c r="G30" s="44"/>
      <c r="H30" s="44"/>
      <c r="I30" s="44"/>
      <c r="J30" s="44"/>
      <c r="K30" s="16"/>
    </row>
    <row r="31" spans="1:11" ht="30" x14ac:dyDescent="0.3">
      <c r="A31" s="43">
        <v>3</v>
      </c>
      <c r="B31" s="48" t="s">
        <v>102</v>
      </c>
      <c r="C31" s="46"/>
      <c r="D31" s="14"/>
      <c r="E31" s="14"/>
      <c r="F31" s="14"/>
      <c r="G31" s="44"/>
      <c r="H31" s="44"/>
      <c r="I31" s="44"/>
      <c r="J31" s="44"/>
      <c r="K31" s="16"/>
    </row>
    <row r="32" spans="1:11" ht="15" customHeight="1" x14ac:dyDescent="0.3">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3">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3">
      <c r="A34" s="43"/>
      <c r="B34" s="45" t="s">
        <v>38</v>
      </c>
      <c r="C34" s="46"/>
      <c r="D34" s="14"/>
      <c r="E34" s="14"/>
      <c r="F34" s="14"/>
      <c r="G34" s="44">
        <f>SUM(G32:G33)</f>
        <v>0.91126705272782682</v>
      </c>
      <c r="H34" s="44" t="s">
        <v>51</v>
      </c>
      <c r="I34" s="44">
        <v>14362.76</v>
      </c>
      <c r="J34" s="44">
        <f>G34*I34</f>
        <v>13088.309974237121</v>
      </c>
      <c r="K34" s="16"/>
    </row>
    <row r="35" spans="1:19" ht="15" customHeight="1" x14ac:dyDescent="0.3">
      <c r="A35" s="43"/>
      <c r="B35" s="45" t="s">
        <v>52</v>
      </c>
      <c r="C35" s="46"/>
      <c r="D35" s="14"/>
      <c r="E35" s="14"/>
      <c r="F35" s="14"/>
      <c r="G35" s="44"/>
      <c r="H35" s="44"/>
      <c r="I35" s="44"/>
      <c r="J35" s="44">
        <f>0.13*G34*10311.74</f>
        <v>1221.5773593784334</v>
      </c>
      <c r="K35" s="16"/>
    </row>
    <row r="36" spans="1:19" ht="15" customHeight="1" x14ac:dyDescent="0.3">
      <c r="A36" s="26"/>
      <c r="B36" s="30"/>
      <c r="C36" s="27"/>
      <c r="D36" s="28"/>
      <c r="E36" s="29"/>
      <c r="F36" s="29"/>
      <c r="G36" s="39"/>
      <c r="H36" s="38"/>
      <c r="I36" s="39"/>
      <c r="J36" s="44"/>
      <c r="K36" s="29"/>
      <c r="M36" s="31"/>
      <c r="N36" s="1"/>
      <c r="O36" s="1"/>
      <c r="P36" s="1"/>
      <c r="Q36" s="1"/>
      <c r="R36" s="31"/>
      <c r="S36" s="31"/>
    </row>
    <row r="37" spans="1:19" ht="27.6" x14ac:dyDescent="0.3">
      <c r="A37" s="26">
        <v>4</v>
      </c>
      <c r="B37" s="41" t="s">
        <v>78</v>
      </c>
      <c r="C37" s="27"/>
      <c r="D37" s="28"/>
      <c r="E37" s="29"/>
      <c r="F37" s="29"/>
      <c r="G37" s="39"/>
      <c r="H37" s="38"/>
      <c r="I37" s="39"/>
      <c r="J37" s="44"/>
      <c r="K37" s="29"/>
      <c r="M37" s="31"/>
      <c r="N37" s="1"/>
      <c r="O37" s="1"/>
      <c r="P37" s="1"/>
      <c r="Q37" s="1"/>
      <c r="R37" s="31"/>
      <c r="S37" s="31"/>
    </row>
    <row r="38" spans="1:19" ht="15" customHeight="1" x14ac:dyDescent="0.3">
      <c r="A38" s="43"/>
      <c r="B38" s="45" t="s">
        <v>79</v>
      </c>
      <c r="C38" s="46">
        <v>1</v>
      </c>
      <c r="D38" s="14">
        <f>(2.7+0.1+0.1)*4+(2.7-0.23)</f>
        <v>14.070000000000002</v>
      </c>
      <c r="E38" s="14"/>
      <c r="F38" s="14"/>
      <c r="G38" s="14">
        <f>PRODUCT(C38:F38)</f>
        <v>14.070000000000002</v>
      </c>
      <c r="H38" s="47"/>
      <c r="I38" s="44"/>
      <c r="J38" s="44"/>
      <c r="K38" s="16"/>
    </row>
    <row r="39" spans="1:19" ht="15" customHeight="1" x14ac:dyDescent="0.3">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3">
      <c r="A40" s="43"/>
      <c r="B40" s="45" t="s">
        <v>52</v>
      </c>
      <c r="C40" s="46"/>
      <c r="D40" s="14"/>
      <c r="E40" s="14"/>
      <c r="F40" s="14"/>
      <c r="G40" s="44"/>
      <c r="H40" s="44"/>
      <c r="I40" s="44"/>
      <c r="J40" s="44">
        <f>0.13*G39*(2780.61/10)</f>
        <v>508.60137510000015</v>
      </c>
      <c r="K40" s="16"/>
    </row>
    <row r="41" spans="1:19" ht="15" customHeight="1" x14ac:dyDescent="0.3">
      <c r="A41" s="26"/>
      <c r="B41" s="30"/>
      <c r="C41" s="27"/>
      <c r="D41" s="28"/>
      <c r="E41" s="29"/>
      <c r="F41" s="29"/>
      <c r="G41" s="39"/>
      <c r="H41" s="38"/>
      <c r="I41" s="39"/>
      <c r="J41" s="44"/>
      <c r="K41" s="29"/>
      <c r="M41" s="31"/>
      <c r="N41" s="1"/>
      <c r="O41" s="1"/>
      <c r="P41" s="1"/>
      <c r="Q41" s="1"/>
      <c r="R41" s="31"/>
      <c r="S41" s="31"/>
    </row>
    <row r="42" spans="1:19" ht="27.6" x14ac:dyDescent="0.3">
      <c r="A42" s="26">
        <v>5</v>
      </c>
      <c r="B42" s="41" t="s">
        <v>81</v>
      </c>
      <c r="C42" s="27"/>
      <c r="D42" s="28"/>
      <c r="E42" s="29"/>
      <c r="F42" s="29"/>
      <c r="G42" s="39"/>
      <c r="H42" s="38"/>
      <c r="I42" s="39"/>
      <c r="J42" s="44"/>
      <c r="K42" s="29"/>
      <c r="M42" s="31"/>
      <c r="N42" s="1"/>
      <c r="O42" s="1"/>
      <c r="P42" s="1"/>
      <c r="Q42" s="1"/>
      <c r="R42" s="31"/>
      <c r="S42" s="31"/>
    </row>
    <row r="43" spans="1:19" ht="15" customHeight="1" x14ac:dyDescent="0.3">
      <c r="A43" s="43"/>
      <c r="B43" s="45" t="s">
        <v>79</v>
      </c>
      <c r="C43" s="46">
        <v>1</v>
      </c>
      <c r="D43" s="14">
        <f>(2.7+0.1+0.1)*4+(2.7-0.23)</f>
        <v>14.070000000000002</v>
      </c>
      <c r="E43" s="14"/>
      <c r="F43" s="14"/>
      <c r="G43" s="14">
        <f>PRODUCT(C43:F43)</f>
        <v>14.070000000000002</v>
      </c>
      <c r="H43" s="47"/>
      <c r="I43" s="44"/>
      <c r="J43" s="44"/>
      <c r="K43" s="16"/>
    </row>
    <row r="44" spans="1:19" ht="15" customHeight="1" x14ac:dyDescent="0.3">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3">
      <c r="A45" s="43"/>
      <c r="B45" s="45" t="s">
        <v>52</v>
      </c>
      <c r="C45" s="46"/>
      <c r="D45" s="14"/>
      <c r="E45" s="14"/>
      <c r="F45" s="14"/>
      <c r="G45" s="44"/>
      <c r="H45" s="44"/>
      <c r="I45" s="44"/>
      <c r="J45" s="44">
        <f>0.13*G44*(2182.61/10)</f>
        <v>399.2211951000001</v>
      </c>
      <c r="K45" s="16"/>
    </row>
    <row r="46" spans="1:19" ht="15" customHeight="1" x14ac:dyDescent="0.3">
      <c r="A46" s="26"/>
      <c r="B46" s="30"/>
      <c r="C46" s="27"/>
      <c r="D46" s="28"/>
      <c r="E46" s="29"/>
      <c r="F46" s="29"/>
      <c r="G46" s="39"/>
      <c r="H46" s="38"/>
      <c r="I46" s="39"/>
      <c r="J46" s="44"/>
      <c r="K46" s="29"/>
      <c r="M46" s="31"/>
      <c r="N46" s="1"/>
      <c r="O46" s="1"/>
      <c r="P46" s="1"/>
      <c r="Q46" s="1"/>
      <c r="R46" s="31"/>
      <c r="S46" s="31"/>
    </row>
    <row r="47" spans="1:19" ht="27.6" x14ac:dyDescent="0.3">
      <c r="A47" s="26">
        <v>6</v>
      </c>
      <c r="B47" s="41" t="s">
        <v>82</v>
      </c>
      <c r="C47" s="27"/>
      <c r="D47" s="28"/>
      <c r="E47" s="29"/>
      <c r="F47" s="29"/>
      <c r="G47" s="39"/>
      <c r="H47" s="38"/>
      <c r="I47" s="39"/>
      <c r="J47" s="44"/>
      <c r="K47" s="29"/>
      <c r="M47" s="31"/>
      <c r="N47" s="1"/>
      <c r="O47" s="1"/>
      <c r="P47" s="1"/>
      <c r="Q47" s="1"/>
      <c r="R47" s="31"/>
      <c r="S47" s="31"/>
    </row>
    <row r="48" spans="1:19" ht="15" customHeight="1" x14ac:dyDescent="0.3">
      <c r="A48" s="43"/>
      <c r="B48" s="45" t="s">
        <v>79</v>
      </c>
      <c r="C48" s="46">
        <v>1</v>
      </c>
      <c r="D48" s="14">
        <f>(2.7+0.1+0.1)*4</f>
        <v>11.600000000000001</v>
      </c>
      <c r="E48" s="14"/>
      <c r="F48" s="14"/>
      <c r="G48" s="14">
        <f>PRODUCT(C48:F48)</f>
        <v>11.600000000000001</v>
      </c>
      <c r="H48" s="47"/>
      <c r="I48" s="44"/>
      <c r="J48" s="44"/>
      <c r="K48" s="16"/>
    </row>
    <row r="49" spans="1:19" ht="15" customHeight="1" x14ac:dyDescent="0.3">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3">
      <c r="A50" s="43"/>
      <c r="B50" s="45" t="s">
        <v>52</v>
      </c>
      <c r="C50" s="46"/>
      <c r="D50" s="14"/>
      <c r="E50" s="14"/>
      <c r="F50" s="14"/>
      <c r="G50" s="44"/>
      <c r="H50" s="44"/>
      <c r="I50" s="44"/>
      <c r="J50" s="44">
        <f>0.13*G49*(2620.61/10)</f>
        <v>395.18798800000013</v>
      </c>
      <c r="K50" s="16"/>
    </row>
    <row r="51" spans="1:19" ht="15" customHeight="1" x14ac:dyDescent="0.3">
      <c r="A51" s="26"/>
      <c r="B51" s="30"/>
      <c r="C51" s="27"/>
      <c r="D51" s="28"/>
      <c r="E51" s="29"/>
      <c r="F51" s="29"/>
      <c r="G51" s="39"/>
      <c r="H51" s="38"/>
      <c r="I51" s="39"/>
      <c r="J51" s="44"/>
      <c r="K51" s="29"/>
      <c r="M51" s="31"/>
      <c r="N51" s="1"/>
      <c r="O51" s="1"/>
      <c r="P51" s="1"/>
      <c r="Q51" s="1"/>
      <c r="R51" s="31"/>
      <c r="S51" s="31"/>
    </row>
    <row r="52" spans="1:19" ht="27.6" x14ac:dyDescent="0.3">
      <c r="A52" s="26">
        <v>7</v>
      </c>
      <c r="B52" s="41" t="s">
        <v>84</v>
      </c>
      <c r="C52" s="27"/>
      <c r="D52" s="28"/>
      <c r="E52" s="29"/>
      <c r="F52" s="29"/>
      <c r="G52" s="39"/>
      <c r="H52" s="38"/>
      <c r="I52" s="39"/>
      <c r="J52" s="44"/>
      <c r="K52" s="29"/>
      <c r="M52" s="31"/>
      <c r="N52" s="1"/>
      <c r="O52" s="1"/>
      <c r="P52" s="1"/>
      <c r="Q52" s="1"/>
      <c r="R52" s="31"/>
      <c r="S52" s="31"/>
    </row>
    <row r="53" spans="1:19" ht="15" customHeight="1" x14ac:dyDescent="0.3">
      <c r="A53" s="43"/>
      <c r="B53" s="45" t="s">
        <v>79</v>
      </c>
      <c r="C53" s="46">
        <v>2</v>
      </c>
      <c r="D53" s="14">
        <f>(2.7+0.1+0.1)*4</f>
        <v>11.600000000000001</v>
      </c>
      <c r="E53" s="14"/>
      <c r="F53" s="14"/>
      <c r="G53" s="14">
        <f>PRODUCT(C53:F53)</f>
        <v>23.200000000000003</v>
      </c>
      <c r="H53" s="47"/>
      <c r="I53" s="44"/>
      <c r="J53" s="44"/>
      <c r="K53" s="16"/>
    </row>
    <row r="54" spans="1:19" ht="15" customHeight="1" x14ac:dyDescent="0.3">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3">
      <c r="A55" s="43"/>
      <c r="B55" s="45" t="s">
        <v>52</v>
      </c>
      <c r="C55" s="46"/>
      <c r="D55" s="14"/>
      <c r="E55" s="14"/>
      <c r="F55" s="14"/>
      <c r="G55" s="44"/>
      <c r="H55" s="44"/>
      <c r="I55" s="44"/>
      <c r="J55" s="44">
        <f>0.13*G54*(2268.61/10)</f>
        <v>684.21277600000019</v>
      </c>
      <c r="K55" s="16"/>
    </row>
    <row r="56" spans="1:19" ht="15" customHeight="1" x14ac:dyDescent="0.3">
      <c r="A56" s="26"/>
      <c r="B56" s="30"/>
      <c r="C56" s="27"/>
      <c r="D56" s="28"/>
      <c r="E56" s="29"/>
      <c r="F56" s="29"/>
      <c r="G56" s="39"/>
      <c r="H56" s="38"/>
      <c r="I56" s="39"/>
      <c r="J56" s="44"/>
      <c r="K56" s="29"/>
      <c r="M56" s="31"/>
      <c r="N56" s="1"/>
      <c r="O56" s="1"/>
      <c r="P56" s="1"/>
      <c r="Q56" s="1"/>
      <c r="R56" s="31"/>
      <c r="S56" s="31"/>
    </row>
    <row r="57" spans="1:19" ht="27.6" x14ac:dyDescent="0.3">
      <c r="A57" s="64">
        <v>8</v>
      </c>
      <c r="B57" s="41" t="s">
        <v>83</v>
      </c>
      <c r="C57" s="27"/>
      <c r="D57" s="28"/>
      <c r="E57" s="29"/>
      <c r="F57" s="29"/>
      <c r="G57" s="39"/>
      <c r="H57" s="38"/>
      <c r="I57" s="39"/>
      <c r="J57" s="44"/>
      <c r="K57" s="29"/>
      <c r="M57" s="31"/>
      <c r="N57" s="1"/>
      <c r="O57" s="1"/>
      <c r="P57" s="1"/>
      <c r="Q57" s="1"/>
      <c r="R57" s="31"/>
      <c r="S57" s="31"/>
    </row>
    <row r="58" spans="1:19" ht="15" customHeight="1" x14ac:dyDescent="0.3">
      <c r="A58" s="43"/>
      <c r="B58" s="45" t="s">
        <v>79</v>
      </c>
      <c r="C58" s="46">
        <v>1</v>
      </c>
      <c r="D58" s="14">
        <f>(2.7+0.1+0.1)*4</f>
        <v>11.600000000000001</v>
      </c>
      <c r="E58" s="14"/>
      <c r="F58" s="14"/>
      <c r="G58" s="14">
        <f>PRODUCT(C58:F58)</f>
        <v>11.600000000000001</v>
      </c>
      <c r="H58" s="47"/>
      <c r="I58" s="44"/>
      <c r="J58" s="44"/>
      <c r="K58" s="16"/>
    </row>
    <row r="59" spans="1:19" ht="15" customHeight="1" x14ac:dyDescent="0.3">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3">
      <c r="A60" s="43"/>
      <c r="B60" s="45" t="s">
        <v>52</v>
      </c>
      <c r="C60" s="46"/>
      <c r="D60" s="14"/>
      <c r="E60" s="14"/>
      <c r="F60" s="14"/>
      <c r="G60" s="44"/>
      <c r="H60" s="44"/>
      <c r="I60" s="44"/>
      <c r="J60" s="44">
        <f>0.13*G59*(2140.61/10)</f>
        <v>322.80398800000006</v>
      </c>
      <c r="K60" s="16"/>
    </row>
    <row r="61" spans="1:19" ht="15" customHeight="1" x14ac:dyDescent="0.3">
      <c r="A61" s="26"/>
      <c r="B61" s="30"/>
      <c r="C61" s="27"/>
      <c r="D61" s="28"/>
      <c r="E61" s="29"/>
      <c r="F61" s="29"/>
      <c r="G61" s="39"/>
      <c r="H61" s="38"/>
      <c r="I61" s="39"/>
      <c r="J61" s="44"/>
      <c r="K61" s="29"/>
      <c r="M61" s="31"/>
      <c r="N61" s="1"/>
      <c r="O61" s="1"/>
      <c r="P61" s="1"/>
      <c r="Q61" s="1"/>
      <c r="R61" s="31"/>
      <c r="S61" s="31"/>
    </row>
    <row r="62" spans="1:19" ht="27.6" x14ac:dyDescent="0.3">
      <c r="A62" s="64">
        <v>9</v>
      </c>
      <c r="B62" s="41" t="s">
        <v>85</v>
      </c>
      <c r="C62" s="27"/>
      <c r="D62" s="28"/>
      <c r="E62" s="29"/>
      <c r="F62" s="29"/>
      <c r="G62" s="39"/>
      <c r="H62" s="38"/>
      <c r="I62" s="39"/>
      <c r="J62" s="44"/>
      <c r="K62" s="29"/>
      <c r="M62" s="31"/>
      <c r="N62" s="1"/>
      <c r="O62" s="1"/>
      <c r="P62" s="1"/>
      <c r="Q62" s="1"/>
      <c r="R62" s="31"/>
      <c r="S62" s="31"/>
    </row>
    <row r="63" spans="1:19" ht="15" customHeight="1" x14ac:dyDescent="0.3">
      <c r="A63" s="43"/>
      <c r="B63" s="45" t="s">
        <v>79</v>
      </c>
      <c r="C63" s="46">
        <v>1</v>
      </c>
      <c r="D63" s="14">
        <f>(2.7+0.1+0.1)*4</f>
        <v>11.600000000000001</v>
      </c>
      <c r="E63" s="14"/>
      <c r="F63" s="14"/>
      <c r="G63" s="14">
        <f>PRODUCT(C63:F63)</f>
        <v>11.600000000000001</v>
      </c>
      <c r="H63" s="47"/>
      <c r="I63" s="44"/>
      <c r="J63" s="44"/>
      <c r="K63" s="16"/>
    </row>
    <row r="64" spans="1:19" ht="15" customHeight="1" x14ac:dyDescent="0.3">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3">
      <c r="A65" s="43"/>
      <c r="B65" s="45" t="s">
        <v>52</v>
      </c>
      <c r="C65" s="46"/>
      <c r="D65" s="14"/>
      <c r="E65" s="14"/>
      <c r="F65" s="14"/>
      <c r="G65" s="44"/>
      <c r="H65" s="44"/>
      <c r="I65" s="44"/>
      <c r="J65" s="44">
        <f>0.13*G64*(2876.61/10)</f>
        <v>433.79278800000009</v>
      </c>
      <c r="K65" s="16"/>
    </row>
    <row r="66" spans="1:19" ht="15" customHeight="1" x14ac:dyDescent="0.3">
      <c r="A66" s="26"/>
      <c r="B66" s="30"/>
      <c r="C66" s="27"/>
      <c r="D66" s="28"/>
      <c r="E66" s="29"/>
      <c r="F66" s="29"/>
      <c r="G66" s="39"/>
      <c r="H66" s="38"/>
      <c r="I66" s="39"/>
      <c r="J66" s="44"/>
      <c r="K66" s="29"/>
      <c r="M66" s="31"/>
      <c r="N66" s="1"/>
      <c r="O66" s="1"/>
      <c r="P66" s="1"/>
      <c r="Q66" s="1"/>
      <c r="R66" s="31"/>
      <c r="S66" s="31"/>
    </row>
    <row r="67" spans="1:19" ht="41.4" x14ac:dyDescent="0.3">
      <c r="A67" s="64">
        <v>10</v>
      </c>
      <c r="B67" s="41" t="s">
        <v>86</v>
      </c>
      <c r="C67" s="27"/>
      <c r="D67" s="28"/>
      <c r="E67" s="29"/>
      <c r="F67" s="29"/>
      <c r="G67" s="39"/>
      <c r="H67" s="38"/>
      <c r="I67" s="39"/>
      <c r="J67" s="44"/>
      <c r="K67" s="29"/>
      <c r="M67" s="31"/>
      <c r="N67" s="1"/>
      <c r="O67" s="1"/>
      <c r="P67" s="1"/>
      <c r="Q67" s="1"/>
      <c r="R67" s="31"/>
      <c r="S67" s="31"/>
    </row>
    <row r="68" spans="1:19" ht="15" customHeight="1" x14ac:dyDescent="0.3">
      <c r="A68" s="43"/>
      <c r="B68" s="45" t="s">
        <v>79</v>
      </c>
      <c r="C68" s="46">
        <v>1</v>
      </c>
      <c r="D68" s="14">
        <f>(2.7+0.1+0.1)*4</f>
        <v>11.600000000000001</v>
      </c>
      <c r="E68" s="14"/>
      <c r="F68" s="14"/>
      <c r="G68" s="14">
        <f>PRODUCT(C68:F68)</f>
        <v>11.600000000000001</v>
      </c>
      <c r="H68" s="47"/>
      <c r="I68" s="44"/>
      <c r="J68" s="44"/>
      <c r="K68" s="16"/>
    </row>
    <row r="69" spans="1:19" ht="15" customHeight="1" x14ac:dyDescent="0.3">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3">
      <c r="A70" s="43"/>
      <c r="B70" s="45" t="s">
        <v>52</v>
      </c>
      <c r="C70" s="46"/>
      <c r="D70" s="14"/>
      <c r="E70" s="14"/>
      <c r="F70" s="14"/>
      <c r="G70" s="44"/>
      <c r="H70" s="44"/>
      <c r="I70" s="44"/>
      <c r="J70" s="44">
        <f>0.13*G69*(3895.61/10)</f>
        <v>587.45798800000011</v>
      </c>
      <c r="K70" s="16"/>
    </row>
    <row r="71" spans="1:19" ht="15" customHeight="1" x14ac:dyDescent="0.3">
      <c r="A71" s="26"/>
      <c r="B71" s="30"/>
      <c r="C71" s="27"/>
      <c r="D71" s="28"/>
      <c r="E71" s="29"/>
      <c r="F71" s="29"/>
      <c r="G71" s="39"/>
      <c r="H71" s="38"/>
      <c r="I71" s="39"/>
      <c r="J71" s="44"/>
      <c r="K71" s="29"/>
      <c r="M71" s="31"/>
      <c r="N71" s="1"/>
      <c r="O71" s="1"/>
      <c r="P71" s="1"/>
      <c r="Q71" s="1"/>
      <c r="R71" s="31"/>
      <c r="S71" s="31"/>
    </row>
    <row r="72" spans="1:19" ht="27.6" x14ac:dyDescent="0.3">
      <c r="A72" s="64">
        <v>11</v>
      </c>
      <c r="B72" s="41" t="s">
        <v>87</v>
      </c>
      <c r="C72" s="27"/>
      <c r="D72" s="28"/>
      <c r="E72" s="29"/>
      <c r="F72" s="29"/>
      <c r="G72" s="39"/>
      <c r="H72" s="38"/>
      <c r="I72" s="39"/>
      <c r="J72" s="44"/>
      <c r="K72" s="29"/>
      <c r="M72" s="31"/>
      <c r="N72" s="1"/>
      <c r="O72" s="1"/>
      <c r="P72" s="1"/>
      <c r="Q72" s="1"/>
      <c r="R72" s="31"/>
      <c r="S72" s="31"/>
    </row>
    <row r="73" spans="1:19" ht="15" customHeight="1" x14ac:dyDescent="0.3">
      <c r="A73" s="43"/>
      <c r="B73" s="45" t="s">
        <v>79</v>
      </c>
      <c r="C73" s="46">
        <v>1</v>
      </c>
      <c r="D73" s="14">
        <f>(2.7+0.1+0.1)*4</f>
        <v>11.600000000000001</v>
      </c>
      <c r="E73" s="14"/>
      <c r="F73" s="14"/>
      <c r="G73" s="14">
        <f>PRODUCT(C73:F73)</f>
        <v>11.600000000000001</v>
      </c>
      <c r="H73" s="47"/>
      <c r="I73" s="44"/>
      <c r="J73" s="44"/>
      <c r="K73" s="16"/>
    </row>
    <row r="74" spans="1:19" ht="15" customHeight="1" x14ac:dyDescent="0.3">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3">
      <c r="A75" s="43"/>
      <c r="B75" s="45" t="s">
        <v>52</v>
      </c>
      <c r="C75" s="46"/>
      <c r="D75" s="14"/>
      <c r="E75" s="14"/>
      <c r="F75" s="14"/>
      <c r="G75" s="44"/>
      <c r="H75" s="44"/>
      <c r="I75" s="44"/>
      <c r="J75" s="44">
        <f>0.13*G74*(2972.61/10)</f>
        <v>448.26958800000011</v>
      </c>
      <c r="K75" s="16"/>
    </row>
    <row r="76" spans="1:19" ht="15" customHeight="1" x14ac:dyDescent="0.3">
      <c r="A76" s="26"/>
      <c r="B76" s="30"/>
      <c r="C76" s="27"/>
      <c r="D76" s="28"/>
      <c r="E76" s="29"/>
      <c r="F76" s="29"/>
      <c r="G76" s="39"/>
      <c r="H76" s="38"/>
      <c r="I76" s="39"/>
      <c r="J76" s="44"/>
      <c r="K76" s="29"/>
      <c r="M76" s="31"/>
      <c r="N76" s="1"/>
      <c r="O76" s="1"/>
      <c r="P76" s="1"/>
      <c r="Q76" s="1"/>
      <c r="R76" s="31"/>
      <c r="S76" s="31"/>
    </row>
    <row r="77" spans="1:19" ht="27.6" x14ac:dyDescent="0.3">
      <c r="A77" s="64">
        <v>12</v>
      </c>
      <c r="B77" s="41" t="s">
        <v>88</v>
      </c>
      <c r="C77" s="27"/>
      <c r="D77" s="28"/>
      <c r="E77" s="29"/>
      <c r="F77" s="29"/>
      <c r="G77" s="39"/>
      <c r="H77" s="38"/>
      <c r="I77" s="39"/>
      <c r="J77" s="44"/>
      <c r="K77" s="29"/>
      <c r="M77" s="31"/>
      <c r="N77" s="1"/>
      <c r="O77" s="1"/>
      <c r="P77" s="1"/>
      <c r="Q77" s="1"/>
      <c r="R77" s="31"/>
      <c r="S77" s="31"/>
    </row>
    <row r="78" spans="1:19" ht="15" customHeight="1" x14ac:dyDescent="0.3">
      <c r="A78" s="43"/>
      <c r="B78" s="45" t="s">
        <v>79</v>
      </c>
      <c r="C78" s="46">
        <v>1</v>
      </c>
      <c r="D78" s="14">
        <f>(2.7+0.1+0.1)*4</f>
        <v>11.600000000000001</v>
      </c>
      <c r="E78" s="14"/>
      <c r="F78" s="14"/>
      <c r="G78" s="14">
        <f>PRODUCT(C78:F78)</f>
        <v>11.600000000000001</v>
      </c>
      <c r="H78" s="47"/>
      <c r="I78" s="44"/>
      <c r="J78" s="44"/>
      <c r="K78" s="16"/>
    </row>
    <row r="79" spans="1:19" ht="15" customHeight="1" x14ac:dyDescent="0.3">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3">
      <c r="A80" s="43"/>
      <c r="B80" s="45" t="s">
        <v>52</v>
      </c>
      <c r="C80" s="46"/>
      <c r="D80" s="14"/>
      <c r="E80" s="14"/>
      <c r="F80" s="14"/>
      <c r="G80" s="44"/>
      <c r="H80" s="44"/>
      <c r="I80" s="44"/>
      <c r="J80" s="44">
        <f>0.13*G79*(5480.61/10)</f>
        <v>826.47598800000003</v>
      </c>
      <c r="K80" s="16"/>
    </row>
    <row r="81" spans="1:19" ht="15" customHeight="1" x14ac:dyDescent="0.3">
      <c r="A81" s="26"/>
      <c r="B81" s="30"/>
      <c r="C81" s="27"/>
      <c r="D81" s="28"/>
      <c r="E81" s="29"/>
      <c r="F81" s="29"/>
      <c r="G81" s="39"/>
      <c r="H81" s="38"/>
      <c r="I81" s="39"/>
      <c r="J81" s="44"/>
      <c r="K81" s="29"/>
      <c r="M81" s="31"/>
      <c r="N81" s="1"/>
      <c r="O81" s="1"/>
      <c r="P81" s="1"/>
      <c r="Q81" s="1"/>
      <c r="R81" s="31"/>
      <c r="S81" s="31"/>
    </row>
    <row r="82" spans="1:19" ht="27.6" x14ac:dyDescent="0.3">
      <c r="A82" s="64">
        <v>13</v>
      </c>
      <c r="B82" s="41" t="s">
        <v>89</v>
      </c>
      <c r="C82" s="27"/>
      <c r="D82" s="28"/>
      <c r="E82" s="29"/>
      <c r="F82" s="29"/>
      <c r="G82" s="39"/>
      <c r="H82" s="38"/>
      <c r="I82" s="39"/>
      <c r="J82" s="44"/>
      <c r="K82" s="29"/>
      <c r="M82" s="31"/>
      <c r="N82" s="1"/>
      <c r="O82" s="1"/>
      <c r="P82" s="1"/>
      <c r="Q82" s="1"/>
      <c r="R82" s="31"/>
      <c r="S82" s="31"/>
    </row>
    <row r="83" spans="1:19" ht="15" customHeight="1" x14ac:dyDescent="0.3">
      <c r="A83" s="43"/>
      <c r="B83" s="45" t="s">
        <v>79</v>
      </c>
      <c r="C83" s="46">
        <v>1</v>
      </c>
      <c r="D83" s="14">
        <f>(2.7+0.1+0.1)*4</f>
        <v>11.600000000000001</v>
      </c>
      <c r="E83" s="14"/>
      <c r="F83" s="14"/>
      <c r="G83" s="14">
        <f>PRODUCT(C83:F83)</f>
        <v>11.600000000000001</v>
      </c>
      <c r="H83" s="47"/>
      <c r="I83" s="44"/>
      <c r="J83" s="44"/>
      <c r="K83" s="16"/>
    </row>
    <row r="84" spans="1:19" ht="15" customHeight="1" x14ac:dyDescent="0.3">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3">
      <c r="A85" s="43"/>
      <c r="B85" s="45" t="s">
        <v>52</v>
      </c>
      <c r="C85" s="46"/>
      <c r="D85" s="14"/>
      <c r="E85" s="14"/>
      <c r="F85" s="14"/>
      <c r="G85" s="44"/>
      <c r="H85" s="44"/>
      <c r="I85" s="44"/>
      <c r="J85" s="44">
        <f>0.13*G84*(2780.61/10)</f>
        <v>419.31598800000012</v>
      </c>
      <c r="K85" s="16"/>
    </row>
    <row r="86" spans="1:19" ht="15" customHeight="1" x14ac:dyDescent="0.3">
      <c r="A86" s="26"/>
      <c r="B86" s="30"/>
      <c r="C86" s="27"/>
      <c r="D86" s="28"/>
      <c r="E86" s="29"/>
      <c r="F86" s="29"/>
      <c r="G86" s="39"/>
      <c r="H86" s="38"/>
      <c r="I86" s="39"/>
      <c r="J86" s="44"/>
      <c r="K86" s="29"/>
      <c r="M86" s="31"/>
      <c r="N86" s="1"/>
      <c r="O86" s="1"/>
      <c r="P86" s="1"/>
      <c r="Q86" s="1"/>
      <c r="R86" s="31"/>
      <c r="S86" s="31"/>
    </row>
    <row r="87" spans="1:19" ht="30" x14ac:dyDescent="0.3">
      <c r="A87" s="26">
        <v>14</v>
      </c>
      <c r="B87" s="48" t="s">
        <v>57</v>
      </c>
      <c r="C87" s="27"/>
      <c r="D87" s="28"/>
      <c r="E87" s="29"/>
      <c r="F87" s="29"/>
      <c r="G87" s="39"/>
      <c r="H87" s="38"/>
      <c r="I87" s="39"/>
      <c r="J87" s="44"/>
      <c r="K87" s="29"/>
      <c r="M87" s="31"/>
      <c r="N87" s="1"/>
      <c r="O87" s="1"/>
      <c r="P87" s="1"/>
      <c r="Q87" s="1"/>
      <c r="R87" s="31"/>
      <c r="S87" s="31"/>
    </row>
    <row r="88" spans="1:19" ht="15" customHeight="1" x14ac:dyDescent="0.3">
      <c r="A88" s="43"/>
      <c r="B88" s="45" t="s">
        <v>54</v>
      </c>
      <c r="C88" s="46">
        <v>1</v>
      </c>
      <c r="D88" s="14">
        <v>2.71</v>
      </c>
      <c r="E88" s="14"/>
      <c r="F88" s="14">
        <v>2.72</v>
      </c>
      <c r="G88" s="14">
        <f t="shared" ref="G88" si="5">PRODUCT(C88:F88)</f>
        <v>7.3712000000000009</v>
      </c>
      <c r="H88" s="47"/>
      <c r="I88" s="44"/>
      <c r="J88" s="44"/>
      <c r="K88" s="16"/>
    </row>
    <row r="89" spans="1:19" ht="15" customHeight="1" x14ac:dyDescent="0.3">
      <c r="A89" s="43"/>
      <c r="B89" s="45" t="s">
        <v>38</v>
      </c>
      <c r="C89" s="46"/>
      <c r="D89" s="14"/>
      <c r="E89" s="14"/>
      <c r="F89" s="14"/>
      <c r="G89" s="44">
        <f>SUM(G88:G88)</f>
        <v>7.3712000000000009</v>
      </c>
      <c r="H89" s="44" t="s">
        <v>41</v>
      </c>
      <c r="I89" s="44">
        <v>438.01</v>
      </c>
      <c r="J89" s="44">
        <f>G88*I89</f>
        <v>3228.6593120000002</v>
      </c>
      <c r="K89" s="16"/>
    </row>
    <row r="90" spans="1:19" ht="15" customHeight="1" x14ac:dyDescent="0.3">
      <c r="A90" s="43"/>
      <c r="B90" s="45" t="s">
        <v>52</v>
      </c>
      <c r="C90" s="46"/>
      <c r="D90" s="14"/>
      <c r="E90" s="14"/>
      <c r="F90" s="14"/>
      <c r="G90" s="44"/>
      <c r="H90" s="44"/>
      <c r="I90" s="44"/>
      <c r="J90" s="44">
        <f>0.13*G89*(2725.4/10)</f>
        <v>261.16309024000003</v>
      </c>
      <c r="K90" s="16"/>
    </row>
    <row r="91" spans="1:19" ht="15" customHeight="1" x14ac:dyDescent="0.3">
      <c r="A91" s="43"/>
      <c r="B91" s="45"/>
      <c r="C91" s="46"/>
      <c r="D91" s="14"/>
      <c r="E91" s="14"/>
      <c r="F91" s="14"/>
      <c r="G91" s="47"/>
      <c r="H91" s="47"/>
      <c r="I91" s="47"/>
      <c r="J91" s="40"/>
      <c r="K91" s="16"/>
    </row>
    <row r="92" spans="1:19" ht="30" x14ac:dyDescent="0.3">
      <c r="A92" s="43">
        <v>15</v>
      </c>
      <c r="B92" s="48" t="s">
        <v>40</v>
      </c>
      <c r="C92" s="46"/>
      <c r="D92" s="14"/>
      <c r="E92" s="14"/>
      <c r="F92" s="14"/>
      <c r="G92" s="47"/>
      <c r="H92" s="47"/>
      <c r="I92" s="47"/>
      <c r="J92" s="40"/>
      <c r="K92" s="16"/>
    </row>
    <row r="93" spans="1:19" ht="15" customHeight="1" x14ac:dyDescent="0.3">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3">
      <c r="A94" s="43"/>
      <c r="B94" s="45" t="s">
        <v>55</v>
      </c>
      <c r="C94" s="46">
        <v>1</v>
      </c>
      <c r="D94" s="14">
        <f>0.32+0.15+2.06+0.12+0.13+2.1+0.12+0.1+2.06+0.14+0.3</f>
        <v>7.6</v>
      </c>
      <c r="E94" s="14"/>
      <c r="F94" s="14">
        <v>2.72</v>
      </c>
      <c r="G94" s="14">
        <f t="shared" si="6"/>
        <v>20.672000000000001</v>
      </c>
      <c r="H94" s="47"/>
      <c r="I94" s="44"/>
      <c r="J94" s="44"/>
      <c r="K94" s="16"/>
    </row>
    <row r="95" spans="1:19" ht="15" customHeight="1" x14ac:dyDescent="0.3">
      <c r="A95" s="43"/>
      <c r="B95" s="45" t="s">
        <v>38</v>
      </c>
      <c r="C95" s="46"/>
      <c r="D95" s="14"/>
      <c r="E95" s="14"/>
      <c r="F95" s="14"/>
      <c r="G95" s="44">
        <f>SUM(G93:G94)</f>
        <v>44.254400000000004</v>
      </c>
      <c r="H95" s="44" t="s">
        <v>41</v>
      </c>
      <c r="I95" s="44">
        <v>405.86</v>
      </c>
      <c r="J95" s="44">
        <f>G93*I95</f>
        <v>9571.1528640000033</v>
      </c>
      <c r="K95" s="16"/>
    </row>
    <row r="96" spans="1:19" ht="15" customHeight="1" x14ac:dyDescent="0.3">
      <c r="A96" s="43"/>
      <c r="B96" s="45" t="s">
        <v>52</v>
      </c>
      <c r="C96" s="46"/>
      <c r="D96" s="14"/>
      <c r="E96" s="14"/>
      <c r="F96" s="14"/>
      <c r="G96" s="44"/>
      <c r="H96" s="44"/>
      <c r="I96" s="44"/>
      <c r="J96" s="44">
        <f>0.13*G95*(11166.2/100)</f>
        <v>642.39952566400007</v>
      </c>
      <c r="K96" s="16"/>
    </row>
    <row r="97" spans="1:11" ht="15" customHeight="1" x14ac:dyDescent="0.3">
      <c r="A97" s="43"/>
      <c r="B97" s="45"/>
      <c r="C97" s="46"/>
      <c r="D97" s="14"/>
      <c r="E97" s="14"/>
      <c r="F97" s="14"/>
      <c r="G97" s="47"/>
      <c r="H97" s="47"/>
      <c r="I97" s="47"/>
      <c r="J97" s="40"/>
      <c r="K97" s="16"/>
    </row>
    <row r="98" spans="1:11" ht="30" x14ac:dyDescent="0.3">
      <c r="A98" s="43">
        <v>16</v>
      </c>
      <c r="B98" s="48" t="s">
        <v>58</v>
      </c>
      <c r="C98" s="46"/>
      <c r="D98" s="14"/>
      <c r="E98" s="14"/>
      <c r="F98" s="14"/>
      <c r="G98" s="47"/>
      <c r="H98" s="47"/>
      <c r="I98" s="47"/>
      <c r="J98" s="40"/>
      <c r="K98" s="16"/>
    </row>
    <row r="99" spans="1:11" ht="15" customHeight="1" x14ac:dyDescent="0.3">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3">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3">
      <c r="A101" s="43"/>
      <c r="B101" s="45" t="s">
        <v>52</v>
      </c>
      <c r="C101" s="46"/>
      <c r="D101" s="14"/>
      <c r="E101" s="14"/>
      <c r="F101" s="14"/>
      <c r="G101" s="44"/>
      <c r="H101" s="44"/>
      <c r="I101" s="44"/>
      <c r="J101" s="44">
        <f>0.13*G100*(345.36/10)</f>
        <v>105.87742963200003</v>
      </c>
      <c r="K101" s="16"/>
    </row>
    <row r="102" spans="1:11" ht="15" customHeight="1" x14ac:dyDescent="0.3">
      <c r="A102" s="43"/>
      <c r="B102" s="45"/>
      <c r="C102" s="46"/>
      <c r="D102" s="14"/>
      <c r="E102" s="14"/>
      <c r="F102" s="14"/>
      <c r="G102" s="47"/>
      <c r="H102" s="47"/>
      <c r="I102" s="47"/>
      <c r="J102" s="40"/>
      <c r="K102" s="16"/>
    </row>
    <row r="103" spans="1:11" ht="30" x14ac:dyDescent="0.3">
      <c r="A103" s="58">
        <v>17</v>
      </c>
      <c r="B103" s="48" t="s">
        <v>45</v>
      </c>
      <c r="C103" s="46"/>
      <c r="D103" s="14"/>
      <c r="E103" s="14"/>
      <c r="F103" s="14"/>
      <c r="G103" s="47"/>
      <c r="H103" s="47"/>
      <c r="I103" s="47"/>
      <c r="J103" s="40"/>
      <c r="K103" s="16"/>
    </row>
    <row r="104" spans="1:11" x14ac:dyDescent="0.3">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3">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3">
      <c r="A106" s="43"/>
      <c r="B106" s="45" t="s">
        <v>52</v>
      </c>
      <c r="C106" s="46"/>
      <c r="D106" s="14"/>
      <c r="E106" s="14"/>
      <c r="F106" s="14"/>
      <c r="G106" s="44"/>
      <c r="H106" s="44"/>
      <c r="I106" s="44"/>
      <c r="J106" s="44">
        <f>0.13*G105*(6000/100)</f>
        <v>161.24160000000001</v>
      </c>
      <c r="K106" s="16"/>
    </row>
    <row r="107" spans="1:11" x14ac:dyDescent="0.3">
      <c r="A107" s="43"/>
      <c r="B107" s="45"/>
      <c r="C107" s="46"/>
      <c r="D107" s="14"/>
      <c r="E107" s="14"/>
      <c r="F107" s="14"/>
      <c r="G107" s="47"/>
      <c r="H107" s="47"/>
      <c r="I107" s="47"/>
      <c r="J107" s="40"/>
      <c r="K107" s="16"/>
    </row>
    <row r="108" spans="1:11" ht="30" x14ac:dyDescent="0.3">
      <c r="A108" s="58">
        <v>18</v>
      </c>
      <c r="B108" s="48" t="s">
        <v>59</v>
      </c>
      <c r="C108" s="46"/>
      <c r="D108" s="14"/>
      <c r="E108" s="14"/>
      <c r="F108" s="14"/>
      <c r="G108" s="47"/>
      <c r="H108" s="47"/>
      <c r="I108" s="47"/>
      <c r="J108" s="40"/>
      <c r="K108" s="16"/>
    </row>
    <row r="109" spans="1:11" x14ac:dyDescent="0.3">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3">
      <c r="A110" s="43"/>
      <c r="B110" s="45" t="s">
        <v>61</v>
      </c>
      <c r="C110" s="46">
        <v>-1</v>
      </c>
      <c r="D110" s="14">
        <v>0.12</v>
      </c>
      <c r="E110" s="14">
        <v>0.13</v>
      </c>
      <c r="F110" s="14"/>
      <c r="G110" s="14">
        <f t="shared" si="9"/>
        <v>-1.5599999999999999E-2</v>
      </c>
      <c r="H110" s="44"/>
      <c r="I110" s="9"/>
      <c r="J110" s="9"/>
      <c r="K110" s="16"/>
    </row>
    <row r="111" spans="1:11" x14ac:dyDescent="0.3">
      <c r="A111" s="43"/>
      <c r="B111" s="45"/>
      <c r="C111" s="46">
        <v>-1</v>
      </c>
      <c r="D111" s="14">
        <v>0.12</v>
      </c>
      <c r="E111" s="14">
        <v>0.1</v>
      </c>
      <c r="F111" s="14"/>
      <c r="G111" s="14">
        <f t="shared" si="9"/>
        <v>-1.2E-2</v>
      </c>
      <c r="H111" s="44"/>
      <c r="I111" s="9"/>
      <c r="J111" s="9"/>
      <c r="K111" s="16"/>
    </row>
    <row r="112" spans="1:11" x14ac:dyDescent="0.3">
      <c r="A112" s="43"/>
      <c r="B112" s="45"/>
      <c r="C112" s="46">
        <v>-1</v>
      </c>
      <c r="D112" s="14">
        <f>0.15</f>
        <v>0.15</v>
      </c>
      <c r="E112" s="14">
        <v>0.32</v>
      </c>
      <c r="F112" s="14"/>
      <c r="G112" s="14">
        <f t="shared" si="9"/>
        <v>-4.8000000000000001E-2</v>
      </c>
      <c r="H112" s="44"/>
      <c r="I112" s="9"/>
      <c r="J112" s="9"/>
      <c r="K112" s="16"/>
    </row>
    <row r="113" spans="1:11" x14ac:dyDescent="0.3">
      <c r="A113" s="43"/>
      <c r="B113" s="45"/>
      <c r="C113" s="46">
        <v>-1</v>
      </c>
      <c r="D113" s="14">
        <v>0.14000000000000001</v>
      </c>
      <c r="E113" s="14">
        <v>0.3</v>
      </c>
      <c r="F113" s="14"/>
      <c r="G113" s="14">
        <f t="shared" si="9"/>
        <v>-4.2000000000000003E-2</v>
      </c>
      <c r="H113" s="44"/>
      <c r="I113" s="9"/>
      <c r="J113" s="9"/>
      <c r="K113" s="16"/>
    </row>
    <row r="114" spans="1:11" x14ac:dyDescent="0.3">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3">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3">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3">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3">
      <c r="A118" s="43"/>
      <c r="B118" s="45" t="s">
        <v>52</v>
      </c>
      <c r="C118" s="46"/>
      <c r="D118" s="14"/>
      <c r="E118" s="14"/>
      <c r="F118" s="14"/>
      <c r="G118" s="44"/>
      <c r="H118" s="44"/>
      <c r="I118" s="44"/>
      <c r="J118" s="44">
        <f>0.13*G117*(45806.78/10)</f>
        <v>12415.300495735508</v>
      </c>
      <c r="K118" s="16"/>
    </row>
    <row r="119" spans="1:11" x14ac:dyDescent="0.3">
      <c r="A119" s="43"/>
      <c r="B119" s="45"/>
      <c r="C119" s="46"/>
      <c r="D119" s="14"/>
      <c r="E119" s="14"/>
      <c r="F119" s="14"/>
      <c r="G119" s="47"/>
      <c r="H119" s="47"/>
      <c r="I119" s="47"/>
      <c r="J119" s="40"/>
      <c r="K119" s="16"/>
    </row>
    <row r="120" spans="1:11" ht="30" x14ac:dyDescent="0.3">
      <c r="A120" s="43">
        <v>19</v>
      </c>
      <c r="B120" s="48" t="s">
        <v>62</v>
      </c>
      <c r="C120" s="46"/>
      <c r="D120" s="14"/>
      <c r="E120" s="14"/>
      <c r="F120" s="14"/>
      <c r="G120" s="47"/>
      <c r="H120" s="47"/>
      <c r="I120" s="47"/>
      <c r="J120" s="40"/>
      <c r="K120" s="16"/>
    </row>
    <row r="121" spans="1:11" x14ac:dyDescent="0.3">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3">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3">
      <c r="A123" s="43"/>
      <c r="B123" s="45" t="s">
        <v>52</v>
      </c>
      <c r="C123" s="46"/>
      <c r="D123" s="14"/>
      <c r="E123" s="14"/>
      <c r="F123" s="14"/>
      <c r="G123" s="44"/>
      <c r="H123" s="44"/>
      <c r="I123" s="44"/>
      <c r="J123" s="44">
        <f>0.13*J122</f>
        <v>9197.9596800000036</v>
      </c>
      <c r="K123" s="16"/>
    </row>
    <row r="124" spans="1:11" x14ac:dyDescent="0.3">
      <c r="A124" s="43"/>
      <c r="B124" s="45"/>
      <c r="C124" s="46"/>
      <c r="D124" s="14"/>
      <c r="E124" s="14"/>
      <c r="F124" s="14"/>
      <c r="G124" s="47"/>
      <c r="H124" s="47"/>
      <c r="I124" s="47"/>
      <c r="J124" s="40"/>
      <c r="K124" s="16"/>
    </row>
    <row r="125" spans="1:11" ht="30" x14ac:dyDescent="0.3">
      <c r="A125" s="43">
        <v>20</v>
      </c>
      <c r="B125" s="48" t="s">
        <v>64</v>
      </c>
      <c r="C125" s="46"/>
      <c r="D125" s="14"/>
      <c r="E125" s="14"/>
      <c r="F125" s="14"/>
      <c r="G125" s="47"/>
      <c r="H125" s="47"/>
      <c r="I125" s="47"/>
      <c r="J125" s="40"/>
      <c r="K125" s="16"/>
    </row>
    <row r="126" spans="1:11" x14ac:dyDescent="0.3">
      <c r="A126" s="43"/>
      <c r="B126" s="45" t="s">
        <v>63</v>
      </c>
      <c r="C126" s="46">
        <v>2</v>
      </c>
      <c r="D126" s="14">
        <f>4.46+4.5+4.5+4.5</f>
        <v>17.96</v>
      </c>
      <c r="E126" s="14"/>
      <c r="F126" s="14"/>
      <c r="G126" s="14">
        <f t="shared" ref="G126" si="11">PRODUCT(C126:F126)</f>
        <v>35.92</v>
      </c>
      <c r="H126" s="44"/>
      <c r="I126" s="9"/>
      <c r="J126" s="9"/>
      <c r="K126" s="16"/>
    </row>
    <row r="127" spans="1:11" ht="15" customHeight="1" x14ac:dyDescent="0.3">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3">
      <c r="A128" s="43"/>
      <c r="B128" s="45" t="s">
        <v>52</v>
      </c>
      <c r="C128" s="46"/>
      <c r="D128" s="14"/>
      <c r="E128" s="14"/>
      <c r="F128" s="14"/>
      <c r="G128" s="44"/>
      <c r="H128" s="44"/>
      <c r="I128" s="44"/>
      <c r="J128" s="44">
        <f>0.13*G127*97.64</f>
        <v>455.93974400000002</v>
      </c>
      <c r="K128" s="16"/>
    </row>
    <row r="129" spans="1:13" x14ac:dyDescent="0.3">
      <c r="A129" s="43"/>
      <c r="B129" s="45"/>
      <c r="C129" s="46"/>
      <c r="D129" s="14"/>
      <c r="E129" s="14"/>
      <c r="F129" s="14"/>
      <c r="G129" s="47"/>
      <c r="H129" s="47"/>
      <c r="I129" s="47"/>
      <c r="J129" s="40"/>
      <c r="K129" s="16"/>
    </row>
    <row r="130" spans="1:13" ht="28.8" x14ac:dyDescent="0.3">
      <c r="A130" s="43">
        <v>21</v>
      </c>
      <c r="B130" s="59" t="s">
        <v>66</v>
      </c>
      <c r="C130" s="53"/>
      <c r="D130" s="54"/>
      <c r="E130" s="54"/>
      <c r="F130" s="54"/>
      <c r="G130" s="57"/>
      <c r="H130" s="57"/>
      <c r="I130" s="57"/>
      <c r="J130" s="40"/>
      <c r="K130" s="5"/>
    </row>
    <row r="131" spans="1:13" x14ac:dyDescent="0.3">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3">
      <c r="A132" s="43"/>
      <c r="B132" s="56"/>
      <c r="C132" s="53">
        <v>2</v>
      </c>
      <c r="D132" s="54">
        <f>6.5/3.281</f>
        <v>1.9811033221578787</v>
      </c>
      <c r="E132" s="54">
        <v>0.1</v>
      </c>
      <c r="F132" s="54">
        <v>0.125</v>
      </c>
      <c r="G132" s="54">
        <f t="shared" si="12"/>
        <v>4.9527583053946972E-2</v>
      </c>
      <c r="H132" s="57"/>
      <c r="I132" s="57"/>
      <c r="J132" s="40"/>
      <c r="K132" s="5"/>
    </row>
    <row r="133" spans="1:13" x14ac:dyDescent="0.3">
      <c r="A133" s="43"/>
      <c r="B133" s="56" t="s">
        <v>68</v>
      </c>
      <c r="C133" s="53">
        <f>3*2</f>
        <v>6</v>
      </c>
      <c r="D133" s="54">
        <v>0.9</v>
      </c>
      <c r="E133" s="54">
        <v>7.4999999999999997E-2</v>
      </c>
      <c r="F133" s="54">
        <v>0.125</v>
      </c>
      <c r="G133" s="54">
        <f t="shared" si="12"/>
        <v>5.0625000000000003E-2</v>
      </c>
      <c r="H133" s="57"/>
      <c r="I133" s="57"/>
      <c r="J133" s="40"/>
      <c r="K133" s="5"/>
    </row>
    <row r="134" spans="1:13" x14ac:dyDescent="0.3">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3">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3">
      <c r="A136" s="43"/>
      <c r="B136" s="56" t="s">
        <v>52</v>
      </c>
      <c r="C136" s="53"/>
      <c r="D136" s="54"/>
      <c r="E136" s="54"/>
      <c r="F136" s="54"/>
      <c r="G136" s="55"/>
      <c r="H136" s="55"/>
      <c r="I136" s="60"/>
      <c r="J136" s="61">
        <f>0.13*G135*262808.07</f>
        <v>6425.0057481368767</v>
      </c>
      <c r="K136" s="5"/>
    </row>
    <row r="137" spans="1:13" ht="15" customHeight="1" x14ac:dyDescent="0.3">
      <c r="A137" s="43"/>
      <c r="B137" s="56"/>
      <c r="C137" s="53"/>
      <c r="D137" s="54"/>
      <c r="E137" s="54"/>
      <c r="F137" s="54"/>
      <c r="G137" s="55"/>
      <c r="H137" s="55"/>
      <c r="I137" s="60"/>
      <c r="J137" s="61"/>
      <c r="K137" s="5"/>
    </row>
    <row r="138" spans="1:13" ht="30.6" x14ac:dyDescent="0.3">
      <c r="A138" s="43">
        <v>22</v>
      </c>
      <c r="B138" s="52" t="s">
        <v>75</v>
      </c>
      <c r="C138" s="53"/>
      <c r="D138" s="54"/>
      <c r="E138" s="54"/>
      <c r="F138" s="54"/>
      <c r="G138" s="57"/>
      <c r="H138" s="57"/>
      <c r="I138" s="57"/>
      <c r="J138" s="40"/>
      <c r="K138" s="5"/>
      <c r="M138" s="63"/>
    </row>
    <row r="139" spans="1:13" ht="15" customHeight="1" x14ac:dyDescent="0.3">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3">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3">
      <c r="A141" s="43"/>
      <c r="B141" s="56" t="s">
        <v>52</v>
      </c>
      <c r="C141" s="53"/>
      <c r="D141" s="54"/>
      <c r="E141" s="54"/>
      <c r="F141" s="54"/>
      <c r="G141" s="55"/>
      <c r="H141" s="55"/>
      <c r="I141" s="60"/>
      <c r="J141" s="61">
        <f>0.13*G140*(20356.18/2.114)</f>
        <v>2306.4468335360807</v>
      </c>
      <c r="K141" s="5"/>
    </row>
    <row r="142" spans="1:13" ht="15.6" x14ac:dyDescent="0.3">
      <c r="A142" s="43"/>
      <c r="B142" s="52"/>
      <c r="C142" s="53"/>
      <c r="D142" s="54"/>
      <c r="E142" s="54"/>
      <c r="F142" s="54"/>
      <c r="G142" s="57"/>
      <c r="H142" s="57"/>
      <c r="I142" s="57"/>
      <c r="J142" s="40"/>
      <c r="K142" s="5"/>
      <c r="M142" s="63"/>
    </row>
    <row r="143" spans="1:13" x14ac:dyDescent="0.3">
      <c r="A143" s="43">
        <v>23</v>
      </c>
      <c r="B143" s="62" t="s">
        <v>69</v>
      </c>
      <c r="C143" s="53"/>
      <c r="D143" s="54"/>
      <c r="E143" s="54"/>
      <c r="F143" s="54"/>
      <c r="G143" s="57"/>
      <c r="H143" s="57"/>
      <c r="I143" s="57"/>
      <c r="J143" s="40"/>
      <c r="K143" s="5"/>
    </row>
    <row r="144" spans="1:13" ht="15" customHeight="1" x14ac:dyDescent="0.3">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3">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3">
      <c r="A146" s="43"/>
      <c r="B146" s="62"/>
      <c r="C146" s="53"/>
      <c r="D146" s="54"/>
      <c r="E146" s="54"/>
      <c r="F146" s="54"/>
      <c r="G146" s="57"/>
      <c r="H146" s="57"/>
      <c r="I146" s="57"/>
      <c r="J146" s="40"/>
      <c r="K146" s="5"/>
    </row>
    <row r="147" spans="1:13" ht="28.8" x14ac:dyDescent="0.3">
      <c r="A147" s="43">
        <v>24</v>
      </c>
      <c r="B147" s="62" t="s">
        <v>71</v>
      </c>
      <c r="C147" s="53"/>
      <c r="D147" s="54"/>
      <c r="E147" s="54"/>
      <c r="F147" s="54"/>
      <c r="G147" s="57"/>
      <c r="H147" s="57"/>
      <c r="I147" s="57"/>
      <c r="J147" s="40"/>
      <c r="K147" s="5"/>
    </row>
    <row r="148" spans="1:13" ht="15" customHeight="1" x14ac:dyDescent="0.3">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3">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3">
      <c r="A150" s="43"/>
      <c r="B150" s="62"/>
      <c r="C150" s="53"/>
      <c r="D150" s="54"/>
      <c r="E150" s="54"/>
      <c r="F150" s="54"/>
      <c r="G150" s="57"/>
      <c r="H150" s="57"/>
      <c r="I150" s="57"/>
      <c r="J150" s="40"/>
      <c r="K150" s="5"/>
    </row>
    <row r="151" spans="1:13" ht="43.2" x14ac:dyDescent="0.3">
      <c r="A151" s="43">
        <v>25</v>
      </c>
      <c r="B151" s="62" t="s">
        <v>73</v>
      </c>
      <c r="C151" s="53"/>
      <c r="D151" s="54"/>
      <c r="E151" s="54"/>
      <c r="F151" s="54"/>
      <c r="G151" s="57"/>
      <c r="H151" s="57"/>
      <c r="I151" s="57"/>
      <c r="J151" s="40"/>
      <c r="K151" s="5"/>
    </row>
    <row r="152" spans="1:13" ht="15" customHeight="1" x14ac:dyDescent="0.3">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3">
      <c r="A153" s="43"/>
      <c r="B153" s="70" t="s">
        <v>96</v>
      </c>
      <c r="C153" s="67">
        <v>4</v>
      </c>
      <c r="D153" s="68">
        <f>0.6</f>
        <v>0.6</v>
      </c>
      <c r="E153" s="68"/>
      <c r="F153" s="68">
        <v>0.6</v>
      </c>
      <c r="G153" s="68">
        <f>PRODUCT(C153:F153)</f>
        <v>1.44</v>
      </c>
      <c r="H153" s="57"/>
      <c r="I153" s="57"/>
      <c r="J153" s="40"/>
      <c r="K153" s="5"/>
    </row>
    <row r="154" spans="1:13" ht="15" customHeight="1" x14ac:dyDescent="0.3">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3">
      <c r="A155" s="43"/>
      <c r="B155" s="56" t="s">
        <v>52</v>
      </c>
      <c r="C155" s="53"/>
      <c r="D155" s="54"/>
      <c r="E155" s="54"/>
      <c r="F155" s="54"/>
      <c r="G155" s="55"/>
      <c r="H155" s="55"/>
      <c r="I155" s="60"/>
      <c r="J155" s="61">
        <f>0.13*G154*(9888.94/0.92)</f>
        <v>2718.7007720800452</v>
      </c>
      <c r="K155" s="5"/>
    </row>
    <row r="156" spans="1:13" ht="15" customHeight="1" x14ac:dyDescent="0.3">
      <c r="A156" s="43"/>
      <c r="B156" s="56"/>
      <c r="C156" s="53"/>
      <c r="D156" s="54"/>
      <c r="E156" s="54"/>
      <c r="F156" s="54"/>
      <c r="G156" s="57"/>
      <c r="H156" s="57"/>
      <c r="I156" s="57"/>
      <c r="J156" s="40"/>
      <c r="K156" s="5"/>
      <c r="M156" s="63"/>
    </row>
    <row r="157" spans="1:13" ht="27.6" x14ac:dyDescent="0.3">
      <c r="A157" s="65">
        <v>26</v>
      </c>
      <c r="B157" s="66" t="s">
        <v>93</v>
      </c>
      <c r="C157" s="67"/>
      <c r="D157" s="68"/>
      <c r="E157" s="68"/>
      <c r="F157" s="68"/>
      <c r="G157" s="68"/>
      <c r="H157" s="68"/>
      <c r="I157" s="68"/>
      <c r="J157" s="69"/>
      <c r="K157" s="5"/>
      <c r="M157" s="63"/>
    </row>
    <row r="158" spans="1:13" ht="15" customHeight="1" x14ac:dyDescent="0.3">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3">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3">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3">
      <c r="A161" s="65"/>
      <c r="B161" s="70" t="s">
        <v>52</v>
      </c>
      <c r="C161" s="67"/>
      <c r="D161" s="68"/>
      <c r="E161" s="68"/>
      <c r="F161" s="68"/>
      <c r="G161" s="71"/>
      <c r="H161" s="71"/>
      <c r="I161" s="72"/>
      <c r="J161" s="73">
        <f>0.13*G160*(2795.1/10)</f>
        <v>1111.7631667221087</v>
      </c>
      <c r="K161" s="5"/>
    </row>
    <row r="162" spans="1:13" ht="15.6" x14ac:dyDescent="0.3">
      <c r="A162" s="65"/>
      <c r="B162" s="74"/>
      <c r="C162" s="67"/>
      <c r="D162" s="68"/>
      <c r="E162" s="68"/>
      <c r="F162" s="68"/>
      <c r="G162" s="68"/>
      <c r="H162" s="68"/>
      <c r="I162" s="68"/>
      <c r="J162" s="69"/>
      <c r="K162" s="5"/>
      <c r="M162" s="63"/>
    </row>
    <row r="163" spans="1:13" ht="28.8" x14ac:dyDescent="0.3">
      <c r="A163" s="65">
        <v>27</v>
      </c>
      <c r="B163" s="75" t="s">
        <v>97</v>
      </c>
      <c r="C163" s="67"/>
      <c r="D163" s="68"/>
      <c r="E163" s="68"/>
      <c r="F163" s="68"/>
      <c r="G163" s="68"/>
      <c r="H163" s="68"/>
      <c r="I163" s="68"/>
      <c r="J163" s="69"/>
      <c r="K163" s="5"/>
      <c r="M163" s="63"/>
    </row>
    <row r="164" spans="1:13" ht="15" customHeight="1" x14ac:dyDescent="0.3">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3">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3">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3">
      <c r="A167" s="65"/>
      <c r="B167" s="70" t="s">
        <v>52</v>
      </c>
      <c r="C167" s="67"/>
      <c r="D167" s="68"/>
      <c r="E167" s="68"/>
      <c r="F167" s="68"/>
      <c r="G167" s="71"/>
      <c r="H167" s="71"/>
      <c r="I167" s="72"/>
      <c r="J167" s="73">
        <f>0.13*G166*(315405.75/100)</f>
        <v>12545.400716337939</v>
      </c>
      <c r="K167" s="5"/>
    </row>
    <row r="168" spans="1:13" ht="15.6" x14ac:dyDescent="0.3">
      <c r="A168" s="43"/>
      <c r="B168" s="52"/>
      <c r="C168" s="53"/>
      <c r="D168" s="54"/>
      <c r="E168" s="54"/>
      <c r="F168" s="54"/>
      <c r="G168" s="57"/>
      <c r="H168" s="57"/>
      <c r="I168" s="57"/>
      <c r="J168" s="40"/>
      <c r="K168" s="5"/>
      <c r="M168" s="63"/>
    </row>
    <row r="169" spans="1:13" ht="27.6" x14ac:dyDescent="0.3">
      <c r="A169" s="43">
        <v>28</v>
      </c>
      <c r="B169" s="51" t="s">
        <v>104</v>
      </c>
      <c r="C169" s="53"/>
      <c r="D169" s="54"/>
      <c r="E169" s="54"/>
      <c r="F169" s="54"/>
      <c r="G169" s="57"/>
      <c r="H169" s="57"/>
      <c r="I169" s="57"/>
      <c r="J169" s="40"/>
      <c r="K169" s="5"/>
      <c r="M169" s="63"/>
    </row>
    <row r="170" spans="1:13" x14ac:dyDescent="0.3">
      <c r="A170" s="43"/>
      <c r="B170" s="76" t="s">
        <v>105</v>
      </c>
      <c r="C170" s="53">
        <f>2*4</f>
        <v>8</v>
      </c>
      <c r="D170" s="54">
        <v>1</v>
      </c>
      <c r="E170" s="54"/>
      <c r="F170" s="54"/>
      <c r="G170" s="68">
        <f>PRODUCT(C170:F170)</f>
        <v>8</v>
      </c>
      <c r="H170" s="57"/>
      <c r="I170" s="57"/>
      <c r="J170" s="40"/>
      <c r="K170" s="5"/>
      <c r="M170" s="63"/>
    </row>
    <row r="171" spans="1:13" ht="15" customHeight="1" x14ac:dyDescent="0.3">
      <c r="A171" s="65"/>
      <c r="B171" s="70" t="s">
        <v>38</v>
      </c>
      <c r="C171" s="67"/>
      <c r="D171" s="68"/>
      <c r="E171" s="68"/>
      <c r="F171" s="68"/>
      <c r="G171" s="71">
        <f>SUM(G170)</f>
        <v>8</v>
      </c>
      <c r="H171" s="71" t="s">
        <v>29</v>
      </c>
      <c r="I171" s="72">
        <f>294.4/1.15</f>
        <v>256</v>
      </c>
      <c r="J171" s="73">
        <f>G171*I171</f>
        <v>2048</v>
      </c>
      <c r="K171" s="5"/>
    </row>
    <row r="172" spans="1:13" ht="15" customHeight="1" x14ac:dyDescent="0.3">
      <c r="A172" s="65"/>
      <c r="B172" s="70" t="s">
        <v>52</v>
      </c>
      <c r="C172" s="67"/>
      <c r="D172" s="68"/>
      <c r="E172" s="68"/>
      <c r="F172" s="68"/>
      <c r="G172" s="71"/>
      <c r="H172" s="71"/>
      <c r="I172" s="72"/>
      <c r="J172" s="73">
        <f>0.13*J171</f>
        <v>266.24</v>
      </c>
      <c r="K172" s="5"/>
    </row>
    <row r="173" spans="1:13" x14ac:dyDescent="0.3">
      <c r="A173" s="43"/>
      <c r="B173" s="51"/>
      <c r="C173" s="53"/>
      <c r="D173" s="54"/>
      <c r="E173" s="54"/>
      <c r="F173" s="54"/>
      <c r="G173" s="57"/>
      <c r="H173" s="57"/>
      <c r="I173" s="57"/>
      <c r="J173" s="40"/>
      <c r="K173" s="5"/>
      <c r="M173" s="63"/>
    </row>
    <row r="174" spans="1:13" ht="27.6" x14ac:dyDescent="0.3">
      <c r="A174" s="43">
        <v>29</v>
      </c>
      <c r="B174" s="51" t="s">
        <v>106</v>
      </c>
      <c r="C174" s="53"/>
      <c r="D174" s="54"/>
      <c r="E174" s="54"/>
      <c r="F174" s="54"/>
      <c r="G174" s="57"/>
      <c r="H174" s="57"/>
      <c r="I174" s="57"/>
      <c r="J174" s="40"/>
      <c r="K174" s="5"/>
      <c r="M174" s="63"/>
    </row>
    <row r="175" spans="1:13" x14ac:dyDescent="0.3">
      <c r="A175" s="43"/>
      <c r="B175" s="76" t="s">
        <v>107</v>
      </c>
      <c r="C175" s="53">
        <v>4</v>
      </c>
      <c r="D175" s="54">
        <f>(5.17)/3.281</f>
        <v>1.5757391039317281</v>
      </c>
      <c r="E175" s="54"/>
      <c r="F175" s="54"/>
      <c r="G175" s="68">
        <f>PRODUCT(C175:F175)</f>
        <v>6.3029564157269125</v>
      </c>
      <c r="H175" s="57"/>
      <c r="I175" s="57"/>
      <c r="J175" s="40"/>
      <c r="K175" s="5"/>
      <c r="M175" s="63"/>
    </row>
    <row r="176" spans="1:13" x14ac:dyDescent="0.3">
      <c r="A176" s="43"/>
      <c r="B176" s="76"/>
      <c r="C176" s="53">
        <v>4</v>
      </c>
      <c r="D176" s="54">
        <f>(5.5)/3.281</f>
        <v>1.6763181956720512</v>
      </c>
      <c r="E176" s="54"/>
      <c r="F176" s="54"/>
      <c r="G176" s="68">
        <f>PRODUCT(C176:F176)</f>
        <v>6.7052727826882048</v>
      </c>
      <c r="H176" s="57"/>
      <c r="I176" s="57"/>
      <c r="J176" s="40"/>
      <c r="K176" s="5"/>
      <c r="M176" s="63"/>
    </row>
    <row r="177" spans="1:20" x14ac:dyDescent="0.3">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3">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3">
      <c r="A179" s="65"/>
      <c r="B179" s="70" t="s">
        <v>52</v>
      </c>
      <c r="C179" s="67"/>
      <c r="D179" s="68"/>
      <c r="E179" s="68"/>
      <c r="F179" s="68"/>
      <c r="G179" s="71"/>
      <c r="H179" s="71"/>
      <c r="I179" s="72"/>
      <c r="J179" s="73">
        <f>0.13*G178*(184206/100)</f>
        <v>4428.8040548613226</v>
      </c>
      <c r="K179" s="5"/>
    </row>
    <row r="180" spans="1:20" ht="15" customHeight="1" x14ac:dyDescent="0.3">
      <c r="A180" s="43"/>
      <c r="B180" s="56"/>
      <c r="C180" s="53"/>
      <c r="D180" s="54"/>
      <c r="E180" s="54"/>
      <c r="F180" s="54"/>
      <c r="G180" s="57"/>
      <c r="H180" s="57"/>
      <c r="I180" s="57"/>
      <c r="J180" s="40"/>
      <c r="K180" s="5"/>
      <c r="M180" s="63"/>
    </row>
    <row r="181" spans="1:20" ht="27.6" x14ac:dyDescent="0.3">
      <c r="A181" s="43">
        <v>30</v>
      </c>
      <c r="B181" s="51" t="s">
        <v>112</v>
      </c>
      <c r="C181" s="53"/>
      <c r="D181" s="54"/>
      <c r="E181" s="54"/>
      <c r="F181" s="54"/>
      <c r="G181" s="57"/>
      <c r="H181" s="57"/>
      <c r="I181" s="57"/>
      <c r="J181" s="40"/>
      <c r="K181" s="5"/>
      <c r="M181" s="63"/>
    </row>
    <row r="182" spans="1:20" ht="27.6" x14ac:dyDescent="0.3">
      <c r="A182" s="43"/>
      <c r="B182" s="76" t="s">
        <v>113</v>
      </c>
      <c r="C182" s="53">
        <v>1</v>
      </c>
      <c r="D182" s="54">
        <v>1.2</v>
      </c>
      <c r="E182" s="54"/>
      <c r="F182" s="54"/>
      <c r="G182" s="68">
        <f>PRODUCT(C182:F182)</f>
        <v>1.2</v>
      </c>
      <c r="H182" s="57"/>
      <c r="I182" s="57"/>
      <c r="J182" s="40"/>
      <c r="K182" s="5"/>
      <c r="M182" s="63"/>
    </row>
    <row r="183" spans="1:20" ht="15" customHeight="1" x14ac:dyDescent="0.3">
      <c r="A183" s="65"/>
      <c r="B183" s="70" t="s">
        <v>38</v>
      </c>
      <c r="C183" s="67"/>
      <c r="D183" s="68"/>
      <c r="E183" s="68"/>
      <c r="F183" s="68"/>
      <c r="G183" s="71">
        <f>SUM(G182:G182)</f>
        <v>1.2</v>
      </c>
      <c r="H183" s="71" t="s">
        <v>114</v>
      </c>
      <c r="I183" s="72">
        <f>4289.73/1.15</f>
        <v>3730.2</v>
      </c>
      <c r="J183" s="73">
        <f>G183*I183</f>
        <v>4476.24</v>
      </c>
      <c r="K183" s="5"/>
    </row>
    <row r="184" spans="1:20" ht="15" customHeight="1" x14ac:dyDescent="0.3">
      <c r="A184" s="65"/>
      <c r="B184" s="70" t="s">
        <v>52</v>
      </c>
      <c r="C184" s="67"/>
      <c r="D184" s="68"/>
      <c r="E184" s="68"/>
      <c r="F184" s="68"/>
      <c r="G184" s="71"/>
      <c r="H184" s="71"/>
      <c r="I184" s="72"/>
      <c r="J184" s="73">
        <f>0.13*G183*(7326/5)</f>
        <v>228.5712</v>
      </c>
      <c r="K184" s="5"/>
    </row>
    <row r="185" spans="1:20" ht="15" customHeight="1" x14ac:dyDescent="0.3">
      <c r="A185" s="43"/>
      <c r="B185" s="56"/>
      <c r="C185" s="53"/>
      <c r="D185" s="54"/>
      <c r="E185" s="54"/>
      <c r="F185" s="54"/>
      <c r="G185" s="57"/>
      <c r="H185" s="57"/>
      <c r="I185" s="57"/>
      <c r="J185" s="40"/>
      <c r="K185" s="5"/>
      <c r="M185" s="63"/>
    </row>
    <row r="186" spans="1:20" ht="41.4" x14ac:dyDescent="0.3">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3">
      <c r="A187" s="43"/>
      <c r="B187" s="45"/>
      <c r="C187" s="46"/>
      <c r="D187" s="14"/>
      <c r="E187" s="14"/>
      <c r="F187" s="14"/>
      <c r="G187" s="44"/>
      <c r="H187" s="44"/>
      <c r="I187" s="44"/>
      <c r="J187" s="44"/>
      <c r="K187" s="16"/>
    </row>
    <row r="188" spans="1:20" ht="19.8" x14ac:dyDescent="0.3">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8" x14ac:dyDescent="0.3">
      <c r="A189" s="26"/>
      <c r="B189" s="30"/>
      <c r="C189" s="27"/>
      <c r="D189" s="28"/>
      <c r="E189" s="29"/>
      <c r="F189" s="29"/>
      <c r="G189" s="39"/>
      <c r="H189" s="38"/>
      <c r="I189" s="39"/>
      <c r="J189" s="44"/>
      <c r="K189" s="29"/>
      <c r="M189" s="31"/>
      <c r="N189" s="18"/>
      <c r="O189" s="18"/>
      <c r="P189" s="18"/>
      <c r="Q189" s="18"/>
      <c r="R189" s="18"/>
      <c r="S189" s="18"/>
      <c r="T189" s="18"/>
    </row>
    <row r="190" spans="1:20" x14ac:dyDescent="0.3">
      <c r="A190" s="43"/>
      <c r="B190" s="50" t="s">
        <v>15</v>
      </c>
      <c r="C190" s="46"/>
      <c r="D190" s="14"/>
      <c r="E190" s="14"/>
      <c r="F190" s="14"/>
      <c r="G190" s="44"/>
      <c r="H190" s="44"/>
      <c r="I190" s="44"/>
      <c r="J190" s="44">
        <f>SUM(J10:J188)</f>
        <v>1119127.4076919584</v>
      </c>
      <c r="K190" s="16"/>
    </row>
    <row r="192" spans="1:20" s="1" customFormat="1" x14ac:dyDescent="0.3">
      <c r="B192" s="16" t="s">
        <v>25</v>
      </c>
      <c r="C192" s="104">
        <f>J190</f>
        <v>1119127.4076919584</v>
      </c>
      <c r="D192" s="105"/>
      <c r="E192" s="14">
        <v>100</v>
      </c>
      <c r="F192" s="18"/>
      <c r="G192" s="19"/>
      <c r="H192" s="18"/>
      <c r="I192" s="20"/>
      <c r="J192" s="21"/>
      <c r="K192" s="22"/>
    </row>
    <row r="193" spans="2:5" x14ac:dyDescent="0.3">
      <c r="B193" s="16" t="s">
        <v>30</v>
      </c>
      <c r="C193" s="111">
        <v>1000000</v>
      </c>
      <c r="D193" s="112"/>
      <c r="E193" s="14"/>
    </row>
    <row r="194" spans="2:5" x14ac:dyDescent="0.3">
      <c r="B194" s="16" t="s">
        <v>31</v>
      </c>
      <c r="C194" s="111">
        <f>C193-C196-C197</f>
        <v>950000</v>
      </c>
      <c r="D194" s="112"/>
      <c r="E194" s="14">
        <f>C194/C192*100</f>
        <v>84.887564496274862</v>
      </c>
    </row>
    <row r="195" spans="2:5" x14ac:dyDescent="0.3">
      <c r="B195" s="16" t="s">
        <v>32</v>
      </c>
      <c r="C195" s="103">
        <f>C192-C194</f>
        <v>169127.40769195836</v>
      </c>
      <c r="D195" s="103"/>
      <c r="E195" s="14">
        <f>100-E194</f>
        <v>15.112435503725138</v>
      </c>
    </row>
    <row r="196" spans="2:5" x14ac:dyDescent="0.3">
      <c r="B196" s="16" t="s">
        <v>33</v>
      </c>
      <c r="C196" s="104">
        <f>C193*0.03</f>
        <v>30000</v>
      </c>
      <c r="D196" s="105"/>
      <c r="E196" s="14">
        <v>3</v>
      </c>
    </row>
    <row r="197" spans="2:5" x14ac:dyDescent="0.3">
      <c r="B197" s="16" t="s">
        <v>34</v>
      </c>
      <c r="C197" s="104">
        <f>C193*0.02</f>
        <v>20000</v>
      </c>
      <c r="D197" s="105"/>
      <c r="E197" s="14">
        <v>2</v>
      </c>
    </row>
  </sheetData>
  <mergeCells count="14">
    <mergeCell ref="H6:K6"/>
    <mergeCell ref="A1:K1"/>
    <mergeCell ref="A2:K2"/>
    <mergeCell ref="A3:K3"/>
    <mergeCell ref="A4:K4"/>
    <mergeCell ref="A5:K5"/>
    <mergeCell ref="C196:D196"/>
    <mergeCell ref="C197:D197"/>
    <mergeCell ref="A7:F7"/>
    <mergeCell ref="H7:K7"/>
    <mergeCell ref="C192:D192"/>
    <mergeCell ref="C193:D193"/>
    <mergeCell ref="C194:D194"/>
    <mergeCell ref="C195:D19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topLeftCell="A76" zoomScaleNormal="100" zoomScaleSheetLayoutView="80" workbookViewId="0">
      <selection activeCell="A85" sqref="A85:XFD89"/>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07" t="s">
        <v>0</v>
      </c>
      <c r="B1" s="107"/>
      <c r="C1" s="107"/>
      <c r="D1" s="107"/>
      <c r="E1" s="107"/>
      <c r="F1" s="107"/>
      <c r="G1" s="107"/>
      <c r="H1" s="107"/>
      <c r="I1" s="107"/>
      <c r="J1" s="107"/>
      <c r="K1" s="107"/>
    </row>
    <row r="2" spans="1:19" s="1" customFormat="1" ht="22.8" x14ac:dyDescent="0.3">
      <c r="A2" s="108" t="s">
        <v>1</v>
      </c>
      <c r="B2" s="108"/>
      <c r="C2" s="108"/>
      <c r="D2" s="108"/>
      <c r="E2" s="108"/>
      <c r="F2" s="108"/>
      <c r="G2" s="108"/>
      <c r="H2" s="108"/>
      <c r="I2" s="108"/>
      <c r="J2" s="108"/>
      <c r="K2" s="108"/>
    </row>
    <row r="3" spans="1:19" s="1" customFormat="1" x14ac:dyDescent="0.3">
      <c r="A3" s="94" t="s">
        <v>2</v>
      </c>
      <c r="B3" s="94"/>
      <c r="C3" s="94"/>
      <c r="D3" s="94"/>
      <c r="E3" s="94"/>
      <c r="F3" s="94"/>
      <c r="G3" s="94"/>
      <c r="H3" s="94"/>
      <c r="I3" s="94"/>
      <c r="J3" s="94"/>
      <c r="K3" s="94"/>
      <c r="N3" s="79"/>
    </row>
    <row r="4" spans="1:19" s="1" customFormat="1" x14ac:dyDescent="0.3">
      <c r="A4" s="94" t="s">
        <v>3</v>
      </c>
      <c r="B4" s="94"/>
      <c r="C4" s="94"/>
      <c r="D4" s="94"/>
      <c r="E4" s="94"/>
      <c r="F4" s="94"/>
      <c r="G4" s="94"/>
      <c r="H4" s="94"/>
      <c r="I4" s="94"/>
      <c r="J4" s="94"/>
      <c r="K4" s="94"/>
      <c r="N4" s="79"/>
    </row>
    <row r="5" spans="1:19" ht="17.399999999999999" x14ac:dyDescent="0.3">
      <c r="A5" s="109" t="s">
        <v>50</v>
      </c>
      <c r="B5" s="109"/>
      <c r="C5" s="109"/>
      <c r="D5" s="109"/>
      <c r="E5" s="109"/>
      <c r="F5" s="109"/>
      <c r="G5" s="109"/>
      <c r="H5" s="109"/>
      <c r="I5" s="109"/>
      <c r="J5" s="109"/>
      <c r="K5" s="109"/>
      <c r="M5" s="1"/>
      <c r="N5" s="79"/>
    </row>
    <row r="6" spans="1:19" ht="15.6" x14ac:dyDescent="0.3">
      <c r="A6" s="42" t="s">
        <v>115</v>
      </c>
      <c r="B6" s="42"/>
      <c r="C6" s="42"/>
      <c r="D6" s="42"/>
      <c r="E6" s="42"/>
      <c r="F6" s="42"/>
      <c r="G6" s="2"/>
      <c r="H6" s="106" t="s">
        <v>48</v>
      </c>
      <c r="I6" s="106"/>
      <c r="J6" s="106"/>
      <c r="K6" s="106"/>
      <c r="M6" s="1"/>
      <c r="N6" s="79"/>
    </row>
    <row r="7" spans="1:19" ht="15.6" x14ac:dyDescent="0.3">
      <c r="A7" s="110" t="s">
        <v>26</v>
      </c>
      <c r="B7" s="110"/>
      <c r="C7" s="110"/>
      <c r="D7" s="110"/>
      <c r="E7" s="110"/>
      <c r="F7" s="110"/>
      <c r="G7" s="3"/>
      <c r="H7" s="106" t="s">
        <v>130</v>
      </c>
      <c r="I7" s="106"/>
      <c r="J7" s="106"/>
      <c r="K7" s="106"/>
      <c r="N7" s="79"/>
    </row>
    <row r="8" spans="1:19" ht="15" customHeight="1" x14ac:dyDescent="0.3">
      <c r="A8" s="4" t="s">
        <v>4</v>
      </c>
      <c r="B8" s="23" t="s">
        <v>5</v>
      </c>
      <c r="C8" s="4" t="s">
        <v>6</v>
      </c>
      <c r="D8" s="24" t="s">
        <v>7</v>
      </c>
      <c r="E8" s="24" t="s">
        <v>8</v>
      </c>
      <c r="F8" s="24" t="s">
        <v>9</v>
      </c>
      <c r="G8" s="24" t="s">
        <v>10</v>
      </c>
      <c r="H8" s="4" t="s">
        <v>11</v>
      </c>
      <c r="I8" s="24" t="s">
        <v>12</v>
      </c>
      <c r="J8" s="24" t="s">
        <v>13</v>
      </c>
      <c r="K8" s="25" t="s">
        <v>14</v>
      </c>
      <c r="N8" s="80"/>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G11" si="0">PRODUCT(C10:F10)</f>
        <v>1.9241000000000001</v>
      </c>
      <c r="H10" s="47"/>
      <c r="I10" s="44"/>
      <c r="J10" s="44"/>
      <c r="K10" s="16"/>
    </row>
    <row r="11" spans="1:19" ht="15" customHeight="1" x14ac:dyDescent="0.3">
      <c r="A11" s="43"/>
      <c r="B11" s="45" t="s">
        <v>129</v>
      </c>
      <c r="C11" s="46">
        <v>1</v>
      </c>
      <c r="D11" s="14">
        <f>D215</f>
        <v>5</v>
      </c>
      <c r="E11" s="14">
        <f t="shared" ref="E11" si="1">E215</f>
        <v>1.0550000000000002</v>
      </c>
      <c r="F11" s="14">
        <v>0.9</v>
      </c>
      <c r="G11" s="14">
        <f t="shared" si="0"/>
        <v>4.7475000000000005</v>
      </c>
      <c r="H11" s="47"/>
      <c r="I11" s="44"/>
      <c r="J11" s="44"/>
      <c r="K11" s="16"/>
    </row>
    <row r="12" spans="1:19" ht="15" customHeight="1" x14ac:dyDescent="0.3">
      <c r="A12" s="43"/>
      <c r="B12" s="45" t="s">
        <v>38</v>
      </c>
      <c r="C12" s="46"/>
      <c r="D12" s="14"/>
      <c r="E12" s="14"/>
      <c r="F12" s="14"/>
      <c r="G12" s="44">
        <f>SUM(G10:G11)</f>
        <v>6.6716000000000006</v>
      </c>
      <c r="H12" s="44" t="s">
        <v>51</v>
      </c>
      <c r="I12" s="44">
        <v>64.63</v>
      </c>
      <c r="J12" s="44">
        <f>G12*I12</f>
        <v>431.18550800000003</v>
      </c>
      <c r="K12" s="16"/>
    </row>
    <row r="13" spans="1:19" ht="15" customHeight="1" x14ac:dyDescent="0.3">
      <c r="A13" s="43"/>
      <c r="B13" s="45" t="s">
        <v>52</v>
      </c>
      <c r="C13" s="46"/>
      <c r="D13" s="14"/>
      <c r="E13" s="14"/>
      <c r="F13" s="14"/>
      <c r="G13" s="44"/>
      <c r="H13" s="44"/>
      <c r="I13" s="44"/>
      <c r="J13" s="44">
        <f>0.13*G12*(19284/360)</f>
        <v>46.458798533333344</v>
      </c>
      <c r="K13" s="16"/>
    </row>
    <row r="14" spans="1:19" ht="15" customHeight="1" x14ac:dyDescent="0.3">
      <c r="A14" s="26"/>
      <c r="B14" s="30"/>
      <c r="C14" s="27"/>
      <c r="D14" s="28"/>
      <c r="E14" s="29"/>
      <c r="F14" s="29"/>
      <c r="G14" s="39"/>
      <c r="H14" s="38"/>
      <c r="I14" s="39"/>
      <c r="J14" s="44"/>
      <c r="K14" s="29"/>
      <c r="M14" s="31"/>
      <c r="N14" s="1"/>
      <c r="O14" s="1"/>
      <c r="P14" s="1"/>
      <c r="Q14" s="1"/>
      <c r="R14" s="31"/>
      <c r="S14" s="31"/>
    </row>
    <row r="15" spans="1:19" ht="41.4" x14ac:dyDescent="0.3">
      <c r="A15" s="43">
        <v>2</v>
      </c>
      <c r="B15" s="51" t="s">
        <v>53</v>
      </c>
      <c r="C15" s="49"/>
      <c r="D15" s="14"/>
      <c r="E15" s="14"/>
      <c r="F15" s="14"/>
      <c r="G15" s="47"/>
      <c r="H15" s="47"/>
      <c r="I15" s="47"/>
      <c r="J15" s="40"/>
      <c r="K15" s="16"/>
    </row>
    <row r="16" spans="1:19" ht="15" customHeight="1" x14ac:dyDescent="0.3">
      <c r="A16" s="43"/>
      <c r="B16" s="45" t="s">
        <v>100</v>
      </c>
      <c r="C16" s="46">
        <v>2</v>
      </c>
      <c r="D16" s="14">
        <f>2.7+0.23</f>
        <v>2.93</v>
      </c>
      <c r="E16" s="14"/>
      <c r="F16" s="14">
        <v>2.41</v>
      </c>
      <c r="G16" s="14">
        <f t="shared" ref="G16:G26" si="2">PRODUCT(C16:F16)</f>
        <v>14.122600000000002</v>
      </c>
      <c r="H16" s="47"/>
      <c r="I16" s="44"/>
      <c r="J16" s="44"/>
      <c r="K16" s="16"/>
    </row>
    <row r="17" spans="1:11" ht="15" customHeight="1" x14ac:dyDescent="0.3">
      <c r="A17" s="43"/>
      <c r="B17" s="45"/>
      <c r="C17" s="46">
        <v>2</v>
      </c>
      <c r="D17" s="14">
        <f>2.7+0.23</f>
        <v>2.93</v>
      </c>
      <c r="E17" s="14"/>
      <c r="F17" s="14">
        <v>2.41</v>
      </c>
      <c r="G17" s="14">
        <f t="shared" si="2"/>
        <v>14.122600000000002</v>
      </c>
      <c r="H17" s="47"/>
      <c r="I17" s="44"/>
      <c r="J17" s="44"/>
      <c r="K17" s="16"/>
    </row>
    <row r="18" spans="1:11" ht="28.8" x14ac:dyDescent="0.3">
      <c r="A18" s="43"/>
      <c r="B18" s="45" t="s">
        <v>103</v>
      </c>
      <c r="C18" s="46">
        <f>-C36</f>
        <v>-2</v>
      </c>
      <c r="D18" s="14">
        <f>D36</f>
        <v>0.53337397135019804</v>
      </c>
      <c r="E18" s="14"/>
      <c r="F18" s="14">
        <f>F36</f>
        <v>0.75</v>
      </c>
      <c r="G18" s="14">
        <f t="shared" si="2"/>
        <v>-0.800060957025297</v>
      </c>
      <c r="H18" s="47"/>
      <c r="I18" s="44"/>
      <c r="J18" s="44"/>
      <c r="K18" s="16"/>
    </row>
    <row r="19" spans="1:11" ht="15" customHeight="1" x14ac:dyDescent="0.3">
      <c r="A19" s="43"/>
      <c r="B19" s="45" t="s">
        <v>44</v>
      </c>
      <c r="C19" s="46">
        <f>2*-3</f>
        <v>-6</v>
      </c>
      <c r="D19" s="14">
        <f>0.9</f>
        <v>0.9</v>
      </c>
      <c r="E19" s="14"/>
      <c r="F19" s="14">
        <v>0.9</v>
      </c>
      <c r="G19" s="14">
        <f t="shared" si="2"/>
        <v>-4.8600000000000003</v>
      </c>
      <c r="H19" s="47"/>
      <c r="I19" s="44"/>
      <c r="J19" s="44"/>
      <c r="K19" s="16"/>
    </row>
    <row r="20" spans="1:11" ht="15" customHeight="1" x14ac:dyDescent="0.3">
      <c r="A20" s="43"/>
      <c r="B20" s="45" t="s">
        <v>43</v>
      </c>
      <c r="C20" s="46">
        <f>2*-1</f>
        <v>-2</v>
      </c>
      <c r="D20" s="14">
        <v>1.2</v>
      </c>
      <c r="E20" s="14"/>
      <c r="F20" s="14">
        <f>7/3.281</f>
        <v>2.1334958854007922</v>
      </c>
      <c r="G20" s="14">
        <f t="shared" si="2"/>
        <v>-5.1203901249619008</v>
      </c>
      <c r="H20" s="47"/>
      <c r="I20" s="44"/>
      <c r="J20" s="44"/>
      <c r="K20" s="16"/>
    </row>
    <row r="21" spans="1:11" ht="15" customHeight="1" x14ac:dyDescent="0.3">
      <c r="A21" s="43"/>
      <c r="B21" s="45" t="s">
        <v>65</v>
      </c>
      <c r="C21" s="46">
        <v>1</v>
      </c>
      <c r="D21" s="14">
        <v>2.08</v>
      </c>
      <c r="E21" s="14"/>
      <c r="F21" s="14">
        <f>0.75-0.15*4</f>
        <v>0.15000000000000002</v>
      </c>
      <c r="G21" s="14">
        <f t="shared" si="2"/>
        <v>0.31200000000000006</v>
      </c>
      <c r="H21" s="47"/>
      <c r="I21" s="44"/>
      <c r="J21" s="44"/>
      <c r="K21" s="16"/>
    </row>
    <row r="22" spans="1:11" ht="15" customHeight="1" x14ac:dyDescent="0.3">
      <c r="A22" s="43"/>
      <c r="B22" s="45" t="s">
        <v>90</v>
      </c>
      <c r="C22" s="46">
        <v>-1</v>
      </c>
      <c r="D22" s="14">
        <f>D41</f>
        <v>14.070000000000002</v>
      </c>
      <c r="E22" s="14"/>
      <c r="F22" s="14">
        <f>(11*6)/12/3.281</f>
        <v>1.6763181956720512</v>
      </c>
      <c r="G22" s="14">
        <f t="shared" si="2"/>
        <v>-23.585797013105765</v>
      </c>
      <c r="H22" s="47"/>
      <c r="I22" s="44"/>
      <c r="J22" s="44"/>
      <c r="K22" s="16"/>
    </row>
    <row r="23" spans="1:11" ht="15" customHeight="1" x14ac:dyDescent="0.3">
      <c r="A23" s="43"/>
      <c r="B23" s="45" t="s">
        <v>91</v>
      </c>
      <c r="C23" s="46">
        <v>-1</v>
      </c>
      <c r="D23" s="14">
        <f>D20</f>
        <v>1.2</v>
      </c>
      <c r="E23" s="14"/>
      <c r="F23" s="14">
        <f>(7+6+3*6)/12/3.281</f>
        <v>0.78736157675505436</v>
      </c>
      <c r="G23" s="14">
        <f t="shared" si="2"/>
        <v>-0.94483389210606517</v>
      </c>
      <c r="H23" s="47"/>
      <c r="I23" s="44"/>
      <c r="J23" s="44"/>
      <c r="K23" s="16"/>
    </row>
    <row r="24" spans="1:11" ht="15" customHeight="1" x14ac:dyDescent="0.3">
      <c r="A24" s="43"/>
      <c r="B24" s="45" t="s">
        <v>92</v>
      </c>
      <c r="C24" s="46">
        <v>-1</v>
      </c>
      <c r="D24" s="14">
        <f>D19</f>
        <v>0.9</v>
      </c>
      <c r="E24" s="14"/>
      <c r="F24" s="14">
        <f>(3*6)/12/3.281</f>
        <v>0.45717768972874123</v>
      </c>
      <c r="G24" s="14">
        <f t="shared" si="2"/>
        <v>-0.41145992075586713</v>
      </c>
      <c r="H24" s="47"/>
      <c r="I24" s="44"/>
      <c r="J24" s="44"/>
      <c r="K24" s="16"/>
    </row>
    <row r="25" spans="1:11" ht="15" customHeight="1" x14ac:dyDescent="0.3">
      <c r="A25" s="43"/>
      <c r="B25" s="45" t="s">
        <v>109</v>
      </c>
      <c r="C25" s="46">
        <v>4</v>
      </c>
      <c r="D25" s="14">
        <f>3.5/3.281</f>
        <v>1.0667479427003961</v>
      </c>
      <c r="E25" s="14"/>
      <c r="F25" s="14">
        <v>0.6</v>
      </c>
      <c r="G25" s="14">
        <f t="shared" si="2"/>
        <v>2.5601950624809504</v>
      </c>
      <c r="H25" s="47"/>
      <c r="I25" s="44"/>
      <c r="J25" s="44"/>
      <c r="K25" s="16"/>
    </row>
    <row r="26" spans="1:11" ht="15" customHeight="1" x14ac:dyDescent="0.3">
      <c r="A26" s="43"/>
      <c r="B26" s="45" t="s">
        <v>110</v>
      </c>
      <c r="C26" s="46">
        <v>-4</v>
      </c>
      <c r="D26" s="14">
        <v>0.6</v>
      </c>
      <c r="E26" s="14"/>
      <c r="F26" s="14">
        <v>0.6</v>
      </c>
      <c r="G26" s="14">
        <f t="shared" si="2"/>
        <v>-1.44</v>
      </c>
      <c r="H26" s="47"/>
      <c r="I26" s="44"/>
      <c r="J26" s="44"/>
      <c r="K26" s="16"/>
    </row>
    <row r="27" spans="1:11" ht="15" customHeight="1" x14ac:dyDescent="0.3">
      <c r="A27" s="43"/>
      <c r="B27" s="45" t="s">
        <v>38</v>
      </c>
      <c r="C27" s="46"/>
      <c r="D27" s="14"/>
      <c r="E27" s="14"/>
      <c r="F27" s="14"/>
      <c r="G27" s="44">
        <f>SUM(G16:G26)</f>
        <v>-6.0451468454739405</v>
      </c>
      <c r="H27" s="44" t="s">
        <v>41</v>
      </c>
      <c r="I27" s="44">
        <f>6161.31/1.15</f>
        <v>5357.6608695652185</v>
      </c>
      <c r="J27" s="44">
        <f>G27*I27</f>
        <v>-32387.846704771349</v>
      </c>
      <c r="K27" s="16"/>
    </row>
    <row r="28" spans="1:11" ht="15" customHeight="1" x14ac:dyDescent="0.3">
      <c r="A28" s="43"/>
      <c r="B28" s="45" t="s">
        <v>52</v>
      </c>
      <c r="C28" s="46"/>
      <c r="D28" s="14"/>
      <c r="E28" s="14"/>
      <c r="F28" s="14"/>
      <c r="G28" s="44"/>
      <c r="H28" s="44"/>
      <c r="I28" s="44"/>
      <c r="J28" s="44">
        <f>0.13*G27*(340055.78/100)</f>
        <v>-2672.3932634778348</v>
      </c>
      <c r="K28" s="16"/>
    </row>
    <row r="29" spans="1:11" ht="15" customHeight="1" x14ac:dyDescent="0.3">
      <c r="A29" s="43"/>
      <c r="B29" s="45"/>
      <c r="C29" s="46"/>
      <c r="D29" s="14"/>
      <c r="E29" s="14"/>
      <c r="F29" s="14"/>
      <c r="G29" s="44"/>
      <c r="H29" s="44"/>
      <c r="I29" s="44"/>
      <c r="J29" s="44"/>
      <c r="K29" s="16"/>
    </row>
    <row r="30" spans="1:11" ht="30" x14ac:dyDescent="0.3">
      <c r="A30" s="43">
        <v>3</v>
      </c>
      <c r="B30" s="48" t="s">
        <v>102</v>
      </c>
      <c r="C30" s="46"/>
      <c r="D30" s="14"/>
      <c r="E30" s="14"/>
      <c r="F30" s="14"/>
      <c r="G30" s="44"/>
      <c r="H30" s="44"/>
      <c r="I30" s="44"/>
      <c r="J30" s="44"/>
      <c r="K30" s="16"/>
    </row>
    <row r="31" spans="1:11" x14ac:dyDescent="0.3">
      <c r="A31" s="43"/>
      <c r="B31" s="45" t="s">
        <v>116</v>
      </c>
      <c r="C31" s="46">
        <v>2</v>
      </c>
      <c r="D31" s="14">
        <f>8.17/3.281</f>
        <v>2.4900944833892105</v>
      </c>
      <c r="E31" s="14">
        <v>0.1</v>
      </c>
      <c r="F31" s="14">
        <v>2.41</v>
      </c>
      <c r="G31" s="14">
        <f t="shared" ref="G31:G34" si="3">PRODUCT(C31:F31)</f>
        <v>1.2002255409935996</v>
      </c>
      <c r="H31" s="44"/>
      <c r="I31" s="44"/>
      <c r="J31" s="44"/>
      <c r="K31" s="16"/>
    </row>
    <row r="32" spans="1:11" ht="15" x14ac:dyDescent="0.3">
      <c r="A32" s="43"/>
      <c r="B32" s="48"/>
      <c r="C32" s="46">
        <v>2</v>
      </c>
      <c r="D32" s="14">
        <f>8.17/3.281</f>
        <v>2.4900944833892105</v>
      </c>
      <c r="E32" s="14">
        <v>0.1</v>
      </c>
      <c r="F32" s="14">
        <v>2.41</v>
      </c>
      <c r="G32" s="14">
        <f t="shared" si="3"/>
        <v>1.2002255409935996</v>
      </c>
      <c r="H32" s="44"/>
      <c r="I32" s="44"/>
      <c r="J32" s="44"/>
      <c r="K32" s="16"/>
    </row>
    <row r="33" spans="1:19" x14ac:dyDescent="0.3">
      <c r="A33" s="43"/>
      <c r="B33" s="45" t="s">
        <v>120</v>
      </c>
      <c r="C33" s="46">
        <v>-3</v>
      </c>
      <c r="D33" s="14">
        <v>0.6</v>
      </c>
      <c r="E33" s="14">
        <v>0.1</v>
      </c>
      <c r="F33" s="14">
        <v>0.9</v>
      </c>
      <c r="G33" s="14">
        <f t="shared" si="3"/>
        <v>-0.16200000000000001</v>
      </c>
      <c r="H33" s="44"/>
      <c r="I33" s="44"/>
      <c r="J33" s="44"/>
      <c r="K33" s="16"/>
    </row>
    <row r="34" spans="1:19" x14ac:dyDescent="0.3">
      <c r="A34" s="43"/>
      <c r="B34" s="45" t="s">
        <v>121</v>
      </c>
      <c r="C34" s="46">
        <v>-1</v>
      </c>
      <c r="D34" s="14">
        <f>3.5/3.281</f>
        <v>1.0667479427003961</v>
      </c>
      <c r="E34" s="14">
        <v>0.1</v>
      </c>
      <c r="F34" s="14">
        <f>7/3.281</f>
        <v>2.1334958854007922</v>
      </c>
      <c r="G34" s="14">
        <f t="shared" si="3"/>
        <v>-0.22759023465110553</v>
      </c>
      <c r="H34" s="44"/>
      <c r="I34" s="44"/>
      <c r="J34" s="44"/>
      <c r="K34" s="16"/>
    </row>
    <row r="35" spans="1:19" ht="15" customHeight="1" x14ac:dyDescent="0.3">
      <c r="A35" s="43"/>
      <c r="B35" s="45" t="s">
        <v>65</v>
      </c>
      <c r="C35" s="46">
        <v>1</v>
      </c>
      <c r="D35" s="14">
        <f>D21</f>
        <v>2.08</v>
      </c>
      <c r="E35" s="14">
        <v>0.1</v>
      </c>
      <c r="F35" s="14">
        <f>F21</f>
        <v>0.15000000000000002</v>
      </c>
      <c r="G35" s="14">
        <f>PRODUCT(C35:F35)</f>
        <v>3.1200000000000009E-2</v>
      </c>
      <c r="H35" s="47"/>
      <c r="I35" s="44"/>
      <c r="J35" s="44"/>
      <c r="K35" s="16"/>
    </row>
    <row r="36" spans="1:19" ht="15" customHeight="1" x14ac:dyDescent="0.3">
      <c r="A36" s="43"/>
      <c r="B36" s="45"/>
      <c r="C36" s="46">
        <v>2</v>
      </c>
      <c r="D36" s="14">
        <f>(1.75/3.281)</f>
        <v>0.53337397135019804</v>
      </c>
      <c r="E36" s="14">
        <v>0.1</v>
      </c>
      <c r="F36" s="14">
        <v>0.75</v>
      </c>
      <c r="G36" s="14">
        <f>PRODUCT(C36:F36)</f>
        <v>8.0006095702529714E-2</v>
      </c>
      <c r="H36" s="47"/>
      <c r="I36" s="44"/>
      <c r="J36" s="44"/>
      <c r="K36" s="16"/>
    </row>
    <row r="37" spans="1:19" ht="15" customHeight="1" x14ac:dyDescent="0.3">
      <c r="A37" s="43"/>
      <c r="B37" s="45" t="s">
        <v>38</v>
      </c>
      <c r="C37" s="46"/>
      <c r="D37" s="14"/>
      <c r="E37" s="14"/>
      <c r="F37" s="14"/>
      <c r="G37" s="44">
        <f>SUM(G31:G36)</f>
        <v>2.1220669430386239</v>
      </c>
      <c r="H37" s="44" t="s">
        <v>51</v>
      </c>
      <c r="I37" s="44">
        <v>14362.76</v>
      </c>
      <c r="J37" s="44">
        <f>G37*I37</f>
        <v>30478.738206797425</v>
      </c>
      <c r="K37" s="16"/>
    </row>
    <row r="38" spans="1:19" ht="15" customHeight="1" x14ac:dyDescent="0.3">
      <c r="A38" s="43"/>
      <c r="B38" s="45" t="s">
        <v>52</v>
      </c>
      <c r="C38" s="46"/>
      <c r="D38" s="14"/>
      <c r="E38" s="14"/>
      <c r="F38" s="14"/>
      <c r="G38" s="44"/>
      <c r="H38" s="44"/>
      <c r="I38" s="44"/>
      <c r="J38" s="44">
        <f>0.13*G37*10311.74</f>
        <v>2844.6863352971827</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4</v>
      </c>
      <c r="B40" s="41" t="s">
        <v>78</v>
      </c>
      <c r="C40" s="27"/>
      <c r="D40" s="28"/>
      <c r="E40" s="29"/>
      <c r="F40" s="29"/>
      <c r="G40" s="39"/>
      <c r="H40" s="38"/>
      <c r="I40" s="39"/>
      <c r="J40" s="44"/>
      <c r="K40" s="29"/>
      <c r="M40" s="31"/>
      <c r="N40" s="1"/>
      <c r="O40" s="1"/>
      <c r="P40" s="1"/>
      <c r="Q40" s="1"/>
      <c r="R40" s="31"/>
      <c r="S40" s="31"/>
    </row>
    <row r="41" spans="1:19" ht="15" customHeight="1" x14ac:dyDescent="0.3">
      <c r="A41" s="43"/>
      <c r="B41" s="45" t="s">
        <v>79</v>
      </c>
      <c r="C41" s="46">
        <v>1</v>
      </c>
      <c r="D41" s="14">
        <f>(2.7+0.1+0.1)*4+(2.7-0.23)</f>
        <v>14.070000000000002</v>
      </c>
      <c r="E41" s="14"/>
      <c r="F41" s="14"/>
      <c r="G41" s="14">
        <f>PRODUCT(C41:F41)</f>
        <v>14.070000000000002</v>
      </c>
      <c r="H41" s="47"/>
      <c r="I41" s="44"/>
      <c r="J41" s="44"/>
      <c r="K41" s="16"/>
    </row>
    <row r="42" spans="1:19" ht="15" customHeight="1" x14ac:dyDescent="0.3">
      <c r="A42" s="43"/>
      <c r="B42" s="45" t="s">
        <v>38</v>
      </c>
      <c r="C42" s="46"/>
      <c r="D42" s="14"/>
      <c r="E42" s="14"/>
      <c r="F42" s="14"/>
      <c r="G42" s="44">
        <f>SUM(G41)</f>
        <v>14.070000000000002</v>
      </c>
      <c r="H42" s="44" t="s">
        <v>80</v>
      </c>
      <c r="I42" s="44">
        <f>465.63/1.15</f>
        <v>404.89565217391305</v>
      </c>
      <c r="J42" s="44">
        <f>G42*I42</f>
        <v>5696.8818260869575</v>
      </c>
      <c r="K42" s="16"/>
    </row>
    <row r="43" spans="1:19" ht="15" customHeight="1" x14ac:dyDescent="0.3">
      <c r="A43" s="43"/>
      <c r="B43" s="45" t="s">
        <v>52</v>
      </c>
      <c r="C43" s="46"/>
      <c r="D43" s="14"/>
      <c r="E43" s="14"/>
      <c r="F43" s="14"/>
      <c r="G43" s="44"/>
      <c r="H43" s="44"/>
      <c r="I43" s="44"/>
      <c r="J43" s="44">
        <f>0.13*G42*(2780.61/10)</f>
        <v>508.60137510000015</v>
      </c>
      <c r="K43" s="16"/>
    </row>
    <row r="44" spans="1:19" ht="15" customHeight="1" x14ac:dyDescent="0.3">
      <c r="A44" s="43"/>
      <c r="B44" s="45"/>
      <c r="C44" s="46"/>
      <c r="D44" s="14"/>
      <c r="E44" s="14"/>
      <c r="F44" s="14"/>
      <c r="G44" s="47"/>
      <c r="H44" s="47"/>
      <c r="I44" s="47"/>
      <c r="J44" s="40"/>
      <c r="K44" s="16"/>
    </row>
    <row r="45" spans="1:19" ht="27.6" x14ac:dyDescent="0.3">
      <c r="A45" s="26">
        <v>5</v>
      </c>
      <c r="B45" s="41" t="s">
        <v>81</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(2.7+0.1+0.1)*4+(2.7-0.23)</f>
        <v>14.070000000000002</v>
      </c>
      <c r="E46" s="14"/>
      <c r="F46" s="14"/>
      <c r="G46" s="14">
        <f>PRODUCT(C46:F46)</f>
        <v>14.070000000000002</v>
      </c>
      <c r="H46" s="47"/>
      <c r="I46" s="44"/>
      <c r="J46" s="44"/>
      <c r="K46" s="16"/>
    </row>
    <row r="47" spans="1:19" ht="15" customHeight="1" x14ac:dyDescent="0.3">
      <c r="A47" s="43"/>
      <c r="B47" s="45" t="s">
        <v>38</v>
      </c>
      <c r="C47" s="46"/>
      <c r="D47" s="14"/>
      <c r="E47" s="14"/>
      <c r="F47" s="14"/>
      <c r="G47" s="44">
        <f>SUM(G46)</f>
        <v>14.070000000000002</v>
      </c>
      <c r="H47" s="44" t="s">
        <v>80</v>
      </c>
      <c r="I47" s="44">
        <f>396.86/1.15</f>
        <v>345.09565217391309</v>
      </c>
      <c r="J47" s="44">
        <f>G47*I47</f>
        <v>4855.495826086958</v>
      </c>
      <c r="K47" s="16"/>
    </row>
    <row r="48" spans="1:19" ht="15" customHeight="1" x14ac:dyDescent="0.3">
      <c r="A48" s="43"/>
      <c r="B48" s="45" t="s">
        <v>52</v>
      </c>
      <c r="C48" s="46"/>
      <c r="D48" s="14"/>
      <c r="E48" s="14"/>
      <c r="F48" s="14"/>
      <c r="G48" s="44"/>
      <c r="H48" s="44"/>
      <c r="I48" s="44"/>
      <c r="J48" s="44">
        <f>0.13*G47*(2182.61/10)</f>
        <v>399.2211951000001</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26">
        <v>6</v>
      </c>
      <c r="B50" s="41" t="s">
        <v>82</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SUM(G51)</f>
        <v>11.600000000000001</v>
      </c>
      <c r="H52" s="44" t="s">
        <v>80</v>
      </c>
      <c r="I52" s="44">
        <f>447.23/1.15</f>
        <v>388.89565217391311</v>
      </c>
      <c r="J52" s="44">
        <f>G52*I52</f>
        <v>4511.1895652173926</v>
      </c>
      <c r="K52" s="16"/>
    </row>
    <row r="53" spans="1:19" ht="15" customHeight="1" x14ac:dyDescent="0.3">
      <c r="A53" s="43"/>
      <c r="B53" s="45" t="s">
        <v>52</v>
      </c>
      <c r="C53" s="46"/>
      <c r="D53" s="14"/>
      <c r="E53" s="14"/>
      <c r="F53" s="14"/>
      <c r="G53" s="44"/>
      <c r="H53" s="44"/>
      <c r="I53" s="44"/>
      <c r="J53" s="44">
        <f>0.13*G52*(2620.61/10)</f>
        <v>395.18798800000013</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27.6" x14ac:dyDescent="0.3">
      <c r="A55" s="26">
        <v>7</v>
      </c>
      <c r="B55" s="41" t="s">
        <v>84</v>
      </c>
      <c r="C55" s="27"/>
      <c r="D55" s="28"/>
      <c r="E55" s="29"/>
      <c r="F55" s="29"/>
      <c r="G55" s="39"/>
      <c r="H55" s="38"/>
      <c r="I55" s="39"/>
      <c r="J55" s="44"/>
      <c r="K55" s="29"/>
      <c r="M55" s="31"/>
      <c r="N55" s="1"/>
      <c r="O55" s="1"/>
      <c r="P55" s="1"/>
      <c r="Q55" s="1"/>
      <c r="R55" s="31"/>
      <c r="S55" s="31"/>
    </row>
    <row r="56" spans="1:19" ht="15" customHeight="1" x14ac:dyDescent="0.3">
      <c r="A56" s="43"/>
      <c r="B56" s="45" t="s">
        <v>79</v>
      </c>
      <c r="C56" s="46">
        <v>2</v>
      </c>
      <c r="D56" s="14">
        <f>(2.7+0.1+0.1)*4</f>
        <v>11.600000000000001</v>
      </c>
      <c r="E56" s="14"/>
      <c r="F56" s="14"/>
      <c r="G56" s="14">
        <f>PRODUCT(C56:F56)</f>
        <v>23.200000000000003</v>
      </c>
      <c r="H56" s="47"/>
      <c r="I56" s="44"/>
      <c r="J56" s="44"/>
      <c r="K56" s="16"/>
    </row>
    <row r="57" spans="1:19" ht="15" customHeight="1" x14ac:dyDescent="0.3">
      <c r="A57" s="43"/>
      <c r="B57" s="45" t="s">
        <v>38</v>
      </c>
      <c r="C57" s="46"/>
      <c r="D57" s="14"/>
      <c r="E57" s="14"/>
      <c r="F57" s="14"/>
      <c r="G57" s="44">
        <f>SUM(G56)</f>
        <v>23.200000000000003</v>
      </c>
      <c r="H57" s="44" t="s">
        <v>80</v>
      </c>
      <c r="I57" s="44">
        <f>406.75/1.15</f>
        <v>353.69565217391306</v>
      </c>
      <c r="J57" s="44">
        <f>G57*I57</f>
        <v>8205.7391304347839</v>
      </c>
      <c r="K57" s="16"/>
    </row>
    <row r="58" spans="1:19" ht="15" customHeight="1" x14ac:dyDescent="0.3">
      <c r="A58" s="43"/>
      <c r="B58" s="45" t="s">
        <v>52</v>
      </c>
      <c r="C58" s="46"/>
      <c r="D58" s="14"/>
      <c r="E58" s="14"/>
      <c r="F58" s="14"/>
      <c r="G58" s="44"/>
      <c r="H58" s="44"/>
      <c r="I58" s="44"/>
      <c r="J58" s="44">
        <f>0.13*G57*(2268.61/10)</f>
        <v>684.21277600000019</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8</v>
      </c>
      <c r="B60" s="41" t="s">
        <v>83</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SUM(G61)</f>
        <v>11.600000000000001</v>
      </c>
      <c r="H62" s="44" t="s">
        <v>80</v>
      </c>
      <c r="I62" s="44">
        <f>469.79/1.15</f>
        <v>408.5130434782609</v>
      </c>
      <c r="J62" s="44">
        <f>G62*I62</f>
        <v>4738.7513043478266</v>
      </c>
      <c r="K62" s="16"/>
    </row>
    <row r="63" spans="1:19" ht="15" customHeight="1" x14ac:dyDescent="0.3">
      <c r="A63" s="43"/>
      <c r="B63" s="45" t="s">
        <v>52</v>
      </c>
      <c r="C63" s="46"/>
      <c r="D63" s="14"/>
      <c r="E63" s="14"/>
      <c r="F63" s="14"/>
      <c r="G63" s="44"/>
      <c r="H63" s="44"/>
      <c r="I63" s="44"/>
      <c r="J63" s="44">
        <f>0.13*G62*(2140.61/10)</f>
        <v>322.80398800000006</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9</v>
      </c>
      <c r="B65" s="41" t="s">
        <v>85</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SUM(G66)</f>
        <v>11.600000000000001</v>
      </c>
      <c r="H67" s="44" t="s">
        <v>80</v>
      </c>
      <c r="I67" s="44">
        <f>476.67/1.15</f>
        <v>414.49565217391307</v>
      </c>
      <c r="J67" s="44">
        <f>G67*I67</f>
        <v>4808.1495652173926</v>
      </c>
      <c r="K67" s="16"/>
    </row>
    <row r="68" spans="1:19" ht="15" customHeight="1" x14ac:dyDescent="0.3">
      <c r="A68" s="43"/>
      <c r="B68" s="45" t="s">
        <v>52</v>
      </c>
      <c r="C68" s="46"/>
      <c r="D68" s="14"/>
      <c r="E68" s="14"/>
      <c r="F68" s="14"/>
      <c r="G68" s="44"/>
      <c r="H68" s="44"/>
      <c r="I68" s="44"/>
      <c r="J68" s="44">
        <f>0.13*G67*(2876.61/10)</f>
        <v>433.79278800000009</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41.4" x14ac:dyDescent="0.3">
      <c r="A70" s="64">
        <v>10</v>
      </c>
      <c r="B70" s="41" t="s">
        <v>86</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SUM(G71)</f>
        <v>11.600000000000001</v>
      </c>
      <c r="H72" s="44" t="s">
        <v>80</v>
      </c>
      <c r="I72" s="44">
        <f>593.85/1.15</f>
        <v>516.39130434782612</v>
      </c>
      <c r="J72" s="44">
        <f>G72*I72</f>
        <v>5990.1391304347835</v>
      </c>
      <c r="K72" s="16"/>
    </row>
    <row r="73" spans="1:19" ht="15" customHeight="1" x14ac:dyDescent="0.3">
      <c r="A73" s="43"/>
      <c r="B73" s="45" t="s">
        <v>52</v>
      </c>
      <c r="C73" s="46"/>
      <c r="D73" s="14"/>
      <c r="E73" s="14"/>
      <c r="F73" s="14"/>
      <c r="G73" s="44"/>
      <c r="H73" s="44"/>
      <c r="I73" s="44"/>
      <c r="J73" s="44">
        <f>0.13*G72*(3895.61/10)</f>
        <v>587.45798800000011</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27.6" x14ac:dyDescent="0.3">
      <c r="A75" s="64">
        <v>11</v>
      </c>
      <c r="B75" s="41" t="s">
        <v>87</v>
      </c>
      <c r="C75" s="27"/>
      <c r="D75" s="28"/>
      <c r="E75" s="29"/>
      <c r="F75" s="29"/>
      <c r="G75" s="39"/>
      <c r="H75" s="38"/>
      <c r="I75" s="39"/>
      <c r="J75" s="44"/>
      <c r="K75" s="29"/>
      <c r="M75" s="31"/>
      <c r="N75" s="1"/>
      <c r="O75" s="1"/>
      <c r="P75" s="1"/>
      <c r="Q75" s="1"/>
      <c r="R75" s="31"/>
      <c r="S75" s="31"/>
    </row>
    <row r="76" spans="1:19" ht="15" customHeight="1" x14ac:dyDescent="0.3">
      <c r="A76" s="43"/>
      <c r="B76" s="45" t="s">
        <v>79</v>
      </c>
      <c r="C76" s="46">
        <v>1</v>
      </c>
      <c r="D76" s="14">
        <f>(2.7+0.1+0.1)*4</f>
        <v>11.600000000000001</v>
      </c>
      <c r="E76" s="14"/>
      <c r="F76" s="14"/>
      <c r="G76" s="14">
        <f>PRODUCT(C76:F76)</f>
        <v>11.600000000000001</v>
      </c>
      <c r="H76" s="47"/>
      <c r="I76" s="44"/>
      <c r="J76" s="44"/>
      <c r="K76" s="16"/>
    </row>
    <row r="77" spans="1:19" ht="15" customHeight="1" x14ac:dyDescent="0.3">
      <c r="A77" s="43"/>
      <c r="B77" s="45" t="s">
        <v>38</v>
      </c>
      <c r="C77" s="46"/>
      <c r="D77" s="14"/>
      <c r="E77" s="14"/>
      <c r="F77" s="14"/>
      <c r="G77" s="44">
        <f>SUM(G76)</f>
        <v>11.600000000000001</v>
      </c>
      <c r="H77" s="44" t="s">
        <v>80</v>
      </c>
      <c r="I77" s="44">
        <f>487.71/1.15</f>
        <v>424.09565217391304</v>
      </c>
      <c r="J77" s="44">
        <f>G77*I77</f>
        <v>4919.5095652173923</v>
      </c>
      <c r="K77" s="16"/>
    </row>
    <row r="78" spans="1:19" ht="15" customHeight="1" x14ac:dyDescent="0.3">
      <c r="A78" s="43"/>
      <c r="B78" s="45" t="s">
        <v>52</v>
      </c>
      <c r="C78" s="46"/>
      <c r="D78" s="14"/>
      <c r="E78" s="14"/>
      <c r="F78" s="14"/>
      <c r="G78" s="44"/>
      <c r="H78" s="44"/>
      <c r="I78" s="44"/>
      <c r="J78" s="44">
        <f>0.13*G77*(2972.61/10)</f>
        <v>448.26958800000011</v>
      </c>
      <c r="K78" s="16"/>
    </row>
    <row r="79" spans="1:19" ht="15" customHeight="1" x14ac:dyDescent="0.3">
      <c r="A79" s="26"/>
      <c r="B79" s="30"/>
      <c r="C79" s="27"/>
      <c r="D79" s="28"/>
      <c r="E79" s="29"/>
      <c r="F79" s="29"/>
      <c r="G79" s="39"/>
      <c r="H79" s="38"/>
      <c r="I79" s="39"/>
      <c r="J79" s="44"/>
      <c r="K79" s="29"/>
      <c r="M79" s="31"/>
      <c r="N79" s="1"/>
      <c r="O79" s="1"/>
      <c r="P79" s="1"/>
      <c r="Q79" s="1"/>
      <c r="R79" s="31"/>
      <c r="S79" s="31"/>
    </row>
    <row r="80" spans="1:19" ht="27.6" x14ac:dyDescent="0.3">
      <c r="A80" s="64">
        <v>12</v>
      </c>
      <c r="B80" s="41" t="s">
        <v>88</v>
      </c>
      <c r="C80" s="27"/>
      <c r="D80" s="28"/>
      <c r="E80" s="29"/>
      <c r="F80" s="29"/>
      <c r="G80" s="39"/>
      <c r="H80" s="38"/>
      <c r="I80" s="39"/>
      <c r="J80" s="44"/>
      <c r="K80" s="29"/>
      <c r="M80" s="31"/>
      <c r="N80" s="1"/>
      <c r="O80" s="1"/>
      <c r="P80" s="1"/>
      <c r="Q80" s="1"/>
      <c r="R80" s="31"/>
      <c r="S80" s="31"/>
    </row>
    <row r="81" spans="1:19" ht="15" customHeight="1" x14ac:dyDescent="0.3">
      <c r="A81" s="43"/>
      <c r="B81" s="45" t="s">
        <v>79</v>
      </c>
      <c r="C81" s="46">
        <v>1</v>
      </c>
      <c r="D81" s="14">
        <f>(2.7+0.1+0.1)*4</f>
        <v>11.600000000000001</v>
      </c>
      <c r="E81" s="14"/>
      <c r="F81" s="14"/>
      <c r="G81" s="14">
        <f>PRODUCT(C81:F81)</f>
        <v>11.600000000000001</v>
      </c>
      <c r="H81" s="47"/>
      <c r="I81" s="44"/>
      <c r="J81" s="44"/>
      <c r="K81" s="16"/>
    </row>
    <row r="82" spans="1:19" ht="15" customHeight="1" x14ac:dyDescent="0.3">
      <c r="A82" s="43"/>
      <c r="B82" s="45" t="s">
        <v>38</v>
      </c>
      <c r="C82" s="46"/>
      <c r="D82" s="14"/>
      <c r="E82" s="14"/>
      <c r="F82" s="14"/>
      <c r="G82" s="44">
        <f>SUM(G81)</f>
        <v>11.600000000000001</v>
      </c>
      <c r="H82" s="44" t="s">
        <v>80</v>
      </c>
      <c r="I82" s="44">
        <f>776.13/1.15</f>
        <v>674.89565217391305</v>
      </c>
      <c r="J82" s="44">
        <f>G82*I82</f>
        <v>7828.789565217392</v>
      </c>
      <c r="K82" s="16"/>
    </row>
    <row r="83" spans="1:19" ht="15" customHeight="1" x14ac:dyDescent="0.3">
      <c r="A83" s="43"/>
      <c r="B83" s="45" t="s">
        <v>52</v>
      </c>
      <c r="C83" s="46"/>
      <c r="D83" s="14"/>
      <c r="E83" s="14"/>
      <c r="F83" s="14"/>
      <c r="G83" s="44"/>
      <c r="H83" s="44"/>
      <c r="I83" s="44"/>
      <c r="J83" s="44">
        <f>0.13*G82*(5480.61/10)</f>
        <v>826.47598800000003</v>
      </c>
      <c r="K83" s="16"/>
    </row>
    <row r="84" spans="1:19" ht="15" customHeight="1" x14ac:dyDescent="0.3">
      <c r="A84" s="26"/>
      <c r="B84" s="30"/>
      <c r="C84" s="27"/>
      <c r="D84" s="28"/>
      <c r="E84" s="29"/>
      <c r="F84" s="29"/>
      <c r="G84" s="39"/>
      <c r="H84" s="38"/>
      <c r="I84" s="39"/>
      <c r="J84" s="44"/>
      <c r="K84" s="29"/>
      <c r="M84" s="31"/>
      <c r="N84" s="1"/>
      <c r="O84" s="1"/>
      <c r="P84" s="1"/>
      <c r="Q84" s="1"/>
      <c r="R84" s="31"/>
      <c r="S84" s="31"/>
    </row>
    <row r="85" spans="1:19" ht="27.6" x14ac:dyDescent="0.3">
      <c r="A85" s="64">
        <v>13</v>
      </c>
      <c r="B85" s="41" t="s">
        <v>89</v>
      </c>
      <c r="C85" s="27"/>
      <c r="D85" s="28"/>
      <c r="E85" s="29"/>
      <c r="F85" s="29"/>
      <c r="G85" s="39"/>
      <c r="H85" s="38"/>
      <c r="I85" s="39"/>
      <c r="J85" s="44"/>
      <c r="K85" s="29"/>
      <c r="M85" s="31"/>
      <c r="N85" s="1"/>
      <c r="O85" s="1"/>
      <c r="P85" s="1"/>
      <c r="Q85" s="1"/>
      <c r="R85" s="31"/>
      <c r="S85" s="31"/>
    </row>
    <row r="86" spans="1:19" ht="15" customHeight="1" x14ac:dyDescent="0.3">
      <c r="A86" s="43"/>
      <c r="B86" s="45" t="s">
        <v>79</v>
      </c>
      <c r="C86" s="46">
        <v>1</v>
      </c>
      <c r="D86" s="14">
        <f>(2.7+0.1+0.1)*4</f>
        <v>11.600000000000001</v>
      </c>
      <c r="E86" s="14"/>
      <c r="F86" s="14"/>
      <c r="G86" s="14">
        <f>PRODUCT(C86:F86)</f>
        <v>11.600000000000001</v>
      </c>
      <c r="H86" s="47"/>
      <c r="I86" s="44"/>
      <c r="J86" s="44"/>
      <c r="K86" s="16"/>
    </row>
    <row r="87" spans="1:19" ht="15" customHeight="1" x14ac:dyDescent="0.3">
      <c r="A87" s="43"/>
      <c r="B87" s="45" t="s">
        <v>38</v>
      </c>
      <c r="C87" s="46"/>
      <c r="D87" s="14"/>
      <c r="E87" s="14"/>
      <c r="F87" s="14"/>
      <c r="G87" s="44">
        <f>SUM(G86)</f>
        <v>11.600000000000001</v>
      </c>
      <c r="H87" s="44" t="s">
        <v>80</v>
      </c>
      <c r="I87" s="44">
        <f>465.63/1.15</f>
        <v>404.89565217391305</v>
      </c>
      <c r="J87" s="44">
        <f>G87*I87</f>
        <v>4696.789565217392</v>
      </c>
      <c r="K87" s="16"/>
    </row>
    <row r="88" spans="1:19" ht="15" customHeight="1" x14ac:dyDescent="0.3">
      <c r="A88" s="43"/>
      <c r="B88" s="45" t="s">
        <v>52</v>
      </c>
      <c r="C88" s="46"/>
      <c r="D88" s="14"/>
      <c r="E88" s="14"/>
      <c r="F88" s="14"/>
      <c r="G88" s="44"/>
      <c r="H88" s="44"/>
      <c r="I88" s="44"/>
      <c r="J88" s="44">
        <f>0.13*G87*(2780.61/10)</f>
        <v>419.31598800000012</v>
      </c>
      <c r="K88" s="16"/>
    </row>
    <row r="89" spans="1:19" ht="15" customHeight="1" x14ac:dyDescent="0.3">
      <c r="A89" s="26"/>
      <c r="B89" s="30"/>
      <c r="C89" s="27"/>
      <c r="D89" s="28"/>
      <c r="E89" s="29"/>
      <c r="F89" s="29"/>
      <c r="G89" s="39"/>
      <c r="H89" s="38"/>
      <c r="I89" s="39"/>
      <c r="J89" s="44"/>
      <c r="K89" s="29"/>
      <c r="M89" s="31"/>
      <c r="N89" s="1"/>
      <c r="O89" s="1"/>
      <c r="P89" s="1"/>
      <c r="Q89" s="1"/>
      <c r="R89" s="31"/>
      <c r="S89" s="31"/>
    </row>
    <row r="90" spans="1:19" ht="30" x14ac:dyDescent="0.3">
      <c r="A90" s="26">
        <v>14</v>
      </c>
      <c r="B90" s="48" t="s">
        <v>57</v>
      </c>
      <c r="C90" s="27"/>
      <c r="D90" s="28"/>
      <c r="E90" s="29"/>
      <c r="F90" s="29"/>
      <c r="G90" s="39"/>
      <c r="H90" s="38"/>
      <c r="I90" s="39"/>
      <c r="J90" s="44"/>
      <c r="K90" s="29"/>
      <c r="M90" s="31"/>
      <c r="N90" s="1"/>
      <c r="O90" s="1"/>
      <c r="P90" s="1"/>
      <c r="Q90" s="1"/>
      <c r="R90" s="31"/>
      <c r="S90" s="31"/>
    </row>
    <row r="91" spans="1:19" ht="15" customHeight="1" x14ac:dyDescent="0.3">
      <c r="A91" s="43"/>
      <c r="B91" s="45" t="s">
        <v>54</v>
      </c>
      <c r="C91" s="46">
        <v>1</v>
      </c>
      <c r="D91" s="14">
        <v>2.71</v>
      </c>
      <c r="E91" s="14"/>
      <c r="F91" s="14">
        <v>2.72</v>
      </c>
      <c r="G91" s="14">
        <f t="shared" ref="G91" si="4">PRODUCT(C91:F91)</f>
        <v>7.3712000000000009</v>
      </c>
      <c r="H91" s="47"/>
      <c r="I91" s="44"/>
      <c r="J91" s="44"/>
      <c r="K91" s="16"/>
    </row>
    <row r="92" spans="1:19" ht="15" customHeight="1" x14ac:dyDescent="0.3">
      <c r="A92" s="43"/>
      <c r="B92" s="45" t="s">
        <v>38</v>
      </c>
      <c r="C92" s="46"/>
      <c r="D92" s="14"/>
      <c r="E92" s="14"/>
      <c r="F92" s="14"/>
      <c r="G92" s="44">
        <f>SUM(G91:G91)</f>
        <v>7.3712000000000009</v>
      </c>
      <c r="H92" s="44" t="s">
        <v>41</v>
      </c>
      <c r="I92" s="44">
        <v>438.01</v>
      </c>
      <c r="J92" s="44">
        <f>G91*I92</f>
        <v>3228.6593120000002</v>
      </c>
      <c r="K92" s="16"/>
    </row>
    <row r="93" spans="1:19" ht="15" customHeight="1" x14ac:dyDescent="0.3">
      <c r="A93" s="43"/>
      <c r="B93" s="45" t="s">
        <v>52</v>
      </c>
      <c r="C93" s="46"/>
      <c r="D93" s="14"/>
      <c r="E93" s="14"/>
      <c r="F93" s="14"/>
      <c r="G93" s="44"/>
      <c r="H93" s="44"/>
      <c r="I93" s="44"/>
      <c r="J93" s="44">
        <f>0.13*G92*(2725.4/10)</f>
        <v>261.16309024000003</v>
      </c>
      <c r="K93" s="16"/>
    </row>
    <row r="94" spans="1:19" ht="15" customHeight="1" x14ac:dyDescent="0.3">
      <c r="A94" s="43"/>
      <c r="B94" s="45"/>
      <c r="C94" s="46"/>
      <c r="D94" s="14"/>
      <c r="E94" s="14"/>
      <c r="F94" s="14"/>
      <c r="G94" s="47"/>
      <c r="H94" s="47"/>
      <c r="I94" s="47"/>
      <c r="J94" s="40"/>
      <c r="K94" s="16"/>
    </row>
    <row r="95" spans="1:19" ht="30" x14ac:dyDescent="0.3">
      <c r="A95" s="43">
        <v>15</v>
      </c>
      <c r="B95" s="48" t="s">
        <v>40</v>
      </c>
      <c r="C95" s="46"/>
      <c r="D95" s="14"/>
      <c r="E95" s="14"/>
      <c r="F95" s="14"/>
      <c r="G95" s="47"/>
      <c r="H95" s="47"/>
      <c r="I95" s="47"/>
      <c r="J95" s="40"/>
      <c r="K95" s="16"/>
    </row>
    <row r="96" spans="1:19" x14ac:dyDescent="0.3">
      <c r="A96" s="43"/>
      <c r="B96" s="45" t="s">
        <v>117</v>
      </c>
      <c r="C96" s="46">
        <f>C31</f>
        <v>2</v>
      </c>
      <c r="D96" s="14">
        <f>D31</f>
        <v>2.4900944833892105</v>
      </c>
      <c r="E96" s="14"/>
      <c r="F96" s="14">
        <f>F31-1.2</f>
        <v>1.2100000000000002</v>
      </c>
      <c r="G96" s="14">
        <f t="shared" ref="G96:G101" si="5">PRODUCT(C96:F96)</f>
        <v>6.0260286498018907</v>
      </c>
      <c r="H96" s="47"/>
      <c r="I96" s="47"/>
      <c r="J96" s="40"/>
      <c r="K96" s="16"/>
    </row>
    <row r="97" spans="1:11" ht="15" x14ac:dyDescent="0.3">
      <c r="A97" s="43"/>
      <c r="B97" s="48"/>
      <c r="C97" s="46">
        <f>C32</f>
        <v>2</v>
      </c>
      <c r="D97" s="14">
        <f>D32</f>
        <v>2.4900944833892105</v>
      </c>
      <c r="E97" s="14"/>
      <c r="F97" s="14">
        <f>F32-1.2</f>
        <v>1.2100000000000002</v>
      </c>
      <c r="G97" s="14">
        <f t="shared" si="5"/>
        <v>6.0260286498018907</v>
      </c>
      <c r="H97" s="47"/>
      <c r="I97" s="47"/>
      <c r="J97" s="40"/>
      <c r="K97" s="16"/>
    </row>
    <row r="98" spans="1:11" x14ac:dyDescent="0.3">
      <c r="A98" s="43"/>
      <c r="B98" s="45" t="s">
        <v>44</v>
      </c>
      <c r="C98" s="46">
        <v>-3</v>
      </c>
      <c r="D98" s="14">
        <f>0.6</f>
        <v>0.6</v>
      </c>
      <c r="E98" s="14"/>
      <c r="F98" s="14">
        <v>0.9</v>
      </c>
      <c r="G98" s="14">
        <f t="shared" si="5"/>
        <v>-1.6199999999999999</v>
      </c>
      <c r="H98" s="47"/>
      <c r="I98" s="47"/>
      <c r="J98" s="40"/>
      <c r="K98" s="16"/>
    </row>
    <row r="99" spans="1:11" x14ac:dyDescent="0.3">
      <c r="A99" s="43"/>
      <c r="B99" s="45" t="s">
        <v>43</v>
      </c>
      <c r="C99" s="46">
        <v>-1</v>
      </c>
      <c r="D99" s="14">
        <f>3.5/3.281</f>
        <v>1.0667479427003961</v>
      </c>
      <c r="E99" s="14"/>
      <c r="F99" s="14">
        <f>(7/3.281)-1.2</f>
        <v>0.9334958854007922</v>
      </c>
      <c r="G99" s="14">
        <f t="shared" si="5"/>
        <v>-0.99580481527057974</v>
      </c>
      <c r="H99" s="47"/>
      <c r="I99" s="47"/>
      <c r="J99" s="40"/>
      <c r="K99" s="16"/>
    </row>
    <row r="100" spans="1:11" ht="15" customHeight="1" x14ac:dyDescent="0.3">
      <c r="A100" s="43"/>
      <c r="B100" s="45" t="s">
        <v>54</v>
      </c>
      <c r="C100" s="46">
        <v>1</v>
      </c>
      <c r="D100" s="14">
        <f>2.71+2.72+2.64+0.3+0.3</f>
        <v>8.6700000000000017</v>
      </c>
      <c r="E100" s="14"/>
      <c r="F100" s="14">
        <v>2.72</v>
      </c>
      <c r="G100" s="14">
        <f t="shared" si="5"/>
        <v>23.582400000000007</v>
      </c>
      <c r="H100" s="47"/>
      <c r="I100" s="44"/>
      <c r="J100" s="44"/>
      <c r="K100" s="16"/>
    </row>
    <row r="101" spans="1:11" ht="15" customHeight="1" x14ac:dyDescent="0.3">
      <c r="A101" s="43"/>
      <c r="B101" s="45" t="s">
        <v>55</v>
      </c>
      <c r="C101" s="46">
        <v>1</v>
      </c>
      <c r="D101" s="14">
        <f>0.32+0.15+2.06+0.12+0.13+2.1+0.12+0.1+2.06+0.14+0.3</f>
        <v>7.6</v>
      </c>
      <c r="E101" s="14"/>
      <c r="F101" s="14">
        <v>2.72</v>
      </c>
      <c r="G101" s="14">
        <f t="shared" si="5"/>
        <v>20.672000000000001</v>
      </c>
      <c r="H101" s="47"/>
      <c r="I101" s="44"/>
      <c r="J101" s="44"/>
      <c r="K101" s="16"/>
    </row>
    <row r="102" spans="1:11" ht="15" customHeight="1" x14ac:dyDescent="0.3">
      <c r="A102" s="43"/>
      <c r="B102" s="45" t="s">
        <v>38</v>
      </c>
      <c r="C102" s="46"/>
      <c r="D102" s="14"/>
      <c r="E102" s="14"/>
      <c r="F102" s="14"/>
      <c r="G102" s="44">
        <f>SUM(G96:G101)</f>
        <v>53.690652484333214</v>
      </c>
      <c r="H102" s="44" t="s">
        <v>41</v>
      </c>
      <c r="I102" s="44">
        <v>405.86</v>
      </c>
      <c r="J102" s="44">
        <f>G100*I102</f>
        <v>9571.1528640000033</v>
      </c>
      <c r="K102" s="16"/>
    </row>
    <row r="103" spans="1:11" ht="18" customHeight="1" x14ac:dyDescent="0.3">
      <c r="A103" s="43"/>
      <c r="B103" s="45" t="s">
        <v>52</v>
      </c>
      <c r="C103" s="46"/>
      <c r="D103" s="14"/>
      <c r="E103" s="14"/>
      <c r="F103" s="14"/>
      <c r="G103" s="44"/>
      <c r="H103" s="44"/>
      <c r="I103" s="44"/>
      <c r="J103" s="44">
        <f>0.13*G102*(11166.2/100)</f>
        <v>779.37673290173007</v>
      </c>
      <c r="K103" s="16"/>
    </row>
    <row r="104" spans="1:11" ht="18" customHeight="1" x14ac:dyDescent="0.3">
      <c r="A104" s="43"/>
      <c r="B104" s="45"/>
      <c r="C104" s="46"/>
      <c r="D104" s="14"/>
      <c r="E104" s="14"/>
      <c r="F104" s="14"/>
      <c r="G104" s="44"/>
      <c r="H104" s="44"/>
      <c r="I104" s="44"/>
      <c r="J104" s="44"/>
      <c r="K104" s="16"/>
    </row>
    <row r="105" spans="1:11" ht="30" x14ac:dyDescent="0.3">
      <c r="A105" s="43">
        <v>16</v>
      </c>
      <c r="B105" s="48" t="s">
        <v>58</v>
      </c>
      <c r="C105" s="46"/>
      <c r="D105" s="14"/>
      <c r="E105" s="14"/>
      <c r="F105" s="14"/>
      <c r="G105" s="47"/>
      <c r="H105" s="47"/>
      <c r="I105" s="47"/>
      <c r="J105" s="40"/>
      <c r="K105" s="16"/>
    </row>
    <row r="106" spans="1:11" ht="15" customHeight="1" x14ac:dyDescent="0.3">
      <c r="A106" s="43"/>
      <c r="B106" s="45" t="s">
        <v>54</v>
      </c>
      <c r="C106" s="46">
        <v>1</v>
      </c>
      <c r="D106" s="14">
        <f>D100</f>
        <v>8.6700000000000017</v>
      </c>
      <c r="E106" s="14"/>
      <c r="F106" s="14">
        <v>2.72</v>
      </c>
      <c r="G106" s="14">
        <f t="shared" ref="G106" si="6">PRODUCT(C106:F106)</f>
        <v>23.582400000000007</v>
      </c>
      <c r="H106" s="47"/>
      <c r="I106" s="44"/>
      <c r="J106" s="44"/>
      <c r="K106" s="16"/>
    </row>
    <row r="107" spans="1:11" ht="15" customHeight="1" x14ac:dyDescent="0.3">
      <c r="A107" s="43"/>
      <c r="B107" s="45" t="s">
        <v>38</v>
      </c>
      <c r="C107" s="46"/>
      <c r="D107" s="14"/>
      <c r="E107" s="14"/>
      <c r="F107" s="14"/>
      <c r="G107" s="44">
        <f>SUM(G106:G106)</f>
        <v>23.582400000000007</v>
      </c>
      <c r="H107" s="44" t="s">
        <v>41</v>
      </c>
      <c r="I107" s="44">
        <v>279.02999999999997</v>
      </c>
      <c r="J107" s="44">
        <f>G106*I107</f>
        <v>6580.1970720000008</v>
      </c>
      <c r="K107" s="16"/>
    </row>
    <row r="108" spans="1:11" ht="15" customHeight="1" x14ac:dyDescent="0.3">
      <c r="A108" s="43"/>
      <c r="B108" s="45" t="s">
        <v>52</v>
      </c>
      <c r="C108" s="46"/>
      <c r="D108" s="14"/>
      <c r="E108" s="14"/>
      <c r="F108" s="14"/>
      <c r="G108" s="44"/>
      <c r="H108" s="44"/>
      <c r="I108" s="44"/>
      <c r="J108" s="44">
        <f>0.13*G107*(345.36/10)</f>
        <v>105.87742963200003</v>
      </c>
      <c r="K108" s="16"/>
    </row>
    <row r="109" spans="1:11" ht="15" customHeight="1" x14ac:dyDescent="0.3">
      <c r="A109" s="43"/>
      <c r="B109" s="45"/>
      <c r="C109" s="46"/>
      <c r="D109" s="14"/>
      <c r="E109" s="14"/>
      <c r="F109" s="14"/>
      <c r="G109" s="47"/>
      <c r="H109" s="47"/>
      <c r="I109" s="47"/>
      <c r="J109" s="40"/>
      <c r="K109" s="16"/>
    </row>
    <row r="110" spans="1:11" ht="30" x14ac:dyDescent="0.3">
      <c r="A110" s="58">
        <v>17</v>
      </c>
      <c r="B110" s="48" t="s">
        <v>45</v>
      </c>
      <c r="C110" s="46"/>
      <c r="D110" s="14"/>
      <c r="E110" s="14"/>
      <c r="F110" s="14"/>
      <c r="G110" s="47"/>
      <c r="H110" s="47"/>
      <c r="I110" s="47"/>
      <c r="J110" s="40"/>
      <c r="K110" s="16"/>
    </row>
    <row r="111" spans="1:11" x14ac:dyDescent="0.3">
      <c r="A111" s="58"/>
      <c r="B111" s="45" t="str">
        <f>B96</f>
        <v>-inside worship area</v>
      </c>
      <c r="C111" s="46">
        <f>C96</f>
        <v>2</v>
      </c>
      <c r="D111" s="14">
        <f>D96</f>
        <v>2.4900944833892105</v>
      </c>
      <c r="E111" s="14"/>
      <c r="F111" s="14">
        <f>F96</f>
        <v>1.2100000000000002</v>
      </c>
      <c r="G111" s="14">
        <f t="shared" ref="G111:G115" si="7">PRODUCT(C111:F111)</f>
        <v>6.0260286498018907</v>
      </c>
      <c r="H111" s="47"/>
      <c r="I111" s="47"/>
      <c r="J111" s="40"/>
      <c r="K111" s="16"/>
    </row>
    <row r="112" spans="1:11" x14ac:dyDescent="0.3">
      <c r="A112" s="58"/>
      <c r="B112" s="45"/>
      <c r="C112" s="46">
        <f t="shared" ref="C112:D112" si="8">C97</f>
        <v>2</v>
      </c>
      <c r="D112" s="14">
        <f t="shared" si="8"/>
        <v>2.4900944833892105</v>
      </c>
      <c r="E112" s="14"/>
      <c r="F112" s="14">
        <f t="shared" ref="F112:F114" si="9">F97</f>
        <v>1.2100000000000002</v>
      </c>
      <c r="G112" s="14">
        <f t="shared" si="7"/>
        <v>6.0260286498018907</v>
      </c>
      <c r="H112" s="47"/>
      <c r="I112" s="47"/>
      <c r="J112" s="40"/>
      <c r="K112" s="16"/>
    </row>
    <row r="113" spans="1:11" x14ac:dyDescent="0.3">
      <c r="A113" s="58"/>
      <c r="B113" s="45" t="str">
        <f>B98</f>
        <v>-Deduction for window</v>
      </c>
      <c r="C113" s="46">
        <f t="shared" ref="C113:D113" si="10">C98</f>
        <v>-3</v>
      </c>
      <c r="D113" s="14">
        <f t="shared" si="10"/>
        <v>0.6</v>
      </c>
      <c r="E113" s="14"/>
      <c r="F113" s="14">
        <f t="shared" si="9"/>
        <v>0.9</v>
      </c>
      <c r="G113" s="14">
        <f t="shared" si="7"/>
        <v>-1.6199999999999999</v>
      </c>
      <c r="H113" s="47"/>
      <c r="I113" s="47"/>
      <c r="J113" s="40"/>
      <c r="K113" s="16"/>
    </row>
    <row r="114" spans="1:11" x14ac:dyDescent="0.3">
      <c r="A114" s="58"/>
      <c r="B114" s="45" t="str">
        <f>B99</f>
        <v>-Deduction for door</v>
      </c>
      <c r="C114" s="46">
        <f t="shared" ref="C114:D114" si="11">C99</f>
        <v>-1</v>
      </c>
      <c r="D114" s="14">
        <f t="shared" si="11"/>
        <v>1.0667479427003961</v>
      </c>
      <c r="E114" s="14"/>
      <c r="F114" s="14">
        <f t="shared" si="9"/>
        <v>0.9334958854007922</v>
      </c>
      <c r="G114" s="14">
        <f t="shared" si="7"/>
        <v>-0.99580481527057974</v>
      </c>
      <c r="H114" s="47"/>
      <c r="I114" s="47"/>
      <c r="J114" s="40"/>
      <c r="K114" s="16"/>
    </row>
    <row r="115" spans="1:11" x14ac:dyDescent="0.3">
      <c r="A115" s="43"/>
      <c r="B115" s="45" t="str">
        <f>B101</f>
        <v>-Inner wall face</v>
      </c>
      <c r="C115" s="46">
        <v>1</v>
      </c>
      <c r="D115" s="14">
        <f>D101</f>
        <v>7.6</v>
      </c>
      <c r="E115" s="14"/>
      <c r="F115" s="14">
        <f>F101</f>
        <v>2.72</v>
      </c>
      <c r="G115" s="14">
        <f t="shared" si="7"/>
        <v>20.672000000000001</v>
      </c>
      <c r="H115" s="44"/>
      <c r="I115" s="9"/>
      <c r="J115" s="9"/>
      <c r="K115" s="16"/>
    </row>
    <row r="116" spans="1:11" ht="15" customHeight="1" x14ac:dyDescent="0.3">
      <c r="A116" s="43"/>
      <c r="B116" s="45" t="s">
        <v>38</v>
      </c>
      <c r="C116" s="46"/>
      <c r="D116" s="14"/>
      <c r="E116" s="14"/>
      <c r="F116" s="14"/>
      <c r="G116" s="44">
        <f>SUM(G111:G115)</f>
        <v>30.108252484333203</v>
      </c>
      <c r="H116" s="44" t="s">
        <v>41</v>
      </c>
      <c r="I116" s="44">
        <f>184.41</f>
        <v>184.41</v>
      </c>
      <c r="J116" s="44">
        <f>G116*I116</f>
        <v>5552.2628406358863</v>
      </c>
      <c r="K116" s="16"/>
    </row>
    <row r="117" spans="1:11" ht="15" customHeight="1" x14ac:dyDescent="0.3">
      <c r="A117" s="43"/>
      <c r="B117" s="45" t="s">
        <v>52</v>
      </c>
      <c r="C117" s="46"/>
      <c r="D117" s="14"/>
      <c r="E117" s="14"/>
      <c r="F117" s="14"/>
      <c r="G117" s="44"/>
      <c r="H117" s="44"/>
      <c r="I117" s="44"/>
      <c r="J117" s="44">
        <f>0.13*G116*(6000/100)</f>
        <v>234.84436937779898</v>
      </c>
      <c r="K117" s="16"/>
    </row>
    <row r="118" spans="1:11" ht="15" customHeight="1" x14ac:dyDescent="0.3">
      <c r="A118" s="43"/>
      <c r="B118" s="45"/>
      <c r="C118" s="46"/>
      <c r="D118" s="14"/>
      <c r="E118" s="14"/>
      <c r="F118" s="14"/>
      <c r="G118" s="44"/>
      <c r="H118" s="44"/>
      <c r="I118" s="44"/>
      <c r="J118" s="44"/>
      <c r="K118" s="16"/>
    </row>
    <row r="119" spans="1:11" ht="30" x14ac:dyDescent="0.3">
      <c r="A119" s="43">
        <v>18</v>
      </c>
      <c r="B119" s="48" t="s">
        <v>118</v>
      </c>
      <c r="C119" s="46"/>
      <c r="D119" s="14"/>
      <c r="E119" s="14"/>
      <c r="F119" s="14"/>
      <c r="G119" s="44"/>
      <c r="H119" s="44"/>
      <c r="I119" s="44"/>
      <c r="J119" s="44"/>
      <c r="K119" s="16"/>
    </row>
    <row r="120" spans="1:11" ht="15" customHeight="1" x14ac:dyDescent="0.3">
      <c r="A120" s="43"/>
      <c r="B120" s="45" t="s">
        <v>119</v>
      </c>
      <c r="C120" s="46">
        <v>1</v>
      </c>
      <c r="D120" s="14"/>
      <c r="E120" s="14"/>
      <c r="F120" s="14"/>
      <c r="G120" s="47">
        <f>G116</f>
        <v>30.108252484333203</v>
      </c>
      <c r="H120" s="44"/>
      <c r="I120" s="44"/>
      <c r="J120" s="44"/>
      <c r="K120" s="16"/>
    </row>
    <row r="121" spans="1:11" ht="15" customHeight="1" x14ac:dyDescent="0.3">
      <c r="A121" s="43"/>
      <c r="B121" s="45" t="s">
        <v>38</v>
      </c>
      <c r="C121" s="46"/>
      <c r="D121" s="14"/>
      <c r="E121" s="14"/>
      <c r="F121" s="14"/>
      <c r="G121" s="44">
        <f>SUM(G120)</f>
        <v>30.108252484333203</v>
      </c>
      <c r="H121" s="44" t="s">
        <v>41</v>
      </c>
      <c r="I121" s="44">
        <v>154.91999999999999</v>
      </c>
      <c r="J121" s="44">
        <f>G121*I121</f>
        <v>4664.3704748728996</v>
      </c>
      <c r="K121" s="16"/>
    </row>
    <row r="122" spans="1:11" ht="15" customHeight="1" x14ac:dyDescent="0.3">
      <c r="A122" s="43"/>
      <c r="B122" s="45" t="s">
        <v>52</v>
      </c>
      <c r="C122" s="46"/>
      <c r="D122" s="14"/>
      <c r="E122" s="14"/>
      <c r="F122" s="14"/>
      <c r="G122" s="44"/>
      <c r="H122" s="44"/>
      <c r="I122" s="44"/>
      <c r="J122" s="44">
        <f>0.13*G121*(1550/100)</f>
        <v>60.668128755931406</v>
      </c>
      <c r="K122" s="16"/>
    </row>
    <row r="123" spans="1:11" x14ac:dyDescent="0.3">
      <c r="A123" s="43"/>
      <c r="B123" s="45"/>
      <c r="C123" s="46"/>
      <c r="D123" s="14"/>
      <c r="E123" s="14"/>
      <c r="F123" s="14"/>
      <c r="G123" s="47"/>
      <c r="H123" s="47"/>
      <c r="I123" s="47"/>
      <c r="J123" s="40"/>
      <c r="K123" s="16"/>
    </row>
    <row r="124" spans="1:11" ht="30" x14ac:dyDescent="0.3">
      <c r="A124" s="58">
        <v>19</v>
      </c>
      <c r="B124" s="48" t="s">
        <v>59</v>
      </c>
      <c r="C124" s="46"/>
      <c r="D124" s="14"/>
      <c r="E124" s="14"/>
      <c r="F124" s="14"/>
      <c r="G124" s="47"/>
      <c r="H124" s="47"/>
      <c r="I124" s="47"/>
      <c r="J124" s="40"/>
      <c r="K124" s="16"/>
    </row>
    <row r="125" spans="1:11" x14ac:dyDescent="0.3">
      <c r="A125" s="43"/>
      <c r="B125" s="45" t="s">
        <v>60</v>
      </c>
      <c r="C125" s="46">
        <v>1</v>
      </c>
      <c r="D125" s="14">
        <f>2.32</f>
        <v>2.3199999999999998</v>
      </c>
      <c r="E125" s="14">
        <f>2.06+0.12+0.3</f>
        <v>2.48</v>
      </c>
      <c r="F125" s="14"/>
      <c r="G125" s="14">
        <f t="shared" ref="G125:G132" si="12">PRODUCT(C125:F125)</f>
        <v>5.7535999999999996</v>
      </c>
      <c r="H125" s="44"/>
      <c r="I125" s="9"/>
      <c r="J125" s="9"/>
      <c r="K125" s="16"/>
    </row>
    <row r="126" spans="1:11" x14ac:dyDescent="0.3">
      <c r="A126" s="43"/>
      <c r="B126" s="45" t="s">
        <v>61</v>
      </c>
      <c r="C126" s="46">
        <v>-1</v>
      </c>
      <c r="D126" s="14">
        <v>0.12</v>
      </c>
      <c r="E126" s="14">
        <v>0.13</v>
      </c>
      <c r="F126" s="14"/>
      <c r="G126" s="14">
        <f t="shared" si="12"/>
        <v>-1.5599999999999999E-2</v>
      </c>
      <c r="H126" s="44"/>
      <c r="I126" s="9"/>
      <c r="J126" s="9"/>
      <c r="K126" s="16"/>
    </row>
    <row r="127" spans="1:11" x14ac:dyDescent="0.3">
      <c r="A127" s="43"/>
      <c r="B127" s="45"/>
      <c r="C127" s="46">
        <v>-1</v>
      </c>
      <c r="D127" s="14">
        <v>0.12</v>
      </c>
      <c r="E127" s="14">
        <v>0.1</v>
      </c>
      <c r="F127" s="14"/>
      <c r="G127" s="14">
        <f t="shared" si="12"/>
        <v>-1.2E-2</v>
      </c>
      <c r="H127" s="44"/>
      <c r="I127" s="9"/>
      <c r="J127" s="9"/>
      <c r="K127" s="16"/>
    </row>
    <row r="128" spans="1:11" x14ac:dyDescent="0.3">
      <c r="A128" s="43"/>
      <c r="B128" s="45"/>
      <c r="C128" s="46">
        <v>-1</v>
      </c>
      <c r="D128" s="14">
        <f>0.15</f>
        <v>0.15</v>
      </c>
      <c r="E128" s="14">
        <v>0.32</v>
      </c>
      <c r="F128" s="14"/>
      <c r="G128" s="14">
        <f t="shared" si="12"/>
        <v>-4.8000000000000001E-2</v>
      </c>
      <c r="H128" s="44"/>
      <c r="I128" s="9"/>
      <c r="J128" s="9"/>
      <c r="K128" s="16"/>
    </row>
    <row r="129" spans="1:11" x14ac:dyDescent="0.3">
      <c r="A129" s="43"/>
      <c r="B129" s="45"/>
      <c r="C129" s="46">
        <v>-1</v>
      </c>
      <c r="D129" s="14">
        <v>0.14000000000000001</v>
      </c>
      <c r="E129" s="14">
        <v>0.3</v>
      </c>
      <c r="F129" s="14"/>
      <c r="G129" s="14">
        <f t="shared" si="12"/>
        <v>-4.2000000000000003E-2</v>
      </c>
      <c r="H129" s="44"/>
      <c r="I129" s="9"/>
      <c r="J129" s="9"/>
      <c r="K129" s="16"/>
    </row>
    <row r="130" spans="1:11" x14ac:dyDescent="0.3">
      <c r="A130" s="43"/>
      <c r="B130" s="45" t="s">
        <v>76</v>
      </c>
      <c r="C130" s="46">
        <v>1</v>
      </c>
      <c r="D130" s="14">
        <f>7.25/3.281</f>
        <v>2.2096921670222494</v>
      </c>
      <c r="E130" s="14">
        <f>5.25/3.281</f>
        <v>1.6001219140505942</v>
      </c>
      <c r="F130" s="14"/>
      <c r="G130" s="14">
        <f t="shared" si="12"/>
        <v>3.5357768597582471</v>
      </c>
      <c r="H130" s="44"/>
      <c r="I130" s="9"/>
      <c r="J130" s="9"/>
      <c r="K130" s="16"/>
    </row>
    <row r="131" spans="1:11" x14ac:dyDescent="0.3">
      <c r="A131" s="43"/>
      <c r="B131" s="45" t="s">
        <v>111</v>
      </c>
      <c r="C131" s="46">
        <v>2</v>
      </c>
      <c r="D131" s="14">
        <f>14.75/3.281</f>
        <v>4.495580615665955</v>
      </c>
      <c r="E131" s="14">
        <f>2.583/3.281</f>
        <v>0.78725998171289246</v>
      </c>
      <c r="F131" s="14"/>
      <c r="G131" s="14">
        <f t="shared" si="12"/>
        <v>7.0783814265560272</v>
      </c>
      <c r="H131" s="44"/>
      <c r="I131" s="9"/>
      <c r="J131" s="9"/>
      <c r="K131" s="16"/>
    </row>
    <row r="132" spans="1:11" x14ac:dyDescent="0.3">
      <c r="A132" s="43"/>
      <c r="B132" s="45"/>
      <c r="C132" s="46">
        <v>2</v>
      </c>
      <c r="D132" s="14">
        <f>9.583/3.281</f>
        <v>2.9207558671136846</v>
      </c>
      <c r="E132" s="14">
        <f>2.583/3.281</f>
        <v>0.78725998171289246</v>
      </c>
      <c r="F132" s="14"/>
      <c r="G132" s="14">
        <f t="shared" si="12"/>
        <v>4.5987884210634853</v>
      </c>
      <c r="H132" s="44"/>
      <c r="I132" s="9"/>
      <c r="J132" s="9"/>
      <c r="K132" s="16"/>
    </row>
    <row r="133" spans="1:11" ht="15" customHeight="1" x14ac:dyDescent="0.3">
      <c r="A133" s="43"/>
      <c r="B133" s="45" t="s">
        <v>38</v>
      </c>
      <c r="C133" s="46"/>
      <c r="D133" s="14"/>
      <c r="E133" s="14"/>
      <c r="F133" s="14"/>
      <c r="G133" s="44">
        <f>SUM(G125:G132)</f>
        <v>20.84894670737776</v>
      </c>
      <c r="H133" s="44" t="s">
        <v>41</v>
      </c>
      <c r="I133" s="44">
        <v>6803.67</v>
      </c>
      <c r="J133" s="44">
        <f>G133*I133</f>
        <v>141849.35324458484</v>
      </c>
      <c r="K133" s="16"/>
    </row>
    <row r="134" spans="1:11" ht="15" customHeight="1" x14ac:dyDescent="0.3">
      <c r="A134" s="43"/>
      <c r="B134" s="45" t="s">
        <v>52</v>
      </c>
      <c r="C134" s="46"/>
      <c r="D134" s="14"/>
      <c r="E134" s="14"/>
      <c r="F134" s="14"/>
      <c r="G134" s="44"/>
      <c r="H134" s="44"/>
      <c r="I134" s="44"/>
      <c r="J134" s="44">
        <f>0.13*G133*(45806.78/10)</f>
        <v>12415.300495735508</v>
      </c>
      <c r="K134" s="16"/>
    </row>
    <row r="135" spans="1:11" x14ac:dyDescent="0.3">
      <c r="A135" s="43"/>
      <c r="B135" s="45"/>
      <c r="C135" s="46"/>
      <c r="D135" s="14"/>
      <c r="E135" s="14"/>
      <c r="F135" s="14"/>
      <c r="G135" s="47"/>
      <c r="H135" s="47"/>
      <c r="I135" s="47"/>
      <c r="J135" s="40"/>
      <c r="K135" s="16"/>
    </row>
    <row r="136" spans="1:11" ht="30" x14ac:dyDescent="0.3">
      <c r="A136" s="43">
        <v>20</v>
      </c>
      <c r="B136" s="48" t="s">
        <v>62</v>
      </c>
      <c r="C136" s="46"/>
      <c r="D136" s="14"/>
      <c r="E136" s="14"/>
      <c r="F136" s="14"/>
      <c r="G136" s="47"/>
      <c r="H136" s="47"/>
      <c r="I136" s="47"/>
      <c r="J136" s="40"/>
      <c r="K136" s="16"/>
    </row>
    <row r="137" spans="1:11" x14ac:dyDescent="0.3">
      <c r="A137" s="43"/>
      <c r="B137" s="45" t="s">
        <v>63</v>
      </c>
      <c r="C137" s="46">
        <v>2</v>
      </c>
      <c r="D137" s="14">
        <f>4.46-0.1-0.1+4.5-0.1-0.1</f>
        <v>8.5600000000000023</v>
      </c>
      <c r="E137" s="14"/>
      <c r="F137" s="14"/>
      <c r="G137" s="14">
        <f t="shared" ref="G137" si="13">PRODUCT(C137:F137)</f>
        <v>17.120000000000005</v>
      </c>
      <c r="H137" s="44"/>
      <c r="I137" s="9"/>
      <c r="J137" s="9"/>
      <c r="K137" s="16"/>
    </row>
    <row r="138" spans="1:11" ht="15" customHeight="1" x14ac:dyDescent="0.3">
      <c r="A138" s="43"/>
      <c r="B138" s="45" t="s">
        <v>38</v>
      </c>
      <c r="C138" s="46"/>
      <c r="D138" s="14"/>
      <c r="E138" s="14"/>
      <c r="F138" s="14"/>
      <c r="G138" s="44">
        <f>SUM(G137)</f>
        <v>17.120000000000005</v>
      </c>
      <c r="H138" s="44" t="s">
        <v>39</v>
      </c>
      <c r="I138" s="44">
        <v>4132.8</v>
      </c>
      <c r="J138" s="44">
        <f>G138*I138</f>
        <v>70753.536000000022</v>
      </c>
      <c r="K138" s="16"/>
    </row>
    <row r="139" spans="1:11" ht="15" customHeight="1" x14ac:dyDescent="0.3">
      <c r="A139" s="43"/>
      <c r="B139" s="45" t="s">
        <v>52</v>
      </c>
      <c r="C139" s="46"/>
      <c r="D139" s="14"/>
      <c r="E139" s="14"/>
      <c r="F139" s="14"/>
      <c r="G139" s="44"/>
      <c r="H139" s="44"/>
      <c r="I139" s="44"/>
      <c r="J139" s="44">
        <f>0.13*J138</f>
        <v>9197.9596800000036</v>
      </c>
      <c r="K139" s="16"/>
    </row>
    <row r="140" spans="1:11" x14ac:dyDescent="0.3">
      <c r="A140" s="43"/>
      <c r="B140" s="45"/>
      <c r="C140" s="46"/>
      <c r="D140" s="14"/>
      <c r="E140" s="14"/>
      <c r="F140" s="14"/>
      <c r="G140" s="47"/>
      <c r="H140" s="47"/>
      <c r="I140" s="47"/>
      <c r="J140" s="40"/>
      <c r="K140" s="16"/>
    </row>
    <row r="141" spans="1:11" ht="30" x14ac:dyDescent="0.3">
      <c r="A141" s="43">
        <v>21</v>
      </c>
      <c r="B141" s="48" t="s">
        <v>64</v>
      </c>
      <c r="C141" s="46"/>
      <c r="D141" s="14"/>
      <c r="E141" s="14"/>
      <c r="F141" s="14"/>
      <c r="G141" s="47"/>
      <c r="H141" s="47"/>
      <c r="I141" s="47"/>
      <c r="J141" s="40"/>
      <c r="K141" s="16"/>
    </row>
    <row r="142" spans="1:11" x14ac:dyDescent="0.3">
      <c r="A142" s="43"/>
      <c r="B142" s="45" t="s">
        <v>63</v>
      </c>
      <c r="C142" s="46">
        <v>2</v>
      </c>
      <c r="D142" s="14">
        <f>4.46+4.5+4.5+4.5</f>
        <v>17.96</v>
      </c>
      <c r="E142" s="14"/>
      <c r="F142" s="14"/>
      <c r="G142" s="14">
        <f t="shared" ref="G142" si="14">PRODUCT(C142:F142)</f>
        <v>35.92</v>
      </c>
      <c r="H142" s="44"/>
      <c r="I142" s="9"/>
      <c r="J142" s="9"/>
      <c r="K142" s="16"/>
    </row>
    <row r="143" spans="1:11" ht="15" customHeight="1" x14ac:dyDescent="0.3">
      <c r="A143" s="43"/>
      <c r="B143" s="45" t="s">
        <v>38</v>
      </c>
      <c r="C143" s="46"/>
      <c r="D143" s="14"/>
      <c r="E143" s="14"/>
      <c r="F143" s="14"/>
      <c r="G143" s="44">
        <f>SUM(G142)</f>
        <v>35.92</v>
      </c>
      <c r="H143" s="44" t="s">
        <v>39</v>
      </c>
      <c r="I143" s="44">
        <v>137.44999999999999</v>
      </c>
      <c r="J143" s="44">
        <f>G143*I143</f>
        <v>4937.2039999999997</v>
      </c>
      <c r="K143" s="16"/>
    </row>
    <row r="144" spans="1:11" ht="15" customHeight="1" x14ac:dyDescent="0.3">
      <c r="A144" s="43"/>
      <c r="B144" s="45" t="s">
        <v>52</v>
      </c>
      <c r="C144" s="46"/>
      <c r="D144" s="14"/>
      <c r="E144" s="14"/>
      <c r="F144" s="14"/>
      <c r="G144" s="44"/>
      <c r="H144" s="44"/>
      <c r="I144" s="44"/>
      <c r="J144" s="44">
        <f>0.13*G143*97.64</f>
        <v>455.93974400000002</v>
      </c>
      <c r="K144" s="16"/>
    </row>
    <row r="145" spans="1:13" x14ac:dyDescent="0.3">
      <c r="A145" s="43"/>
      <c r="B145" s="45"/>
      <c r="C145" s="46"/>
      <c r="D145" s="14"/>
      <c r="E145" s="14"/>
      <c r="F145" s="14"/>
      <c r="G145" s="47"/>
      <c r="H145" s="47"/>
      <c r="I145" s="47"/>
      <c r="J145" s="40"/>
      <c r="K145" s="16"/>
    </row>
    <row r="146" spans="1:13" ht="28.8" x14ac:dyDescent="0.3">
      <c r="A146" s="43">
        <v>22</v>
      </c>
      <c r="B146" s="59" t="s">
        <v>66</v>
      </c>
      <c r="C146" s="53"/>
      <c r="D146" s="54"/>
      <c r="E146" s="54"/>
      <c r="F146" s="54"/>
      <c r="G146" s="57"/>
      <c r="H146" s="57"/>
      <c r="I146" s="57"/>
      <c r="J146" s="40"/>
      <c r="K146" s="5"/>
    </row>
    <row r="147" spans="1:13" x14ac:dyDescent="0.3">
      <c r="A147" s="43"/>
      <c r="B147" s="56" t="s">
        <v>67</v>
      </c>
      <c r="C147" s="53">
        <v>3</v>
      </c>
      <c r="D147" s="54">
        <f>2.833/3.281</f>
        <v>0.86345626333434933</v>
      </c>
      <c r="E147" s="54">
        <f>0.1</f>
        <v>0.1</v>
      </c>
      <c r="F147" s="54">
        <v>0.125</v>
      </c>
      <c r="G147" s="54">
        <f t="shared" ref="G147:G150" si="15">PRODUCT(C147:F147)</f>
        <v>3.2379609875038101E-2</v>
      </c>
      <c r="H147" s="57"/>
      <c r="I147" s="57"/>
      <c r="J147" s="40"/>
      <c r="K147" s="5"/>
    </row>
    <row r="148" spans="1:13" x14ac:dyDescent="0.3">
      <c r="A148" s="43"/>
      <c r="B148" s="56"/>
      <c r="C148" s="53">
        <v>2</v>
      </c>
      <c r="D148" s="54">
        <f>7/3.281</f>
        <v>2.1334958854007922</v>
      </c>
      <c r="E148" s="54">
        <v>0.1</v>
      </c>
      <c r="F148" s="54">
        <v>0.125</v>
      </c>
      <c r="G148" s="54">
        <f t="shared" si="15"/>
        <v>5.333739713501981E-2</v>
      </c>
      <c r="H148" s="57"/>
      <c r="I148" s="57"/>
      <c r="J148" s="40"/>
      <c r="K148" s="5"/>
    </row>
    <row r="149" spans="1:13" x14ac:dyDescent="0.3">
      <c r="A149" s="43"/>
      <c r="B149" s="56" t="s">
        <v>68</v>
      </c>
      <c r="C149" s="53">
        <f>3*2</f>
        <v>6</v>
      </c>
      <c r="D149" s="54">
        <v>0.9</v>
      </c>
      <c r="E149" s="54">
        <v>7.4999999999999997E-2</v>
      </c>
      <c r="F149" s="54">
        <v>0.125</v>
      </c>
      <c r="G149" s="54">
        <f t="shared" si="15"/>
        <v>5.0625000000000003E-2</v>
      </c>
      <c r="H149" s="57"/>
      <c r="I149" s="57"/>
      <c r="J149" s="40"/>
      <c r="K149" s="5"/>
    </row>
    <row r="150" spans="1:13" x14ac:dyDescent="0.3">
      <c r="A150" s="43"/>
      <c r="B150" s="56"/>
      <c r="C150" s="53">
        <f>3*2</f>
        <v>6</v>
      </c>
      <c r="D150" s="54">
        <f>0.6-0.15</f>
        <v>0.44999999999999996</v>
      </c>
      <c r="E150" s="54">
        <v>7.4999999999999997E-2</v>
      </c>
      <c r="F150" s="54">
        <v>0.125</v>
      </c>
      <c r="G150" s="54">
        <f t="shared" si="15"/>
        <v>2.5312499999999998E-2</v>
      </c>
      <c r="H150" s="57"/>
      <c r="I150" s="57"/>
      <c r="J150" s="40"/>
      <c r="K150" s="5"/>
    </row>
    <row r="151" spans="1:13" ht="15" customHeight="1" x14ac:dyDescent="0.3">
      <c r="A151" s="43"/>
      <c r="B151" s="56" t="s">
        <v>38</v>
      </c>
      <c r="C151" s="53"/>
      <c r="D151" s="54"/>
      <c r="E151" s="54"/>
      <c r="F151" s="54"/>
      <c r="G151" s="55">
        <f>SUM(G147:G150)</f>
        <v>0.1616545070100579</v>
      </c>
      <c r="H151" s="55" t="s">
        <v>51</v>
      </c>
      <c r="I151" s="60">
        <f>353723.98/1.15</f>
        <v>307586.06956521742</v>
      </c>
      <c r="J151" s="61">
        <f>G151*I151</f>
        <v>49722.674438726594</v>
      </c>
      <c r="K151" s="5"/>
    </row>
    <row r="152" spans="1:13" ht="15" customHeight="1" x14ac:dyDescent="0.3">
      <c r="A152" s="43"/>
      <c r="B152" s="56" t="s">
        <v>52</v>
      </c>
      <c r="C152" s="53"/>
      <c r="D152" s="54"/>
      <c r="E152" s="54"/>
      <c r="F152" s="54"/>
      <c r="G152" s="55"/>
      <c r="H152" s="55"/>
      <c r="I152" s="60"/>
      <c r="J152" s="61">
        <f>0.13*G151*262808.07</f>
        <v>5522.9341692349226</v>
      </c>
      <c r="K152" s="5"/>
    </row>
    <row r="153" spans="1:13" ht="15" customHeight="1" x14ac:dyDescent="0.3">
      <c r="A153" s="43"/>
      <c r="B153" s="56"/>
      <c r="C153" s="53"/>
      <c r="D153" s="54"/>
      <c r="E153" s="54"/>
      <c r="F153" s="54"/>
      <c r="G153" s="55"/>
      <c r="H153" s="55"/>
      <c r="I153" s="60"/>
      <c r="J153" s="61"/>
      <c r="K153" s="5"/>
    </row>
    <row r="154" spans="1:13" ht="30.6" x14ac:dyDescent="0.3">
      <c r="A154" s="43">
        <v>23</v>
      </c>
      <c r="B154" s="52" t="s">
        <v>75</v>
      </c>
      <c r="C154" s="53"/>
      <c r="D154" s="54"/>
      <c r="E154" s="54"/>
      <c r="F154" s="54"/>
      <c r="G154" s="57"/>
      <c r="H154" s="57"/>
      <c r="I154" s="57"/>
      <c r="J154" s="40"/>
      <c r="K154" s="5"/>
      <c r="M154" s="63"/>
    </row>
    <row r="155" spans="1:13" ht="15" customHeight="1" x14ac:dyDescent="0.3">
      <c r="A155" s="43"/>
      <c r="B155" s="56" t="s">
        <v>70</v>
      </c>
      <c r="C155" s="53">
        <v>1</v>
      </c>
      <c r="D155" s="54"/>
      <c r="E155" s="54">
        <f>3/3.281</f>
        <v>0.91435537945748246</v>
      </c>
      <c r="F155" s="54">
        <f>5.667/3.281</f>
        <v>1.7272173117951843</v>
      </c>
      <c r="G155" s="54">
        <f>PRODUCT(C155:F155)</f>
        <v>1.5792904405320185</v>
      </c>
      <c r="H155" s="57"/>
      <c r="I155" s="57"/>
      <c r="J155" s="40"/>
      <c r="K155" s="5"/>
    </row>
    <row r="156" spans="1:13" ht="15" customHeight="1" x14ac:dyDescent="0.3">
      <c r="A156" s="43"/>
      <c r="B156" s="56" t="s">
        <v>38</v>
      </c>
      <c r="C156" s="53"/>
      <c r="D156" s="54"/>
      <c r="E156" s="54"/>
      <c r="F156" s="54"/>
      <c r="G156" s="55">
        <f>SUM(G155:G155)</f>
        <v>1.5792904405320185</v>
      </c>
      <c r="H156" s="55" t="s">
        <v>41</v>
      </c>
      <c r="I156" s="60">
        <f>15859.11</f>
        <v>15859.11</v>
      </c>
      <c r="J156" s="61">
        <f>G156*I156</f>
        <v>25046.140818345742</v>
      </c>
      <c r="K156" s="5"/>
    </row>
    <row r="157" spans="1:13" ht="15" customHeight="1" x14ac:dyDescent="0.3">
      <c r="A157" s="43"/>
      <c r="B157" s="56" t="s">
        <v>52</v>
      </c>
      <c r="C157" s="53"/>
      <c r="D157" s="54"/>
      <c r="E157" s="54"/>
      <c r="F157" s="54"/>
      <c r="G157" s="55"/>
      <c r="H157" s="55"/>
      <c r="I157" s="60"/>
      <c r="J157" s="61">
        <f>0.13*G156*(20356.18/2.114)</f>
        <v>1976.9544287452122</v>
      </c>
      <c r="K157" s="5"/>
    </row>
    <row r="158" spans="1:13" ht="15.6" x14ac:dyDescent="0.3">
      <c r="A158" s="43"/>
      <c r="B158" s="52"/>
      <c r="C158" s="53"/>
      <c r="D158" s="54"/>
      <c r="E158" s="54"/>
      <c r="F158" s="54"/>
      <c r="G158" s="57"/>
      <c r="H158" s="57"/>
      <c r="I158" s="57"/>
      <c r="J158" s="40"/>
      <c r="K158" s="5"/>
      <c r="M158" s="63"/>
    </row>
    <row r="159" spans="1:13" x14ac:dyDescent="0.3">
      <c r="A159" s="43">
        <v>24</v>
      </c>
      <c r="B159" s="62" t="s">
        <v>69</v>
      </c>
      <c r="C159" s="53"/>
      <c r="D159" s="54"/>
      <c r="E159" s="54"/>
      <c r="F159" s="54"/>
      <c r="G159" s="57"/>
      <c r="H159" s="57"/>
      <c r="I159" s="57"/>
      <c r="J159" s="40"/>
      <c r="K159" s="5"/>
    </row>
    <row r="160" spans="1:13" ht="15" customHeight="1" x14ac:dyDescent="0.3">
      <c r="A160" s="43"/>
      <c r="B160" s="56" t="s">
        <v>70</v>
      </c>
      <c r="C160" s="53">
        <v>1</v>
      </c>
      <c r="D160" s="54"/>
      <c r="E160" s="54">
        <f>3.5/3.281</f>
        <v>1.0667479427003961</v>
      </c>
      <c r="F160" s="54">
        <f>7/3.281</f>
        <v>2.1334958854007922</v>
      </c>
      <c r="G160" s="54">
        <f>PRODUCT(C160:F160)</f>
        <v>2.2759023465110548</v>
      </c>
      <c r="H160" s="57"/>
      <c r="I160" s="57"/>
      <c r="J160" s="40"/>
      <c r="K160" s="5"/>
    </row>
    <row r="161" spans="1:13" ht="15" customHeight="1" x14ac:dyDescent="0.3">
      <c r="A161" s="43"/>
      <c r="B161" s="56" t="s">
        <v>38</v>
      </c>
      <c r="C161" s="53"/>
      <c r="D161" s="54"/>
      <c r="E161" s="54"/>
      <c r="F161" s="54"/>
      <c r="G161" s="55">
        <f>SUM(G160:G160)</f>
        <v>2.2759023465110548</v>
      </c>
      <c r="H161" s="55" t="s">
        <v>41</v>
      </c>
      <c r="I161" s="60">
        <f>46573/1.15</f>
        <v>40498.260869565223</v>
      </c>
      <c r="J161" s="61">
        <f>G161*I161</f>
        <v>92170.086942660317</v>
      </c>
      <c r="K161" s="5"/>
    </row>
    <row r="162" spans="1:13" x14ac:dyDescent="0.3">
      <c r="A162" s="43"/>
      <c r="B162" s="62"/>
      <c r="C162" s="53"/>
      <c r="D162" s="54"/>
      <c r="E162" s="54"/>
      <c r="F162" s="54"/>
      <c r="G162" s="57"/>
      <c r="H162" s="57"/>
      <c r="I162" s="57"/>
      <c r="J162" s="40"/>
      <c r="K162" s="5"/>
    </row>
    <row r="163" spans="1:13" ht="28.8" x14ac:dyDescent="0.3">
      <c r="A163" s="43">
        <v>25</v>
      </c>
      <c r="B163" s="62" t="s">
        <v>71</v>
      </c>
      <c r="C163" s="53"/>
      <c r="D163" s="54"/>
      <c r="E163" s="54"/>
      <c r="F163" s="54"/>
      <c r="G163" s="57"/>
      <c r="H163" s="57"/>
      <c r="I163" s="57"/>
      <c r="J163" s="40"/>
      <c r="K163" s="5"/>
    </row>
    <row r="164" spans="1:13" ht="15" customHeight="1" x14ac:dyDescent="0.3">
      <c r="A164" s="43"/>
      <c r="B164" s="56" t="s">
        <v>72</v>
      </c>
      <c r="C164" s="53">
        <f>3</f>
        <v>3</v>
      </c>
      <c r="D164" s="54"/>
      <c r="E164" s="54">
        <f>(3+1.333)/3.281</f>
        <v>1.3206339530630906</v>
      </c>
      <c r="F164" s="54">
        <v>0.1</v>
      </c>
      <c r="G164" s="54">
        <f>PRODUCT(C164:F164)</f>
        <v>0.39619018591892718</v>
      </c>
      <c r="H164" s="57"/>
      <c r="I164" s="57"/>
      <c r="J164" s="40"/>
      <c r="K164" s="5"/>
    </row>
    <row r="165" spans="1:13" ht="15" customHeight="1" x14ac:dyDescent="0.3">
      <c r="A165" s="43"/>
      <c r="B165" s="56" t="s">
        <v>38</v>
      </c>
      <c r="C165" s="53"/>
      <c r="D165" s="54"/>
      <c r="E165" s="54"/>
      <c r="F165" s="54"/>
      <c r="G165" s="55">
        <f>SUM(G164:G164)</f>
        <v>0.39619018591892718</v>
      </c>
      <c r="H165" s="55" t="s">
        <v>41</v>
      </c>
      <c r="I165" s="60">
        <f>50828.44/1.15</f>
        <v>44198.643478260878</v>
      </c>
      <c r="J165" s="61">
        <f>G165*I165</f>
        <v>17511.068777016557</v>
      </c>
      <c r="K165" s="5"/>
    </row>
    <row r="166" spans="1:13" x14ac:dyDescent="0.3">
      <c r="A166" s="43"/>
      <c r="B166" s="62"/>
      <c r="C166" s="53"/>
      <c r="D166" s="54"/>
      <c r="E166" s="54"/>
      <c r="F166" s="54"/>
      <c r="G166" s="57"/>
      <c r="H166" s="57"/>
      <c r="I166" s="57"/>
      <c r="J166" s="40"/>
      <c r="K166" s="5"/>
    </row>
    <row r="167" spans="1:13" ht="43.2" x14ac:dyDescent="0.3">
      <c r="A167" s="43">
        <v>26</v>
      </c>
      <c r="B167" s="62" t="s">
        <v>73</v>
      </c>
      <c r="C167" s="53"/>
      <c r="D167" s="54"/>
      <c r="E167" s="54"/>
      <c r="F167" s="54"/>
      <c r="G167" s="57"/>
      <c r="H167" s="57"/>
      <c r="I167" s="57"/>
      <c r="J167" s="40"/>
      <c r="K167" s="5"/>
    </row>
    <row r="168" spans="1:13" ht="15" customHeight="1" x14ac:dyDescent="0.3">
      <c r="A168" s="43"/>
      <c r="B168" s="56" t="s">
        <v>74</v>
      </c>
      <c r="C168" s="53">
        <v>1</v>
      </c>
      <c r="D168" s="54">
        <f>2.333/3.281</f>
        <v>0.7110637000914356</v>
      </c>
      <c r="E168" s="54"/>
      <c r="F168" s="54">
        <f>1.333/3.281</f>
        <v>0.40627857360560804</v>
      </c>
      <c r="G168" s="54">
        <f>PRODUCT(C168:F168)</f>
        <v>0.28888994581587429</v>
      </c>
      <c r="H168" s="57"/>
      <c r="I168" s="57"/>
      <c r="J168" s="40"/>
      <c r="K168" s="5"/>
    </row>
    <row r="169" spans="1:13" ht="15" customHeight="1" x14ac:dyDescent="0.3">
      <c r="A169" s="43"/>
      <c r="B169" s="70" t="s">
        <v>96</v>
      </c>
      <c r="C169" s="67">
        <v>4</v>
      </c>
      <c r="D169" s="68">
        <f>0.6</f>
        <v>0.6</v>
      </c>
      <c r="E169" s="68"/>
      <c r="F169" s="68">
        <v>0.6</v>
      </c>
      <c r="G169" s="68">
        <f>PRODUCT(C169:F169)</f>
        <v>1.44</v>
      </c>
      <c r="H169" s="57"/>
      <c r="I169" s="57"/>
      <c r="J169" s="40"/>
      <c r="K169" s="5"/>
    </row>
    <row r="170" spans="1:13" ht="15" customHeight="1" x14ac:dyDescent="0.3">
      <c r="A170" s="43"/>
      <c r="B170" s="56" t="s">
        <v>38</v>
      </c>
      <c r="C170" s="53"/>
      <c r="D170" s="54"/>
      <c r="E170" s="54"/>
      <c r="F170" s="54"/>
      <c r="G170" s="55">
        <f>SUM(G168:G169)</f>
        <v>1.7288899458158742</v>
      </c>
      <c r="H170" s="55" t="s">
        <v>41</v>
      </c>
      <c r="I170" s="60">
        <f>69579.92/1.15</f>
        <v>60504.278260869571</v>
      </c>
      <c r="J170" s="61">
        <f>G170*I170</f>
        <v>104605.23836406336</v>
      </c>
      <c r="K170" s="5"/>
    </row>
    <row r="171" spans="1:13" ht="15" customHeight="1" x14ac:dyDescent="0.3">
      <c r="A171" s="43"/>
      <c r="B171" s="56" t="s">
        <v>52</v>
      </c>
      <c r="C171" s="53"/>
      <c r="D171" s="54"/>
      <c r="E171" s="54"/>
      <c r="F171" s="54"/>
      <c r="G171" s="55"/>
      <c r="H171" s="55"/>
      <c r="I171" s="60"/>
      <c r="J171" s="61">
        <f>0.13*G170*(9888.94/0.92)</f>
        <v>2415.864741631452</v>
      </c>
      <c r="K171" s="5"/>
    </row>
    <row r="172" spans="1:13" ht="15" customHeight="1" x14ac:dyDescent="0.3">
      <c r="A172" s="43"/>
      <c r="B172" s="56"/>
      <c r="C172" s="53"/>
      <c r="D172" s="54"/>
      <c r="E172" s="54"/>
      <c r="F172" s="54"/>
      <c r="G172" s="57"/>
      <c r="H172" s="57"/>
      <c r="I172" s="57"/>
      <c r="J172" s="40"/>
      <c r="K172" s="5"/>
      <c r="M172" s="63"/>
    </row>
    <row r="173" spans="1:13" ht="27.6" x14ac:dyDescent="0.3">
      <c r="A173" s="65">
        <v>27</v>
      </c>
      <c r="B173" s="66" t="s">
        <v>93</v>
      </c>
      <c r="C173" s="67"/>
      <c r="D173" s="68"/>
      <c r="E173" s="68"/>
      <c r="F173" s="68"/>
      <c r="G173" s="68"/>
      <c r="H173" s="68"/>
      <c r="I173" s="68"/>
      <c r="J173" s="69"/>
      <c r="K173" s="5"/>
      <c r="M173" s="63"/>
    </row>
    <row r="174" spans="1:13" ht="15" customHeight="1" x14ac:dyDescent="0.3">
      <c r="A174" s="65"/>
      <c r="B174" s="70" t="s">
        <v>94</v>
      </c>
      <c r="C174" s="67">
        <v>4</v>
      </c>
      <c r="D174" s="68">
        <f>(14.75+5.17)/2/3.281</f>
        <v>3.0356598597988418</v>
      </c>
      <c r="E174" s="68">
        <f>5.5/3.281</f>
        <v>1.6763181956720512</v>
      </c>
      <c r="F174" s="68"/>
      <c r="G174" s="68">
        <f>PRODUCT(C174:F174)</f>
        <v>20.354927435408264</v>
      </c>
      <c r="H174" s="68"/>
      <c r="I174" s="68"/>
      <c r="J174" s="69"/>
      <c r="K174" s="5"/>
    </row>
    <row r="175" spans="1:13" ht="15" customHeight="1" x14ac:dyDescent="0.3">
      <c r="A175" s="65"/>
      <c r="B175" s="70" t="s">
        <v>95</v>
      </c>
      <c r="C175" s="67">
        <v>4</v>
      </c>
      <c r="D175" s="68">
        <f>(10.75+1.5)/2/3.281</f>
        <v>1.8668088997256933</v>
      </c>
      <c r="E175" s="68">
        <f>4.5/3.281</f>
        <v>1.3715330691862238</v>
      </c>
      <c r="F175" s="68"/>
      <c r="G175" s="68">
        <f>PRODUCT(C175:F175)</f>
        <v>10.241560559299749</v>
      </c>
      <c r="H175" s="68"/>
      <c r="I175" s="68"/>
      <c r="J175" s="69"/>
      <c r="K175" s="5"/>
    </row>
    <row r="176" spans="1:13" ht="15" customHeight="1" x14ac:dyDescent="0.3">
      <c r="A176" s="65"/>
      <c r="B176" s="70" t="s">
        <v>38</v>
      </c>
      <c r="C176" s="67"/>
      <c r="D176" s="68"/>
      <c r="E176" s="68"/>
      <c r="F176" s="68"/>
      <c r="G176" s="71">
        <f>SUM(G174:G175)</f>
        <v>30.596487994708014</v>
      </c>
      <c r="H176" s="71" t="s">
        <v>41</v>
      </c>
      <c r="I176" s="72">
        <f>1132.13/1.15</f>
        <v>984.46086956521754</v>
      </c>
      <c r="J176" s="73">
        <f>G176*I176</f>
        <v>30121.04517691199</v>
      </c>
      <c r="K176" s="5"/>
    </row>
    <row r="177" spans="1:13" ht="15" customHeight="1" x14ac:dyDescent="0.3">
      <c r="A177" s="65"/>
      <c r="B177" s="70" t="s">
        <v>52</v>
      </c>
      <c r="C177" s="67"/>
      <c r="D177" s="68"/>
      <c r="E177" s="68"/>
      <c r="F177" s="68"/>
      <c r="G177" s="71"/>
      <c r="H177" s="71"/>
      <c r="I177" s="72"/>
      <c r="J177" s="73">
        <f>0.13*G176*(2795.1/10)</f>
        <v>1111.7631667221087</v>
      </c>
      <c r="K177" s="5"/>
    </row>
    <row r="178" spans="1:13" ht="15.6" x14ac:dyDescent="0.3">
      <c r="A178" s="65"/>
      <c r="B178" s="74"/>
      <c r="C178" s="67"/>
      <c r="D178" s="68"/>
      <c r="E178" s="68"/>
      <c r="F178" s="68"/>
      <c r="G178" s="68"/>
      <c r="H178" s="68"/>
      <c r="I178" s="68"/>
      <c r="J178" s="69"/>
      <c r="K178" s="5"/>
      <c r="M178" s="63"/>
    </row>
    <row r="179" spans="1:13" ht="28.8" x14ac:dyDescent="0.3">
      <c r="A179" s="65">
        <v>28</v>
      </c>
      <c r="B179" s="75" t="s">
        <v>97</v>
      </c>
      <c r="C179" s="67"/>
      <c r="D179" s="68"/>
      <c r="E179" s="68"/>
      <c r="F179" s="68"/>
      <c r="G179" s="68"/>
      <c r="H179" s="68"/>
      <c r="I179" s="68"/>
      <c r="J179" s="69"/>
      <c r="K179" s="5"/>
      <c r="M179" s="63"/>
    </row>
    <row r="180" spans="1:13" ht="15" customHeight="1" x14ac:dyDescent="0.3">
      <c r="A180" s="65"/>
      <c r="B180" s="70" t="str">
        <f t="shared" ref="B180:E181" si="16">B174</f>
        <v>-First floor inclined roof</v>
      </c>
      <c r="C180" s="67">
        <f t="shared" si="16"/>
        <v>4</v>
      </c>
      <c r="D180" s="68">
        <f t="shared" si="16"/>
        <v>3.0356598597988418</v>
      </c>
      <c r="E180" s="68">
        <f t="shared" si="16"/>
        <v>1.6763181956720512</v>
      </c>
      <c r="F180" s="68"/>
      <c r="G180" s="68">
        <f>PRODUCT(C180:F180)</f>
        <v>20.354927435408264</v>
      </c>
      <c r="H180" s="68"/>
      <c r="I180" s="68"/>
      <c r="J180" s="69"/>
      <c r="K180" s="5"/>
    </row>
    <row r="181" spans="1:13" ht="15" customHeight="1" x14ac:dyDescent="0.3">
      <c r="A181" s="65"/>
      <c r="B181" s="70" t="str">
        <f t="shared" si="16"/>
        <v>-Second floor inclined roof</v>
      </c>
      <c r="C181" s="67">
        <f t="shared" si="16"/>
        <v>4</v>
      </c>
      <c r="D181" s="68">
        <f t="shared" si="16"/>
        <v>1.8668088997256933</v>
      </c>
      <c r="E181" s="68">
        <f t="shared" si="16"/>
        <v>1.3715330691862238</v>
      </c>
      <c r="F181" s="68"/>
      <c r="G181" s="68">
        <f>PRODUCT(C181:F181)</f>
        <v>10.241560559299749</v>
      </c>
      <c r="H181" s="68"/>
      <c r="I181" s="68"/>
      <c r="J181" s="69"/>
      <c r="K181" s="5"/>
    </row>
    <row r="182" spans="1:13" ht="15" customHeight="1" x14ac:dyDescent="0.3">
      <c r="A182" s="65"/>
      <c r="B182" s="70" t="s">
        <v>38</v>
      </c>
      <c r="C182" s="67"/>
      <c r="D182" s="68"/>
      <c r="E182" s="68"/>
      <c r="F182" s="68"/>
      <c r="G182" s="71">
        <f>SUM(G180:G181)</f>
        <v>30.596487994708014</v>
      </c>
      <c r="H182" s="71" t="s">
        <v>41</v>
      </c>
      <c r="I182" s="72">
        <f>4842.49/1.15</f>
        <v>4210.8608695652174</v>
      </c>
      <c r="J182" s="73">
        <f>G182*I182</f>
        <v>128837.55404303792</v>
      </c>
      <c r="K182" s="5"/>
    </row>
    <row r="183" spans="1:13" ht="15" customHeight="1" x14ac:dyDescent="0.3">
      <c r="A183" s="65"/>
      <c r="B183" s="70" t="s">
        <v>52</v>
      </c>
      <c r="C183" s="67"/>
      <c r="D183" s="68"/>
      <c r="E183" s="68"/>
      <c r="F183" s="68"/>
      <c r="G183" s="71"/>
      <c r="H183" s="71"/>
      <c r="I183" s="72"/>
      <c r="J183" s="73">
        <f>0.13*G182*(315405.75/100)</f>
        <v>12545.400716337939</v>
      </c>
      <c r="K183" s="5"/>
    </row>
    <row r="184" spans="1:13" ht="15.6" x14ac:dyDescent="0.3">
      <c r="A184" s="43"/>
      <c r="B184" s="52"/>
      <c r="C184" s="53"/>
      <c r="D184" s="54"/>
      <c r="E184" s="54"/>
      <c r="F184" s="54"/>
      <c r="G184" s="57"/>
      <c r="H184" s="57"/>
      <c r="I184" s="57"/>
      <c r="J184" s="40"/>
      <c r="K184" s="5"/>
      <c r="M184" s="63"/>
    </row>
    <row r="185" spans="1:13" ht="27.6" x14ac:dyDescent="0.3">
      <c r="A185" s="43">
        <v>29</v>
      </c>
      <c r="B185" s="51" t="s">
        <v>104</v>
      </c>
      <c r="C185" s="53"/>
      <c r="D185" s="54"/>
      <c r="E185" s="54"/>
      <c r="F185" s="54"/>
      <c r="G185" s="57"/>
      <c r="H185" s="57"/>
      <c r="I185" s="57"/>
      <c r="J185" s="40"/>
      <c r="K185" s="5"/>
      <c r="M185" s="63"/>
    </row>
    <row r="186" spans="1:13" x14ac:dyDescent="0.3">
      <c r="A186" s="43"/>
      <c r="B186" s="76" t="s">
        <v>105</v>
      </c>
      <c r="C186" s="53">
        <f>2*4</f>
        <v>8</v>
      </c>
      <c r="D186" s="54">
        <v>1</v>
      </c>
      <c r="E186" s="54"/>
      <c r="F186" s="54"/>
      <c r="G186" s="68">
        <f>PRODUCT(C186:F186)</f>
        <v>8</v>
      </c>
      <c r="H186" s="57"/>
      <c r="I186" s="57"/>
      <c r="J186" s="40"/>
      <c r="K186" s="5"/>
      <c r="M186" s="63"/>
    </row>
    <row r="187" spans="1:13" ht="15" customHeight="1" x14ac:dyDescent="0.3">
      <c r="A187" s="65"/>
      <c r="B187" s="70" t="s">
        <v>38</v>
      </c>
      <c r="C187" s="67"/>
      <c r="D187" s="68"/>
      <c r="E187" s="68"/>
      <c r="F187" s="68"/>
      <c r="G187" s="71">
        <f>SUM(G186)</f>
        <v>8</v>
      </c>
      <c r="H187" s="71" t="s">
        <v>29</v>
      </c>
      <c r="I187" s="72">
        <f>294.4/1.15</f>
        <v>256</v>
      </c>
      <c r="J187" s="73">
        <f>G187*I187</f>
        <v>2048</v>
      </c>
      <c r="K187" s="5"/>
    </row>
    <row r="188" spans="1:13" ht="15" customHeight="1" x14ac:dyDescent="0.3">
      <c r="A188" s="65"/>
      <c r="B188" s="70" t="s">
        <v>52</v>
      </c>
      <c r="C188" s="67"/>
      <c r="D188" s="68"/>
      <c r="E188" s="68"/>
      <c r="F188" s="68"/>
      <c r="G188" s="71"/>
      <c r="H188" s="71"/>
      <c r="I188" s="72"/>
      <c r="J188" s="73">
        <f>0.13*J187</f>
        <v>266.24</v>
      </c>
      <c r="K188" s="5"/>
    </row>
    <row r="189" spans="1:13" x14ac:dyDescent="0.3">
      <c r="A189" s="43"/>
      <c r="B189" s="51"/>
      <c r="C189" s="53"/>
      <c r="D189" s="54"/>
      <c r="E189" s="54"/>
      <c r="F189" s="54"/>
      <c r="G189" s="57"/>
      <c r="H189" s="57"/>
      <c r="I189" s="57"/>
      <c r="J189" s="40"/>
      <c r="K189" s="5"/>
      <c r="M189" s="63"/>
    </row>
    <row r="190" spans="1:13" ht="27.6" x14ac:dyDescent="0.3">
      <c r="A190" s="43">
        <v>30</v>
      </c>
      <c r="B190" s="51" t="s">
        <v>106</v>
      </c>
      <c r="C190" s="53"/>
      <c r="D190" s="54"/>
      <c r="E190" s="54"/>
      <c r="F190" s="54"/>
      <c r="G190" s="57"/>
      <c r="H190" s="57"/>
      <c r="I190" s="57"/>
      <c r="J190" s="40"/>
      <c r="K190" s="5"/>
      <c r="M190" s="63"/>
    </row>
    <row r="191" spans="1:13" x14ac:dyDescent="0.3">
      <c r="A191" s="43"/>
      <c r="B191" s="76" t="s">
        <v>107</v>
      </c>
      <c r="C191" s="53">
        <v>4</v>
      </c>
      <c r="D191" s="54">
        <f>(5.17)/3.281</f>
        <v>1.5757391039317281</v>
      </c>
      <c r="E191" s="54"/>
      <c r="F191" s="54"/>
      <c r="G191" s="68">
        <f>PRODUCT(C191:F191)</f>
        <v>6.3029564157269125</v>
      </c>
      <c r="H191" s="57"/>
      <c r="I191" s="57"/>
      <c r="J191" s="40"/>
      <c r="K191" s="5"/>
      <c r="M191" s="63"/>
    </row>
    <row r="192" spans="1:13" x14ac:dyDescent="0.3">
      <c r="A192" s="43"/>
      <c r="B192" s="76"/>
      <c r="C192" s="53">
        <v>4</v>
      </c>
      <c r="D192" s="54">
        <f>(5.5)/3.281</f>
        <v>1.6763181956720512</v>
      </c>
      <c r="E192" s="54"/>
      <c r="F192" s="54"/>
      <c r="G192" s="68">
        <f>PRODUCT(C192:F192)</f>
        <v>6.7052727826882048</v>
      </c>
      <c r="H192" s="57"/>
      <c r="I192" s="57"/>
      <c r="J192" s="40"/>
      <c r="K192" s="5"/>
      <c r="M192" s="63"/>
    </row>
    <row r="193" spans="1:13" x14ac:dyDescent="0.3">
      <c r="A193" s="43"/>
      <c r="B193" s="76" t="s">
        <v>108</v>
      </c>
      <c r="C193" s="53">
        <v>4</v>
      </c>
      <c r="D193" s="54">
        <f>4.5/3.281</f>
        <v>1.3715330691862238</v>
      </c>
      <c r="E193" s="54"/>
      <c r="F193" s="54"/>
      <c r="G193" s="68">
        <f>PRODUCT(C193:F193)</f>
        <v>5.486132276744895</v>
      </c>
      <c r="H193" s="57"/>
      <c r="I193" s="57"/>
      <c r="J193" s="40"/>
      <c r="K193" s="5"/>
      <c r="M193" s="63"/>
    </row>
    <row r="194" spans="1:13" ht="15" customHeight="1" x14ac:dyDescent="0.3">
      <c r="A194" s="65"/>
      <c r="B194" s="70" t="s">
        <v>38</v>
      </c>
      <c r="C194" s="67"/>
      <c r="D194" s="68"/>
      <c r="E194" s="68"/>
      <c r="F194" s="68"/>
      <c r="G194" s="71">
        <f>SUM(G191:G193)</f>
        <v>18.494361475160012</v>
      </c>
      <c r="H194" s="71" t="s">
        <v>39</v>
      </c>
      <c r="I194" s="72">
        <f>2356.71/1.15</f>
        <v>2049.3130434782611</v>
      </c>
      <c r="J194" s="73">
        <f>G194*I194</f>
        <v>37900.73620184727</v>
      </c>
      <c r="K194" s="5"/>
    </row>
    <row r="195" spans="1:13" ht="15" customHeight="1" x14ac:dyDescent="0.3">
      <c r="A195" s="65"/>
      <c r="B195" s="70" t="s">
        <v>52</v>
      </c>
      <c r="C195" s="67"/>
      <c r="D195" s="68"/>
      <c r="E195" s="68"/>
      <c r="F195" s="68"/>
      <c r="G195" s="71"/>
      <c r="H195" s="71"/>
      <c r="I195" s="72"/>
      <c r="J195" s="73">
        <f>0.13*G194*(184206/100)</f>
        <v>4428.8040548613226</v>
      </c>
      <c r="K195" s="5"/>
    </row>
    <row r="196" spans="1:13" ht="15" customHeight="1" x14ac:dyDescent="0.3">
      <c r="A196" s="43"/>
      <c r="B196" s="56"/>
      <c r="C196" s="53"/>
      <c r="D196" s="54"/>
      <c r="E196" s="54"/>
      <c r="F196" s="54"/>
      <c r="G196" s="57"/>
      <c r="H196" s="57"/>
      <c r="I196" s="57"/>
      <c r="J196" s="40"/>
      <c r="K196" s="5"/>
      <c r="M196" s="63"/>
    </row>
    <row r="197" spans="1:13" ht="27.6" x14ac:dyDescent="0.3">
      <c r="A197" s="43">
        <v>31</v>
      </c>
      <c r="B197" s="51" t="s">
        <v>112</v>
      </c>
      <c r="C197" s="53"/>
      <c r="D197" s="54"/>
      <c r="E197" s="54"/>
      <c r="F197" s="54"/>
      <c r="G197" s="57"/>
      <c r="H197" s="57"/>
      <c r="I197" s="57"/>
      <c r="J197" s="40"/>
      <c r="K197" s="5"/>
      <c r="M197" s="63"/>
    </row>
    <row r="198" spans="1:13" ht="27.6" x14ac:dyDescent="0.3">
      <c r="A198" s="43"/>
      <c r="B198" s="76" t="s">
        <v>113</v>
      </c>
      <c r="C198" s="53">
        <v>1</v>
      </c>
      <c r="D198" s="54">
        <v>1.2</v>
      </c>
      <c r="E198" s="54"/>
      <c r="F198" s="54"/>
      <c r="G198" s="68">
        <f>PRODUCT(C198:F198)</f>
        <v>1.2</v>
      </c>
      <c r="H198" s="57"/>
      <c r="I198" s="57"/>
      <c r="J198" s="40"/>
      <c r="K198" s="5"/>
      <c r="M198" s="63"/>
    </row>
    <row r="199" spans="1:13" ht="15" customHeight="1" x14ac:dyDescent="0.3">
      <c r="A199" s="65"/>
      <c r="B199" s="70" t="s">
        <v>38</v>
      </c>
      <c r="C199" s="67"/>
      <c r="D199" s="68"/>
      <c r="E199" s="68"/>
      <c r="F199" s="68"/>
      <c r="G199" s="71">
        <f>SUM(G198:G198)</f>
        <v>1.2</v>
      </c>
      <c r="H199" s="71" t="s">
        <v>114</v>
      </c>
      <c r="I199" s="72">
        <f>4289.73/1.15</f>
        <v>3730.2</v>
      </c>
      <c r="J199" s="73">
        <f>G199*I199</f>
        <v>4476.24</v>
      </c>
      <c r="K199" s="5"/>
    </row>
    <row r="200" spans="1:13" ht="15" customHeight="1" x14ac:dyDescent="0.3">
      <c r="A200" s="65"/>
      <c r="B200" s="70" t="s">
        <v>52</v>
      </c>
      <c r="C200" s="67"/>
      <c r="D200" s="68"/>
      <c r="E200" s="68"/>
      <c r="F200" s="68"/>
      <c r="G200" s="71"/>
      <c r="H200" s="71"/>
      <c r="I200" s="72"/>
      <c r="J200" s="73">
        <f>0.13*G199*(7326/5)</f>
        <v>228.5712</v>
      </c>
      <c r="K200" s="5"/>
    </row>
    <row r="201" spans="1:13" ht="15" customHeight="1" x14ac:dyDescent="0.3">
      <c r="A201" s="43"/>
      <c r="B201" s="45"/>
      <c r="C201" s="46"/>
      <c r="D201" s="14"/>
      <c r="E201" s="14"/>
      <c r="F201" s="14"/>
      <c r="G201" s="47"/>
      <c r="H201" s="47"/>
      <c r="I201" s="47"/>
      <c r="J201" s="40"/>
      <c r="K201" s="16"/>
    </row>
    <row r="202" spans="1:13" ht="58.2" x14ac:dyDescent="0.3">
      <c r="A202" s="43">
        <v>32</v>
      </c>
      <c r="B202" s="78" t="s">
        <v>122</v>
      </c>
      <c r="C202" s="77"/>
      <c r="D202" s="14"/>
      <c r="E202" s="14"/>
      <c r="F202" s="14"/>
      <c r="G202" s="44"/>
      <c r="H202" s="44"/>
      <c r="I202" s="44"/>
      <c r="J202" s="44"/>
      <c r="K202" s="16"/>
    </row>
    <row r="203" spans="1:13" ht="15" customHeight="1" x14ac:dyDescent="0.3">
      <c r="A203" s="43"/>
      <c r="B203" s="45" t="str">
        <f>B96</f>
        <v>-inside worship area</v>
      </c>
      <c r="C203" s="46">
        <f>C111</f>
        <v>2</v>
      </c>
      <c r="D203" s="14">
        <f t="shared" ref="D203:D204" si="17">D111</f>
        <v>2.4900944833892105</v>
      </c>
      <c r="E203" s="14"/>
      <c r="F203" s="14">
        <v>1.2</v>
      </c>
      <c r="G203" s="68">
        <f>PRODUCT(C203:F203)</f>
        <v>5.9762267601341046</v>
      </c>
      <c r="H203" s="47"/>
      <c r="I203" s="47"/>
      <c r="J203" s="40"/>
      <c r="K203" s="16"/>
    </row>
    <row r="204" spans="1:13" ht="15" customHeight="1" x14ac:dyDescent="0.3">
      <c r="A204" s="43"/>
      <c r="B204" s="45"/>
      <c r="C204" s="46">
        <f>C112</f>
        <v>2</v>
      </c>
      <c r="D204" s="14">
        <f t="shared" si="17"/>
        <v>2.4900944833892105</v>
      </c>
      <c r="E204" s="14"/>
      <c r="F204" s="14">
        <v>2.2000000000000002</v>
      </c>
      <c r="G204" s="68">
        <f t="shared" ref="G204:G205" si="18">PRODUCT(C204:F204)</f>
        <v>10.956415726912526</v>
      </c>
      <c r="H204" s="47"/>
      <c r="I204" s="47"/>
      <c r="J204" s="40"/>
      <c r="K204" s="16"/>
    </row>
    <row r="205" spans="1:13" ht="15" customHeight="1" x14ac:dyDescent="0.3">
      <c r="A205" s="43"/>
      <c r="B205" s="45" t="str">
        <f>B99</f>
        <v>-Deduction for door</v>
      </c>
      <c r="C205" s="46">
        <f>C99</f>
        <v>-1</v>
      </c>
      <c r="D205" s="14">
        <f>D99</f>
        <v>1.0667479427003961</v>
      </c>
      <c r="E205" s="14"/>
      <c r="F205" s="14">
        <v>1.2</v>
      </c>
      <c r="G205" s="68">
        <f t="shared" si="18"/>
        <v>-1.2800975312404752</v>
      </c>
      <c r="H205" s="47"/>
      <c r="I205" s="47"/>
      <c r="J205" s="40"/>
      <c r="K205" s="16"/>
    </row>
    <row r="206" spans="1:13" ht="15" customHeight="1" x14ac:dyDescent="0.3">
      <c r="A206" s="65"/>
      <c r="B206" s="70" t="s">
        <v>38</v>
      </c>
      <c r="C206" s="67"/>
      <c r="D206" s="68"/>
      <c r="E206" s="68"/>
      <c r="F206" s="68"/>
      <c r="G206" s="71">
        <f>SUM(G203:G205)</f>
        <v>15.652544955806157</v>
      </c>
      <c r="H206" s="71" t="s">
        <v>41</v>
      </c>
      <c r="I206" s="72">
        <v>2807.39</v>
      </c>
      <c r="J206" s="73">
        <f>G206*I206</f>
        <v>43942.798183480641</v>
      </c>
      <c r="K206" s="5"/>
    </row>
    <row r="207" spans="1:13" ht="15" customHeight="1" x14ac:dyDescent="0.3">
      <c r="A207" s="65"/>
      <c r="B207" s="70" t="s">
        <v>52</v>
      </c>
      <c r="C207" s="67"/>
      <c r="D207" s="68"/>
      <c r="E207" s="68"/>
      <c r="F207" s="68"/>
      <c r="G207" s="71"/>
      <c r="H207" s="71"/>
      <c r="I207" s="72"/>
      <c r="J207" s="73">
        <f>0.13*G206*(8008.95/10)</f>
        <v>1629.6858490094485</v>
      </c>
      <c r="K207" s="5"/>
    </row>
    <row r="208" spans="1:13" ht="15" customHeight="1" x14ac:dyDescent="0.3">
      <c r="A208" s="65"/>
      <c r="B208" s="70"/>
      <c r="C208" s="67"/>
      <c r="D208" s="68"/>
      <c r="E208" s="68"/>
      <c r="F208" s="68"/>
      <c r="G208" s="71"/>
      <c r="H208" s="71"/>
      <c r="I208" s="72"/>
      <c r="J208" s="73"/>
      <c r="K208" s="5"/>
    </row>
    <row r="209" spans="1:11" ht="30.6" x14ac:dyDescent="0.3">
      <c r="A209" s="65">
        <v>33</v>
      </c>
      <c r="B209" s="52" t="s">
        <v>124</v>
      </c>
      <c r="C209" s="67"/>
      <c r="D209" s="68"/>
      <c r="E209" s="68"/>
      <c r="F209" s="68"/>
      <c r="G209" s="71"/>
      <c r="H209" s="71"/>
      <c r="I209" s="72"/>
      <c r="J209" s="73"/>
      <c r="K209" s="5"/>
    </row>
    <row r="210" spans="1:11" ht="15" customHeight="1" x14ac:dyDescent="0.3">
      <c r="A210" s="65"/>
      <c r="B210" s="70" t="s">
        <v>125</v>
      </c>
      <c r="C210" s="67">
        <v>1</v>
      </c>
      <c r="D210" s="68">
        <v>2.1</v>
      </c>
      <c r="E210" s="68"/>
      <c r="F210" s="68">
        <v>2.5</v>
      </c>
      <c r="G210" s="68">
        <f t="shared" ref="G210" si="19">PRODUCT(C210:F210)</f>
        <v>5.25</v>
      </c>
      <c r="H210" s="71"/>
      <c r="I210" s="72"/>
      <c r="J210" s="73"/>
      <c r="K210" s="5"/>
    </row>
    <row r="211" spans="1:11" ht="15" customHeight="1" x14ac:dyDescent="0.3">
      <c r="A211" s="65"/>
      <c r="B211" s="70" t="s">
        <v>38</v>
      </c>
      <c r="C211" s="67"/>
      <c r="D211" s="68"/>
      <c r="E211" s="68"/>
      <c r="F211" s="68"/>
      <c r="G211" s="71">
        <f>SUM(G208:G210)</f>
        <v>5.25</v>
      </c>
      <c r="H211" s="71" t="s">
        <v>41</v>
      </c>
      <c r="I211" s="72">
        <v>4465.3999999999996</v>
      </c>
      <c r="J211" s="73">
        <f>G211*I211</f>
        <v>23443.35</v>
      </c>
      <c r="K211" s="5"/>
    </row>
    <row r="212" spans="1:11" ht="15" customHeight="1" x14ac:dyDescent="0.3">
      <c r="A212" s="65"/>
      <c r="B212" s="70" t="s">
        <v>52</v>
      </c>
      <c r="C212" s="67"/>
      <c r="D212" s="68"/>
      <c r="E212" s="68"/>
      <c r="F212" s="68"/>
      <c r="G212" s="71"/>
      <c r="H212" s="71"/>
      <c r="I212" s="72"/>
      <c r="J212" s="73">
        <f>0.13*J211</f>
        <v>3047.6354999999999</v>
      </c>
      <c r="K212" s="5"/>
    </row>
    <row r="213" spans="1:11" ht="15" customHeight="1" x14ac:dyDescent="0.3">
      <c r="A213" s="65"/>
      <c r="B213" s="70"/>
      <c r="C213" s="67"/>
      <c r="D213" s="68"/>
      <c r="E213" s="68"/>
      <c r="F213" s="68"/>
      <c r="G213" s="71"/>
      <c r="H213" s="71"/>
      <c r="I213" s="72"/>
      <c r="J213" s="73"/>
      <c r="K213" s="5"/>
    </row>
    <row r="214" spans="1:11" ht="82.8" x14ac:dyDescent="0.3">
      <c r="A214" s="65">
        <v>34</v>
      </c>
      <c r="B214" s="51" t="s">
        <v>126</v>
      </c>
      <c r="C214" s="67"/>
      <c r="D214" s="68"/>
      <c r="E214" s="68"/>
      <c r="F214" s="68"/>
      <c r="G214" s="71"/>
      <c r="H214" s="71"/>
      <c r="I214" s="72"/>
      <c r="J214" s="73"/>
      <c r="K214" s="5"/>
    </row>
    <row r="215" spans="1:11" ht="15" customHeight="1" x14ac:dyDescent="0.3">
      <c r="A215" s="65"/>
      <c r="B215" s="70" t="s">
        <v>125</v>
      </c>
      <c r="C215" s="67">
        <v>1</v>
      </c>
      <c r="D215" s="68">
        <v>5</v>
      </c>
      <c r="E215" s="68">
        <f>(F215/2+0.45)/2</f>
        <v>1.0550000000000002</v>
      </c>
      <c r="F215" s="68">
        <f>2.72+0.6</f>
        <v>3.3200000000000003</v>
      </c>
      <c r="G215" s="68">
        <f t="shared" ref="G215" si="20">PRODUCT(C215:F215)</f>
        <v>17.513000000000002</v>
      </c>
      <c r="H215" s="71"/>
      <c r="I215" s="72"/>
      <c r="J215" s="73"/>
      <c r="K215" s="5"/>
    </row>
    <row r="216" spans="1:11" ht="15" customHeight="1" x14ac:dyDescent="0.3">
      <c r="A216" s="65"/>
      <c r="B216" s="70" t="s">
        <v>38</v>
      </c>
      <c r="C216" s="67"/>
      <c r="D216" s="68"/>
      <c r="E216" s="68"/>
      <c r="F216" s="68"/>
      <c r="G216" s="71">
        <f>SUM(G213:G215)</f>
        <v>17.513000000000002</v>
      </c>
      <c r="H216" s="71" t="s">
        <v>51</v>
      </c>
      <c r="I216" s="72">
        <v>9709.43</v>
      </c>
      <c r="J216" s="73">
        <f>G216*I216</f>
        <v>170041.24759000001</v>
      </c>
      <c r="K216" s="5"/>
    </row>
    <row r="217" spans="1:11" ht="15" customHeight="1" x14ac:dyDescent="0.3">
      <c r="A217" s="65"/>
      <c r="B217" s="70" t="s">
        <v>52</v>
      </c>
      <c r="C217" s="67"/>
      <c r="D217" s="68"/>
      <c r="E217" s="68"/>
      <c r="F217" s="68"/>
      <c r="G217" s="71"/>
      <c r="H217" s="71"/>
      <c r="I217" s="72"/>
      <c r="J217" s="73">
        <f>0.13*G216*(27092.1/5)</f>
        <v>12336.062629800002</v>
      </c>
      <c r="K217" s="5"/>
    </row>
    <row r="218" spans="1:11" ht="15" customHeight="1" x14ac:dyDescent="0.3">
      <c r="A218" s="65"/>
      <c r="B218" s="70"/>
      <c r="C218" s="67"/>
      <c r="D218" s="68"/>
      <c r="E218" s="68"/>
      <c r="F218" s="68"/>
      <c r="G218" s="71"/>
      <c r="H218" s="71"/>
      <c r="I218" s="72"/>
      <c r="J218" s="73"/>
      <c r="K218" s="5"/>
    </row>
    <row r="219" spans="1:11" ht="69" x14ac:dyDescent="0.3">
      <c r="A219" s="65">
        <v>35</v>
      </c>
      <c r="B219" s="51" t="s">
        <v>127</v>
      </c>
      <c r="C219" s="67"/>
      <c r="D219" s="68"/>
      <c r="E219" s="68"/>
      <c r="F219" s="68"/>
      <c r="G219" s="71"/>
      <c r="H219" s="71"/>
      <c r="I219" s="72"/>
      <c r="J219" s="73"/>
      <c r="K219" s="5"/>
    </row>
    <row r="220" spans="1:11" ht="15" customHeight="1" x14ac:dyDescent="0.3">
      <c r="A220" s="65"/>
      <c r="B220" s="70" t="s">
        <v>125</v>
      </c>
      <c r="C220" s="67">
        <v>1</v>
      </c>
      <c r="D220" s="68">
        <f>D215</f>
        <v>5</v>
      </c>
      <c r="E220" s="68">
        <f>F215/2</f>
        <v>1.6600000000000001</v>
      </c>
      <c r="F220" s="68">
        <v>0.05</v>
      </c>
      <c r="G220" s="68">
        <f t="shared" ref="G220" si="21">PRODUCT(C220:F220)</f>
        <v>0.41500000000000004</v>
      </c>
      <c r="H220" s="71"/>
      <c r="I220" s="72"/>
      <c r="J220" s="73"/>
      <c r="K220" s="5"/>
    </row>
    <row r="221" spans="1:11" ht="15" customHeight="1" x14ac:dyDescent="0.3">
      <c r="A221" s="65"/>
      <c r="B221" s="70" t="s">
        <v>38</v>
      </c>
      <c r="C221" s="67"/>
      <c r="D221" s="68"/>
      <c r="E221" s="68"/>
      <c r="F221" s="68"/>
      <c r="G221" s="71">
        <f>SUM(G218:G220)</f>
        <v>0.41500000000000004</v>
      </c>
      <c r="H221" s="71" t="s">
        <v>51</v>
      </c>
      <c r="I221" s="72">
        <v>10634.5</v>
      </c>
      <c r="J221" s="73">
        <f>G221*I221</f>
        <v>4413.3175000000001</v>
      </c>
      <c r="K221" s="5"/>
    </row>
    <row r="222" spans="1:11" ht="15" customHeight="1" x14ac:dyDescent="0.3">
      <c r="A222" s="65"/>
      <c r="B222" s="70" t="s">
        <v>52</v>
      </c>
      <c r="C222" s="67"/>
      <c r="D222" s="68"/>
      <c r="E222" s="68"/>
      <c r="F222" s="68"/>
      <c r="G222" s="71"/>
      <c r="H222" s="71"/>
      <c r="I222" s="72"/>
      <c r="J222" s="73">
        <f>0.13*G221*(114907.3+6135.3)/15</f>
        <v>435.34988466666675</v>
      </c>
      <c r="K222" s="5"/>
    </row>
    <row r="223" spans="1:11" ht="15" customHeight="1" x14ac:dyDescent="0.3">
      <c r="A223" s="65"/>
      <c r="B223" s="70"/>
      <c r="C223" s="67"/>
      <c r="D223" s="68"/>
      <c r="E223" s="68"/>
      <c r="F223" s="68"/>
      <c r="G223" s="71"/>
      <c r="H223" s="71"/>
      <c r="I223" s="72"/>
      <c r="J223" s="73"/>
      <c r="K223" s="5"/>
    </row>
    <row r="224" spans="1:11" ht="82.8" x14ac:dyDescent="0.3">
      <c r="A224" s="65">
        <v>36</v>
      </c>
      <c r="B224" s="51" t="s">
        <v>128</v>
      </c>
      <c r="C224" s="67"/>
      <c r="D224" s="68"/>
      <c r="E224" s="68"/>
      <c r="F224" s="68"/>
      <c r="G224" s="71"/>
      <c r="H224" s="71"/>
      <c r="I224" s="72"/>
      <c r="J224" s="73"/>
      <c r="K224" s="5"/>
    </row>
    <row r="225" spans="1:20" ht="15" customHeight="1" x14ac:dyDescent="0.3">
      <c r="A225" s="65"/>
      <c r="B225" s="70" t="s">
        <v>125</v>
      </c>
      <c r="C225" s="67">
        <v>1</v>
      </c>
      <c r="D225" s="68">
        <f>D215</f>
        <v>5</v>
      </c>
      <c r="E225" s="68">
        <f>E220</f>
        <v>1.6600000000000001</v>
      </c>
      <c r="F225" s="68">
        <v>0.15</v>
      </c>
      <c r="G225" s="68">
        <f t="shared" ref="G225" si="22">PRODUCT(C225:F225)</f>
        <v>1.2450000000000001</v>
      </c>
      <c r="H225" s="71"/>
      <c r="I225" s="72"/>
      <c r="J225" s="73"/>
      <c r="K225" s="5"/>
    </row>
    <row r="226" spans="1:20" ht="15" customHeight="1" x14ac:dyDescent="0.3">
      <c r="A226" s="65"/>
      <c r="B226" s="70" t="s">
        <v>38</v>
      </c>
      <c r="C226" s="67"/>
      <c r="D226" s="68"/>
      <c r="E226" s="68"/>
      <c r="F226" s="68"/>
      <c r="G226" s="71">
        <f>SUM(G223:G225)</f>
        <v>1.2450000000000001</v>
      </c>
      <c r="H226" s="71" t="s">
        <v>51</v>
      </c>
      <c r="I226" s="72">
        <v>4434.5200000000004</v>
      </c>
      <c r="J226" s="73">
        <f>G226*I226</f>
        <v>5520.9774000000007</v>
      </c>
      <c r="K226" s="5"/>
    </row>
    <row r="227" spans="1:20" ht="15" customHeight="1" x14ac:dyDescent="0.3">
      <c r="A227" s="65"/>
      <c r="B227" s="70" t="s">
        <v>52</v>
      </c>
      <c r="C227" s="67"/>
      <c r="D227" s="68"/>
      <c r="E227" s="68"/>
      <c r="F227" s="68"/>
      <c r="G227" s="71"/>
      <c r="H227" s="71"/>
      <c r="I227" s="72"/>
      <c r="J227" s="73">
        <f>0.13*G226*(14817.6/5)</f>
        <v>479.64571200000006</v>
      </c>
      <c r="K227" s="5"/>
    </row>
    <row r="228" spans="1:20" ht="15" customHeight="1" x14ac:dyDescent="0.3">
      <c r="A228" s="65"/>
      <c r="B228" s="70"/>
      <c r="C228" s="67"/>
      <c r="D228" s="68"/>
      <c r="E228" s="68"/>
      <c r="F228" s="68"/>
      <c r="G228" s="71"/>
      <c r="H228" s="71"/>
      <c r="I228" s="72"/>
      <c r="J228" s="73"/>
      <c r="K228" s="5"/>
    </row>
    <row r="229" spans="1:20" ht="27.6" x14ac:dyDescent="0.3">
      <c r="A229" s="26">
        <v>37</v>
      </c>
      <c r="B229" s="51" t="s">
        <v>123</v>
      </c>
      <c r="C229" s="27">
        <v>1</v>
      </c>
      <c r="D229" s="28"/>
      <c r="E229" s="28"/>
      <c r="F229" s="29"/>
      <c r="G229" s="14">
        <f>PRODUCT(C229:F229)</f>
        <v>1</v>
      </c>
      <c r="H229" s="38" t="s">
        <v>98</v>
      </c>
      <c r="I229" s="39">
        <v>50000</v>
      </c>
      <c r="J229" s="40">
        <f>G229*I229</f>
        <v>50000</v>
      </c>
      <c r="K229" s="29"/>
      <c r="M229" s="31"/>
      <c r="N229" s="1"/>
      <c r="O229" s="1"/>
      <c r="P229" s="1"/>
      <c r="Q229" s="1"/>
      <c r="R229" s="31"/>
      <c r="S229" s="31"/>
    </row>
    <row r="230" spans="1:20" ht="15" customHeight="1" x14ac:dyDescent="0.3">
      <c r="A230" s="43"/>
      <c r="B230" s="45"/>
      <c r="C230" s="46"/>
      <c r="D230" s="14"/>
      <c r="E230" s="14"/>
      <c r="F230" s="14"/>
      <c r="G230" s="47"/>
      <c r="H230" s="47"/>
      <c r="I230" s="47"/>
      <c r="J230" s="40"/>
      <c r="K230" s="16"/>
    </row>
    <row r="231" spans="1:20" ht="19.8" x14ac:dyDescent="0.3">
      <c r="A231" s="26">
        <v>38</v>
      </c>
      <c r="B231" s="41" t="s">
        <v>28</v>
      </c>
      <c r="C231" s="27">
        <v>1</v>
      </c>
      <c r="D231" s="28"/>
      <c r="E231" s="29"/>
      <c r="F231" s="29"/>
      <c r="G231" s="44">
        <f t="shared" ref="G231" si="23">PRODUCT(C231:F231)</f>
        <v>1</v>
      </c>
      <c r="H231" s="38" t="s">
        <v>29</v>
      </c>
      <c r="I231" s="39">
        <v>500</v>
      </c>
      <c r="J231" s="44">
        <f>G231*I231</f>
        <v>500</v>
      </c>
      <c r="K231" s="29"/>
      <c r="M231" s="31"/>
      <c r="N231" s="18"/>
      <c r="O231" s="18"/>
      <c r="P231" s="18"/>
      <c r="Q231" s="18"/>
      <c r="R231" s="18"/>
      <c r="S231" s="18"/>
      <c r="T231" s="18"/>
    </row>
    <row r="232" spans="1:20" ht="15" customHeight="1" x14ac:dyDescent="0.3">
      <c r="A232" s="43"/>
      <c r="B232" s="45"/>
      <c r="C232" s="46"/>
      <c r="D232" s="14"/>
      <c r="E232" s="14"/>
      <c r="F232" s="14"/>
      <c r="G232" s="47"/>
      <c r="H232" s="47"/>
      <c r="I232" s="47"/>
      <c r="J232" s="40"/>
      <c r="K232" s="16"/>
    </row>
    <row r="233" spans="1:20" x14ac:dyDescent="0.3">
      <c r="A233" s="43"/>
      <c r="B233" s="50" t="s">
        <v>15</v>
      </c>
      <c r="C233" s="46"/>
      <c r="D233" s="14"/>
      <c r="E233" s="14"/>
      <c r="F233" s="14"/>
      <c r="G233" s="44"/>
      <c r="H233" s="44"/>
      <c r="I233" s="44"/>
      <c r="J233" s="44">
        <f>SUM(J10:J231)</f>
        <v>1167390.8565538933</v>
      </c>
      <c r="K233" s="16"/>
    </row>
    <row r="235" spans="1:20" s="1" customFormat="1" x14ac:dyDescent="0.3">
      <c r="B235" s="16" t="s">
        <v>25</v>
      </c>
      <c r="C235" s="104">
        <f>J233</f>
        <v>1167390.8565538933</v>
      </c>
      <c r="D235" s="105"/>
      <c r="E235" s="14">
        <v>100</v>
      </c>
      <c r="F235" s="18"/>
      <c r="G235" s="19"/>
      <c r="H235" s="18"/>
      <c r="I235" s="20"/>
      <c r="J235" s="21"/>
      <c r="K235" s="22"/>
    </row>
    <row r="236" spans="1:20" x14ac:dyDescent="0.3">
      <c r="B236" s="16" t="s">
        <v>30</v>
      </c>
      <c r="C236" s="111">
        <v>1000000</v>
      </c>
      <c r="D236" s="112"/>
      <c r="E236" s="14"/>
    </row>
    <row r="237" spans="1:20" x14ac:dyDescent="0.3">
      <c r="B237" s="16" t="s">
        <v>31</v>
      </c>
      <c r="C237" s="111">
        <f>C236-C239-C240</f>
        <v>950000</v>
      </c>
      <c r="D237" s="112"/>
      <c r="E237" s="14">
        <f>C237/C235*100</f>
        <v>81.37805728617532</v>
      </c>
    </row>
    <row r="238" spans="1:20" x14ac:dyDescent="0.3">
      <c r="B238" s="16" t="s">
        <v>32</v>
      </c>
      <c r="C238" s="103">
        <f>C235-C237</f>
        <v>217390.8565538933</v>
      </c>
      <c r="D238" s="103"/>
      <c r="E238" s="14">
        <f>100-E237</f>
        <v>18.62194271382468</v>
      </c>
    </row>
    <row r="239" spans="1:20" x14ac:dyDescent="0.3">
      <c r="B239" s="16" t="s">
        <v>33</v>
      </c>
      <c r="C239" s="104">
        <f>C236*0.03</f>
        <v>30000</v>
      </c>
      <c r="D239" s="105"/>
      <c r="E239" s="14">
        <v>3</v>
      </c>
    </row>
    <row r="240" spans="1:20" x14ac:dyDescent="0.3">
      <c r="B240" s="16" t="s">
        <v>34</v>
      </c>
      <c r="C240" s="104">
        <f>C236*0.02</f>
        <v>20000</v>
      </c>
      <c r="D240" s="105"/>
      <c r="E240" s="14">
        <v>2</v>
      </c>
    </row>
  </sheetData>
  <mergeCells count="14">
    <mergeCell ref="H6:K6"/>
    <mergeCell ref="A1:K1"/>
    <mergeCell ref="A2:K2"/>
    <mergeCell ref="A3:K3"/>
    <mergeCell ref="A4:K4"/>
    <mergeCell ref="A5:K5"/>
    <mergeCell ref="C239:D239"/>
    <mergeCell ref="C240:D240"/>
    <mergeCell ref="A7:F7"/>
    <mergeCell ref="H7:K7"/>
    <mergeCell ref="C235:D235"/>
    <mergeCell ref="C236:D236"/>
    <mergeCell ref="C237:D237"/>
    <mergeCell ref="C238:D23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abSelected="1" topLeftCell="A85" zoomScaleNormal="100" zoomScaleSheetLayoutView="80" workbookViewId="0">
      <selection activeCell="C117" sqref="C117"/>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107" t="s">
        <v>0</v>
      </c>
      <c r="B1" s="107"/>
      <c r="C1" s="107"/>
      <c r="D1" s="107"/>
      <c r="E1" s="107"/>
      <c r="F1" s="107"/>
      <c r="G1" s="107"/>
      <c r="H1" s="107"/>
      <c r="I1" s="107"/>
      <c r="J1" s="107"/>
      <c r="K1" s="107"/>
    </row>
    <row r="2" spans="1:14" s="1" customFormat="1" ht="22.8" x14ac:dyDescent="0.3">
      <c r="A2" s="108" t="s">
        <v>1</v>
      </c>
      <c r="B2" s="108"/>
      <c r="C2" s="108"/>
      <c r="D2" s="108"/>
      <c r="E2" s="108"/>
      <c r="F2" s="108"/>
      <c r="G2" s="108"/>
      <c r="H2" s="108"/>
      <c r="I2" s="108"/>
      <c r="J2" s="108"/>
      <c r="K2" s="108"/>
    </row>
    <row r="3" spans="1:14" s="1" customFormat="1" x14ac:dyDescent="0.3">
      <c r="A3" s="94" t="s">
        <v>2</v>
      </c>
      <c r="B3" s="94"/>
      <c r="C3" s="94"/>
      <c r="D3" s="94"/>
      <c r="E3" s="94"/>
      <c r="F3" s="94"/>
      <c r="G3" s="94"/>
      <c r="H3" s="94"/>
      <c r="I3" s="94"/>
      <c r="J3" s="94"/>
      <c r="K3" s="94"/>
      <c r="N3" s="79"/>
    </row>
    <row r="4" spans="1:14" s="1" customFormat="1" x14ac:dyDescent="0.3">
      <c r="A4" s="94" t="s">
        <v>3</v>
      </c>
      <c r="B4" s="94"/>
      <c r="C4" s="94"/>
      <c r="D4" s="94"/>
      <c r="E4" s="94"/>
      <c r="F4" s="94"/>
      <c r="G4" s="94"/>
      <c r="H4" s="94"/>
      <c r="I4" s="94"/>
      <c r="J4" s="94"/>
      <c r="K4" s="94"/>
      <c r="N4" s="79"/>
    </row>
    <row r="5" spans="1:14" ht="17.399999999999999" x14ac:dyDescent="0.3">
      <c r="A5" s="109" t="s">
        <v>50</v>
      </c>
      <c r="B5" s="109"/>
      <c r="C5" s="109"/>
      <c r="D5" s="109"/>
      <c r="E5" s="109"/>
      <c r="F5" s="109"/>
      <c r="G5" s="109"/>
      <c r="H5" s="109"/>
      <c r="I5" s="109"/>
      <c r="J5" s="109"/>
      <c r="K5" s="109"/>
      <c r="M5" s="1"/>
      <c r="N5" s="79"/>
    </row>
    <row r="6" spans="1:14" ht="15.6" x14ac:dyDescent="0.3">
      <c r="A6" s="42" t="s">
        <v>115</v>
      </c>
      <c r="B6" s="42"/>
      <c r="C6" s="42"/>
      <c r="D6" s="42"/>
      <c r="E6" s="42"/>
      <c r="F6" s="42"/>
      <c r="G6" s="2"/>
      <c r="H6" s="106" t="s">
        <v>48</v>
      </c>
      <c r="I6" s="106"/>
      <c r="J6" s="106"/>
      <c r="K6" s="106"/>
      <c r="M6" s="1"/>
      <c r="N6" s="79"/>
    </row>
    <row r="7" spans="1:14" ht="15.6" x14ac:dyDescent="0.3">
      <c r="A7" s="110" t="s">
        <v>26</v>
      </c>
      <c r="B7" s="110"/>
      <c r="C7" s="110"/>
      <c r="D7" s="110"/>
      <c r="E7" s="110"/>
      <c r="F7" s="110"/>
      <c r="G7" s="3"/>
      <c r="H7" s="106" t="s">
        <v>130</v>
      </c>
      <c r="I7" s="106"/>
      <c r="J7" s="106"/>
      <c r="K7" s="106"/>
      <c r="N7" s="79"/>
    </row>
    <row r="8" spans="1:14" ht="15" customHeight="1" x14ac:dyDescent="0.3">
      <c r="A8" s="4" t="s">
        <v>4</v>
      </c>
      <c r="B8" s="23" t="s">
        <v>5</v>
      </c>
      <c r="C8" s="4" t="s">
        <v>6</v>
      </c>
      <c r="D8" s="24" t="s">
        <v>7</v>
      </c>
      <c r="E8" s="24" t="s">
        <v>8</v>
      </c>
      <c r="F8" s="24" t="s">
        <v>9</v>
      </c>
      <c r="G8" s="24" t="s">
        <v>10</v>
      </c>
      <c r="H8" s="4" t="s">
        <v>11</v>
      </c>
      <c r="I8" s="24" t="s">
        <v>12</v>
      </c>
      <c r="J8" s="24" t="s">
        <v>13</v>
      </c>
      <c r="K8" s="25" t="s">
        <v>14</v>
      </c>
      <c r="N8" s="80"/>
    </row>
    <row r="9" spans="1:14" ht="41.4" x14ac:dyDescent="0.3">
      <c r="A9" s="43">
        <v>2</v>
      </c>
      <c r="B9" s="51" t="s">
        <v>53</v>
      </c>
      <c r="C9" s="49"/>
      <c r="D9" s="14"/>
      <c r="E9" s="14"/>
      <c r="F9" s="14"/>
      <c r="G9" s="47"/>
      <c r="H9" s="47"/>
      <c r="I9" s="47"/>
      <c r="J9" s="40"/>
      <c r="K9" s="16"/>
    </row>
    <row r="10" spans="1:14" ht="17.399999999999999" x14ac:dyDescent="0.3">
      <c r="A10" s="43"/>
      <c r="B10" s="89" t="s">
        <v>135</v>
      </c>
      <c r="C10" s="49"/>
      <c r="D10" s="14"/>
      <c r="E10" s="14"/>
      <c r="F10" s="14"/>
      <c r="G10" s="47"/>
      <c r="H10" s="47"/>
      <c r="I10" s="47"/>
      <c r="J10" s="40"/>
      <c r="K10" s="16"/>
    </row>
    <row r="11" spans="1:14" ht="15" customHeight="1" x14ac:dyDescent="0.3">
      <c r="A11" s="43"/>
      <c r="B11" s="45" t="s">
        <v>100</v>
      </c>
      <c r="C11" s="46">
        <v>2</v>
      </c>
      <c r="D11" s="14">
        <v>2.97</v>
      </c>
      <c r="E11" s="14"/>
      <c r="F11" s="14">
        <f>1.11+0.7</f>
        <v>1.81</v>
      </c>
      <c r="G11" s="81">
        <f t="shared" ref="G11:G20" si="0">PRODUCT(C11:F11)</f>
        <v>10.7514</v>
      </c>
      <c r="H11" s="47"/>
      <c r="I11" s="44"/>
      <c r="J11" s="44"/>
      <c r="K11" s="16"/>
    </row>
    <row r="12" spans="1:14" ht="15" customHeight="1" x14ac:dyDescent="0.3">
      <c r="A12" s="43"/>
      <c r="B12" s="45"/>
      <c r="C12" s="46">
        <v>2</v>
      </c>
      <c r="D12" s="14">
        <v>2.97</v>
      </c>
      <c r="E12" s="14"/>
      <c r="F12" s="14">
        <f>1.11+0.7</f>
        <v>1.81</v>
      </c>
      <c r="G12" s="81">
        <f t="shared" si="0"/>
        <v>10.7514</v>
      </c>
      <c r="H12" s="47"/>
      <c r="I12" s="44"/>
      <c r="J12" s="44"/>
      <c r="K12" s="16"/>
    </row>
    <row r="13" spans="1:14" ht="28.8" x14ac:dyDescent="0.3">
      <c r="A13" s="43"/>
      <c r="B13" s="45" t="s">
        <v>103</v>
      </c>
      <c r="C13" s="46">
        <f>-C30</f>
        <v>0</v>
      </c>
      <c r="D13" s="14">
        <f>D30</f>
        <v>0.53337397135019804</v>
      </c>
      <c r="E13" s="14"/>
      <c r="F13" s="14">
        <f>F30</f>
        <v>0.75</v>
      </c>
      <c r="G13" s="81">
        <f t="shared" si="0"/>
        <v>0</v>
      </c>
      <c r="H13" s="47"/>
      <c r="I13" s="44"/>
      <c r="J13" s="44"/>
      <c r="K13" s="16"/>
    </row>
    <row r="14" spans="1:14" ht="15" customHeight="1" x14ac:dyDescent="0.3">
      <c r="A14" s="43"/>
      <c r="B14" s="45" t="s">
        <v>44</v>
      </c>
      <c r="C14" s="46">
        <f>C27</f>
        <v>-2</v>
      </c>
      <c r="D14" s="14">
        <f>D27</f>
        <v>0.7</v>
      </c>
      <c r="E14" s="14"/>
      <c r="F14" s="14">
        <f>F27</f>
        <v>0.7</v>
      </c>
      <c r="G14" s="81">
        <f t="shared" si="0"/>
        <v>-0.97999999999999987</v>
      </c>
      <c r="H14" s="47"/>
      <c r="I14" s="44"/>
      <c r="J14" s="44"/>
      <c r="K14" s="16"/>
    </row>
    <row r="15" spans="1:14" ht="15" customHeight="1" x14ac:dyDescent="0.3">
      <c r="A15" s="43"/>
      <c r="B15" s="45" t="s">
        <v>43</v>
      </c>
      <c r="C15" s="46">
        <f>C28</f>
        <v>-1</v>
      </c>
      <c r="D15" s="14">
        <f>D28+0.15+0.15+0.05</f>
        <v>1.5499999999999998</v>
      </c>
      <c r="E15" s="14"/>
      <c r="F15" s="14">
        <f>F28</f>
        <v>2.4382810118866196</v>
      </c>
      <c r="G15" s="81">
        <f t="shared" si="0"/>
        <v>-3.7793355684242598</v>
      </c>
      <c r="H15" s="47"/>
      <c r="I15" s="44"/>
      <c r="J15" s="44"/>
      <c r="K15" s="16"/>
    </row>
    <row r="16" spans="1:14" ht="15" customHeight="1" x14ac:dyDescent="0.3">
      <c r="A16" s="43"/>
      <c r="B16" s="45" t="s">
        <v>65</v>
      </c>
      <c r="C16" s="46">
        <f>C29</f>
        <v>0</v>
      </c>
      <c r="D16" s="14">
        <v>2.08</v>
      </c>
      <c r="E16" s="14"/>
      <c r="F16" s="14">
        <f>0.75-0.15*4</f>
        <v>0.15000000000000002</v>
      </c>
      <c r="G16" s="81">
        <f t="shared" si="0"/>
        <v>0</v>
      </c>
      <c r="H16" s="47"/>
      <c r="I16" s="44"/>
      <c r="J16" s="44"/>
      <c r="K16" s="16"/>
    </row>
    <row r="17" spans="1:11" ht="15" customHeight="1" x14ac:dyDescent="0.3">
      <c r="A17" s="43"/>
      <c r="B17" s="89" t="s">
        <v>109</v>
      </c>
      <c r="C17" s="46">
        <v>4</v>
      </c>
      <c r="D17" s="14">
        <f>76/12/3.281</f>
        <v>1.9303058010769072</v>
      </c>
      <c r="E17" s="14"/>
      <c r="F17" s="14">
        <f>20/12/3.281</f>
        <v>0.50797521080971253</v>
      </c>
      <c r="G17" s="81">
        <f t="shared" si="0"/>
        <v>3.9221899849170119</v>
      </c>
      <c r="H17" s="47"/>
      <c r="I17" s="44"/>
      <c r="J17" s="44"/>
      <c r="K17" s="16"/>
    </row>
    <row r="18" spans="1:11" ht="15" customHeight="1" x14ac:dyDescent="0.3">
      <c r="A18" s="43"/>
      <c r="B18" s="45" t="s">
        <v>110</v>
      </c>
      <c r="C18" s="46">
        <v>-4</v>
      </c>
      <c r="D18" s="14">
        <f>10.5/12/3.281</f>
        <v>0.26668698567509902</v>
      </c>
      <c r="E18" s="14"/>
      <c r="F18" s="14">
        <f>1/3.281</f>
        <v>0.30478512648582745</v>
      </c>
      <c r="G18" s="81">
        <f t="shared" si="0"/>
        <v>-0.32512890664443644</v>
      </c>
      <c r="H18" s="47"/>
      <c r="I18" s="44"/>
      <c r="J18" s="44"/>
      <c r="K18" s="16"/>
    </row>
    <row r="19" spans="1:11" ht="15" customHeight="1" x14ac:dyDescent="0.3">
      <c r="A19" s="43"/>
      <c r="B19" s="45"/>
      <c r="C19" s="46">
        <f>C18</f>
        <v>-4</v>
      </c>
      <c r="D19" s="14">
        <f>26/12/3.281</f>
        <v>0.66036777405262614</v>
      </c>
      <c r="E19" s="14"/>
      <c r="F19" s="14">
        <f>5/12/3.281</f>
        <v>0.12699380270242813</v>
      </c>
      <c r="G19" s="81">
        <f t="shared" si="0"/>
        <v>-0.33545045923632338</v>
      </c>
      <c r="H19" s="47"/>
      <c r="I19" s="44"/>
      <c r="J19" s="44"/>
      <c r="K19" s="16"/>
    </row>
    <row r="20" spans="1:11" ht="15" customHeight="1" x14ac:dyDescent="0.3">
      <c r="A20" s="43"/>
      <c r="B20" s="45"/>
      <c r="C20" s="46">
        <f>C18</f>
        <v>-4</v>
      </c>
      <c r="D20" s="14">
        <f>24/12/3.281</f>
        <v>0.6095702529716549</v>
      </c>
      <c r="E20" s="14"/>
      <c r="F20" s="14">
        <f>3/12/3.281</f>
        <v>7.6196281621456863E-2</v>
      </c>
      <c r="G20" s="81">
        <f t="shared" si="0"/>
        <v>-0.18578794665396367</v>
      </c>
      <c r="H20" s="47"/>
      <c r="I20" s="44"/>
      <c r="J20" s="44"/>
      <c r="K20" s="16"/>
    </row>
    <row r="21" spans="1:11" ht="15" customHeight="1" x14ac:dyDescent="0.3">
      <c r="A21" s="43"/>
      <c r="B21" s="45" t="s">
        <v>38</v>
      </c>
      <c r="C21" s="46"/>
      <c r="D21" s="14"/>
      <c r="E21" s="14"/>
      <c r="F21" s="14"/>
      <c r="G21" s="44">
        <f>SUM(G11:G20)</f>
        <v>19.819287103958029</v>
      </c>
      <c r="H21" s="44" t="s">
        <v>41</v>
      </c>
      <c r="I21" s="44">
        <f>6161.31/1.15</f>
        <v>5357.6608695652185</v>
      </c>
      <c r="J21" s="44">
        <f>G21*I21</f>
        <v>106185.0189795545</v>
      </c>
      <c r="K21" s="16"/>
    </row>
    <row r="22" spans="1:11" ht="15" customHeight="1" x14ac:dyDescent="0.3">
      <c r="A22" s="43"/>
      <c r="B22" s="45" t="s">
        <v>52</v>
      </c>
      <c r="C22" s="46"/>
      <c r="D22" s="14"/>
      <c r="E22" s="14"/>
      <c r="F22" s="14"/>
      <c r="G22" s="44"/>
      <c r="H22" s="44"/>
      <c r="I22" s="44"/>
      <c r="J22" s="44">
        <f>0.13*G21*(340055.78/100)</f>
        <v>8761.5620757345077</v>
      </c>
      <c r="K22" s="16"/>
    </row>
    <row r="23" spans="1:11" ht="15" customHeight="1" x14ac:dyDescent="0.3">
      <c r="A23" s="43"/>
      <c r="B23" s="45"/>
      <c r="C23" s="46"/>
      <c r="D23" s="14"/>
      <c r="E23" s="14"/>
      <c r="F23" s="14"/>
      <c r="G23" s="44"/>
      <c r="H23" s="44"/>
      <c r="I23" s="44"/>
      <c r="J23" s="44"/>
      <c r="K23" s="16"/>
    </row>
    <row r="24" spans="1:11" ht="30" x14ac:dyDescent="0.3">
      <c r="A24" s="43">
        <v>3</v>
      </c>
      <c r="B24" s="48" t="s">
        <v>102</v>
      </c>
      <c r="C24" s="46"/>
      <c r="D24" s="14"/>
      <c r="E24" s="14"/>
      <c r="F24" s="14"/>
      <c r="G24" s="44"/>
      <c r="H24" s="44"/>
      <c r="I24" s="44"/>
      <c r="J24" s="44"/>
      <c r="K24" s="16"/>
    </row>
    <row r="25" spans="1:11" x14ac:dyDescent="0.3">
      <c r="A25" s="43"/>
      <c r="B25" s="45" t="s">
        <v>116</v>
      </c>
      <c r="C25" s="46">
        <v>2</v>
      </c>
      <c r="D25" s="14">
        <v>2.0699999999999998</v>
      </c>
      <c r="E25" s="14">
        <v>0.1</v>
      </c>
      <c r="F25" s="14">
        <f>8/3.281</f>
        <v>2.4382810118866196</v>
      </c>
      <c r="G25" s="81">
        <f t="shared" ref="G25:G28" si="1">PRODUCT(C25:F25)</f>
        <v>1.0094483389210605</v>
      </c>
      <c r="H25" s="44"/>
      <c r="I25" s="44"/>
      <c r="J25" s="44"/>
      <c r="K25" s="16"/>
    </row>
    <row r="26" spans="1:11" ht="15" x14ac:dyDescent="0.3">
      <c r="A26" s="43"/>
      <c r="B26" s="48"/>
      <c r="C26" s="46">
        <v>2</v>
      </c>
      <c r="D26" s="14">
        <v>2.0699999999999998</v>
      </c>
      <c r="E26" s="14">
        <v>0.1</v>
      </c>
      <c r="F26" s="14">
        <f>8/3.281</f>
        <v>2.4382810118866196</v>
      </c>
      <c r="G26" s="81">
        <f t="shared" si="1"/>
        <v>1.0094483389210605</v>
      </c>
      <c r="H26" s="44"/>
      <c r="I26" s="44"/>
      <c r="J26" s="44"/>
      <c r="K26" s="16"/>
    </row>
    <row r="27" spans="1:11" x14ac:dyDescent="0.3">
      <c r="A27" s="43"/>
      <c r="B27" s="45" t="s">
        <v>120</v>
      </c>
      <c r="C27" s="46">
        <v>-2</v>
      </c>
      <c r="D27" s="14">
        <v>0.7</v>
      </c>
      <c r="E27" s="14">
        <v>0.1</v>
      </c>
      <c r="F27" s="14">
        <v>0.7</v>
      </c>
      <c r="G27" s="81">
        <f t="shared" si="1"/>
        <v>-9.799999999999999E-2</v>
      </c>
      <c r="H27" s="44"/>
      <c r="I27" s="44"/>
      <c r="J27" s="44"/>
      <c r="K27" s="16"/>
    </row>
    <row r="28" spans="1:11" x14ac:dyDescent="0.3">
      <c r="A28" s="43"/>
      <c r="B28" s="45" t="s">
        <v>121</v>
      </c>
      <c r="C28" s="46">
        <v>-1</v>
      </c>
      <c r="D28" s="14">
        <v>1.2</v>
      </c>
      <c r="E28" s="14">
        <v>0.1</v>
      </c>
      <c r="F28" s="14">
        <f>8/3.281</f>
        <v>2.4382810118866196</v>
      </c>
      <c r="G28" s="81">
        <f t="shared" si="1"/>
        <v>-0.29259372142639434</v>
      </c>
      <c r="H28" s="44"/>
      <c r="I28" s="44"/>
      <c r="J28" s="44"/>
      <c r="K28" s="16"/>
    </row>
    <row r="29" spans="1:11" ht="15" customHeight="1" x14ac:dyDescent="0.3">
      <c r="A29" s="43"/>
      <c r="B29" s="45" t="s">
        <v>65</v>
      </c>
      <c r="C29" s="46">
        <f>0*1</f>
        <v>0</v>
      </c>
      <c r="D29" s="14">
        <f>D16</f>
        <v>2.08</v>
      </c>
      <c r="E29" s="14">
        <v>0.1</v>
      </c>
      <c r="F29" s="14">
        <f>F16</f>
        <v>0.15000000000000002</v>
      </c>
      <c r="G29" s="81">
        <f>PRODUCT(C29:F29)</f>
        <v>0</v>
      </c>
      <c r="H29" s="47"/>
      <c r="I29" s="44"/>
      <c r="J29" s="44"/>
      <c r="K29" s="16"/>
    </row>
    <row r="30" spans="1:11" ht="15" customHeight="1" x14ac:dyDescent="0.3">
      <c r="A30" s="43"/>
      <c r="B30" s="45"/>
      <c r="C30" s="46">
        <f>0*2</f>
        <v>0</v>
      </c>
      <c r="D30" s="14">
        <f>(1.75/3.281)</f>
        <v>0.53337397135019804</v>
      </c>
      <c r="E30" s="14">
        <v>0.1</v>
      </c>
      <c r="F30" s="14">
        <v>0.75</v>
      </c>
      <c r="G30" s="81">
        <f>PRODUCT(C30:F30)</f>
        <v>0</v>
      </c>
      <c r="H30" s="47"/>
      <c r="I30" s="44"/>
      <c r="J30" s="44"/>
      <c r="K30" s="16"/>
    </row>
    <row r="31" spans="1:11" ht="15" customHeight="1" x14ac:dyDescent="0.3">
      <c r="A31" s="43"/>
      <c r="B31" s="45" t="str">
        <f>B17</f>
        <v>-2nd floor</v>
      </c>
      <c r="C31" s="46">
        <v>1</v>
      </c>
      <c r="D31" s="14">
        <f>73/12/3.281</f>
        <v>1.8541095194554504</v>
      </c>
      <c r="E31" s="14">
        <v>0.1</v>
      </c>
      <c r="F31" s="14">
        <f>0.1</f>
        <v>0.1</v>
      </c>
      <c r="G31" s="81">
        <f>PRODUCT(C31:F31)</f>
        <v>1.8541095194554505E-2</v>
      </c>
      <c r="H31" s="47"/>
      <c r="I31" s="44"/>
      <c r="J31" s="44"/>
      <c r="K31" s="16"/>
    </row>
    <row r="32" spans="1:11" ht="15" customHeight="1" x14ac:dyDescent="0.3">
      <c r="A32" s="43"/>
      <c r="B32" s="45" t="s">
        <v>38</v>
      </c>
      <c r="C32" s="46"/>
      <c r="D32" s="14"/>
      <c r="E32" s="14"/>
      <c r="F32" s="14"/>
      <c r="G32" s="82">
        <f>SUM(G25:G31)</f>
        <v>1.6468440516102811</v>
      </c>
      <c r="H32" s="44" t="s">
        <v>51</v>
      </c>
      <c r="I32" s="44">
        <v>14362.76</v>
      </c>
      <c r="J32" s="44">
        <f>G32*I32</f>
        <v>23653.225870706083</v>
      </c>
      <c r="K32" s="16"/>
    </row>
    <row r="33" spans="1:19" ht="15" customHeight="1" x14ac:dyDescent="0.3">
      <c r="A33" s="43"/>
      <c r="B33" s="45" t="s">
        <v>52</v>
      </c>
      <c r="C33" s="46"/>
      <c r="D33" s="14"/>
      <c r="E33" s="14"/>
      <c r="F33" s="14"/>
      <c r="G33" s="82"/>
      <c r="H33" s="44"/>
      <c r="I33" s="44"/>
      <c r="J33" s="44">
        <f>0.13*G32*10311.74</f>
        <v>2207.637598497734</v>
      </c>
      <c r="K33" s="16"/>
    </row>
    <row r="34" spans="1:19" ht="15" customHeight="1" x14ac:dyDescent="0.3">
      <c r="A34" s="26"/>
      <c r="B34" s="30"/>
      <c r="C34" s="27"/>
      <c r="D34" s="28"/>
      <c r="E34" s="29"/>
      <c r="F34" s="29"/>
      <c r="G34" s="83"/>
      <c r="H34" s="38"/>
      <c r="I34" s="39"/>
      <c r="J34" s="44"/>
      <c r="K34" s="29"/>
      <c r="M34" s="31"/>
      <c r="N34" s="1"/>
      <c r="O34" s="1"/>
      <c r="P34" s="1"/>
      <c r="Q34" s="1"/>
      <c r="R34" s="31"/>
      <c r="S34" s="31"/>
    </row>
    <row r="35" spans="1:19" ht="27.6" x14ac:dyDescent="0.3">
      <c r="A35" s="26">
        <v>4</v>
      </c>
      <c r="B35" s="41" t="s">
        <v>78</v>
      </c>
      <c r="C35" s="27"/>
      <c r="D35" s="28"/>
      <c r="E35" s="29"/>
      <c r="F35" s="29"/>
      <c r="G35" s="83"/>
      <c r="H35" s="38"/>
      <c r="I35" s="39"/>
      <c r="J35" s="44"/>
      <c r="K35" s="29"/>
      <c r="M35" s="31"/>
      <c r="N35" s="1"/>
      <c r="O35" s="1"/>
      <c r="P35" s="1"/>
      <c r="Q35" s="1"/>
      <c r="R35" s="31"/>
      <c r="S35" s="31"/>
    </row>
    <row r="36" spans="1:19" ht="15" customHeight="1" x14ac:dyDescent="0.3">
      <c r="A36" s="43"/>
      <c r="B36" s="45" t="s">
        <v>79</v>
      </c>
      <c r="C36" s="46">
        <v>1</v>
      </c>
      <c r="D36" s="14">
        <f>3.06*4</f>
        <v>12.24</v>
      </c>
      <c r="E36" s="14"/>
      <c r="F36" s="14"/>
      <c r="G36" s="81">
        <f>PRODUCT(C36:F36)</f>
        <v>12.24</v>
      </c>
      <c r="H36" s="47"/>
      <c r="I36" s="44"/>
      <c r="J36" s="44"/>
      <c r="K36" s="16"/>
    </row>
    <row r="37" spans="1:19" ht="15" customHeight="1" x14ac:dyDescent="0.3">
      <c r="A37" s="43"/>
      <c r="B37" s="45" t="s">
        <v>38</v>
      </c>
      <c r="C37" s="46"/>
      <c r="D37" s="14"/>
      <c r="E37" s="14"/>
      <c r="F37" s="14"/>
      <c r="G37" s="82">
        <f>SUM(G36)</f>
        <v>12.24</v>
      </c>
      <c r="H37" s="44" t="s">
        <v>80</v>
      </c>
      <c r="I37" s="44">
        <f>465.63/1.15</f>
        <v>404.89565217391305</v>
      </c>
      <c r="J37" s="44">
        <f>G37*I37</f>
        <v>4955.9227826086963</v>
      </c>
      <c r="K37" s="16"/>
    </row>
    <row r="38" spans="1:19" ht="15" customHeight="1" x14ac:dyDescent="0.3">
      <c r="A38" s="43"/>
      <c r="B38" s="45" t="s">
        <v>52</v>
      </c>
      <c r="C38" s="46"/>
      <c r="D38" s="14"/>
      <c r="E38" s="14"/>
      <c r="F38" s="14"/>
      <c r="G38" s="82"/>
      <c r="H38" s="44"/>
      <c r="I38" s="44"/>
      <c r="J38" s="44">
        <f>0.13*G37*(2780.61/10)</f>
        <v>442.45066320000012</v>
      </c>
      <c r="K38" s="16"/>
    </row>
    <row r="39" spans="1:19" ht="15" customHeight="1" x14ac:dyDescent="0.3">
      <c r="A39" s="43"/>
      <c r="B39" s="45"/>
      <c r="C39" s="46"/>
      <c r="D39" s="14"/>
      <c r="E39" s="14"/>
      <c r="F39" s="14"/>
      <c r="G39" s="81"/>
      <c r="H39" s="47"/>
      <c r="I39" s="47"/>
      <c r="J39" s="40"/>
      <c r="K39" s="16"/>
    </row>
    <row r="40" spans="1:19" ht="27.6" x14ac:dyDescent="0.3">
      <c r="A40" s="26">
        <v>5</v>
      </c>
      <c r="B40" s="41" t="s">
        <v>81</v>
      </c>
      <c r="C40" s="27"/>
      <c r="D40" s="28"/>
      <c r="E40" s="29"/>
      <c r="F40" s="29"/>
      <c r="G40" s="83"/>
      <c r="H40" s="38"/>
      <c r="I40" s="39"/>
      <c r="J40" s="44"/>
      <c r="K40" s="29"/>
      <c r="M40" s="31"/>
      <c r="N40" s="1"/>
      <c r="O40" s="1"/>
      <c r="P40" s="1"/>
      <c r="Q40" s="1"/>
      <c r="R40" s="31"/>
      <c r="S40" s="31"/>
    </row>
    <row r="41" spans="1:19" ht="15" customHeight="1" x14ac:dyDescent="0.3">
      <c r="A41" s="43"/>
      <c r="B41" s="45" t="s">
        <v>79</v>
      </c>
      <c r="C41" s="46">
        <v>1</v>
      </c>
      <c r="D41" s="14">
        <f>D36</f>
        <v>12.24</v>
      </c>
      <c r="E41" s="14"/>
      <c r="F41" s="14"/>
      <c r="G41" s="81">
        <f>PRODUCT(C41:F41)</f>
        <v>12.24</v>
      </c>
      <c r="H41" s="47"/>
      <c r="I41" s="44"/>
      <c r="J41" s="44"/>
      <c r="K41" s="16"/>
    </row>
    <row r="42" spans="1:19" ht="15" customHeight="1" x14ac:dyDescent="0.3">
      <c r="A42" s="43"/>
      <c r="B42" s="45" t="s">
        <v>38</v>
      </c>
      <c r="C42" s="46"/>
      <c r="D42" s="14"/>
      <c r="E42" s="14"/>
      <c r="F42" s="14"/>
      <c r="G42" s="82">
        <f>SUM(G41)</f>
        <v>12.24</v>
      </c>
      <c r="H42" s="44" t="s">
        <v>80</v>
      </c>
      <c r="I42" s="44">
        <f>396.86/1.15</f>
        <v>345.09565217391309</v>
      </c>
      <c r="J42" s="44">
        <f>G42*I42</f>
        <v>4223.970782608696</v>
      </c>
      <c r="K42" s="16"/>
    </row>
    <row r="43" spans="1:19" ht="15" customHeight="1" x14ac:dyDescent="0.3">
      <c r="A43" s="43"/>
      <c r="B43" s="45" t="s">
        <v>52</v>
      </c>
      <c r="C43" s="46"/>
      <c r="D43" s="14"/>
      <c r="E43" s="14"/>
      <c r="F43" s="14"/>
      <c r="G43" s="44"/>
      <c r="H43" s="44"/>
      <c r="I43" s="44"/>
      <c r="J43" s="44">
        <f>0.13*G42*(2182.61/10)</f>
        <v>347.29690320000009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26">
        <v>6</v>
      </c>
      <c r="B45" s="41" t="s">
        <v>82</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3.04*4-D15</f>
        <v>10.61</v>
      </c>
      <c r="E46" s="14"/>
      <c r="F46" s="14"/>
      <c r="G46" s="81">
        <f>PRODUCT(C46:F46)</f>
        <v>10.61</v>
      </c>
      <c r="H46" s="47"/>
      <c r="I46" s="44"/>
      <c r="J46" s="44"/>
      <c r="K46" s="16"/>
    </row>
    <row r="47" spans="1:19" ht="15" customHeight="1" x14ac:dyDescent="0.3">
      <c r="A47" s="43"/>
      <c r="B47" s="45" t="s">
        <v>38</v>
      </c>
      <c r="C47" s="46"/>
      <c r="D47" s="14"/>
      <c r="E47" s="14"/>
      <c r="F47" s="14"/>
      <c r="G47" s="82">
        <f>SUM(G46)</f>
        <v>10.61</v>
      </c>
      <c r="H47" s="44" t="s">
        <v>80</v>
      </c>
      <c r="I47" s="44">
        <f>447.23/1.15</f>
        <v>388.89565217391311</v>
      </c>
      <c r="J47" s="44">
        <f>G47*I47</f>
        <v>4126.1828695652175</v>
      </c>
      <c r="K47" s="16"/>
    </row>
    <row r="48" spans="1:19" ht="15" customHeight="1" x14ac:dyDescent="0.3">
      <c r="A48" s="43"/>
      <c r="B48" s="45" t="s">
        <v>52</v>
      </c>
      <c r="C48" s="46"/>
      <c r="D48" s="14"/>
      <c r="E48" s="14"/>
      <c r="F48" s="14"/>
      <c r="G48" s="44"/>
      <c r="H48" s="44"/>
      <c r="I48" s="44"/>
      <c r="J48" s="44">
        <f>0.13*G47*(2620.61/10)</f>
        <v>361.46073730000006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26">
        <v>7</v>
      </c>
      <c r="B50" s="41" t="s">
        <v>84</v>
      </c>
      <c r="C50" s="27"/>
      <c r="D50" s="28"/>
      <c r="E50" s="29"/>
      <c r="F50" s="29"/>
      <c r="G50" s="39"/>
      <c r="H50" s="38"/>
      <c r="I50" s="39"/>
      <c r="J50" s="44"/>
      <c r="K50" s="29"/>
      <c r="M50" s="31"/>
      <c r="N50" s="1"/>
      <c r="O50" s="1"/>
      <c r="P50" s="1"/>
      <c r="Q50" s="1"/>
      <c r="R50" s="31"/>
      <c r="S50" s="31"/>
    </row>
    <row r="51" spans="1:19" ht="15" customHeight="1" x14ac:dyDescent="0.3">
      <c r="A51" s="43"/>
      <c r="B51" s="45" t="s">
        <v>79</v>
      </c>
      <c r="C51" s="46">
        <v>2</v>
      </c>
      <c r="D51" s="14">
        <f>3*4-D20</f>
        <v>11.390429747028346</v>
      </c>
      <c r="E51" s="14"/>
      <c r="F51" s="14"/>
      <c r="G51" s="81">
        <f>PRODUCT(C51:F51)</f>
        <v>22.780859494056692</v>
      </c>
      <c r="H51" s="47"/>
      <c r="I51" s="44"/>
      <c r="J51" s="44"/>
      <c r="K51" s="16"/>
    </row>
    <row r="52" spans="1:19" ht="15" customHeight="1" x14ac:dyDescent="0.3">
      <c r="A52" s="43"/>
      <c r="B52" s="45" t="s">
        <v>38</v>
      </c>
      <c r="C52" s="46"/>
      <c r="D52" s="14"/>
      <c r="E52" s="14"/>
      <c r="F52" s="14"/>
      <c r="G52" s="44">
        <f>SUM(G51)</f>
        <v>22.780859494056692</v>
      </c>
      <c r="H52" s="44" t="s">
        <v>80</v>
      </c>
      <c r="I52" s="44">
        <f>406.75/1.15</f>
        <v>353.69565217391306</v>
      </c>
      <c r="J52" s="44">
        <f>G52*I52</f>
        <v>8057.4909558326608</v>
      </c>
      <c r="K52" s="16"/>
    </row>
    <row r="53" spans="1:19" ht="15" customHeight="1" x14ac:dyDescent="0.3">
      <c r="A53" s="43"/>
      <c r="B53" s="45" t="s">
        <v>52</v>
      </c>
      <c r="C53" s="46"/>
      <c r="D53" s="14"/>
      <c r="E53" s="14"/>
      <c r="F53" s="14"/>
      <c r="G53" s="44"/>
      <c r="H53" s="44"/>
      <c r="I53" s="44"/>
      <c r="J53" s="44">
        <f>0.13*G52*(2268.61/10)</f>
        <v>671.85151353855554</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10</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3.09*4-D15</f>
        <v>10.809999999999999</v>
      </c>
      <c r="E56" s="14"/>
      <c r="F56" s="14"/>
      <c r="G56" s="81">
        <f>PRODUCT(C56:F56)</f>
        <v>10.809999999999999</v>
      </c>
      <c r="H56" s="47"/>
      <c r="I56" s="44"/>
      <c r="J56" s="44"/>
      <c r="K56" s="16"/>
    </row>
    <row r="57" spans="1:19" ht="15" customHeight="1" x14ac:dyDescent="0.3">
      <c r="A57" s="43"/>
      <c r="B57" s="45" t="s">
        <v>109</v>
      </c>
      <c r="C57" s="46">
        <v>4</v>
      </c>
      <c r="D57" s="14">
        <f>80/12/3.281</f>
        <v>2.0319008432388501</v>
      </c>
      <c r="E57" s="14"/>
      <c r="F57" s="14"/>
      <c r="G57" s="81">
        <f>PRODUCT(C57:F57)</f>
        <v>8.1276033729554005</v>
      </c>
      <c r="H57" s="47"/>
      <c r="I57" s="44"/>
      <c r="J57" s="44"/>
      <c r="K57" s="16"/>
    </row>
    <row r="58" spans="1:19" ht="15" customHeight="1" x14ac:dyDescent="0.3">
      <c r="A58" s="43"/>
      <c r="B58" s="45" t="s">
        <v>38</v>
      </c>
      <c r="C58" s="46"/>
      <c r="D58" s="14"/>
      <c r="E58" s="14"/>
      <c r="F58" s="14"/>
      <c r="G58" s="44">
        <f>SUM(G56:G57)</f>
        <v>18.937603372955401</v>
      </c>
      <c r="H58" s="44" t="s">
        <v>80</v>
      </c>
      <c r="I58" s="44">
        <f>593.85/1.15</f>
        <v>516.39130434782612</v>
      </c>
      <c r="J58" s="44">
        <f>G58*I58</f>
        <v>9779.2137069822311</v>
      </c>
      <c r="K58" s="16"/>
    </row>
    <row r="59" spans="1:19" ht="15" customHeight="1" x14ac:dyDescent="0.3">
      <c r="A59" s="43"/>
      <c r="B59" s="45" t="s">
        <v>52</v>
      </c>
      <c r="C59" s="46"/>
      <c r="D59" s="14"/>
      <c r="E59" s="14"/>
      <c r="F59" s="14"/>
      <c r="G59" s="44"/>
      <c r="H59" s="44"/>
      <c r="I59" s="44"/>
      <c r="J59" s="44">
        <f>0.13*G58*(3895.61/10)</f>
        <v>959.05572198434447</v>
      </c>
      <c r="K59" s="16"/>
    </row>
    <row r="60" spans="1:19" ht="15" customHeight="1" x14ac:dyDescent="0.3">
      <c r="A60" s="26"/>
      <c r="B60" s="30"/>
      <c r="C60" s="27"/>
      <c r="D60" s="28"/>
      <c r="E60" s="29"/>
      <c r="F60" s="29"/>
      <c r="G60" s="39"/>
      <c r="H60" s="38"/>
      <c r="I60" s="39"/>
      <c r="J60" s="44"/>
      <c r="K60" s="29"/>
      <c r="M60" s="31"/>
      <c r="N60" s="1"/>
      <c r="O60" s="1"/>
      <c r="P60" s="1"/>
      <c r="Q60" s="1"/>
      <c r="R60" s="31"/>
      <c r="S60" s="31"/>
    </row>
    <row r="61" spans="1:19" ht="27.6" x14ac:dyDescent="0.3">
      <c r="A61" s="64">
        <v>13</v>
      </c>
      <c r="B61" s="41" t="s">
        <v>89</v>
      </c>
      <c r="C61" s="27"/>
      <c r="D61" s="28"/>
      <c r="E61" s="29"/>
      <c r="F61" s="29"/>
      <c r="G61" s="39"/>
      <c r="H61" s="38"/>
      <c r="I61" s="39"/>
      <c r="J61" s="44"/>
      <c r="K61" s="29"/>
      <c r="M61" s="31"/>
      <c r="N61" s="1"/>
      <c r="O61" s="1"/>
      <c r="P61" s="1"/>
      <c r="Q61" s="1"/>
      <c r="R61" s="31"/>
      <c r="S61" s="31"/>
    </row>
    <row r="62" spans="1:19" ht="15" customHeight="1" x14ac:dyDescent="0.3">
      <c r="A62" s="43"/>
      <c r="B62" s="45" t="s">
        <v>79</v>
      </c>
      <c r="C62" s="46">
        <v>4</v>
      </c>
      <c r="D62" s="14">
        <f>81/12/3.281</f>
        <v>2.0572996037793354</v>
      </c>
      <c r="E62" s="14"/>
      <c r="F62" s="14"/>
      <c r="G62" s="14">
        <f>PRODUCT(C62:F62)</f>
        <v>8.2291984151173416</v>
      </c>
      <c r="H62" s="47"/>
      <c r="I62" s="44"/>
      <c r="J62" s="44"/>
      <c r="K62" s="16"/>
    </row>
    <row r="63" spans="1:19" ht="15" customHeight="1" x14ac:dyDescent="0.3">
      <c r="A63" s="43"/>
      <c r="B63" s="45" t="s">
        <v>38</v>
      </c>
      <c r="C63" s="46"/>
      <c r="D63" s="14"/>
      <c r="E63" s="14"/>
      <c r="F63" s="14"/>
      <c r="G63" s="44">
        <f>SUM(G62)</f>
        <v>8.2291984151173416</v>
      </c>
      <c r="H63" s="44" t="s">
        <v>80</v>
      </c>
      <c r="I63" s="44">
        <f>465.63/1.15</f>
        <v>404.89565217391305</v>
      </c>
      <c r="J63" s="44">
        <f>G63*I63</f>
        <v>3331.9666591574678</v>
      </c>
      <c r="K63" s="16"/>
    </row>
    <row r="64" spans="1:19" ht="15" customHeight="1" x14ac:dyDescent="0.3">
      <c r="A64" s="43"/>
      <c r="B64" s="45" t="s">
        <v>52</v>
      </c>
      <c r="C64" s="46"/>
      <c r="D64" s="14"/>
      <c r="E64" s="14"/>
      <c r="F64" s="14"/>
      <c r="G64" s="44"/>
      <c r="H64" s="44"/>
      <c r="I64" s="44"/>
      <c r="J64" s="44">
        <f>0.13*G63*(2780.61/10)</f>
        <v>297.46848826577269</v>
      </c>
      <c r="K64" s="16"/>
    </row>
    <row r="65" spans="1:19" ht="15" customHeight="1" x14ac:dyDescent="0.3">
      <c r="A65" s="26"/>
      <c r="B65" s="30"/>
      <c r="C65" s="27"/>
      <c r="D65" s="28"/>
      <c r="E65" s="29"/>
      <c r="F65" s="29"/>
      <c r="G65" s="39"/>
      <c r="H65" s="38"/>
      <c r="I65" s="39"/>
      <c r="J65" s="44"/>
      <c r="K65" s="29"/>
      <c r="M65" s="31"/>
      <c r="N65" s="1"/>
      <c r="O65" s="1"/>
      <c r="P65" s="1"/>
      <c r="Q65" s="1"/>
      <c r="R65" s="31"/>
      <c r="S65" s="31"/>
    </row>
    <row r="66" spans="1:19" ht="28.8" x14ac:dyDescent="0.3">
      <c r="A66" s="43">
        <v>22</v>
      </c>
      <c r="B66" s="59" t="s">
        <v>66</v>
      </c>
      <c r="C66" s="53"/>
      <c r="D66" s="54"/>
      <c r="E66" s="54"/>
      <c r="F66" s="54"/>
      <c r="G66" s="57"/>
      <c r="H66" s="57"/>
      <c r="I66" s="57"/>
      <c r="J66" s="40"/>
      <c r="K66" s="5"/>
    </row>
    <row r="67" spans="1:19" x14ac:dyDescent="0.3">
      <c r="A67" s="43"/>
      <c r="B67" s="84" t="s">
        <v>67</v>
      </c>
      <c r="C67" s="85">
        <v>1</v>
      </c>
      <c r="D67" s="86">
        <f>1.2+(6.667/3.281+1/12/3.281)*2</f>
        <v>5.3148023976429952</v>
      </c>
      <c r="E67" s="86">
        <f>0.1</f>
        <v>0.1</v>
      </c>
      <c r="F67" s="86">
        <v>0.1</v>
      </c>
      <c r="G67" s="86">
        <f t="shared" ref="G67:G71" si="2">PRODUCT(C67:F67)</f>
        <v>5.314802397642996E-2</v>
      </c>
      <c r="H67" s="57"/>
      <c r="I67" s="57"/>
      <c r="J67" s="40"/>
      <c r="K67" s="5"/>
    </row>
    <row r="68" spans="1:19" x14ac:dyDescent="0.3">
      <c r="A68" s="43"/>
      <c r="B68" s="84" t="s">
        <v>68</v>
      </c>
      <c r="C68" s="85">
        <f>2*2</f>
        <v>4</v>
      </c>
      <c r="D68" s="86">
        <v>0.55000000000000004</v>
      </c>
      <c r="E68" s="86">
        <f>4/12/3.281</f>
        <v>0.10159504216194248</v>
      </c>
      <c r="F68" s="86">
        <f>4/12/3.281</f>
        <v>0.10159504216194248</v>
      </c>
      <c r="G68" s="86">
        <f t="shared" si="2"/>
        <v>2.2707415702151117E-2</v>
      </c>
      <c r="H68" s="57"/>
      <c r="I68" s="57"/>
      <c r="J68" s="40"/>
      <c r="K68" s="5"/>
      <c r="M68">
        <f>508.75/1.15</f>
        <v>442.39130434782612</v>
      </c>
    </row>
    <row r="69" spans="1:19" x14ac:dyDescent="0.3">
      <c r="A69" s="43"/>
      <c r="B69" s="84"/>
      <c r="C69" s="85">
        <f>1*2</f>
        <v>2</v>
      </c>
      <c r="D69" s="86">
        <f>3/3.281</f>
        <v>0.91435537945748246</v>
      </c>
      <c r="E69" s="86">
        <f>4/12/3.281</f>
        <v>0.10159504216194248</v>
      </c>
      <c r="F69" s="86">
        <f>4/12/3.281</f>
        <v>0.10159504216194248</v>
      </c>
      <c r="G69" s="86">
        <f t="shared" si="2"/>
        <v>1.8875134273490163E-2</v>
      </c>
      <c r="H69" s="57"/>
      <c r="I69" s="57"/>
      <c r="J69" s="40"/>
      <c r="K69" s="5"/>
      <c r="M69">
        <f>155.11/1.15</f>
        <v>134.87826086956525</v>
      </c>
      <c r="N69">
        <f>M69*5.5</f>
        <v>741.8304347826089</v>
      </c>
    </row>
    <row r="70" spans="1:19" x14ac:dyDescent="0.3">
      <c r="A70" s="43"/>
      <c r="B70" s="84"/>
      <c r="C70" s="85">
        <f>1*2</f>
        <v>2</v>
      </c>
      <c r="D70" s="86">
        <f>3/3.281</f>
        <v>0.91435537945748246</v>
      </c>
      <c r="E70" s="86">
        <f>5/12/3.281</f>
        <v>0.12699380270242813</v>
      </c>
      <c r="F70" s="86">
        <f>3/12/3.281</f>
        <v>7.6196281621456863E-2</v>
      </c>
      <c r="G70" s="86">
        <f t="shared" si="2"/>
        <v>1.7695438381397033E-2</v>
      </c>
      <c r="H70" s="57"/>
      <c r="I70" s="57"/>
      <c r="J70" s="40"/>
      <c r="K70" s="5"/>
    </row>
    <row r="71" spans="1:19" x14ac:dyDescent="0.3">
      <c r="A71" s="43"/>
      <c r="B71" s="84" t="s">
        <v>134</v>
      </c>
      <c r="C71" s="85">
        <f>4*1</f>
        <v>4</v>
      </c>
      <c r="D71" s="86">
        <f>24/12/3.281</f>
        <v>0.6095702529716549</v>
      </c>
      <c r="E71" s="86">
        <f>4/12/3.281</f>
        <v>0.10159504216194248</v>
      </c>
      <c r="F71" s="86">
        <f>3/12/3.281</f>
        <v>7.6196281621456863E-2</v>
      </c>
      <c r="G71" s="86">
        <f t="shared" si="2"/>
        <v>1.8875134273490159E-2</v>
      </c>
      <c r="H71" s="57"/>
      <c r="I71" s="57"/>
      <c r="J71" s="40"/>
      <c r="K71" s="5"/>
    </row>
    <row r="72" spans="1:19" x14ac:dyDescent="0.3">
      <c r="A72" s="43"/>
      <c r="B72" s="84"/>
      <c r="C72" s="85">
        <f>4*1</f>
        <v>4</v>
      </c>
      <c r="D72" s="86">
        <f>23/12/3.281</f>
        <v>0.58417149243116939</v>
      </c>
      <c r="E72" s="86">
        <f>3/12/3.281</f>
        <v>7.6196281621456863E-2</v>
      </c>
      <c r="F72" s="86">
        <f>4/12/3.281</f>
        <v>0.10159504216194248</v>
      </c>
      <c r="G72" s="86">
        <f>PRODUCT(C72:F72)</f>
        <v>1.8088670345428073E-2</v>
      </c>
      <c r="H72" s="57"/>
      <c r="I72" s="57"/>
      <c r="J72" s="40"/>
      <c r="K72" s="5"/>
    </row>
    <row r="73" spans="1:19" x14ac:dyDescent="0.3">
      <c r="A73" s="43"/>
      <c r="B73" s="84"/>
      <c r="C73" s="85">
        <v>8</v>
      </c>
      <c r="D73" s="86">
        <f>1.5/3.281</f>
        <v>0.45717768972874123</v>
      </c>
      <c r="E73" s="86">
        <f>4/12/3.281</f>
        <v>0.10159504216194248</v>
      </c>
      <c r="F73" s="86">
        <f>3/12/3.281</f>
        <v>7.6196281621456863E-2</v>
      </c>
      <c r="G73" s="86">
        <f t="shared" ref="G73" si="3">PRODUCT(C73:F73)</f>
        <v>2.8312701410235244E-2</v>
      </c>
      <c r="H73" s="57"/>
      <c r="I73" s="57"/>
      <c r="J73" s="40"/>
      <c r="K73" s="5"/>
    </row>
    <row r="74" spans="1:19" ht="15" customHeight="1" x14ac:dyDescent="0.3">
      <c r="A74" s="43"/>
      <c r="B74" s="84" t="s">
        <v>38</v>
      </c>
      <c r="C74" s="85"/>
      <c r="D74" s="86"/>
      <c r="E74" s="86"/>
      <c r="F74" s="86"/>
      <c r="G74" s="88">
        <f>SUM(G67:G73)</f>
        <v>0.17770251836262174</v>
      </c>
      <c r="H74" s="55" t="s">
        <v>51</v>
      </c>
      <c r="I74" s="60">
        <f>353723.98/1.15</f>
        <v>307586.06956521742</v>
      </c>
      <c r="J74" s="61">
        <f>G74*I74</f>
        <v>54658.819174999699</v>
      </c>
      <c r="K74" s="5"/>
    </row>
    <row r="75" spans="1:19" ht="15" customHeight="1" x14ac:dyDescent="0.3">
      <c r="A75" s="43"/>
      <c r="B75" s="56" t="s">
        <v>52</v>
      </c>
      <c r="C75" s="53"/>
      <c r="D75" s="54"/>
      <c r="E75" s="54"/>
      <c r="F75" s="54"/>
      <c r="G75" s="55"/>
      <c r="H75" s="55"/>
      <c r="I75" s="60"/>
      <c r="J75" s="61">
        <f>0.13*G74*262808.07</f>
        <v>6071.2152650526241</v>
      </c>
      <c r="K75" s="5"/>
    </row>
    <row r="76" spans="1:19" ht="15" customHeight="1" x14ac:dyDescent="0.3">
      <c r="A76" s="43"/>
      <c r="B76" s="56"/>
      <c r="C76" s="53"/>
      <c r="D76" s="54"/>
      <c r="E76" s="54"/>
      <c r="F76" s="54"/>
      <c r="G76" s="55"/>
      <c r="H76" s="55"/>
      <c r="I76" s="60"/>
      <c r="J76" s="61"/>
      <c r="K76" s="5"/>
    </row>
    <row r="77" spans="1:19" ht="28.8" x14ac:dyDescent="0.3">
      <c r="A77" s="43">
        <v>24</v>
      </c>
      <c r="B77" s="62" t="s">
        <v>136</v>
      </c>
      <c r="C77" s="53"/>
      <c r="D77" s="54"/>
      <c r="E77" s="54"/>
      <c r="F77" s="54"/>
      <c r="G77" s="55"/>
      <c r="H77" s="55"/>
      <c r="I77" s="60"/>
      <c r="J77" s="61"/>
      <c r="K77" s="5"/>
    </row>
    <row r="78" spans="1:19" x14ac:dyDescent="0.3">
      <c r="A78" s="43"/>
      <c r="B78" s="84" t="s">
        <v>131</v>
      </c>
      <c r="C78" s="85">
        <v>1</v>
      </c>
      <c r="D78" s="86">
        <f>5.5/3.281</f>
        <v>1.6763181956720512</v>
      </c>
      <c r="E78" s="86">
        <f>0.15</f>
        <v>0.15</v>
      </c>
      <c r="F78" s="86">
        <f>3/12/3.281</f>
        <v>7.6196281621456863E-2</v>
      </c>
      <c r="G78" s="86">
        <f>PRODUCT(C78:F78)</f>
        <v>1.9159381998690005E-2</v>
      </c>
      <c r="H78" s="57"/>
      <c r="I78" s="57"/>
      <c r="J78" s="40"/>
      <c r="K78" s="5"/>
    </row>
    <row r="79" spans="1:19" x14ac:dyDescent="0.3">
      <c r="A79" s="43"/>
      <c r="B79" s="84" t="s">
        <v>132</v>
      </c>
      <c r="C79" s="85">
        <v>1</v>
      </c>
      <c r="D79" s="86">
        <f>1.2+2*(6.833/3.281)</f>
        <v>5.3651935385553182</v>
      </c>
      <c r="E79" s="86">
        <f>1/12/3.281</f>
        <v>2.5398760540485621E-2</v>
      </c>
      <c r="F79" s="86">
        <f>1/12/3.281</f>
        <v>2.5398760540485621E-2</v>
      </c>
      <c r="G79" s="87">
        <f>PRODUCT(C79:F79)</f>
        <v>3.4610704546156465E-3</v>
      </c>
      <c r="H79" s="57"/>
      <c r="I79" s="57"/>
      <c r="J79" s="40"/>
      <c r="K79" s="5"/>
    </row>
    <row r="80" spans="1:19" x14ac:dyDescent="0.3">
      <c r="A80" s="43"/>
      <c r="B80" s="84" t="s">
        <v>133</v>
      </c>
      <c r="C80" s="85">
        <v>2</v>
      </c>
      <c r="D80" s="86">
        <f>7/3.281</f>
        <v>2.1334958854007922</v>
      </c>
      <c r="E80" s="86">
        <f>0.15</f>
        <v>0.15</v>
      </c>
      <c r="F80" s="86">
        <f>2/12/3.281</f>
        <v>5.0797521080971242E-2</v>
      </c>
      <c r="G80" s="86">
        <f>PRODUCT(C80:F80)</f>
        <v>3.2512890664443642E-2</v>
      </c>
      <c r="H80" s="57"/>
      <c r="I80" s="57"/>
      <c r="J80" s="40"/>
      <c r="K80" s="5"/>
      <c r="M80">
        <f>I74*G78</f>
        <v>5893.1590042756379</v>
      </c>
    </row>
    <row r="81" spans="1:11" x14ac:dyDescent="0.3">
      <c r="A81" s="43"/>
      <c r="B81" s="84"/>
      <c r="C81" s="85">
        <v>2</v>
      </c>
      <c r="D81" s="86">
        <f>7/3.281</f>
        <v>2.1334958854007922</v>
      </c>
      <c r="E81" s="86">
        <f>3/12/3.281</f>
        <v>7.6196281621456863E-2</v>
      </c>
      <c r="F81" s="86">
        <f>3/12/3.281</f>
        <v>7.6196281621456863E-2</v>
      </c>
      <c r="G81" s="86">
        <f>PRODUCT(C81:F81)</f>
        <v>2.4773613733955837E-2</v>
      </c>
      <c r="H81" s="57"/>
      <c r="I81" s="57"/>
      <c r="J81" s="40"/>
      <c r="K81" s="5"/>
    </row>
    <row r="82" spans="1:11" x14ac:dyDescent="0.3">
      <c r="A82" s="43"/>
      <c r="B82" s="84" t="s">
        <v>137</v>
      </c>
      <c r="C82" s="85">
        <f>1*2</f>
        <v>2</v>
      </c>
      <c r="D82" s="86">
        <f>0.96</f>
        <v>0.96</v>
      </c>
      <c r="E82" s="86">
        <f>1/12/3.281</f>
        <v>2.5398760540485621E-2</v>
      </c>
      <c r="F82" s="86">
        <f>5/12/3.281</f>
        <v>0.12699380270242813</v>
      </c>
      <c r="G82" s="86">
        <f>PRODUCT(C82:F82)</f>
        <v>6.1929315551321239E-3</v>
      </c>
      <c r="H82" s="57"/>
      <c r="I82" s="57"/>
      <c r="J82" s="40"/>
      <c r="K82" s="5"/>
    </row>
    <row r="83" spans="1:11" x14ac:dyDescent="0.3">
      <c r="A83" s="43"/>
      <c r="B83" s="84"/>
      <c r="C83" s="85">
        <f>1*2</f>
        <v>2</v>
      </c>
      <c r="D83" s="86">
        <f>3/3.281</f>
        <v>0.91435537945748246</v>
      </c>
      <c r="E83" s="86">
        <f>1/12/3.281</f>
        <v>2.5398760540485621E-2</v>
      </c>
      <c r="F83" s="86">
        <f>4/12/3.281</f>
        <v>0.10159504216194248</v>
      </c>
      <c r="G83" s="87">
        <f>PRODUCT(C83:F83)</f>
        <v>4.7187835683725407E-3</v>
      </c>
      <c r="H83" s="57"/>
      <c r="I83" s="57"/>
      <c r="J83" s="40"/>
      <c r="K83" s="5"/>
    </row>
    <row r="84" spans="1:11" x14ac:dyDescent="0.3">
      <c r="A84" s="43"/>
      <c r="B84" s="84"/>
      <c r="C84" s="85">
        <f>1*2</f>
        <v>2</v>
      </c>
      <c r="D84" s="86">
        <f>0.83</f>
        <v>0.83</v>
      </c>
      <c r="E84" s="86">
        <f>1/12/3.281</f>
        <v>2.5398760540485621E-2</v>
      </c>
      <c r="F84" s="86">
        <f>3/12/3.281</f>
        <v>7.6196281621456863E-2</v>
      </c>
      <c r="G84" s="87">
        <f>PRODUCT(C84:F84)</f>
        <v>3.2125832442247886E-3</v>
      </c>
      <c r="H84" s="57"/>
      <c r="I84" s="57"/>
      <c r="J84" s="40"/>
      <c r="K84" s="5"/>
    </row>
    <row r="85" spans="1:11" x14ac:dyDescent="0.3">
      <c r="A85" s="43"/>
      <c r="B85" s="84" t="s">
        <v>96</v>
      </c>
      <c r="C85" s="85">
        <f t="shared" ref="C85:C86" si="4">4*1</f>
        <v>4</v>
      </c>
      <c r="D85" s="86">
        <f>26/12/3.281</f>
        <v>0.66036777405262614</v>
      </c>
      <c r="E85" s="86">
        <f>1/12/3.281</f>
        <v>2.5398760540485621E-2</v>
      </c>
      <c r="F85" s="86">
        <f>4/12/3.281</f>
        <v>0.10159504216194248</v>
      </c>
      <c r="G85" s="87">
        <f>PRODUCT(C85:F85)</f>
        <v>6.8160207098714471E-3</v>
      </c>
      <c r="H85" s="57"/>
      <c r="I85" s="57"/>
      <c r="J85" s="40"/>
      <c r="K85" s="5"/>
    </row>
    <row r="86" spans="1:11" x14ac:dyDescent="0.3">
      <c r="A86" s="43"/>
      <c r="B86" s="84"/>
      <c r="C86" s="85">
        <f t="shared" si="4"/>
        <v>4</v>
      </c>
      <c r="D86" s="86">
        <f>28/12/3.281</f>
        <v>0.7111652951335975</v>
      </c>
      <c r="E86" s="86">
        <f>0.12</f>
        <v>0.12</v>
      </c>
      <c r="F86" s="86">
        <f>1/12/3.281</f>
        <v>2.5398760540485621E-2</v>
      </c>
      <c r="G86" s="87">
        <f>PRODUCT(C86:F86)</f>
        <v>8.6701041771849729E-3</v>
      </c>
      <c r="H86" s="57"/>
      <c r="I86" s="57"/>
      <c r="J86" s="40"/>
      <c r="K86" s="5"/>
    </row>
    <row r="87" spans="1:11" x14ac:dyDescent="0.3">
      <c r="A87" s="43"/>
      <c r="B87" s="84" t="s">
        <v>138</v>
      </c>
      <c r="C87" s="85">
        <f>4*2</f>
        <v>8</v>
      </c>
      <c r="D87" s="86">
        <f>1/3.281</f>
        <v>0.30478512648582745</v>
      </c>
      <c r="E87" s="86">
        <f>4/12/3.281</f>
        <v>0.10159504216194248</v>
      </c>
      <c r="F87" s="86">
        <f>3/12/3.281</f>
        <v>7.6196281621456863E-2</v>
      </c>
      <c r="G87" s="87">
        <f t="shared" ref="G87" si="5">PRODUCT(C87:F87)</f>
        <v>1.8875134273490159E-2</v>
      </c>
      <c r="H87" s="57"/>
      <c r="I87" s="57"/>
      <c r="J87" s="40"/>
      <c r="K87" s="5"/>
    </row>
    <row r="88" spans="1:11" x14ac:dyDescent="0.3">
      <c r="A88" s="43"/>
      <c r="B88" s="84"/>
      <c r="C88" s="85">
        <v>4</v>
      </c>
      <c r="D88" s="86">
        <f>10/12/3.281</f>
        <v>0.25398760540485626</v>
      </c>
      <c r="E88" s="86">
        <f>4/12/3.281</f>
        <v>0.10159504216194248</v>
      </c>
      <c r="F88" s="86">
        <f>3/12/3.281</f>
        <v>7.6196281621456863E-2</v>
      </c>
      <c r="G88" s="87">
        <f t="shared" ref="G88" si="6">PRODUCT(C88:F88)</f>
        <v>7.8646392806209029E-3</v>
      </c>
      <c r="H88" s="57"/>
      <c r="I88" s="57"/>
      <c r="J88" s="40"/>
      <c r="K88" s="5"/>
    </row>
    <row r="89" spans="1:11" ht="15" customHeight="1" x14ac:dyDescent="0.3">
      <c r="A89" s="43"/>
      <c r="B89" s="84" t="s">
        <v>38</v>
      </c>
      <c r="C89" s="85"/>
      <c r="D89" s="86"/>
      <c r="E89" s="86"/>
      <c r="F89" s="86"/>
      <c r="G89" s="88">
        <f>SUM(G78:G88)</f>
        <v>0.13625715366060204</v>
      </c>
      <c r="H89" s="55" t="s">
        <v>51</v>
      </c>
      <c r="I89" s="60">
        <f>286497.45/1.15</f>
        <v>249128.21739130438</v>
      </c>
      <c r="J89" s="61">
        <f>G89*I89</f>
        <v>33945.501798278827</v>
      </c>
      <c r="K89" s="5"/>
    </row>
    <row r="90" spans="1:11" ht="15" customHeight="1" x14ac:dyDescent="0.3">
      <c r="A90" s="43"/>
      <c r="B90" s="56" t="s">
        <v>52</v>
      </c>
      <c r="C90" s="53"/>
      <c r="D90" s="54"/>
      <c r="E90" s="54"/>
      <c r="F90" s="54"/>
      <c r="G90" s="55"/>
      <c r="H90" s="55"/>
      <c r="I90" s="60"/>
      <c r="J90" s="61">
        <f>0.13*G89*249128.22</f>
        <v>4412.9152799851954</v>
      </c>
      <c r="K90" s="5"/>
    </row>
    <row r="91" spans="1:11" ht="15" customHeight="1" x14ac:dyDescent="0.3">
      <c r="A91" s="43"/>
      <c r="B91" s="56"/>
      <c r="C91" s="53"/>
      <c r="D91" s="54"/>
      <c r="E91" s="54"/>
      <c r="F91" s="54"/>
      <c r="G91" s="55"/>
      <c r="H91" s="55"/>
      <c r="I91" s="60"/>
      <c r="J91" s="61"/>
      <c r="K91" s="5"/>
    </row>
    <row r="92" spans="1:11" x14ac:dyDescent="0.3">
      <c r="A92" s="43">
        <v>24</v>
      </c>
      <c r="B92" s="62" t="s">
        <v>69</v>
      </c>
      <c r="C92" s="53"/>
      <c r="D92" s="54"/>
      <c r="E92" s="54"/>
      <c r="F92" s="54"/>
      <c r="G92" s="57"/>
      <c r="H92" s="57"/>
      <c r="I92" s="57"/>
      <c r="J92" s="40"/>
      <c r="K92" s="5"/>
    </row>
    <row r="93" spans="1:11" ht="15" customHeight="1" x14ac:dyDescent="0.3">
      <c r="A93" s="43"/>
      <c r="B93" s="56" t="s">
        <v>70</v>
      </c>
      <c r="C93" s="85">
        <v>2</v>
      </c>
      <c r="D93" s="86">
        <f>(2+4+2+2+2+3+2+4+4+4)/12/3.281</f>
        <v>0.73656405567408301</v>
      </c>
      <c r="E93" s="86"/>
      <c r="F93" s="86">
        <f>6.667/3.281</f>
        <v>2.0320024382810118</v>
      </c>
      <c r="G93" s="86">
        <f>PRODUCT(C93:F93)</f>
        <v>2.9933999141597751</v>
      </c>
      <c r="H93" s="57"/>
      <c r="I93" s="57"/>
      <c r="J93" s="40"/>
      <c r="K93" s="5"/>
    </row>
    <row r="94" spans="1:11" ht="15" customHeight="1" x14ac:dyDescent="0.3">
      <c r="A94" s="43"/>
      <c r="B94" s="56"/>
      <c r="C94" s="85">
        <v>1</v>
      </c>
      <c r="D94" s="86">
        <f>5.5/3.281</f>
        <v>1.6763181956720512</v>
      </c>
      <c r="E94" s="86"/>
      <c r="F94" s="86">
        <f>(2+3+2+2+5)/12/3.281</f>
        <v>0.35558264756679875</v>
      </c>
      <c r="G94" s="86">
        <f>PRODUCT(C94:F94)</f>
        <v>0.59606966218146695</v>
      </c>
      <c r="H94" s="57"/>
      <c r="I94" s="57"/>
      <c r="J94" s="40"/>
      <c r="K94" s="5"/>
    </row>
    <row r="95" spans="1:11" ht="15" customHeight="1" x14ac:dyDescent="0.3">
      <c r="A95" s="43"/>
      <c r="B95" s="56" t="s">
        <v>38</v>
      </c>
      <c r="C95" s="85"/>
      <c r="D95" s="86"/>
      <c r="E95" s="86"/>
      <c r="F95" s="86"/>
      <c r="G95" s="88">
        <f>SUM(G93:G94)</f>
        <v>3.5894695763412421</v>
      </c>
      <c r="H95" s="55" t="s">
        <v>41</v>
      </c>
      <c r="I95" s="60">
        <f>46573/1.15</f>
        <v>40498.260869565223</v>
      </c>
      <c r="J95" s="61">
        <f>G95*I95</f>
        <v>145367.27528603538</v>
      </c>
      <c r="K95" s="5"/>
    </row>
    <row r="96" spans="1:11" x14ac:dyDescent="0.3">
      <c r="A96" s="43"/>
      <c r="B96" s="62"/>
      <c r="C96" s="53"/>
      <c r="D96" s="54"/>
      <c r="E96" s="54"/>
      <c r="F96" s="54"/>
      <c r="G96" s="57"/>
      <c r="H96" s="57"/>
      <c r="I96" s="57"/>
      <c r="J96" s="40"/>
      <c r="K96" s="5"/>
    </row>
    <row r="97" spans="1:11" ht="28.8" x14ac:dyDescent="0.3">
      <c r="A97" s="43">
        <v>25</v>
      </c>
      <c r="B97" s="62" t="s">
        <v>71</v>
      </c>
      <c r="C97" s="53"/>
      <c r="D97" s="54"/>
      <c r="E97" s="54"/>
      <c r="F97" s="54"/>
      <c r="G97" s="57"/>
      <c r="H97" s="57"/>
      <c r="I97" s="57"/>
      <c r="J97" s="40"/>
      <c r="K97" s="5"/>
    </row>
    <row r="98" spans="1:11" ht="15" customHeight="1" x14ac:dyDescent="0.3">
      <c r="A98" s="43"/>
      <c r="B98" s="56" t="s">
        <v>72</v>
      </c>
      <c r="C98" s="53">
        <f>2*2</f>
        <v>4</v>
      </c>
      <c r="D98" s="54"/>
      <c r="E98" s="54">
        <f>(2+3)/12/3.281</f>
        <v>0.12699380270242813</v>
      </c>
      <c r="F98" s="54">
        <v>0.55000000000000004</v>
      </c>
      <c r="G98" s="54">
        <f>PRODUCT(C98:F98)</f>
        <v>0.27938636594534194</v>
      </c>
      <c r="H98" s="57"/>
      <c r="I98" s="57"/>
      <c r="J98" s="40"/>
      <c r="K98" s="5"/>
    </row>
    <row r="99" spans="1:11" ht="15" customHeight="1" x14ac:dyDescent="0.3">
      <c r="A99" s="43"/>
      <c r="B99" s="56"/>
      <c r="C99" s="53">
        <f>1*2</f>
        <v>2</v>
      </c>
      <c r="D99" s="54">
        <f>3/3.281</f>
        <v>0.91435537945748246</v>
      </c>
      <c r="E99" s="54"/>
      <c r="F99" s="54">
        <f>3/12/3.281</f>
        <v>7.6196281621456863E-2</v>
      </c>
      <c r="G99" s="54">
        <f>PRODUCT(C99:F99)</f>
        <v>0.13934095999047277</v>
      </c>
      <c r="H99" s="57"/>
      <c r="I99" s="57"/>
      <c r="J99" s="40"/>
      <c r="K99" s="5"/>
    </row>
    <row r="100" spans="1:11" ht="15" customHeight="1" x14ac:dyDescent="0.3">
      <c r="A100" s="43"/>
      <c r="B100" s="56"/>
      <c r="C100" s="53">
        <f t="shared" ref="C100:C103" si="7">1*2</f>
        <v>2</v>
      </c>
      <c r="D100" s="86">
        <f>3/3.281</f>
        <v>0.91435537945748246</v>
      </c>
      <c r="E100" s="54"/>
      <c r="F100" s="54">
        <f>3/12/3.281</f>
        <v>7.6196281621456863E-2</v>
      </c>
      <c r="G100" s="54">
        <f t="shared" ref="G100:G108" si="8">PRODUCT(C100:F100)</f>
        <v>0.13934095999047277</v>
      </c>
      <c r="H100" s="57"/>
      <c r="I100" s="57"/>
      <c r="J100" s="40"/>
      <c r="K100" s="5"/>
    </row>
    <row r="101" spans="1:11" ht="15" customHeight="1" x14ac:dyDescent="0.3">
      <c r="A101" s="43"/>
      <c r="B101" s="56"/>
      <c r="C101" s="53">
        <f t="shared" si="7"/>
        <v>2</v>
      </c>
      <c r="D101" s="86">
        <f>0.96</f>
        <v>0.96</v>
      </c>
      <c r="E101" s="54"/>
      <c r="F101" s="54">
        <f>1/12/3.281</f>
        <v>2.5398760540485621E-2</v>
      </c>
      <c r="G101" s="54">
        <f t="shared" si="8"/>
        <v>4.8765620237732392E-2</v>
      </c>
      <c r="H101" s="57"/>
      <c r="I101" s="57"/>
      <c r="J101" s="40"/>
      <c r="K101" s="5"/>
    </row>
    <row r="102" spans="1:11" ht="15" customHeight="1" x14ac:dyDescent="0.3">
      <c r="A102" s="43"/>
      <c r="B102" s="56"/>
      <c r="C102" s="53">
        <f t="shared" si="7"/>
        <v>2</v>
      </c>
      <c r="D102" s="86">
        <f>3/3.281</f>
        <v>0.91435537945748246</v>
      </c>
      <c r="E102" s="54"/>
      <c r="F102" s="54">
        <f t="shared" ref="F102:F103" si="9">1/12/3.281</f>
        <v>2.5398760540485621E-2</v>
      </c>
      <c r="G102" s="54">
        <f t="shared" si="8"/>
        <v>4.6446986663490925E-2</v>
      </c>
      <c r="H102" s="57"/>
      <c r="I102" s="57"/>
      <c r="J102" s="40"/>
      <c r="K102" s="5"/>
    </row>
    <row r="103" spans="1:11" ht="15" customHeight="1" x14ac:dyDescent="0.3">
      <c r="A103" s="43"/>
      <c r="B103" s="56"/>
      <c r="C103" s="53">
        <f t="shared" si="7"/>
        <v>2</v>
      </c>
      <c r="D103" s="86">
        <f>0.83</f>
        <v>0.83</v>
      </c>
      <c r="E103" s="54"/>
      <c r="F103" s="54">
        <f t="shared" si="9"/>
        <v>2.5398760540485621E-2</v>
      </c>
      <c r="G103" s="54">
        <f t="shared" si="8"/>
        <v>4.2161942497206131E-2</v>
      </c>
      <c r="H103" s="57"/>
      <c r="I103" s="57"/>
      <c r="J103" s="40"/>
      <c r="K103" s="5"/>
    </row>
    <row r="104" spans="1:11" ht="15" customHeight="1" x14ac:dyDescent="0.3">
      <c r="A104" s="43"/>
      <c r="B104" s="56" t="s">
        <v>134</v>
      </c>
      <c r="C104" s="85">
        <f>4*1</f>
        <v>4</v>
      </c>
      <c r="D104" s="86">
        <f>24/12/3.281</f>
        <v>0.6095702529716549</v>
      </c>
      <c r="E104" s="54"/>
      <c r="F104" s="54">
        <f>3/12/3.281</f>
        <v>7.6196281621456863E-2</v>
      </c>
      <c r="G104" s="54">
        <f t="shared" si="8"/>
        <v>0.18578794665396367</v>
      </c>
      <c r="H104" s="57"/>
      <c r="I104" s="57"/>
      <c r="J104" s="40"/>
      <c r="K104" s="5"/>
    </row>
    <row r="105" spans="1:11" ht="15" customHeight="1" x14ac:dyDescent="0.3">
      <c r="A105" s="43"/>
      <c r="B105" s="56"/>
      <c r="C105" s="85">
        <f>4*2</f>
        <v>8</v>
      </c>
      <c r="D105" s="86">
        <f>1/3.281</f>
        <v>0.30478512648582745</v>
      </c>
      <c r="E105" s="54"/>
      <c r="F105" s="54">
        <f>3/12/3.281</f>
        <v>7.6196281621456863E-2</v>
      </c>
      <c r="G105" s="54">
        <f t="shared" si="8"/>
        <v>0.18578794665396367</v>
      </c>
      <c r="H105" s="57"/>
      <c r="I105" s="57"/>
      <c r="J105" s="40"/>
      <c r="K105" s="5"/>
    </row>
    <row r="106" spans="1:11" ht="15" customHeight="1" x14ac:dyDescent="0.3">
      <c r="A106" s="43"/>
      <c r="B106" s="56"/>
      <c r="C106" s="85">
        <f>4*1</f>
        <v>4</v>
      </c>
      <c r="D106" s="86">
        <f>23/12/3.281</f>
        <v>0.58417149243116939</v>
      </c>
      <c r="E106" s="54"/>
      <c r="F106" s="54">
        <f>3/12/3.281</f>
        <v>7.6196281621456863E-2</v>
      </c>
      <c r="G106" s="54">
        <f t="shared" si="8"/>
        <v>0.17804678221004855</v>
      </c>
      <c r="H106" s="57"/>
      <c r="I106" s="57"/>
      <c r="J106" s="40"/>
      <c r="K106" s="5"/>
    </row>
    <row r="107" spans="1:11" ht="15" customHeight="1" x14ac:dyDescent="0.3">
      <c r="A107" s="43"/>
      <c r="B107" s="56"/>
      <c r="C107" s="85">
        <f t="shared" ref="C107:C108" si="10">4*1</f>
        <v>4</v>
      </c>
      <c r="D107" s="86">
        <f>26/3.281</f>
        <v>7.9244132886315146</v>
      </c>
      <c r="E107" s="54"/>
      <c r="F107" s="54">
        <f>1/12/3.281</f>
        <v>2.5398760540485621E-2</v>
      </c>
      <c r="G107" s="54">
        <f t="shared" si="8"/>
        <v>0.80508110216717599</v>
      </c>
      <c r="H107" s="57"/>
      <c r="I107" s="57"/>
      <c r="J107" s="40"/>
      <c r="K107" s="5"/>
    </row>
    <row r="108" spans="1:11" ht="15" customHeight="1" x14ac:dyDescent="0.3">
      <c r="A108" s="43"/>
      <c r="B108" s="56"/>
      <c r="C108" s="85">
        <f t="shared" si="10"/>
        <v>4</v>
      </c>
      <c r="D108" s="86">
        <f>28/12/3.281</f>
        <v>0.7111652951335975</v>
      </c>
      <c r="E108" s="54"/>
      <c r="F108" s="54">
        <f>1/12/3.281</f>
        <v>2.5398760540485621E-2</v>
      </c>
      <c r="G108" s="54">
        <f t="shared" si="8"/>
        <v>7.2250868143208108E-2</v>
      </c>
      <c r="H108" s="57"/>
      <c r="I108" s="57"/>
      <c r="J108" s="40"/>
      <c r="K108" s="5"/>
    </row>
    <row r="109" spans="1:11" ht="15" customHeight="1" x14ac:dyDescent="0.3">
      <c r="A109" s="43"/>
      <c r="B109" s="56" t="s">
        <v>38</v>
      </c>
      <c r="C109" s="53"/>
      <c r="D109" s="5"/>
      <c r="E109" s="54"/>
      <c r="F109" s="54"/>
      <c r="G109" s="55">
        <f>SUM(G98:G108)</f>
        <v>2.1223974811530768</v>
      </c>
      <c r="H109" s="55" t="s">
        <v>41</v>
      </c>
      <c r="I109" s="60">
        <f>50828.44/1.15</f>
        <v>44198.643478260878</v>
      </c>
      <c r="J109" s="61">
        <f>G109*I109</f>
        <v>93807.08958864375</v>
      </c>
      <c r="K109" s="5"/>
    </row>
    <row r="110" spans="1:11" x14ac:dyDescent="0.3">
      <c r="A110" s="43"/>
      <c r="B110" s="62"/>
      <c r="C110" s="53"/>
      <c r="D110" s="5"/>
      <c r="E110" s="54"/>
      <c r="F110" s="54"/>
      <c r="G110" s="57"/>
      <c r="H110" s="57"/>
      <c r="I110" s="57"/>
      <c r="J110" s="40"/>
      <c r="K110" s="5"/>
    </row>
    <row r="111" spans="1:11" ht="43.2" x14ac:dyDescent="0.3">
      <c r="A111" s="43">
        <v>26</v>
      </c>
      <c r="B111" s="62" t="s">
        <v>73</v>
      </c>
      <c r="C111" s="53"/>
      <c r="D111" s="54"/>
      <c r="E111" s="54"/>
      <c r="F111" s="54"/>
      <c r="G111" s="57"/>
      <c r="H111" s="57"/>
      <c r="I111" s="57"/>
      <c r="J111" s="40"/>
      <c r="K111" s="5"/>
    </row>
    <row r="112" spans="1:11" ht="15" customHeight="1" x14ac:dyDescent="0.3">
      <c r="A112" s="43"/>
      <c r="B112" s="70" t="s">
        <v>96</v>
      </c>
      <c r="C112" s="67">
        <v>4</v>
      </c>
      <c r="D112" s="68">
        <f>10/12/3.281</f>
        <v>0.25398760540485626</v>
      </c>
      <c r="E112" s="68"/>
      <c r="F112" s="68">
        <f>1/3.281</f>
        <v>0.30478512648582745</v>
      </c>
      <c r="G112" s="68">
        <f>PRODUCT(C112:F112)</f>
        <v>0.3096465777566062</v>
      </c>
      <c r="H112" s="57"/>
      <c r="I112" s="57"/>
      <c r="J112" s="40"/>
      <c r="K112" s="5"/>
    </row>
    <row r="113" spans="1:20" ht="15" customHeight="1" x14ac:dyDescent="0.3">
      <c r="A113" s="43"/>
      <c r="B113" s="56" t="s">
        <v>38</v>
      </c>
      <c r="C113" s="53"/>
      <c r="D113" s="54"/>
      <c r="E113" s="54"/>
      <c r="F113" s="54"/>
      <c r="G113" s="55">
        <f>SUM(G112:G112)</f>
        <v>0.3096465777566062</v>
      </c>
      <c r="H113" s="55" t="s">
        <v>41</v>
      </c>
      <c r="I113" s="60">
        <f>69579.92/1.15</f>
        <v>60504.278260869571</v>
      </c>
      <c r="J113" s="61">
        <f>G113*I113</f>
        <v>18734.942703111687</v>
      </c>
      <c r="K113" s="5"/>
    </row>
    <row r="114" spans="1:20" ht="15" customHeight="1" x14ac:dyDescent="0.3">
      <c r="A114" s="43"/>
      <c r="B114" s="56" t="s">
        <v>52</v>
      </c>
      <c r="C114" s="53"/>
      <c r="D114" s="54"/>
      <c r="E114" s="54"/>
      <c r="F114" s="54"/>
      <c r="G114" s="55"/>
      <c r="H114" s="55"/>
      <c r="I114" s="60"/>
      <c r="J114" s="61">
        <f>0.13*G113*(9888.94/0.92)</f>
        <v>432.68471274266705</v>
      </c>
      <c r="K114" s="5"/>
    </row>
    <row r="115" spans="1:20" ht="15" customHeight="1" x14ac:dyDescent="0.3">
      <c r="A115" s="43"/>
      <c r="B115" s="56"/>
      <c r="C115" s="53"/>
      <c r="D115" s="54"/>
      <c r="E115" s="54"/>
      <c r="F115" s="54"/>
      <c r="G115" s="57"/>
      <c r="H115" s="57"/>
      <c r="I115" s="57"/>
      <c r="J115" s="40"/>
      <c r="K115" s="5"/>
      <c r="M115" s="63"/>
    </row>
    <row r="116" spans="1:20" ht="27.6" x14ac:dyDescent="0.3">
      <c r="A116" s="26">
        <v>37</v>
      </c>
      <c r="B116" s="51" t="s">
        <v>123</v>
      </c>
      <c r="C116" s="27">
        <v>0</v>
      </c>
      <c r="D116" s="28"/>
      <c r="E116" s="28"/>
      <c r="F116" s="29"/>
      <c r="G116" s="14">
        <f>PRODUCT(C116:F116)</f>
        <v>0</v>
      </c>
      <c r="H116" s="38" t="s">
        <v>98</v>
      </c>
      <c r="I116" s="39">
        <v>20000</v>
      </c>
      <c r="J116" s="40">
        <f>G116*I116</f>
        <v>0</v>
      </c>
      <c r="K116" s="29"/>
      <c r="M116" s="31"/>
      <c r="N116" s="1"/>
      <c r="O116" s="1"/>
      <c r="P116" s="1"/>
      <c r="Q116" s="1"/>
      <c r="R116" s="31"/>
      <c r="S116" s="31"/>
    </row>
    <row r="117" spans="1:20" ht="15" customHeight="1" x14ac:dyDescent="0.3">
      <c r="A117" s="43"/>
      <c r="B117" s="45"/>
      <c r="C117" s="46"/>
      <c r="D117" s="14"/>
      <c r="E117" s="14"/>
      <c r="F117" s="14"/>
      <c r="G117" s="47"/>
      <c r="H117" s="47"/>
      <c r="I117" s="47"/>
      <c r="J117" s="40"/>
      <c r="K117" s="16"/>
    </row>
    <row r="118" spans="1:20" ht="19.8" x14ac:dyDescent="0.3">
      <c r="A118" s="26">
        <v>38</v>
      </c>
      <c r="B118" s="41" t="s">
        <v>28</v>
      </c>
      <c r="C118" s="27">
        <v>1</v>
      </c>
      <c r="D118" s="28"/>
      <c r="E118" s="29"/>
      <c r="F118" s="29"/>
      <c r="G118" s="44">
        <f t="shared" ref="G118" si="11">PRODUCT(C118:F118)</f>
        <v>1</v>
      </c>
      <c r="H118" s="38" t="s">
        <v>29</v>
      </c>
      <c r="I118" s="39">
        <v>500</v>
      </c>
      <c r="J118" s="44">
        <f>G118*I118</f>
        <v>500</v>
      </c>
      <c r="K118" s="29"/>
      <c r="M118" s="31"/>
      <c r="N118" s="18"/>
      <c r="O118" s="18"/>
      <c r="P118" s="18"/>
      <c r="Q118" s="18"/>
      <c r="R118" s="18"/>
      <c r="S118" s="18"/>
      <c r="T118" s="18"/>
    </row>
    <row r="119" spans="1:20" ht="15" customHeight="1" x14ac:dyDescent="0.3">
      <c r="A119" s="43"/>
      <c r="B119" s="45"/>
      <c r="C119" s="46"/>
      <c r="D119" s="14"/>
      <c r="E119" s="14"/>
      <c r="F119" s="14"/>
      <c r="G119" s="47"/>
      <c r="H119" s="47"/>
      <c r="I119" s="47"/>
      <c r="J119" s="40"/>
      <c r="K119" s="16"/>
    </row>
    <row r="120" spans="1:20" x14ac:dyDescent="0.3">
      <c r="A120" s="43"/>
      <c r="B120" s="50" t="s">
        <v>15</v>
      </c>
      <c r="C120" s="46"/>
      <c r="D120" s="14"/>
      <c r="E120" s="14"/>
      <c r="F120" s="14"/>
      <c r="G120" s="44"/>
      <c r="H120" s="44"/>
      <c r="I120" s="44"/>
      <c r="J120" s="44">
        <f>SUM(J9:J118)</f>
        <v>536292.22011758632</v>
      </c>
      <c r="K120" s="16"/>
    </row>
    <row r="122" spans="1:20" s="1" customFormat="1" x14ac:dyDescent="0.3">
      <c r="B122" s="16" t="s">
        <v>25</v>
      </c>
      <c r="C122" s="104">
        <f>J120</f>
        <v>536292.22011758632</v>
      </c>
      <c r="D122" s="105"/>
      <c r="E122" s="14">
        <v>100</v>
      </c>
      <c r="F122" s="18"/>
      <c r="G122" s="19"/>
      <c r="H122" s="18"/>
      <c r="I122" s="20"/>
      <c r="J122" s="21"/>
      <c r="K122" s="22"/>
    </row>
    <row r="123" spans="1:20" x14ac:dyDescent="0.3">
      <c r="B123" s="16" t="s">
        <v>30</v>
      </c>
      <c r="C123" s="111">
        <v>500000</v>
      </c>
      <c r="D123" s="112"/>
      <c r="E123" s="14"/>
    </row>
    <row r="124" spans="1:20" x14ac:dyDescent="0.3">
      <c r="B124" s="16" t="s">
        <v>31</v>
      </c>
      <c r="C124" s="111">
        <f>C123-C126-C127</f>
        <v>475000</v>
      </c>
      <c r="D124" s="112"/>
      <c r="E124" s="14">
        <f>C124/C122*100</f>
        <v>88.571115183407372</v>
      </c>
    </row>
    <row r="125" spans="1:20" x14ac:dyDescent="0.3">
      <c r="B125" s="16" t="s">
        <v>32</v>
      </c>
      <c r="C125" s="103">
        <f>C122-C124</f>
        <v>61292.220117586316</v>
      </c>
      <c r="D125" s="103"/>
      <c r="E125" s="14">
        <f>100-E124</f>
        <v>11.428884816592628</v>
      </c>
    </row>
    <row r="126" spans="1:20" x14ac:dyDescent="0.3">
      <c r="B126" s="16" t="s">
        <v>33</v>
      </c>
      <c r="C126" s="104">
        <f>C123*0.03</f>
        <v>15000</v>
      </c>
      <c r="D126" s="105"/>
      <c r="E126" s="14">
        <v>3</v>
      </c>
    </row>
    <row r="127" spans="1:20" x14ac:dyDescent="0.3">
      <c r="B127" s="16" t="s">
        <v>34</v>
      </c>
      <c r="C127" s="104">
        <f>C123*0.02</f>
        <v>10000</v>
      </c>
      <c r="D127" s="105"/>
      <c r="E127" s="14">
        <v>2</v>
      </c>
    </row>
  </sheetData>
  <mergeCells count="14">
    <mergeCell ref="C126:D126"/>
    <mergeCell ref="C127:D127"/>
    <mergeCell ref="A7:F7"/>
    <mergeCell ref="H7:K7"/>
    <mergeCell ref="C122:D122"/>
    <mergeCell ref="C123:D123"/>
    <mergeCell ref="C124:D124"/>
    <mergeCell ref="C125:D125"/>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WCR</vt:lpstr>
      <vt:lpstr>estimate</vt:lpstr>
      <vt:lpstr>dachi both sides</vt:lpstr>
      <vt:lpstr>dachi one side only</vt:lpstr>
      <vt:lpstr>dachi one side only 500k</vt:lpstr>
      <vt:lpstr>'dachi both sides'!Print_Area</vt:lpstr>
      <vt:lpstr>'dachi one side only'!Print_Area</vt:lpstr>
      <vt:lpstr>'dachi one side only 500k'!Print_Area</vt:lpstr>
      <vt:lpstr>estimate!Print_Area</vt:lpstr>
      <vt:lpstr>'dachi both sides'!Print_Titles</vt:lpstr>
      <vt:lpstr>'dachi one side only'!Print_Titles</vt:lpstr>
      <vt:lpstr>'dachi one side only 500k'!Print_Titles</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2025-03-27T05:38:40Z</cp:lastPrinted>
  <dcterms:created xsi:type="dcterms:W3CDTF">2015-06-05T18:17:20Z</dcterms:created>
  <dcterms:modified xsi:type="dcterms:W3CDTF">2025-06-17T01:12:40Z</dcterms:modified>
</cp:coreProperties>
</file>