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7" activeTab="10"/>
  </bookViews>
  <sheets>
    <sheet name="final" sheetId="3" state="hidden" r:id="rId1"/>
    <sheet name="quotation" sheetId="4" state="hidden" r:id="rId2"/>
    <sheet name="quotation (2)" sheetId="5" state="hidden" r:id="rId3"/>
    <sheet name="with plastic felt" sheetId="6" state="hidden" r:id="rId4"/>
    <sheet name="with centre wood" sheetId="7" state="hidden" r:id="rId5"/>
    <sheet name="copper roof" sheetId="8" state="hidden" r:id="rId6"/>
    <sheet name="with brick" sheetId="9" state="hidden" r:id="rId7"/>
    <sheet name="V" sheetId="10" r:id="rId8"/>
    <sheet name="include wxclude wod" sheetId="11" state="hidden" r:id="rId9"/>
    <sheet name="roof and tundal" sheetId="15" r:id="rId10"/>
    <sheet name="final valuation merged" sheetId="16" r:id="rId11"/>
    <sheet name="Window only" sheetId="12" r:id="rId12"/>
    <sheet name="Door only" sheetId="13" r:id="rId13"/>
    <sheet name="dachi appa only" sheetId="14" r:id="rId14"/>
  </sheets>
  <externalReferences>
    <externalReference r:id="rId15"/>
    <externalReference r:id="rId16"/>
  </externalReferences>
  <definedNames>
    <definedName name="description_103">[1]Abstract!$B$16</definedName>
    <definedName name="description_124" localSheetId="5">#REF!</definedName>
    <definedName name="description_124" localSheetId="13">#REF!</definedName>
    <definedName name="description_124" localSheetId="12">#REF!</definedName>
    <definedName name="description_124" localSheetId="0">#REF!</definedName>
    <definedName name="description_124" localSheetId="8">#REF!</definedName>
    <definedName name="description_124" localSheetId="1">#REF!</definedName>
    <definedName name="description_124" localSheetId="2">#REF!</definedName>
    <definedName name="description_124" localSheetId="9">#REF!</definedName>
    <definedName name="description_124" localSheetId="7">#REF!</definedName>
    <definedName name="description_124" localSheetId="11">#REF!</definedName>
    <definedName name="description_124" localSheetId="6">#REF!</definedName>
    <definedName name="description_124" localSheetId="4">#REF!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5">'copper roof'!$A$1:$K$111</definedName>
    <definedName name="_xlnm.Print_Area" localSheetId="13">'dachi appa only'!$A$1:$K$79</definedName>
    <definedName name="_xlnm.Print_Area" localSheetId="12">'Door only'!$A$1:$K$58</definedName>
    <definedName name="_xlnm.Print_Area" localSheetId="0">final!$A$1:$K$272</definedName>
    <definedName name="_xlnm.Print_Area" localSheetId="8">'include wxclude wod'!$A$1:$K$165</definedName>
    <definedName name="_xlnm.Print_Area" localSheetId="1">quotation!$A$6:$K$246</definedName>
    <definedName name="_xlnm.Print_Area" localSheetId="2">'quotation (2)'!$A$6:$K$52</definedName>
    <definedName name="_xlnm.Print_Area" localSheetId="9">'roof and tundal'!$A$1:$K$93</definedName>
    <definedName name="_xlnm.Print_Area" localSheetId="7">V!$A$1:$K$165</definedName>
    <definedName name="_xlnm.Print_Area" localSheetId="11">'Window only'!$A$1:$K$72</definedName>
    <definedName name="_xlnm.Print_Area" localSheetId="6">'with brick'!$A$1:$K$174</definedName>
    <definedName name="_xlnm.Print_Area" localSheetId="4">'with centre wood'!$A$6:$K$81</definedName>
    <definedName name="_xlnm.Print_Area" localSheetId="3">'with plastic felt'!$A$6:$K$80</definedName>
    <definedName name="_xlnm.Print_Titles" localSheetId="5">'copper roof'!$1:$8</definedName>
    <definedName name="_xlnm.Print_Titles" localSheetId="13">'dachi appa only'!$1:$8</definedName>
    <definedName name="_xlnm.Print_Titles" localSheetId="12">'Door only'!$1:$8</definedName>
    <definedName name="_xlnm.Print_Titles" localSheetId="0">final!$1:$8</definedName>
    <definedName name="_xlnm.Print_Titles" localSheetId="8">'include wxclude wod'!$1:$8</definedName>
    <definedName name="_xlnm.Print_Titles" localSheetId="9">'roof and tundal'!$1:$8</definedName>
    <definedName name="_xlnm.Print_Titles" localSheetId="7">V!$1:$8</definedName>
    <definedName name="_xlnm.Print_Titles" localSheetId="11">'Window only'!$1:$8</definedName>
    <definedName name="_xlnm.Print_Titles" localSheetId="6">'with brick'!$1:$8</definedName>
  </definedNames>
  <calcPr calcId="152511"/>
</workbook>
</file>

<file path=xl/calcChain.xml><?xml version="1.0" encoding="utf-8"?>
<calcChain xmlns="http://schemas.openxmlformats.org/spreadsheetml/2006/main">
  <c r="J155" i="16" l="1"/>
  <c r="I150" i="16"/>
  <c r="D148" i="16"/>
  <c r="G148" i="16" s="1"/>
  <c r="G150" i="16" s="1"/>
  <c r="C148" i="16"/>
  <c r="I144" i="16"/>
  <c r="D143" i="16"/>
  <c r="D149" i="16" s="1"/>
  <c r="G149" i="16" s="1"/>
  <c r="C142" i="16"/>
  <c r="I138" i="16"/>
  <c r="D137" i="16"/>
  <c r="G137" i="16" s="1"/>
  <c r="C136" i="16"/>
  <c r="I132" i="16"/>
  <c r="C131" i="16"/>
  <c r="I127" i="16"/>
  <c r="D126" i="16"/>
  <c r="D131" i="16" s="1"/>
  <c r="G131" i="16" s="1"/>
  <c r="G132" i="16" s="1"/>
  <c r="I122" i="16"/>
  <c r="F121" i="16"/>
  <c r="E121" i="16"/>
  <c r="G121" i="16" s="1"/>
  <c r="G120" i="16"/>
  <c r="F120" i="16"/>
  <c r="D120" i="16"/>
  <c r="F119" i="16"/>
  <c r="G119" i="16" s="1"/>
  <c r="D119" i="16"/>
  <c r="E118" i="16"/>
  <c r="G118" i="16" s="1"/>
  <c r="G117" i="16"/>
  <c r="F117" i="16"/>
  <c r="E117" i="16"/>
  <c r="F116" i="16"/>
  <c r="G116" i="16" s="1"/>
  <c r="E116" i="16"/>
  <c r="F115" i="16"/>
  <c r="E115" i="16"/>
  <c r="G115" i="16" s="1"/>
  <c r="F114" i="16"/>
  <c r="D114" i="16"/>
  <c r="G114" i="16" s="1"/>
  <c r="G113" i="16"/>
  <c r="F113" i="16"/>
  <c r="D113" i="16"/>
  <c r="F112" i="16"/>
  <c r="G112" i="16" s="1"/>
  <c r="E112" i="16"/>
  <c r="D136" i="16" s="1"/>
  <c r="D142" i="16" s="1"/>
  <c r="G142" i="16" s="1"/>
  <c r="I82" i="16"/>
  <c r="G82" i="16"/>
  <c r="J83" i="16" s="1"/>
  <c r="G99" i="16"/>
  <c r="J100" i="16" s="1"/>
  <c r="F79" i="16"/>
  <c r="E79" i="16"/>
  <c r="D79" i="16"/>
  <c r="G79" i="16" s="1"/>
  <c r="G78" i="16"/>
  <c r="D78" i="16"/>
  <c r="E77" i="16"/>
  <c r="D77" i="16"/>
  <c r="G77" i="16" s="1"/>
  <c r="F98" i="16"/>
  <c r="E98" i="16"/>
  <c r="D98" i="16"/>
  <c r="G98" i="16" s="1"/>
  <c r="F97" i="16"/>
  <c r="E97" i="16"/>
  <c r="D97" i="16"/>
  <c r="G97" i="16" s="1"/>
  <c r="F96" i="16"/>
  <c r="E96" i="16"/>
  <c r="D96" i="16"/>
  <c r="G96" i="16" s="1"/>
  <c r="G95" i="16"/>
  <c r="G94" i="16"/>
  <c r="G93" i="16"/>
  <c r="G92" i="16"/>
  <c r="F91" i="16"/>
  <c r="E91" i="16"/>
  <c r="D91" i="16"/>
  <c r="G91" i="16" s="1"/>
  <c r="D90" i="16"/>
  <c r="G90" i="16" s="1"/>
  <c r="G89" i="16"/>
  <c r="G88" i="16"/>
  <c r="D88" i="16"/>
  <c r="G87" i="16"/>
  <c r="D87" i="16"/>
  <c r="G86" i="16"/>
  <c r="D86" i="16"/>
  <c r="F81" i="16"/>
  <c r="D81" i="16"/>
  <c r="G81" i="16" s="1"/>
  <c r="G80" i="16"/>
  <c r="F80" i="16"/>
  <c r="E80" i="16"/>
  <c r="D80" i="16"/>
  <c r="I104" i="16"/>
  <c r="G103" i="16"/>
  <c r="G104" i="16" s="1"/>
  <c r="J104" i="16" s="1"/>
  <c r="F103" i="16"/>
  <c r="D103" i="16"/>
  <c r="I108" i="16"/>
  <c r="G108" i="16"/>
  <c r="J109" i="16" s="1"/>
  <c r="G107" i="16"/>
  <c r="I73" i="16"/>
  <c r="F72" i="16"/>
  <c r="G72" i="16" s="1"/>
  <c r="G73" i="16" s="1"/>
  <c r="D72" i="16"/>
  <c r="I68" i="16"/>
  <c r="G68" i="16"/>
  <c r="J69" i="16" s="1"/>
  <c r="G67" i="16"/>
  <c r="G66" i="16"/>
  <c r="G65" i="16"/>
  <c r="I62" i="16"/>
  <c r="G61" i="16"/>
  <c r="E61" i="16"/>
  <c r="D61" i="16"/>
  <c r="C61" i="16"/>
  <c r="G60" i="16"/>
  <c r="G62" i="16" s="1"/>
  <c r="J62" i="16" s="1"/>
  <c r="E60" i="16"/>
  <c r="D60" i="16"/>
  <c r="C60" i="16"/>
  <c r="I56" i="16"/>
  <c r="F55" i="16"/>
  <c r="D55" i="16"/>
  <c r="G55" i="16" s="1"/>
  <c r="G54" i="16"/>
  <c r="G56" i="16" s="1"/>
  <c r="F54" i="16"/>
  <c r="D54" i="16"/>
  <c r="I50" i="16"/>
  <c r="F49" i="16"/>
  <c r="E49" i="16"/>
  <c r="D49" i="16"/>
  <c r="G49" i="16" s="1"/>
  <c r="F48" i="16"/>
  <c r="E48" i="16"/>
  <c r="D48" i="16"/>
  <c r="G48" i="16" s="1"/>
  <c r="F47" i="16"/>
  <c r="E47" i="16"/>
  <c r="D47" i="16"/>
  <c r="G47" i="16" s="1"/>
  <c r="F46" i="16"/>
  <c r="E46" i="16"/>
  <c r="D46" i="16"/>
  <c r="G46" i="16" s="1"/>
  <c r="F45" i="16"/>
  <c r="E45" i="16"/>
  <c r="D45" i="16"/>
  <c r="G45" i="16" s="1"/>
  <c r="D44" i="16"/>
  <c r="G44" i="16" s="1"/>
  <c r="D43" i="16"/>
  <c r="G43" i="16" s="1"/>
  <c r="I39" i="16"/>
  <c r="E38" i="16"/>
  <c r="D38" i="16"/>
  <c r="G38" i="16" s="1"/>
  <c r="G39" i="16" s="1"/>
  <c r="I34" i="16"/>
  <c r="G33" i="16"/>
  <c r="J34" i="16" s="1"/>
  <c r="I30" i="16"/>
  <c r="G29" i="16"/>
  <c r="J30" i="16" s="1"/>
  <c r="I27" i="16"/>
  <c r="G26" i="16"/>
  <c r="D26" i="16"/>
  <c r="C26" i="16"/>
  <c r="D25" i="16"/>
  <c r="G25" i="16" s="1"/>
  <c r="G27" i="16" s="1"/>
  <c r="J27" i="16" s="1"/>
  <c r="C25" i="16"/>
  <c r="I21" i="16"/>
  <c r="G10" i="16"/>
  <c r="G12" i="16"/>
  <c r="G13" i="16"/>
  <c r="G14" i="16"/>
  <c r="G15" i="16"/>
  <c r="G16" i="16"/>
  <c r="G17" i="16"/>
  <c r="G18" i="16"/>
  <c r="G19" i="16"/>
  <c r="G20" i="16"/>
  <c r="G9" i="16"/>
  <c r="E20" i="16"/>
  <c r="E19" i="16"/>
  <c r="D19" i="16"/>
  <c r="E17" i="16"/>
  <c r="D17" i="16"/>
  <c r="D16" i="16"/>
  <c r="D15" i="16"/>
  <c r="D14" i="16"/>
  <c r="D13" i="16"/>
  <c r="D12" i="16"/>
  <c r="E11" i="16"/>
  <c r="G11" i="16" s="1"/>
  <c r="G21" i="16" s="1"/>
  <c r="J22" i="16" s="1"/>
  <c r="D11" i="16"/>
  <c r="D10" i="16"/>
  <c r="D9" i="16"/>
  <c r="I38" i="13"/>
  <c r="F37" i="13"/>
  <c r="D37" i="13"/>
  <c r="G37" i="13" s="1"/>
  <c r="G38" i="13" s="1"/>
  <c r="J38" i="13" s="1"/>
  <c r="M99" i="16"/>
  <c r="M82" i="16"/>
  <c r="O72" i="16"/>
  <c r="C166" i="16"/>
  <c r="C165" i="16"/>
  <c r="G153" i="16"/>
  <c r="J153" i="16" s="1"/>
  <c r="B60" i="16"/>
  <c r="B47" i="16"/>
  <c r="B43" i="16"/>
  <c r="G122" i="16" l="1"/>
  <c r="J151" i="16"/>
  <c r="J150" i="16"/>
  <c r="J132" i="16"/>
  <c r="J133" i="16"/>
  <c r="G136" i="16"/>
  <c r="G138" i="16" s="1"/>
  <c r="G143" i="16"/>
  <c r="G144" i="16" s="1"/>
  <c r="G126" i="16"/>
  <c r="G127" i="16" s="1"/>
  <c r="J82" i="16"/>
  <c r="J99" i="16"/>
  <c r="J108" i="16"/>
  <c r="J74" i="16"/>
  <c r="J73" i="16"/>
  <c r="J68" i="16"/>
  <c r="J57" i="16"/>
  <c r="J56" i="16"/>
  <c r="G50" i="16"/>
  <c r="J21" i="16"/>
  <c r="J40" i="16"/>
  <c r="J39" i="16"/>
  <c r="G34" i="16"/>
  <c r="J35" i="16" s="1"/>
  <c r="G30" i="16"/>
  <c r="J31" i="16" s="1"/>
  <c r="C163" i="16"/>
  <c r="N105" i="16"/>
  <c r="I37" i="15"/>
  <c r="G63" i="14"/>
  <c r="G62" i="14"/>
  <c r="D62" i="14"/>
  <c r="G57" i="14"/>
  <c r="D56" i="14"/>
  <c r="G51" i="14"/>
  <c r="D50" i="14"/>
  <c r="F34" i="14"/>
  <c r="F28" i="14"/>
  <c r="J144" i="16" l="1"/>
  <c r="J145" i="16"/>
  <c r="J138" i="16"/>
  <c r="J139" i="16"/>
  <c r="J123" i="16"/>
  <c r="J122" i="16"/>
  <c r="J127" i="16"/>
  <c r="J128" i="16"/>
  <c r="J51" i="16"/>
  <c r="J50" i="16"/>
  <c r="M91" i="16"/>
  <c r="I72" i="15"/>
  <c r="F71" i="15"/>
  <c r="D71" i="15"/>
  <c r="G71" i="15" s="1"/>
  <c r="D70" i="15"/>
  <c r="G70" i="15" s="1"/>
  <c r="F70" i="15"/>
  <c r="M44" i="13"/>
  <c r="F53" i="12"/>
  <c r="E53" i="12"/>
  <c r="G44" i="12"/>
  <c r="G72" i="15" l="1"/>
  <c r="J73" i="15" s="1"/>
  <c r="J72" i="15"/>
  <c r="C161" i="16" l="1"/>
  <c r="C157" i="16"/>
  <c r="L162" i="16"/>
  <c r="L161" i="16"/>
  <c r="M44" i="12"/>
  <c r="I44" i="12"/>
  <c r="J45" i="12"/>
  <c r="G28" i="12"/>
  <c r="G27" i="12"/>
  <c r="C164" i="16" l="1"/>
  <c r="E163" i="16"/>
  <c r="E164" i="16" s="1"/>
  <c r="C158" i="16"/>
  <c r="C159" i="16" s="1"/>
  <c r="J44" i="12"/>
  <c r="D25" i="15"/>
  <c r="G25" i="15" s="1"/>
  <c r="D26" i="15"/>
  <c r="G26" i="15" s="1"/>
  <c r="N26" i="15" s="1"/>
  <c r="D27" i="15"/>
  <c r="E27" i="15"/>
  <c r="D28" i="15"/>
  <c r="G28" i="15" s="1"/>
  <c r="N28" i="15" s="1"/>
  <c r="D29" i="15"/>
  <c r="G29" i="15"/>
  <c r="N29" i="15"/>
  <c r="D30" i="15"/>
  <c r="G30" i="15" s="1"/>
  <c r="N30" i="15" s="1"/>
  <c r="D31" i="15"/>
  <c r="G31" i="15"/>
  <c r="N31" i="15" s="1"/>
  <c r="D32" i="15"/>
  <c r="G32" i="15" s="1"/>
  <c r="N32" i="15" s="1"/>
  <c r="M32" i="15"/>
  <c r="D33" i="15"/>
  <c r="E33" i="15"/>
  <c r="G33" i="15" s="1"/>
  <c r="N33" i="15" s="1"/>
  <c r="G34" i="15"/>
  <c r="N34" i="15"/>
  <c r="D35" i="15"/>
  <c r="G35" i="15" s="1"/>
  <c r="N35" i="15" s="1"/>
  <c r="E35" i="15"/>
  <c r="P35" i="15"/>
  <c r="E36" i="15"/>
  <c r="G36" i="15" s="1"/>
  <c r="N36" i="15" s="1"/>
  <c r="C41" i="15"/>
  <c r="C42" i="15"/>
  <c r="D42" i="15"/>
  <c r="G42" i="15" s="1"/>
  <c r="N42" i="15" s="1"/>
  <c r="I43" i="15"/>
  <c r="G45" i="15"/>
  <c r="G46" i="15" s="1"/>
  <c r="J47" i="15" s="1"/>
  <c r="I46" i="15"/>
  <c r="G49" i="15"/>
  <c r="I50" i="15"/>
  <c r="D54" i="15"/>
  <c r="E54" i="15"/>
  <c r="I55" i="15"/>
  <c r="C93" i="15"/>
  <c r="C90" i="15" s="1"/>
  <c r="C92" i="15"/>
  <c r="G80" i="15"/>
  <c r="J80" i="15" s="1"/>
  <c r="I78" i="15"/>
  <c r="E77" i="15"/>
  <c r="C77" i="15"/>
  <c r="E76" i="15"/>
  <c r="C76" i="15"/>
  <c r="B76" i="15"/>
  <c r="I66" i="15"/>
  <c r="F65" i="15"/>
  <c r="E65" i="15"/>
  <c r="D65" i="15"/>
  <c r="F64" i="15"/>
  <c r="E64" i="15"/>
  <c r="D64" i="15"/>
  <c r="F63" i="15"/>
  <c r="E63" i="15"/>
  <c r="D63" i="15"/>
  <c r="B63" i="15"/>
  <c r="F62" i="15"/>
  <c r="E62" i="15"/>
  <c r="F61" i="15"/>
  <c r="E61" i="15"/>
  <c r="B59" i="15"/>
  <c r="D61" i="15"/>
  <c r="D60" i="15"/>
  <c r="G60" i="15" s="1"/>
  <c r="G20" i="15"/>
  <c r="G21" i="15" s="1"/>
  <c r="J21" i="15" s="1"/>
  <c r="J22" i="15" s="1"/>
  <c r="C15" i="15"/>
  <c r="I11" i="15"/>
  <c r="E10" i="15"/>
  <c r="D10" i="15"/>
  <c r="F27" i="14"/>
  <c r="D27" i="14"/>
  <c r="G27" i="14" s="1"/>
  <c r="C79" i="14"/>
  <c r="C78" i="14"/>
  <c r="C76" i="14"/>
  <c r="G66" i="14"/>
  <c r="J66" i="14" s="1"/>
  <c r="I63" i="14"/>
  <c r="C61" i="14"/>
  <c r="I57" i="14"/>
  <c r="C55" i="14"/>
  <c r="I51" i="14"/>
  <c r="C49" i="14"/>
  <c r="I45" i="14"/>
  <c r="C44" i="14"/>
  <c r="I40" i="14"/>
  <c r="I35" i="14"/>
  <c r="F33" i="14"/>
  <c r="D33" i="14"/>
  <c r="F32" i="14"/>
  <c r="D32" i="14"/>
  <c r="G32" i="14" s="1"/>
  <c r="E31" i="14"/>
  <c r="G31" i="14" s="1"/>
  <c r="F30" i="14"/>
  <c r="G30" i="14" s="1"/>
  <c r="E30" i="14"/>
  <c r="F29" i="14"/>
  <c r="E29" i="14"/>
  <c r="E34" i="14" s="1"/>
  <c r="G34" i="14" s="1"/>
  <c r="F26" i="14"/>
  <c r="D26" i="14"/>
  <c r="F25" i="14"/>
  <c r="E25" i="14"/>
  <c r="G20" i="14"/>
  <c r="G21" i="14" s="1"/>
  <c r="J21" i="14" s="1"/>
  <c r="J22" i="14" s="1"/>
  <c r="C15" i="14"/>
  <c r="I11" i="14"/>
  <c r="E10" i="14"/>
  <c r="D10" i="14"/>
  <c r="C58" i="13"/>
  <c r="C57" i="13"/>
  <c r="M33" i="13"/>
  <c r="I33" i="13"/>
  <c r="F43" i="13"/>
  <c r="E43" i="13"/>
  <c r="D43" i="13"/>
  <c r="F42" i="13"/>
  <c r="E42" i="13"/>
  <c r="D42" i="13"/>
  <c r="F41" i="13"/>
  <c r="E41" i="13"/>
  <c r="D41" i="13"/>
  <c r="F32" i="13"/>
  <c r="E32" i="13"/>
  <c r="D32" i="13"/>
  <c r="D31" i="13"/>
  <c r="G31" i="13" s="1"/>
  <c r="E30" i="13"/>
  <c r="G30" i="13" s="1"/>
  <c r="D30" i="13"/>
  <c r="I26" i="13"/>
  <c r="G25" i="13"/>
  <c r="G26" i="13" s="1"/>
  <c r="J27" i="13" s="1"/>
  <c r="G20" i="13"/>
  <c r="G21" i="13" s="1"/>
  <c r="J21" i="13" s="1"/>
  <c r="J22" i="13" s="1"/>
  <c r="C15" i="13"/>
  <c r="I11" i="13"/>
  <c r="E10" i="13"/>
  <c r="D10" i="13"/>
  <c r="D15" i="13" s="1"/>
  <c r="G57" i="12"/>
  <c r="G56" i="12"/>
  <c r="G55" i="12"/>
  <c r="G48" i="12"/>
  <c r="G49" i="12"/>
  <c r="G50" i="12"/>
  <c r="G51" i="12"/>
  <c r="G52" i="12"/>
  <c r="G53" i="12"/>
  <c r="G54" i="12"/>
  <c r="O32" i="12"/>
  <c r="D53" i="12"/>
  <c r="D52" i="12"/>
  <c r="D50" i="12"/>
  <c r="D49" i="12"/>
  <c r="D48" i="12"/>
  <c r="F43" i="12"/>
  <c r="G43" i="12" s="1"/>
  <c r="D43" i="12"/>
  <c r="F42" i="12"/>
  <c r="D42" i="12"/>
  <c r="C72" i="12"/>
  <c r="C71" i="12"/>
  <c r="M58" i="12"/>
  <c r="E42" i="12"/>
  <c r="I38" i="12"/>
  <c r="G37" i="12"/>
  <c r="G38" i="12" s="1"/>
  <c r="J39" i="12" s="1"/>
  <c r="I33" i="12"/>
  <c r="F32" i="12"/>
  <c r="D32" i="12"/>
  <c r="I28" i="12"/>
  <c r="G26" i="12"/>
  <c r="G25" i="12"/>
  <c r="G20" i="12"/>
  <c r="G21" i="12" s="1"/>
  <c r="J21" i="12" s="1"/>
  <c r="J22" i="12" s="1"/>
  <c r="C15" i="12"/>
  <c r="I11" i="12"/>
  <c r="E10" i="12"/>
  <c r="D10" i="12"/>
  <c r="D15" i="12" s="1"/>
  <c r="C165" i="11"/>
  <c r="C164" i="11"/>
  <c r="G152" i="11"/>
  <c r="J152" i="11" s="1"/>
  <c r="G150" i="11"/>
  <c r="J150" i="11" s="1"/>
  <c r="I147" i="11"/>
  <c r="C146" i="11"/>
  <c r="I142" i="11"/>
  <c r="C140" i="11"/>
  <c r="I136" i="11"/>
  <c r="C134" i="11"/>
  <c r="I130" i="11"/>
  <c r="C129" i="11"/>
  <c r="I125" i="11"/>
  <c r="I120" i="11"/>
  <c r="F119" i="11"/>
  <c r="F118" i="11"/>
  <c r="D118" i="11"/>
  <c r="F117" i="11"/>
  <c r="G117" i="11" s="1"/>
  <c r="D117" i="11"/>
  <c r="E116" i="11"/>
  <c r="G116" i="11" s="1"/>
  <c r="F115" i="11"/>
  <c r="E115" i="11"/>
  <c r="F114" i="11"/>
  <c r="E114" i="11"/>
  <c r="E119" i="11" s="1"/>
  <c r="F113" i="11"/>
  <c r="F112" i="11"/>
  <c r="D112" i="11"/>
  <c r="F111" i="11"/>
  <c r="D111" i="11"/>
  <c r="F110" i="11"/>
  <c r="E110" i="11"/>
  <c r="D141" i="11" s="1"/>
  <c r="G141" i="11" s="1"/>
  <c r="I107" i="11"/>
  <c r="F106" i="11"/>
  <c r="I103" i="11"/>
  <c r="F102" i="11"/>
  <c r="D102" i="11"/>
  <c r="G101" i="11"/>
  <c r="M97" i="11"/>
  <c r="I97" i="11"/>
  <c r="F96" i="11"/>
  <c r="E96" i="11"/>
  <c r="D96" i="11"/>
  <c r="F95" i="11"/>
  <c r="E95" i="11"/>
  <c r="D95" i="11"/>
  <c r="G95" i="11" s="1"/>
  <c r="F94" i="11"/>
  <c r="E94" i="11"/>
  <c r="D94" i="11"/>
  <c r="F93" i="11"/>
  <c r="E93" i="11"/>
  <c r="D93" i="11"/>
  <c r="D92" i="11"/>
  <c r="G92" i="11" s="1"/>
  <c r="E91" i="11"/>
  <c r="D91" i="11"/>
  <c r="I87" i="11"/>
  <c r="G86" i="11"/>
  <c r="G87" i="11" s="1"/>
  <c r="J88" i="11" s="1"/>
  <c r="I82" i="11"/>
  <c r="F81" i="11"/>
  <c r="D81" i="11"/>
  <c r="I77" i="11"/>
  <c r="G76" i="11"/>
  <c r="G75" i="11"/>
  <c r="I72" i="11"/>
  <c r="E71" i="11"/>
  <c r="C71" i="11"/>
  <c r="E70" i="11"/>
  <c r="C70" i="11"/>
  <c r="B70" i="11"/>
  <c r="I66" i="11"/>
  <c r="F65" i="11"/>
  <c r="E65" i="11"/>
  <c r="D65" i="11"/>
  <c r="F64" i="11"/>
  <c r="E64" i="11"/>
  <c r="D64" i="11"/>
  <c r="D70" i="11" s="1"/>
  <c r="F63" i="11"/>
  <c r="E63" i="11"/>
  <c r="D63" i="11"/>
  <c r="B63" i="11"/>
  <c r="F62" i="11"/>
  <c r="E62" i="11"/>
  <c r="F61" i="11"/>
  <c r="E61" i="11"/>
  <c r="B59" i="11"/>
  <c r="I55" i="11"/>
  <c r="E54" i="11"/>
  <c r="D54" i="11"/>
  <c r="I50" i="11"/>
  <c r="G49" i="11"/>
  <c r="I46" i="11"/>
  <c r="G45" i="11"/>
  <c r="G46" i="11" s="1"/>
  <c r="J47" i="11" s="1"/>
  <c r="I43" i="11"/>
  <c r="D42" i="11"/>
  <c r="C42" i="11"/>
  <c r="C41" i="11"/>
  <c r="I37" i="11"/>
  <c r="E36" i="11"/>
  <c r="G36" i="11" s="1"/>
  <c r="N36" i="11" s="1"/>
  <c r="P35" i="11"/>
  <c r="E35" i="11"/>
  <c r="D35" i="11"/>
  <c r="D41" i="11" s="1"/>
  <c r="G41" i="11" s="1"/>
  <c r="N41" i="11" s="1"/>
  <c r="G34" i="11"/>
  <c r="N34" i="11" s="1"/>
  <c r="E33" i="11"/>
  <c r="G33" i="11" s="1"/>
  <c r="N33" i="11" s="1"/>
  <c r="D33" i="11"/>
  <c r="M32" i="11"/>
  <c r="D32" i="11"/>
  <c r="G32" i="11" s="1"/>
  <c r="N32" i="11" s="1"/>
  <c r="D31" i="11"/>
  <c r="G31" i="11" s="1"/>
  <c r="N31" i="11" s="1"/>
  <c r="D30" i="11"/>
  <c r="D62" i="11" s="1"/>
  <c r="D29" i="11"/>
  <c r="D61" i="11" s="1"/>
  <c r="G61" i="11" s="1"/>
  <c r="D28" i="11"/>
  <c r="D60" i="11" s="1"/>
  <c r="G60" i="11" s="1"/>
  <c r="E27" i="11"/>
  <c r="D27" i="11"/>
  <c r="D26" i="11"/>
  <c r="G26" i="11" s="1"/>
  <c r="N26" i="11" s="1"/>
  <c r="D25" i="11"/>
  <c r="G25" i="11" s="1"/>
  <c r="N25" i="11" s="1"/>
  <c r="G20" i="11"/>
  <c r="G21" i="11" s="1"/>
  <c r="J21" i="11" s="1"/>
  <c r="J22" i="11" s="1"/>
  <c r="C15" i="11"/>
  <c r="I11" i="11"/>
  <c r="E10" i="11"/>
  <c r="D10" i="11"/>
  <c r="G58" i="12" l="1"/>
  <c r="G56" i="14"/>
  <c r="D49" i="14"/>
  <c r="G26" i="14"/>
  <c r="J50" i="15"/>
  <c r="D62" i="15"/>
  <c r="G63" i="15"/>
  <c r="G54" i="15"/>
  <c r="G55" i="15" s="1"/>
  <c r="J56" i="15" s="1"/>
  <c r="J46" i="15"/>
  <c r="D41" i="15"/>
  <c r="G41" i="15"/>
  <c r="G43" i="15" s="1"/>
  <c r="G27" i="15"/>
  <c r="N27" i="15" s="1"/>
  <c r="G32" i="13"/>
  <c r="G33" i="13" s="1"/>
  <c r="J59" i="12"/>
  <c r="M53" i="12"/>
  <c r="N41" i="15"/>
  <c r="G37" i="15"/>
  <c r="N25" i="15"/>
  <c r="G50" i="15"/>
  <c r="J51" i="15" s="1"/>
  <c r="G65" i="15"/>
  <c r="G62" i="15"/>
  <c r="G64" i="15"/>
  <c r="G10" i="15"/>
  <c r="G11" i="15" s="1"/>
  <c r="G61" i="15"/>
  <c r="D59" i="15"/>
  <c r="G59" i="15" s="1"/>
  <c r="G66" i="15" s="1"/>
  <c r="D77" i="15"/>
  <c r="G77" i="15" s="1"/>
  <c r="D76" i="15"/>
  <c r="G76" i="15" s="1"/>
  <c r="J12" i="15"/>
  <c r="J11" i="15"/>
  <c r="D15" i="15"/>
  <c r="G15" i="15" s="1"/>
  <c r="G16" i="15" s="1"/>
  <c r="G29" i="14"/>
  <c r="G33" i="14"/>
  <c r="G10" i="14"/>
  <c r="G11" i="14" s="1"/>
  <c r="J11" i="14" s="1"/>
  <c r="E28" i="14"/>
  <c r="G28" i="14" s="1"/>
  <c r="D39" i="14"/>
  <c r="G50" i="14"/>
  <c r="D61" i="14"/>
  <c r="G61" i="14" s="1"/>
  <c r="G25" i="14"/>
  <c r="G35" i="14" s="1"/>
  <c r="D15" i="14"/>
  <c r="G15" i="14" s="1"/>
  <c r="G16" i="14" s="1"/>
  <c r="C55" i="13"/>
  <c r="J26" i="13"/>
  <c r="G10" i="13"/>
  <c r="G11" i="13" s="1"/>
  <c r="J11" i="13" s="1"/>
  <c r="G43" i="13"/>
  <c r="G15" i="13"/>
  <c r="G16" i="13" s="1"/>
  <c r="J16" i="13" s="1"/>
  <c r="G41" i="13"/>
  <c r="G42" i="13"/>
  <c r="C69" i="12"/>
  <c r="G15" i="12"/>
  <c r="G16" i="12" s="1"/>
  <c r="J16" i="12" s="1"/>
  <c r="G32" i="12"/>
  <c r="G33" i="12" s="1"/>
  <c r="J33" i="12" s="1"/>
  <c r="J28" i="12"/>
  <c r="G42" i="12"/>
  <c r="G10" i="12"/>
  <c r="G11" i="12" s="1"/>
  <c r="J12" i="12" s="1"/>
  <c r="J38" i="12"/>
  <c r="G119" i="11"/>
  <c r="G54" i="11"/>
  <c r="G55" i="11" s="1"/>
  <c r="J56" i="11" s="1"/>
  <c r="G77" i="11"/>
  <c r="J78" i="11" s="1"/>
  <c r="G115" i="11"/>
  <c r="G62" i="11"/>
  <c r="J50" i="11"/>
  <c r="C162" i="11"/>
  <c r="G111" i="11"/>
  <c r="J46" i="11"/>
  <c r="G93" i="11"/>
  <c r="G102" i="11"/>
  <c r="G103" i="11" s="1"/>
  <c r="G112" i="11"/>
  <c r="G96" i="11"/>
  <c r="G42" i="11"/>
  <c r="N42" i="11" s="1"/>
  <c r="G118" i="11"/>
  <c r="G94" i="11"/>
  <c r="D135" i="11"/>
  <c r="G135" i="11" s="1"/>
  <c r="G114" i="11"/>
  <c r="G30" i="11"/>
  <c r="N30" i="11" s="1"/>
  <c r="G50" i="11"/>
  <c r="J51" i="11" s="1"/>
  <c r="D146" i="11"/>
  <c r="G146" i="11" s="1"/>
  <c r="G147" i="11" s="1"/>
  <c r="G35" i="11"/>
  <c r="N35" i="11" s="1"/>
  <c r="G10" i="11"/>
  <c r="G11" i="11" s="1"/>
  <c r="J12" i="11" s="1"/>
  <c r="G27" i="11"/>
  <c r="N27" i="11" s="1"/>
  <c r="G64" i="11"/>
  <c r="G70" i="11"/>
  <c r="G91" i="11"/>
  <c r="J103" i="11"/>
  <c r="G28" i="11"/>
  <c r="N28" i="11" s="1"/>
  <c r="G65" i="11"/>
  <c r="G81" i="11"/>
  <c r="G82" i="11" s="1"/>
  <c r="J82" i="11" s="1"/>
  <c r="D71" i="11"/>
  <c r="G71" i="11" s="1"/>
  <c r="G63" i="11"/>
  <c r="E113" i="11"/>
  <c r="G113" i="11" s="1"/>
  <c r="D124" i="11"/>
  <c r="G124" i="11" s="1"/>
  <c r="G125" i="11" s="1"/>
  <c r="J126" i="11" s="1"/>
  <c r="D59" i="11"/>
  <c r="G59" i="11" s="1"/>
  <c r="J87" i="11"/>
  <c r="G29" i="11"/>
  <c r="N29" i="11" s="1"/>
  <c r="D106" i="11"/>
  <c r="G106" i="11" s="1"/>
  <c r="G107" i="11" s="1"/>
  <c r="J107" i="11" s="1"/>
  <c r="G110" i="11"/>
  <c r="J77" i="11"/>
  <c r="J55" i="11"/>
  <c r="D15" i="11"/>
  <c r="G15" i="11" s="1"/>
  <c r="G16" i="11" s="1"/>
  <c r="D146" i="10"/>
  <c r="D141" i="10"/>
  <c r="G141" i="10" s="1"/>
  <c r="F119" i="10"/>
  <c r="F113" i="10"/>
  <c r="E116" i="10"/>
  <c r="G116" i="10" s="1"/>
  <c r="E115" i="10"/>
  <c r="F115" i="10"/>
  <c r="F118" i="10"/>
  <c r="D118" i="10"/>
  <c r="F117" i="10"/>
  <c r="D117" i="10"/>
  <c r="F114" i="10"/>
  <c r="E114" i="10"/>
  <c r="E119" i="10" s="1"/>
  <c r="D111" i="10"/>
  <c r="F111" i="10"/>
  <c r="F112" i="10"/>
  <c r="D112" i="10"/>
  <c r="F110" i="10"/>
  <c r="E110" i="10"/>
  <c r="E113" i="10" s="1"/>
  <c r="I107" i="10"/>
  <c r="F106" i="10"/>
  <c r="F102" i="10"/>
  <c r="D102" i="10"/>
  <c r="F96" i="10"/>
  <c r="E96" i="10"/>
  <c r="D96" i="10"/>
  <c r="D95" i="10"/>
  <c r="E95" i="10"/>
  <c r="F95" i="10"/>
  <c r="F94" i="10"/>
  <c r="E94" i="10"/>
  <c r="D94" i="10"/>
  <c r="G94" i="10" s="1"/>
  <c r="F93" i="10"/>
  <c r="E93" i="10"/>
  <c r="D93" i="10"/>
  <c r="D92" i="10"/>
  <c r="D91" i="10"/>
  <c r="D106" i="10" s="1"/>
  <c r="J55" i="15" l="1"/>
  <c r="G44" i="13"/>
  <c r="N39" i="13" s="1"/>
  <c r="J44" i="13"/>
  <c r="J37" i="15"/>
  <c r="J38" i="15"/>
  <c r="N43" i="15"/>
  <c r="J43" i="15"/>
  <c r="G78" i="15"/>
  <c r="J78" i="15" s="1"/>
  <c r="J16" i="15"/>
  <c r="J17" i="15"/>
  <c r="J67" i="15"/>
  <c r="J66" i="15"/>
  <c r="J12" i="14"/>
  <c r="J16" i="14"/>
  <c r="J17" i="14"/>
  <c r="J63" i="14"/>
  <c r="J64" i="14"/>
  <c r="G39" i="14"/>
  <c r="G40" i="14" s="1"/>
  <c r="D44" i="14"/>
  <c r="J17" i="13"/>
  <c r="J12" i="13"/>
  <c r="J17" i="12"/>
  <c r="J34" i="12"/>
  <c r="J29" i="12"/>
  <c r="J11" i="12"/>
  <c r="J125" i="11"/>
  <c r="G43" i="11"/>
  <c r="J83" i="11"/>
  <c r="D129" i="11"/>
  <c r="G120" i="11"/>
  <c r="G97" i="11"/>
  <c r="J148" i="11"/>
  <c r="J147" i="11"/>
  <c r="G66" i="11"/>
  <c r="J67" i="11" s="1"/>
  <c r="J11" i="11"/>
  <c r="G72" i="11"/>
  <c r="J72" i="11" s="1"/>
  <c r="G37" i="11"/>
  <c r="J38" i="11" s="1"/>
  <c r="J17" i="11"/>
  <c r="J16" i="11"/>
  <c r="J121" i="11"/>
  <c r="J120" i="11"/>
  <c r="N43" i="11"/>
  <c r="J43" i="11"/>
  <c r="G129" i="11"/>
  <c r="G130" i="11" s="1"/>
  <c r="D134" i="11"/>
  <c r="D135" i="10"/>
  <c r="G135" i="10" s="1"/>
  <c r="G115" i="10"/>
  <c r="G113" i="10"/>
  <c r="G117" i="10"/>
  <c r="G118" i="10"/>
  <c r="G102" i="10"/>
  <c r="G93" i="10"/>
  <c r="G95" i="10"/>
  <c r="G96" i="10"/>
  <c r="G106" i="10"/>
  <c r="G107" i="10" s="1"/>
  <c r="J107" i="10" s="1"/>
  <c r="J45" i="13" l="1"/>
  <c r="J82" i="15"/>
  <c r="G44" i="14"/>
  <c r="G45" i="14" s="1"/>
  <c r="J40" i="14"/>
  <c r="J41" i="14"/>
  <c r="J36" i="14"/>
  <c r="J35" i="14"/>
  <c r="J58" i="12"/>
  <c r="J98" i="11"/>
  <c r="J97" i="11"/>
  <c r="J66" i="11"/>
  <c r="J37" i="11"/>
  <c r="D140" i="11"/>
  <c r="G140" i="11" s="1"/>
  <c r="G142" i="11" s="1"/>
  <c r="G134" i="11"/>
  <c r="G136" i="11" s="1"/>
  <c r="J131" i="11"/>
  <c r="J130" i="11"/>
  <c r="E71" i="10"/>
  <c r="E70" i="10"/>
  <c r="C71" i="10"/>
  <c r="C70" i="10"/>
  <c r="B70" i="10"/>
  <c r="I72" i="10"/>
  <c r="D65" i="10"/>
  <c r="D71" i="10" s="1"/>
  <c r="D64" i="10"/>
  <c r="D70" i="10" s="1"/>
  <c r="E65" i="10"/>
  <c r="F65" i="10"/>
  <c r="F64" i="10"/>
  <c r="E64" i="10"/>
  <c r="B63" i="10"/>
  <c r="B59" i="10"/>
  <c r="I77" i="10"/>
  <c r="F81" i="10"/>
  <c r="D81" i="10"/>
  <c r="G76" i="10"/>
  <c r="D63" i="10"/>
  <c r="E62" i="10"/>
  <c r="F62" i="10"/>
  <c r="D42" i="10"/>
  <c r="C42" i="10"/>
  <c r="C41" i="10"/>
  <c r="E36" i="10"/>
  <c r="G36" i="10" s="1"/>
  <c r="N36" i="10" s="1"/>
  <c r="P35" i="10"/>
  <c r="D35" i="10"/>
  <c r="E35" i="10"/>
  <c r="E33" i="10"/>
  <c r="D33" i="10"/>
  <c r="G33" i="10" s="1"/>
  <c r="N33" i="10" s="1"/>
  <c r="C88" i="15" l="1"/>
  <c r="D55" i="14"/>
  <c r="G55" i="14" s="1"/>
  <c r="G49" i="14"/>
  <c r="J46" i="14"/>
  <c r="J45" i="14"/>
  <c r="J143" i="11"/>
  <c r="J142" i="11"/>
  <c r="J136" i="11"/>
  <c r="J137" i="11"/>
  <c r="G70" i="10"/>
  <c r="G65" i="10"/>
  <c r="G71" i="10"/>
  <c r="G64" i="10"/>
  <c r="G35" i="10"/>
  <c r="N35" i="10" s="1"/>
  <c r="G42" i="10"/>
  <c r="N42" i="10" s="1"/>
  <c r="D41" i="10"/>
  <c r="C84" i="15" l="1"/>
  <c r="J58" i="14"/>
  <c r="J57" i="14"/>
  <c r="J51" i="14"/>
  <c r="J52" i="14"/>
  <c r="J61" i="12"/>
  <c r="J154" i="11"/>
  <c r="G72" i="10"/>
  <c r="J72" i="10"/>
  <c r="J68" i="14" l="1"/>
  <c r="C70" i="14" s="1"/>
  <c r="C85" i="15"/>
  <c r="C86" i="15" s="1"/>
  <c r="C91" i="15"/>
  <c r="E90" i="15"/>
  <c r="E91" i="15" s="1"/>
  <c r="C63" i="12"/>
  <c r="C67" i="12"/>
  <c r="C156" i="11"/>
  <c r="C160" i="11"/>
  <c r="D30" i="10"/>
  <c r="D29" i="10"/>
  <c r="D28" i="10"/>
  <c r="D27" i="10"/>
  <c r="D59" i="10" s="1"/>
  <c r="D26" i="10"/>
  <c r="G26" i="10" s="1"/>
  <c r="N26" i="10" s="1"/>
  <c r="M32" i="10"/>
  <c r="D25" i="10"/>
  <c r="G34" i="10"/>
  <c r="N34" i="10" s="1"/>
  <c r="D32" i="10"/>
  <c r="G32" i="10" s="1"/>
  <c r="N32" i="10" s="1"/>
  <c r="D31" i="10"/>
  <c r="G31" i="10" s="1"/>
  <c r="N31" i="10" s="1"/>
  <c r="C74" i="14" l="1"/>
  <c r="C77" i="14" s="1"/>
  <c r="E76" i="14"/>
  <c r="E77" i="14" s="1"/>
  <c r="C71" i="14"/>
  <c r="C72" i="14" s="1"/>
  <c r="C64" i="12"/>
  <c r="C65" i="12" s="1"/>
  <c r="C70" i="12"/>
  <c r="E69" i="12"/>
  <c r="E70" i="12" s="1"/>
  <c r="C163" i="11"/>
  <c r="E162" i="11"/>
  <c r="E163" i="11" s="1"/>
  <c r="C157" i="11"/>
  <c r="C158" i="11" s="1"/>
  <c r="G29" i="10"/>
  <c r="N29" i="10" s="1"/>
  <c r="D61" i="10"/>
  <c r="G28" i="10"/>
  <c r="N28" i="10" s="1"/>
  <c r="D60" i="10"/>
  <c r="G60" i="10" s="1"/>
  <c r="G30" i="10"/>
  <c r="N30" i="10" s="1"/>
  <c r="D62" i="10"/>
  <c r="G62" i="10" s="1"/>
  <c r="I37" i="10"/>
  <c r="C165" i="10"/>
  <c r="C164" i="10"/>
  <c r="G152" i="10"/>
  <c r="J152" i="10" s="1"/>
  <c r="G150" i="10"/>
  <c r="J150" i="10" s="1"/>
  <c r="I147" i="10"/>
  <c r="C146" i="10"/>
  <c r="I142" i="10"/>
  <c r="C140" i="10"/>
  <c r="I136" i="10"/>
  <c r="C134" i="10"/>
  <c r="I130" i="10"/>
  <c r="C129" i="10"/>
  <c r="I125" i="10"/>
  <c r="I120" i="10"/>
  <c r="G111" i="10"/>
  <c r="I87" i="10"/>
  <c r="I82" i="10"/>
  <c r="G75" i="10"/>
  <c r="I103" i="10"/>
  <c r="M97" i="10"/>
  <c r="I97" i="10"/>
  <c r="G92" i="10"/>
  <c r="E91" i="10"/>
  <c r="I66" i="10"/>
  <c r="F63" i="10"/>
  <c r="E63" i="10"/>
  <c r="F61" i="10"/>
  <c r="E61" i="10"/>
  <c r="E27" i="10"/>
  <c r="G59" i="10"/>
  <c r="I55" i="10"/>
  <c r="E54" i="10"/>
  <c r="D54" i="10"/>
  <c r="I50" i="10"/>
  <c r="G49" i="10"/>
  <c r="I46" i="10"/>
  <c r="G45" i="10"/>
  <c r="G46" i="10" s="1"/>
  <c r="J47" i="10" s="1"/>
  <c r="I43" i="10"/>
  <c r="G41" i="10"/>
  <c r="G25" i="10"/>
  <c r="G20" i="10"/>
  <c r="G21" i="10" s="1"/>
  <c r="J21" i="10" s="1"/>
  <c r="J22" i="10" s="1"/>
  <c r="C15" i="10"/>
  <c r="I11" i="10"/>
  <c r="E10" i="10"/>
  <c r="D10" i="10"/>
  <c r="G10" i="10" l="1"/>
  <c r="G11" i="10" s="1"/>
  <c r="J12" i="10" s="1"/>
  <c r="G101" i="10"/>
  <c r="G43" i="10"/>
  <c r="N43" i="10" s="1"/>
  <c r="G77" i="10"/>
  <c r="J77" i="10" s="1"/>
  <c r="J50" i="10"/>
  <c r="G91" i="10"/>
  <c r="G97" i="10" s="1"/>
  <c r="G63" i="10"/>
  <c r="G61" i="10"/>
  <c r="C162" i="10"/>
  <c r="G112" i="10"/>
  <c r="G86" i="10"/>
  <c r="G87" i="10" s="1"/>
  <c r="J87" i="10" s="1"/>
  <c r="G119" i="10"/>
  <c r="G110" i="10"/>
  <c r="G81" i="10"/>
  <c r="G54" i="10"/>
  <c r="G114" i="10"/>
  <c r="N41" i="10"/>
  <c r="N25" i="10"/>
  <c r="J46" i="10"/>
  <c r="D15" i="10"/>
  <c r="G15" i="10" s="1"/>
  <c r="G16" i="10" s="1"/>
  <c r="G27" i="10"/>
  <c r="N27" i="10" s="1"/>
  <c r="D124" i="10"/>
  <c r="G50" i="10"/>
  <c r="J51" i="10" s="1"/>
  <c r="C130" i="9"/>
  <c r="C140" i="9"/>
  <c r="C135" i="9"/>
  <c r="C145" i="9"/>
  <c r="C155" i="9"/>
  <c r="G126" i="9"/>
  <c r="D125" i="9"/>
  <c r="G125" i="9" s="1"/>
  <c r="C118" i="9"/>
  <c r="F103" i="9"/>
  <c r="C101" i="9"/>
  <c r="E97" i="9"/>
  <c r="O141" i="9"/>
  <c r="I141" i="9"/>
  <c r="F75" i="9"/>
  <c r="M71" i="9"/>
  <c r="D69" i="9"/>
  <c r="G69" i="9" s="1"/>
  <c r="D67" i="9"/>
  <c r="D68" i="9"/>
  <c r="G68" i="9" s="1"/>
  <c r="F99" i="9"/>
  <c r="F102" i="9" s="1"/>
  <c r="I156" i="9"/>
  <c r="I151" i="9"/>
  <c r="I146" i="9"/>
  <c r="I136" i="9"/>
  <c r="I131" i="9"/>
  <c r="I126" i="9"/>
  <c r="I120" i="9"/>
  <c r="I114" i="9"/>
  <c r="C113" i="9"/>
  <c r="I109" i="9"/>
  <c r="I104" i="9"/>
  <c r="F100" i="9"/>
  <c r="E100" i="9"/>
  <c r="D99" i="9"/>
  <c r="D98" i="9"/>
  <c r="G98" i="9" s="1"/>
  <c r="F97" i="9"/>
  <c r="C174" i="9"/>
  <c r="C173" i="9"/>
  <c r="G161" i="9"/>
  <c r="J161" i="9" s="1"/>
  <c r="G159" i="9"/>
  <c r="J159" i="9" s="1"/>
  <c r="I93" i="9"/>
  <c r="F92" i="9"/>
  <c r="E92" i="9"/>
  <c r="I88" i="9"/>
  <c r="E87" i="9"/>
  <c r="D87" i="9"/>
  <c r="I84" i="9"/>
  <c r="M83" i="9"/>
  <c r="D83" i="9"/>
  <c r="C83" i="9"/>
  <c r="I80" i="9"/>
  <c r="F79" i="9"/>
  <c r="E79" i="9"/>
  <c r="I76" i="9"/>
  <c r="E75" i="9"/>
  <c r="I71" i="9"/>
  <c r="D70" i="9"/>
  <c r="G70" i="9" s="1"/>
  <c r="E67" i="9"/>
  <c r="I63" i="9"/>
  <c r="F62" i="9"/>
  <c r="E62" i="9"/>
  <c r="F61" i="9"/>
  <c r="E61" i="9"/>
  <c r="D61" i="9"/>
  <c r="D27" i="9" s="1"/>
  <c r="C61" i="9"/>
  <c r="C27" i="9" s="1"/>
  <c r="F60" i="9"/>
  <c r="E60" i="9"/>
  <c r="D60" i="9"/>
  <c r="D26" i="9" s="1"/>
  <c r="C60" i="9"/>
  <c r="I56" i="9"/>
  <c r="E55" i="9"/>
  <c r="D55" i="9"/>
  <c r="I51" i="9"/>
  <c r="G50" i="9"/>
  <c r="G51" i="9" s="1"/>
  <c r="J52" i="9" s="1"/>
  <c r="I47" i="9"/>
  <c r="G46" i="9"/>
  <c r="G47" i="9" s="1"/>
  <c r="J48" i="9" s="1"/>
  <c r="I43" i="9"/>
  <c r="C42" i="9"/>
  <c r="G42" i="9" s="1"/>
  <c r="G43" i="9" s="1"/>
  <c r="I38" i="9"/>
  <c r="G37" i="9"/>
  <c r="G38" i="9" s="1"/>
  <c r="J39" i="9" s="1"/>
  <c r="I34" i="9"/>
  <c r="D33" i="9"/>
  <c r="G33" i="9" s="1"/>
  <c r="G34" i="9" s="1"/>
  <c r="I29" i="9"/>
  <c r="C28" i="9"/>
  <c r="E25" i="9"/>
  <c r="D25" i="9"/>
  <c r="G20" i="9"/>
  <c r="G21" i="9" s="1"/>
  <c r="J21" i="9" s="1"/>
  <c r="J22" i="9" s="1"/>
  <c r="C15" i="9"/>
  <c r="I11" i="9"/>
  <c r="E10" i="9"/>
  <c r="D10" i="9"/>
  <c r="D15" i="9" s="1"/>
  <c r="G120" i="10" l="1"/>
  <c r="J121" i="10" s="1"/>
  <c r="G103" i="10"/>
  <c r="J103" i="10" s="1"/>
  <c r="J98" i="10"/>
  <c r="J11" i="10"/>
  <c r="G66" i="10"/>
  <c r="J43" i="10"/>
  <c r="G55" i="10"/>
  <c r="J56" i="10" s="1"/>
  <c r="J78" i="10"/>
  <c r="G82" i="10"/>
  <c r="J83" i="10" s="1"/>
  <c r="G37" i="10"/>
  <c r="J38" i="10" s="1"/>
  <c r="J88" i="10"/>
  <c r="J16" i="10"/>
  <c r="J17" i="10"/>
  <c r="J67" i="10"/>
  <c r="J66" i="10"/>
  <c r="G124" i="10"/>
  <c r="G125" i="10" s="1"/>
  <c r="D129" i="10"/>
  <c r="D134" i="10" s="1"/>
  <c r="D140" i="10" s="1"/>
  <c r="G83" i="9"/>
  <c r="G84" i="9" s="1"/>
  <c r="J84" i="9" s="1"/>
  <c r="G55" i="9"/>
  <c r="G56" i="9" s="1"/>
  <c r="J57" i="9" s="1"/>
  <c r="G99" i="9"/>
  <c r="G87" i="9"/>
  <c r="G88" i="9" s="1"/>
  <c r="G97" i="9"/>
  <c r="D103" i="9"/>
  <c r="G103" i="9" s="1"/>
  <c r="E26" i="9"/>
  <c r="G92" i="9"/>
  <c r="G93" i="9" s="1"/>
  <c r="J93" i="9" s="1"/>
  <c r="E27" i="9"/>
  <c r="G27" i="9" s="1"/>
  <c r="G67" i="9"/>
  <c r="G71" i="9" s="1"/>
  <c r="D102" i="9"/>
  <c r="J51" i="9"/>
  <c r="G75" i="9"/>
  <c r="G76" i="9" s="1"/>
  <c r="J76" i="9" s="1"/>
  <c r="G100" i="9"/>
  <c r="G79" i="9"/>
  <c r="G80" i="9" s="1"/>
  <c r="J80" i="9" s="1"/>
  <c r="G60" i="9"/>
  <c r="G25" i="9"/>
  <c r="J34" i="9"/>
  <c r="D62" i="9"/>
  <c r="D28" i="9" s="1"/>
  <c r="E28" i="9"/>
  <c r="C171" i="9"/>
  <c r="G15" i="9"/>
  <c r="G16" i="9" s="1"/>
  <c r="J17" i="9" s="1"/>
  <c r="G10" i="9"/>
  <c r="G11" i="9" s="1"/>
  <c r="J12" i="9" s="1"/>
  <c r="D101" i="9"/>
  <c r="G101" i="9" s="1"/>
  <c r="D108" i="9"/>
  <c r="J56" i="9"/>
  <c r="J44" i="9"/>
  <c r="J43" i="9"/>
  <c r="J89" i="9"/>
  <c r="J88" i="9"/>
  <c r="C26" i="9"/>
  <c r="J38" i="9"/>
  <c r="G61" i="9"/>
  <c r="J47" i="9"/>
  <c r="I93" i="8"/>
  <c r="C42" i="8"/>
  <c r="F92" i="8"/>
  <c r="E92" i="8"/>
  <c r="I88" i="8"/>
  <c r="C111" i="8"/>
  <c r="C110" i="8"/>
  <c r="C108" i="8" s="1"/>
  <c r="I84" i="8"/>
  <c r="D83" i="8"/>
  <c r="C83" i="8"/>
  <c r="J97" i="10" l="1"/>
  <c r="J82" i="10"/>
  <c r="J55" i="10"/>
  <c r="J120" i="10"/>
  <c r="J37" i="10"/>
  <c r="G129" i="10"/>
  <c r="G130" i="10" s="1"/>
  <c r="J126" i="10"/>
  <c r="J125" i="10"/>
  <c r="G102" i="9"/>
  <c r="G104" i="9" s="1"/>
  <c r="J105" i="9" s="1"/>
  <c r="D119" i="9"/>
  <c r="G119" i="9" s="1"/>
  <c r="J94" i="9"/>
  <c r="G26" i="9"/>
  <c r="G28" i="9"/>
  <c r="G62" i="9"/>
  <c r="G63" i="9" s="1"/>
  <c r="J11" i="9"/>
  <c r="J16" i="9"/>
  <c r="G108" i="9"/>
  <c r="G109" i="9" s="1"/>
  <c r="D113" i="9"/>
  <c r="J71" i="9"/>
  <c r="J72" i="9"/>
  <c r="I76" i="8"/>
  <c r="I80" i="8"/>
  <c r="F79" i="8"/>
  <c r="E79" i="8"/>
  <c r="I71" i="8"/>
  <c r="C28" i="8"/>
  <c r="D61" i="8"/>
  <c r="D27" i="8" s="1"/>
  <c r="D60" i="8"/>
  <c r="C61" i="8"/>
  <c r="C27" i="8" s="1"/>
  <c r="C60" i="8"/>
  <c r="C26" i="8" s="1"/>
  <c r="F62" i="8"/>
  <c r="E62" i="8"/>
  <c r="I63" i="8"/>
  <c r="E61" i="8"/>
  <c r="F61" i="8"/>
  <c r="F60" i="8"/>
  <c r="E60" i="8"/>
  <c r="I56" i="8"/>
  <c r="G50" i="8"/>
  <c r="G51" i="8" s="1"/>
  <c r="J52" i="8" s="1"/>
  <c r="I51" i="8"/>
  <c r="I47" i="8"/>
  <c r="I43" i="8"/>
  <c r="G42" i="8"/>
  <c r="G43" i="8" s="1"/>
  <c r="I38" i="8"/>
  <c r="I34" i="8"/>
  <c r="I29" i="8"/>
  <c r="G98" i="8"/>
  <c r="J98" i="8" s="1"/>
  <c r="G96" i="8"/>
  <c r="J96" i="8" s="1"/>
  <c r="J100" i="8" s="1"/>
  <c r="E87" i="8"/>
  <c r="D87" i="8"/>
  <c r="F75" i="8"/>
  <c r="E75" i="8"/>
  <c r="M83" i="8"/>
  <c r="G83" i="8"/>
  <c r="D70" i="8"/>
  <c r="G70" i="8" s="1"/>
  <c r="D69" i="8"/>
  <c r="G69" i="8" s="1"/>
  <c r="D68" i="8"/>
  <c r="G68" i="8" s="1"/>
  <c r="E67" i="8"/>
  <c r="D67" i="8"/>
  <c r="E55" i="8"/>
  <c r="D55" i="8"/>
  <c r="G46" i="8"/>
  <c r="G37" i="8"/>
  <c r="G38" i="8" s="1"/>
  <c r="J39" i="8" s="1"/>
  <c r="D33" i="8"/>
  <c r="G33" i="8" s="1"/>
  <c r="G34" i="8" s="1"/>
  <c r="E25" i="8"/>
  <c r="D25" i="8"/>
  <c r="G20" i="8"/>
  <c r="G21" i="8" s="1"/>
  <c r="J21" i="8" s="1"/>
  <c r="J22" i="8" s="1"/>
  <c r="C15" i="8"/>
  <c r="I11" i="8"/>
  <c r="E10" i="8"/>
  <c r="D10" i="8"/>
  <c r="G10" i="8" s="1"/>
  <c r="G11" i="8" s="1"/>
  <c r="J131" i="10" l="1"/>
  <c r="J130" i="10"/>
  <c r="G29" i="9"/>
  <c r="J29" i="9" s="1"/>
  <c r="J64" i="9"/>
  <c r="J63" i="9"/>
  <c r="J104" i="9"/>
  <c r="D118" i="9"/>
  <c r="G113" i="9"/>
  <c r="G114" i="9" s="1"/>
  <c r="J110" i="9"/>
  <c r="J109" i="9"/>
  <c r="G55" i="8"/>
  <c r="G56" i="8" s="1"/>
  <c r="J57" i="8" s="1"/>
  <c r="D62" i="8"/>
  <c r="D28" i="8" s="1"/>
  <c r="E27" i="8"/>
  <c r="G27" i="8" s="1"/>
  <c r="J51" i="8"/>
  <c r="E28" i="8"/>
  <c r="J34" i="8"/>
  <c r="G92" i="8"/>
  <c r="G93" i="8" s="1"/>
  <c r="G79" i="8"/>
  <c r="G80" i="8" s="1"/>
  <c r="E26" i="8"/>
  <c r="G25" i="8"/>
  <c r="G67" i="8"/>
  <c r="G75" i="8"/>
  <c r="G76" i="8" s="1"/>
  <c r="J76" i="8" s="1"/>
  <c r="D26" i="8"/>
  <c r="J44" i="8"/>
  <c r="J43" i="8"/>
  <c r="G84" i="8"/>
  <c r="J84" i="8" s="1"/>
  <c r="G87" i="8"/>
  <c r="G61" i="8"/>
  <c r="G60" i="8"/>
  <c r="J38" i="8"/>
  <c r="J47" i="8"/>
  <c r="G47" i="8"/>
  <c r="J48" i="8" s="1"/>
  <c r="J11" i="8"/>
  <c r="J12" i="8"/>
  <c r="D15" i="8"/>
  <c r="G15" i="8" s="1"/>
  <c r="G16" i="8" s="1"/>
  <c r="G134" i="10" l="1"/>
  <c r="G136" i="10" s="1"/>
  <c r="J30" i="9"/>
  <c r="J114" i="9"/>
  <c r="J115" i="9"/>
  <c r="D124" i="9"/>
  <c r="G118" i="9"/>
  <c r="G120" i="9" s="1"/>
  <c r="J93" i="8"/>
  <c r="J94" i="8"/>
  <c r="G88" i="8"/>
  <c r="J89" i="8" s="1"/>
  <c r="J56" i="8"/>
  <c r="J80" i="8"/>
  <c r="G62" i="8"/>
  <c r="G63" i="8" s="1"/>
  <c r="J64" i="8" s="1"/>
  <c r="G28" i="8"/>
  <c r="G26" i="8"/>
  <c r="G71" i="8"/>
  <c r="J71" i="8" s="1"/>
  <c r="J17" i="8"/>
  <c r="J16" i="8"/>
  <c r="J137" i="10" l="1"/>
  <c r="J136" i="10"/>
  <c r="G146" i="10"/>
  <c r="G147" i="10" s="1"/>
  <c r="J121" i="9"/>
  <c r="J120" i="9"/>
  <c r="D155" i="9"/>
  <c r="D130" i="9"/>
  <c r="G130" i="9" s="1"/>
  <c r="G131" i="9" s="1"/>
  <c r="G124" i="9"/>
  <c r="J88" i="8"/>
  <c r="G29" i="8"/>
  <c r="J30" i="8" s="1"/>
  <c r="J72" i="8"/>
  <c r="J63" i="8"/>
  <c r="J147" i="10" l="1"/>
  <c r="J148" i="10"/>
  <c r="J127" i="9"/>
  <c r="J126" i="9"/>
  <c r="J132" i="9"/>
  <c r="J131" i="9"/>
  <c r="D135" i="9"/>
  <c r="G155" i="9"/>
  <c r="G156" i="9" s="1"/>
  <c r="J29" i="8"/>
  <c r="D140" i="9" l="1"/>
  <c r="G135" i="9"/>
  <c r="G136" i="9" s="1"/>
  <c r="J157" i="9"/>
  <c r="J156" i="9"/>
  <c r="C102" i="8"/>
  <c r="C103" i="8" s="1"/>
  <c r="C104" i="8" s="1"/>
  <c r="C106" i="8"/>
  <c r="G140" i="10" l="1"/>
  <c r="G142" i="10" s="1"/>
  <c r="J137" i="9"/>
  <c r="J136" i="9"/>
  <c r="D145" i="9"/>
  <c r="G140" i="9"/>
  <c r="G141" i="9" s="1"/>
  <c r="C109" i="8"/>
  <c r="E108" i="8"/>
  <c r="E109" i="8" s="1"/>
  <c r="J143" i="10" l="1"/>
  <c r="J142" i="10"/>
  <c r="J142" i="9"/>
  <c r="J141" i="9"/>
  <c r="D150" i="9"/>
  <c r="G150" i="9" s="1"/>
  <c r="G151" i="9" s="1"/>
  <c r="G145" i="9"/>
  <c r="G146" i="9" s="1"/>
  <c r="G58" i="7"/>
  <c r="F56" i="7"/>
  <c r="E56" i="7"/>
  <c r="G57" i="7"/>
  <c r="F57" i="7"/>
  <c r="E57" i="7"/>
  <c r="C79" i="7"/>
  <c r="C78" i="7"/>
  <c r="C76" i="7" s="1"/>
  <c r="J70" i="7"/>
  <c r="G70" i="7"/>
  <c r="G68" i="7"/>
  <c r="J68" i="7" s="1"/>
  <c r="I58" i="7"/>
  <c r="I66" i="7"/>
  <c r="F65" i="7"/>
  <c r="E65" i="7"/>
  <c r="I62" i="7"/>
  <c r="E61" i="7"/>
  <c r="D61" i="7"/>
  <c r="G61" i="7" s="1"/>
  <c r="G62" i="7" s="1"/>
  <c r="J62" i="7" s="1"/>
  <c r="I53" i="7"/>
  <c r="D52" i="7"/>
  <c r="G52" i="7" s="1"/>
  <c r="B52" i="7"/>
  <c r="M51" i="7"/>
  <c r="D51" i="7"/>
  <c r="G51" i="7" s="1"/>
  <c r="D47" i="7"/>
  <c r="G47" i="7" s="1"/>
  <c r="D46" i="7"/>
  <c r="G46" i="7" s="1"/>
  <c r="D45" i="7"/>
  <c r="G45" i="7" s="1"/>
  <c r="E44" i="7"/>
  <c r="G44" i="7" s="1"/>
  <c r="G48" i="7" s="1"/>
  <c r="J48" i="7" s="1"/>
  <c r="D44" i="7"/>
  <c r="E40" i="7"/>
  <c r="G40" i="7" s="1"/>
  <c r="G41" i="7" s="1"/>
  <c r="J41" i="7" s="1"/>
  <c r="D40" i="7"/>
  <c r="I37" i="7"/>
  <c r="C36" i="7"/>
  <c r="G36" i="7" s="1"/>
  <c r="I34" i="7"/>
  <c r="G33" i="7"/>
  <c r="G34" i="7" s="1"/>
  <c r="I30" i="7"/>
  <c r="D29" i="7"/>
  <c r="G29" i="7" s="1"/>
  <c r="G30" i="7" s="1"/>
  <c r="G25" i="7"/>
  <c r="G26" i="7" s="1"/>
  <c r="J26" i="7" s="1"/>
  <c r="E25" i="7"/>
  <c r="D25" i="7"/>
  <c r="G20" i="7"/>
  <c r="G21" i="7" s="1"/>
  <c r="J21" i="7" s="1"/>
  <c r="J22" i="7" s="1"/>
  <c r="C15" i="7"/>
  <c r="I11" i="7"/>
  <c r="E10" i="7"/>
  <c r="D10" i="7"/>
  <c r="J71" i="6"/>
  <c r="J154" i="10" l="1"/>
  <c r="C156" i="10" s="1"/>
  <c r="J147" i="9"/>
  <c r="J146" i="9"/>
  <c r="J152" i="9"/>
  <c r="J151" i="9"/>
  <c r="J163" i="9"/>
  <c r="G10" i="7"/>
  <c r="G11" i="7" s="1"/>
  <c r="J11" i="7" s="1"/>
  <c r="J30" i="7"/>
  <c r="G65" i="7"/>
  <c r="G66" i="7" s="1"/>
  <c r="J66" i="7" s="1"/>
  <c r="J34" i="7"/>
  <c r="G56" i="7"/>
  <c r="J58" i="7" s="1"/>
  <c r="J37" i="7"/>
  <c r="G37" i="7"/>
  <c r="G15" i="7"/>
  <c r="G16" i="7" s="1"/>
  <c r="J12" i="7"/>
  <c r="G53" i="7"/>
  <c r="J53" i="7" s="1"/>
  <c r="D15" i="7"/>
  <c r="D44" i="6"/>
  <c r="D46" i="6"/>
  <c r="D52" i="6"/>
  <c r="G52" i="6" s="1"/>
  <c r="D45" i="6"/>
  <c r="M51" i="6"/>
  <c r="E44" i="6"/>
  <c r="C160" i="10" l="1"/>
  <c r="C163" i="10" s="1"/>
  <c r="C157" i="10"/>
  <c r="C158" i="10" s="1"/>
  <c r="C169" i="9"/>
  <c r="C165" i="9"/>
  <c r="J72" i="7"/>
  <c r="C74" i="7" s="1"/>
  <c r="C80" i="7" s="1"/>
  <c r="C81" i="7" s="1"/>
  <c r="J17" i="7"/>
  <c r="J16" i="7"/>
  <c r="I65" i="6"/>
  <c r="F64" i="6"/>
  <c r="E64" i="6"/>
  <c r="G64" i="6" s="1"/>
  <c r="G65" i="6" s="1"/>
  <c r="I61" i="6"/>
  <c r="F60" i="6"/>
  <c r="E60" i="6"/>
  <c r="I57" i="6"/>
  <c r="E56" i="6"/>
  <c r="D56" i="6"/>
  <c r="I53" i="6"/>
  <c r="B52" i="6"/>
  <c r="D51" i="6"/>
  <c r="G51" i="6" s="1"/>
  <c r="I48" i="6"/>
  <c r="D47" i="6"/>
  <c r="G47" i="6" s="1"/>
  <c r="G46" i="6"/>
  <c r="G44" i="6"/>
  <c r="E162" i="10" l="1"/>
  <c r="E163" i="10" s="1"/>
  <c r="C166" i="9"/>
  <c r="C167" i="9" s="1"/>
  <c r="C172" i="9"/>
  <c r="E171" i="9"/>
  <c r="E172" i="9" s="1"/>
  <c r="E76" i="7"/>
  <c r="E77" i="7" s="1"/>
  <c r="C77" i="7"/>
  <c r="J65" i="6"/>
  <c r="G53" i="6"/>
  <c r="G56" i="6"/>
  <c r="G60" i="6"/>
  <c r="G61" i="6" s="1"/>
  <c r="J61" i="6" s="1"/>
  <c r="G45" i="6"/>
  <c r="G48" i="6" s="1"/>
  <c r="J48" i="6" s="1"/>
  <c r="E40" i="6"/>
  <c r="D40" i="6"/>
  <c r="G57" i="6" l="1"/>
  <c r="J57" i="6" s="1"/>
  <c r="J53" i="6"/>
  <c r="G40" i="6"/>
  <c r="G41" i="6" s="1"/>
  <c r="J41" i="6" s="1"/>
  <c r="C78" i="6"/>
  <c r="C77" i="6"/>
  <c r="G69" i="6"/>
  <c r="J69" i="6" s="1"/>
  <c r="G67" i="6"/>
  <c r="J67" i="6" s="1"/>
  <c r="I37" i="6"/>
  <c r="C36" i="6"/>
  <c r="G36" i="6" s="1"/>
  <c r="I34" i="6"/>
  <c r="G33" i="6"/>
  <c r="G34" i="6" s="1"/>
  <c r="I30" i="6"/>
  <c r="D29" i="6"/>
  <c r="G29" i="6" s="1"/>
  <c r="G30" i="6" s="1"/>
  <c r="E25" i="6"/>
  <c r="D25" i="6"/>
  <c r="G20" i="6"/>
  <c r="G21" i="6" s="1"/>
  <c r="J21" i="6" s="1"/>
  <c r="J22" i="6" s="1"/>
  <c r="C15" i="6"/>
  <c r="I11" i="6"/>
  <c r="E10" i="6"/>
  <c r="D10" i="6"/>
  <c r="D15" i="6" s="1"/>
  <c r="J34" i="6" l="1"/>
  <c r="C75" i="6"/>
  <c r="J30" i="6"/>
  <c r="G25" i="6"/>
  <c r="G26" i="6" s="1"/>
  <c r="J26" i="6" s="1"/>
  <c r="G10" i="6"/>
  <c r="G11" i="6" s="1"/>
  <c r="J11" i="6" s="1"/>
  <c r="G37" i="6"/>
  <c r="J37" i="6"/>
  <c r="G15" i="6"/>
  <c r="G16" i="6" s="1"/>
  <c r="I30" i="5"/>
  <c r="C50" i="5"/>
  <c r="C49" i="5"/>
  <c r="C47" i="5" s="1"/>
  <c r="G41" i="5"/>
  <c r="J41" i="5" s="1"/>
  <c r="G39" i="5"/>
  <c r="J39" i="5" s="1"/>
  <c r="I37" i="5"/>
  <c r="C36" i="5"/>
  <c r="G36" i="5" s="1"/>
  <c r="G37" i="5" s="1"/>
  <c r="I34" i="5"/>
  <c r="G33" i="5"/>
  <c r="G34" i="5" s="1"/>
  <c r="J34" i="5" s="1"/>
  <c r="D29" i="5"/>
  <c r="G29" i="5" s="1"/>
  <c r="G30" i="5" s="1"/>
  <c r="E25" i="5"/>
  <c r="D25" i="5"/>
  <c r="G25" i="5" s="1"/>
  <c r="G26" i="5" s="1"/>
  <c r="J26" i="5" s="1"/>
  <c r="G20" i="5"/>
  <c r="G21" i="5" s="1"/>
  <c r="J21" i="5" s="1"/>
  <c r="J22" i="5" s="1"/>
  <c r="C15" i="5"/>
  <c r="I11" i="5"/>
  <c r="E10" i="5"/>
  <c r="D10" i="5"/>
  <c r="G10" i="5" s="1"/>
  <c r="G11" i="5" s="1"/>
  <c r="J12" i="6" l="1"/>
  <c r="J30" i="5"/>
  <c r="J16" i="6"/>
  <c r="J17" i="6"/>
  <c r="J12" i="5"/>
  <c r="J11" i="5"/>
  <c r="D15" i="5"/>
  <c r="G15" i="5" s="1"/>
  <c r="G16" i="5" s="1"/>
  <c r="J37" i="5"/>
  <c r="C73" i="6" l="1"/>
  <c r="E75" i="6" s="1"/>
  <c r="E76" i="6" s="1"/>
  <c r="J17" i="5"/>
  <c r="J16" i="5"/>
  <c r="I231" i="4"/>
  <c r="I228" i="4"/>
  <c r="I224" i="4"/>
  <c r="I220" i="4"/>
  <c r="I216" i="4"/>
  <c r="I197" i="4"/>
  <c r="I193" i="4"/>
  <c r="I189" i="4"/>
  <c r="I184" i="4"/>
  <c r="I177" i="4"/>
  <c r="I168" i="4"/>
  <c r="I159" i="4"/>
  <c r="I141" i="4"/>
  <c r="I136" i="4"/>
  <c r="I131" i="4"/>
  <c r="I126" i="4"/>
  <c r="I121" i="4"/>
  <c r="I116" i="4"/>
  <c r="I111" i="4"/>
  <c r="I106" i="4"/>
  <c r="I101" i="4"/>
  <c r="I94" i="4"/>
  <c r="I87" i="4"/>
  <c r="I82" i="4"/>
  <c r="I77" i="4"/>
  <c r="I54" i="4"/>
  <c r="I49" i="4"/>
  <c r="I44" i="4"/>
  <c r="I39" i="4"/>
  <c r="I31" i="4"/>
  <c r="I27" i="4"/>
  <c r="I23" i="4"/>
  <c r="I19" i="4"/>
  <c r="I14" i="4"/>
  <c r="C244" i="4"/>
  <c r="C243" i="4"/>
  <c r="G235" i="4"/>
  <c r="J235" i="4" s="1"/>
  <c r="G233" i="4"/>
  <c r="J233" i="4" s="1"/>
  <c r="C230" i="4"/>
  <c r="G230" i="4" s="1"/>
  <c r="G227" i="4"/>
  <c r="G228" i="4" s="1"/>
  <c r="G223" i="4"/>
  <c r="G224" i="4" s="1"/>
  <c r="D219" i="4"/>
  <c r="G219" i="4" s="1"/>
  <c r="G220" i="4" s="1"/>
  <c r="J220" i="4" s="1"/>
  <c r="E215" i="4"/>
  <c r="D215" i="4"/>
  <c r="G210" i="4"/>
  <c r="G211" i="4" s="1"/>
  <c r="J211" i="4" s="1"/>
  <c r="J212" i="4" s="1"/>
  <c r="C205" i="4"/>
  <c r="I201" i="4"/>
  <c r="E200" i="4"/>
  <c r="D200" i="4"/>
  <c r="G200" i="4" s="1"/>
  <c r="G201" i="4" s="1"/>
  <c r="F196" i="4"/>
  <c r="E196" i="4"/>
  <c r="F192" i="4"/>
  <c r="E192" i="4"/>
  <c r="F188" i="4"/>
  <c r="E188" i="4"/>
  <c r="C188" i="4"/>
  <c r="E187" i="4"/>
  <c r="D187" i="4"/>
  <c r="E183" i="4"/>
  <c r="C183" i="4"/>
  <c r="D182" i="4"/>
  <c r="G182" i="4" s="1"/>
  <c r="D181" i="4"/>
  <c r="B181" i="4"/>
  <c r="D180" i="4"/>
  <c r="G180" i="4" s="1"/>
  <c r="D176" i="4"/>
  <c r="D183" i="4" s="1"/>
  <c r="C176" i="4"/>
  <c r="D175" i="4"/>
  <c r="G175" i="4" s="1"/>
  <c r="D174" i="4"/>
  <c r="G174" i="4" s="1"/>
  <c r="D173" i="4"/>
  <c r="G173" i="4" s="1"/>
  <c r="D172" i="4"/>
  <c r="F181" i="4" s="1"/>
  <c r="D171" i="4"/>
  <c r="G171" i="4" s="1"/>
  <c r="G167" i="4"/>
  <c r="G168" i="4" s="1"/>
  <c r="I163" i="4"/>
  <c r="B162" i="4"/>
  <c r="D158" i="4"/>
  <c r="G158" i="4" s="1"/>
  <c r="G159" i="4" s="1"/>
  <c r="F157" i="4"/>
  <c r="E157" i="4"/>
  <c r="D157" i="4"/>
  <c r="C157" i="4"/>
  <c r="F156" i="4"/>
  <c r="E156" i="4"/>
  <c r="D156" i="4"/>
  <c r="C156" i="4"/>
  <c r="F155" i="4"/>
  <c r="E155" i="4"/>
  <c r="D155" i="4"/>
  <c r="C155" i="4"/>
  <c r="I151" i="4"/>
  <c r="F150" i="4"/>
  <c r="E150" i="4"/>
  <c r="D150" i="4"/>
  <c r="C150" i="4"/>
  <c r="F149" i="4"/>
  <c r="E149" i="4"/>
  <c r="D149" i="4"/>
  <c r="C149" i="4"/>
  <c r="F148" i="4"/>
  <c r="E148" i="4"/>
  <c r="D148" i="4"/>
  <c r="C148" i="4"/>
  <c r="F147" i="4"/>
  <c r="E147" i="4"/>
  <c r="D147" i="4"/>
  <c r="C147" i="4"/>
  <c r="F146" i="4"/>
  <c r="E146" i="4"/>
  <c r="D146" i="4"/>
  <c r="C146" i="4"/>
  <c r="F145" i="4"/>
  <c r="E145" i="4"/>
  <c r="D145" i="4"/>
  <c r="C145" i="4"/>
  <c r="F144" i="4"/>
  <c r="E144" i="4"/>
  <c r="D144" i="4"/>
  <c r="C144" i="4"/>
  <c r="G140" i="4"/>
  <c r="D139" i="4"/>
  <c r="G139" i="4" s="1"/>
  <c r="E135" i="4"/>
  <c r="C135" i="4"/>
  <c r="D134" i="4"/>
  <c r="C134" i="4"/>
  <c r="D130" i="4"/>
  <c r="C130" i="4"/>
  <c r="C129" i="4"/>
  <c r="D125" i="4"/>
  <c r="C125" i="4"/>
  <c r="C124" i="4"/>
  <c r="D120" i="4"/>
  <c r="C120" i="4"/>
  <c r="G120" i="4" s="1"/>
  <c r="C119" i="4"/>
  <c r="D115" i="4"/>
  <c r="C115" i="4"/>
  <c r="G115" i="4" s="1"/>
  <c r="C114" i="4"/>
  <c r="D110" i="4"/>
  <c r="C110" i="4"/>
  <c r="G110" i="4" s="1"/>
  <c r="C109" i="4"/>
  <c r="D105" i="4"/>
  <c r="C105" i="4"/>
  <c r="C104" i="4"/>
  <c r="D100" i="4"/>
  <c r="C100" i="4"/>
  <c r="D99" i="4"/>
  <c r="G99" i="4" s="1"/>
  <c r="D98" i="4"/>
  <c r="G98" i="4" s="1"/>
  <c r="D93" i="4"/>
  <c r="C93" i="4"/>
  <c r="D92" i="4"/>
  <c r="G92" i="4" s="1"/>
  <c r="D91" i="4"/>
  <c r="G91" i="4" s="1"/>
  <c r="C90" i="4"/>
  <c r="D86" i="4"/>
  <c r="G86" i="4" s="1"/>
  <c r="C85" i="4"/>
  <c r="D81" i="4"/>
  <c r="G81" i="4" s="1"/>
  <c r="C80" i="4"/>
  <c r="F76" i="4"/>
  <c r="D76" i="4"/>
  <c r="F75" i="4"/>
  <c r="D75" i="4"/>
  <c r="C75" i="4"/>
  <c r="F74" i="4"/>
  <c r="D74" i="4"/>
  <c r="C74" i="4"/>
  <c r="F73" i="4"/>
  <c r="E73" i="4"/>
  <c r="G72" i="4"/>
  <c r="C70" i="4"/>
  <c r="D69" i="4"/>
  <c r="C69" i="4"/>
  <c r="F68" i="4"/>
  <c r="D68" i="4"/>
  <c r="F67" i="4"/>
  <c r="F66" i="4"/>
  <c r="D66" i="4"/>
  <c r="D67" i="4" s="1"/>
  <c r="E65" i="4"/>
  <c r="D65" i="4"/>
  <c r="C65" i="4"/>
  <c r="F64" i="4"/>
  <c r="D64" i="4"/>
  <c r="F63" i="4"/>
  <c r="D63" i="4"/>
  <c r="F62" i="4"/>
  <c r="F61" i="4"/>
  <c r="F60" i="4"/>
  <c r="E60" i="4"/>
  <c r="F59" i="4"/>
  <c r="D59" i="4"/>
  <c r="F58" i="4"/>
  <c r="D58" i="4"/>
  <c r="F57" i="4"/>
  <c r="E57" i="4"/>
  <c r="F53" i="4"/>
  <c r="E53" i="4"/>
  <c r="D53" i="4"/>
  <c r="F52" i="4"/>
  <c r="E52" i="4"/>
  <c r="D52" i="4"/>
  <c r="D48" i="4"/>
  <c r="G48" i="4" s="1"/>
  <c r="E47" i="4"/>
  <c r="D47" i="4"/>
  <c r="N46" i="4"/>
  <c r="E43" i="4"/>
  <c r="E162" i="4" s="1"/>
  <c r="D43" i="4"/>
  <c r="D162" i="4" s="1"/>
  <c r="C43" i="4"/>
  <c r="F42" i="4"/>
  <c r="G42" i="4" s="1"/>
  <c r="E38" i="4"/>
  <c r="D38" i="4"/>
  <c r="C37" i="4" s="1"/>
  <c r="E37" i="4"/>
  <c r="D37" i="4"/>
  <c r="C38" i="4" s="1"/>
  <c r="E36" i="4"/>
  <c r="D36" i="4"/>
  <c r="C36" i="4"/>
  <c r="E35" i="4"/>
  <c r="D35" i="4"/>
  <c r="C35" i="4"/>
  <c r="E34" i="4"/>
  <c r="D34" i="4"/>
  <c r="C34" i="4"/>
  <c r="F34" i="4" s="1"/>
  <c r="G34" i="4" s="1"/>
  <c r="E26" i="4"/>
  <c r="E30" i="4" s="1"/>
  <c r="C26" i="4"/>
  <c r="C30" i="4" s="1"/>
  <c r="D22" i="4"/>
  <c r="G22" i="4" s="1"/>
  <c r="G23" i="4" s="1"/>
  <c r="F18" i="4"/>
  <c r="E18" i="4"/>
  <c r="D18" i="4"/>
  <c r="F17" i="4"/>
  <c r="E17" i="4"/>
  <c r="D17" i="4"/>
  <c r="G17" i="4" s="1"/>
  <c r="F13" i="4"/>
  <c r="E13" i="4"/>
  <c r="F12" i="4"/>
  <c r="D12" i="4"/>
  <c r="D11" i="4"/>
  <c r="G11" i="4" s="1"/>
  <c r="F10" i="4"/>
  <c r="E10" i="4"/>
  <c r="G10" i="4" s="1"/>
  <c r="I221" i="3"/>
  <c r="I211" i="3"/>
  <c r="I206" i="3"/>
  <c r="I178" i="3"/>
  <c r="I159" i="3"/>
  <c r="I153" i="3"/>
  <c r="I147" i="3"/>
  <c r="I141" i="3"/>
  <c r="I129" i="3"/>
  <c r="I135" i="3"/>
  <c r="I123" i="3"/>
  <c r="I117" i="3"/>
  <c r="I111" i="3"/>
  <c r="I103" i="3"/>
  <c r="I95" i="3"/>
  <c r="I89" i="3"/>
  <c r="I83" i="3"/>
  <c r="C76" i="6" l="1"/>
  <c r="C79" i="6"/>
  <c r="C80" i="6" s="1"/>
  <c r="G60" i="4"/>
  <c r="G125" i="4"/>
  <c r="G57" i="4"/>
  <c r="G183" i="4"/>
  <c r="D205" i="4"/>
  <c r="G58" i="4"/>
  <c r="G73" i="4"/>
  <c r="G105" i="4"/>
  <c r="G196" i="4"/>
  <c r="G197" i="4" s="1"/>
  <c r="C241" i="4"/>
  <c r="G130" i="4"/>
  <c r="G144" i="4"/>
  <c r="G146" i="4"/>
  <c r="G148" i="4"/>
  <c r="G188" i="4"/>
  <c r="G64" i="4"/>
  <c r="G68" i="4"/>
  <c r="G134" i="4"/>
  <c r="G176" i="4"/>
  <c r="G150" i="4"/>
  <c r="G18" i="4"/>
  <c r="G149" i="4"/>
  <c r="G156" i="4"/>
  <c r="G187" i="4"/>
  <c r="G69" i="4"/>
  <c r="G147" i="4"/>
  <c r="G151" i="4" s="1"/>
  <c r="F38" i="4"/>
  <c r="G38" i="4" s="1"/>
  <c r="G47" i="4"/>
  <c r="G141" i="4"/>
  <c r="G181" i="4"/>
  <c r="J231" i="4"/>
  <c r="G231" i="4"/>
  <c r="F37" i="4"/>
  <c r="G37" i="4" s="1"/>
  <c r="D80" i="4"/>
  <c r="G80" i="4" s="1"/>
  <c r="G82" i="4" s="1"/>
  <c r="G76" i="4"/>
  <c r="G145" i="4"/>
  <c r="G155" i="4"/>
  <c r="G157" i="4"/>
  <c r="G192" i="4"/>
  <c r="G193" i="4" s="1"/>
  <c r="J193" i="4" s="1"/>
  <c r="G205" i="4"/>
  <c r="G206" i="4" s="1"/>
  <c r="J207" i="4" s="1"/>
  <c r="F35" i="4"/>
  <c r="G35" i="4" s="1"/>
  <c r="G53" i="4"/>
  <c r="D61" i="4"/>
  <c r="D62" i="4" s="1"/>
  <c r="G62" i="4" s="1"/>
  <c r="G74" i="4"/>
  <c r="G93" i="4"/>
  <c r="J197" i="4"/>
  <c r="G59" i="4"/>
  <c r="G12" i="4"/>
  <c r="F36" i="4"/>
  <c r="G36" i="4" s="1"/>
  <c r="G43" i="4"/>
  <c r="G44" i="4" s="1"/>
  <c r="G52" i="4"/>
  <c r="G65" i="4"/>
  <c r="G19" i="4"/>
  <c r="J19" i="4" s="1"/>
  <c r="G49" i="4"/>
  <c r="D26" i="4"/>
  <c r="D30" i="4" s="1"/>
  <c r="G30" i="4" s="1"/>
  <c r="G31" i="4" s="1"/>
  <c r="G67" i="4"/>
  <c r="D71" i="4"/>
  <c r="G71" i="4" s="1"/>
  <c r="G75" i="4"/>
  <c r="G13" i="4"/>
  <c r="G63" i="4"/>
  <c r="G100" i="4"/>
  <c r="G135" i="4"/>
  <c r="G215" i="4"/>
  <c r="G216" i="4" s="1"/>
  <c r="J216" i="4" s="1"/>
  <c r="J168" i="4"/>
  <c r="J23" i="4"/>
  <c r="G184" i="4"/>
  <c r="J184" i="4" s="1"/>
  <c r="J141" i="4"/>
  <c r="J224" i="4"/>
  <c r="J206" i="4"/>
  <c r="J228" i="4"/>
  <c r="J202" i="4"/>
  <c r="J201" i="4"/>
  <c r="J49" i="4"/>
  <c r="G136" i="4"/>
  <c r="G61" i="4"/>
  <c r="G66" i="4"/>
  <c r="J159" i="4"/>
  <c r="C162" i="4"/>
  <c r="G162" i="4" s="1"/>
  <c r="G163" i="4" s="1"/>
  <c r="G172" i="4"/>
  <c r="E70" i="4"/>
  <c r="G70" i="4" s="1"/>
  <c r="G39" i="4" l="1"/>
  <c r="J39" i="4" s="1"/>
  <c r="G26" i="4"/>
  <c r="G27" i="4" s="1"/>
  <c r="J27" i="4" s="1"/>
  <c r="G14" i="4"/>
  <c r="J14" i="4" s="1"/>
  <c r="G189" i="4"/>
  <c r="J189" i="4" s="1"/>
  <c r="G177" i="4"/>
  <c r="G77" i="4"/>
  <c r="G54" i="4"/>
  <c r="J54" i="4" s="1"/>
  <c r="J44" i="4"/>
  <c r="D85" i="4"/>
  <c r="D90" i="4" s="1"/>
  <c r="J77" i="4"/>
  <c r="J177" i="4"/>
  <c r="J31" i="4"/>
  <c r="J82" i="4"/>
  <c r="J136" i="4"/>
  <c r="J164" i="4"/>
  <c r="J163" i="4"/>
  <c r="J152" i="4"/>
  <c r="J151" i="4"/>
  <c r="G85" i="4" l="1"/>
  <c r="G87" i="4" s="1"/>
  <c r="J87" i="4"/>
  <c r="D97" i="4"/>
  <c r="G90" i="4"/>
  <c r="G94" i="4" s="1"/>
  <c r="J43" i="5" l="1"/>
  <c r="C45" i="5" s="1"/>
  <c r="J94" i="4"/>
  <c r="G97" i="4"/>
  <c r="G101" i="4" s="1"/>
  <c r="D129" i="4"/>
  <c r="D104" i="4"/>
  <c r="G104" i="4" s="1"/>
  <c r="G106" i="4" s="1"/>
  <c r="C51" i="5" l="1"/>
  <c r="C52" i="5" s="1"/>
  <c r="C48" i="5"/>
  <c r="E47" i="5"/>
  <c r="E48" i="5" s="1"/>
  <c r="J106" i="4"/>
  <c r="G129" i="4"/>
  <c r="G131" i="4" s="1"/>
  <c r="D109" i="4"/>
  <c r="J101" i="4"/>
  <c r="G109" i="4" l="1"/>
  <c r="G111" i="4" s="1"/>
  <c r="D114" i="4"/>
  <c r="J131" i="4"/>
  <c r="J111" i="4" l="1"/>
  <c r="D119" i="4"/>
  <c r="G114" i="4"/>
  <c r="G116" i="4" s="1"/>
  <c r="J116" i="4" l="1"/>
  <c r="D124" i="4"/>
  <c r="G124" i="4" s="1"/>
  <c r="G126" i="4" s="1"/>
  <c r="G119" i="4"/>
  <c r="G121" i="4" s="1"/>
  <c r="J121" i="4" l="1"/>
  <c r="J126" i="4"/>
  <c r="J237" i="4"/>
  <c r="C239" i="4" s="1"/>
  <c r="C245" i="4" l="1"/>
  <c r="C246" i="4"/>
  <c r="C242" i="4"/>
  <c r="E241" i="4"/>
  <c r="E242" i="4" s="1"/>
  <c r="I254" i="3" l="1"/>
  <c r="G253" i="3"/>
  <c r="G254" i="3" s="1"/>
  <c r="J255" i="3" s="1"/>
  <c r="I249" i="3"/>
  <c r="G248" i="3"/>
  <c r="G249" i="3" s="1"/>
  <c r="J249" i="3" s="1"/>
  <c r="D239" i="3"/>
  <c r="D244" i="3"/>
  <c r="G244" i="3" s="1"/>
  <c r="G245" i="3" s="1"/>
  <c r="I258" i="3"/>
  <c r="I240" i="3"/>
  <c r="E239" i="3"/>
  <c r="G239" i="3"/>
  <c r="G240" i="3" s="1"/>
  <c r="J241" i="3" s="1"/>
  <c r="J250" i="3" l="1"/>
  <c r="J254" i="3"/>
  <c r="J245" i="3"/>
  <c r="J240" i="3"/>
  <c r="D177" i="3"/>
  <c r="G177" i="3" s="1"/>
  <c r="G178" i="3" s="1"/>
  <c r="J179" i="3" s="1"/>
  <c r="E224" i="3" l="1"/>
  <c r="D224" i="3"/>
  <c r="C210" i="3"/>
  <c r="C205" i="3"/>
  <c r="C197" i="3"/>
  <c r="D46" i="3"/>
  <c r="D81" i="3"/>
  <c r="D80" i="3"/>
  <c r="C46" i="3"/>
  <c r="D39" i="3"/>
  <c r="C40" i="3" s="1"/>
  <c r="D40" i="3"/>
  <c r="C39" i="3" s="1"/>
  <c r="I14" i="3"/>
  <c r="C272" i="3" l="1"/>
  <c r="C271" i="3"/>
  <c r="G263" i="3"/>
  <c r="J263" i="3" s="1"/>
  <c r="G261" i="3"/>
  <c r="J261" i="3" s="1"/>
  <c r="C257" i="3"/>
  <c r="G257" i="3" s="1"/>
  <c r="J258" i="3" s="1"/>
  <c r="G234" i="3"/>
  <c r="C229" i="3"/>
  <c r="I225" i="3"/>
  <c r="D229" i="3"/>
  <c r="F220" i="3"/>
  <c r="E220" i="3"/>
  <c r="F215" i="3"/>
  <c r="E215" i="3"/>
  <c r="G215" i="3" s="1"/>
  <c r="G216" i="3" s="1"/>
  <c r="J217" i="3" s="1"/>
  <c r="F210" i="3"/>
  <c r="E210" i="3"/>
  <c r="E209" i="3"/>
  <c r="D209" i="3"/>
  <c r="E205" i="3"/>
  <c r="D204" i="3"/>
  <c r="G204" i="3" s="1"/>
  <c r="D203" i="3"/>
  <c r="B203" i="3"/>
  <c r="D202" i="3"/>
  <c r="G202" i="3" s="1"/>
  <c r="D197" i="3"/>
  <c r="D205" i="3" s="1"/>
  <c r="D196" i="3"/>
  <c r="G196" i="3" s="1"/>
  <c r="D195" i="3"/>
  <c r="G195" i="3" s="1"/>
  <c r="D194" i="3"/>
  <c r="G194" i="3" s="1"/>
  <c r="D193" i="3"/>
  <c r="F203" i="3" s="1"/>
  <c r="D192" i="3"/>
  <c r="G192" i="3" s="1"/>
  <c r="I188" i="3"/>
  <c r="G187" i="3"/>
  <c r="G188" i="3" s="1"/>
  <c r="I183" i="3"/>
  <c r="B182" i="3"/>
  <c r="F176" i="3"/>
  <c r="E176" i="3"/>
  <c r="D176" i="3"/>
  <c r="C176" i="3"/>
  <c r="F175" i="3"/>
  <c r="E175" i="3"/>
  <c r="D175" i="3"/>
  <c r="C175" i="3"/>
  <c r="F174" i="3"/>
  <c r="E174" i="3"/>
  <c r="D174" i="3"/>
  <c r="C174" i="3"/>
  <c r="I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G158" i="3"/>
  <c r="D157" i="3"/>
  <c r="G157" i="3" s="1"/>
  <c r="E152" i="3"/>
  <c r="C152" i="3"/>
  <c r="D151" i="3"/>
  <c r="C151" i="3"/>
  <c r="G151" i="3" s="1"/>
  <c r="D146" i="3"/>
  <c r="C146" i="3"/>
  <c r="C145" i="3"/>
  <c r="D140" i="3"/>
  <c r="C140" i="3"/>
  <c r="C139" i="3"/>
  <c r="D134" i="3"/>
  <c r="C134" i="3"/>
  <c r="C133" i="3"/>
  <c r="D128" i="3"/>
  <c r="C128" i="3"/>
  <c r="C127" i="3"/>
  <c r="D122" i="3"/>
  <c r="C122" i="3"/>
  <c r="C121" i="3"/>
  <c r="D116" i="3"/>
  <c r="C116" i="3"/>
  <c r="C115" i="3"/>
  <c r="D110" i="3"/>
  <c r="C110" i="3"/>
  <c r="D109" i="3"/>
  <c r="G109" i="3" s="1"/>
  <c r="D108" i="3"/>
  <c r="G108" i="3" s="1"/>
  <c r="D102" i="3"/>
  <c r="C102" i="3"/>
  <c r="D101" i="3"/>
  <c r="G101" i="3" s="1"/>
  <c r="D100" i="3"/>
  <c r="G100" i="3" s="1"/>
  <c r="C99" i="3"/>
  <c r="D94" i="3"/>
  <c r="G94" i="3" s="1"/>
  <c r="C93" i="3"/>
  <c r="D88" i="3"/>
  <c r="G88" i="3" s="1"/>
  <c r="C87" i="3"/>
  <c r="D82" i="3"/>
  <c r="F81" i="3"/>
  <c r="C81" i="3"/>
  <c r="F80" i="3"/>
  <c r="C80" i="3"/>
  <c r="F79" i="3"/>
  <c r="E79" i="3"/>
  <c r="G78" i="3"/>
  <c r="C76" i="3"/>
  <c r="D75" i="3"/>
  <c r="C75" i="3"/>
  <c r="F74" i="3"/>
  <c r="D74" i="3"/>
  <c r="F73" i="3"/>
  <c r="F72" i="3"/>
  <c r="D72" i="3"/>
  <c r="D77" i="3" s="1"/>
  <c r="G77" i="3" s="1"/>
  <c r="E71" i="3"/>
  <c r="D71" i="3"/>
  <c r="C71" i="3"/>
  <c r="F70" i="3"/>
  <c r="D70" i="3"/>
  <c r="F69" i="3"/>
  <c r="D69" i="3"/>
  <c r="F68" i="3"/>
  <c r="F67" i="3"/>
  <c r="F66" i="3"/>
  <c r="E66" i="3"/>
  <c r="E76" i="3" s="1"/>
  <c r="F65" i="3"/>
  <c r="D65" i="3"/>
  <c r="F64" i="3"/>
  <c r="D64" i="3"/>
  <c r="F63" i="3"/>
  <c r="F82" i="3" s="1"/>
  <c r="E63" i="3"/>
  <c r="F58" i="3"/>
  <c r="E58" i="3"/>
  <c r="D58" i="3"/>
  <c r="F57" i="3"/>
  <c r="E57" i="3"/>
  <c r="D57" i="3"/>
  <c r="D52" i="3"/>
  <c r="G52" i="3" s="1"/>
  <c r="E51" i="3"/>
  <c r="D51" i="3"/>
  <c r="N50" i="3"/>
  <c r="E46" i="3"/>
  <c r="E182" i="3" s="1"/>
  <c r="D182" i="3"/>
  <c r="F45" i="3"/>
  <c r="G45" i="3" s="1"/>
  <c r="E40" i="3"/>
  <c r="E39" i="3"/>
  <c r="E38" i="3"/>
  <c r="D38" i="3"/>
  <c r="C38" i="3"/>
  <c r="E37" i="3"/>
  <c r="D37" i="3"/>
  <c r="C37" i="3"/>
  <c r="E36" i="3"/>
  <c r="D36" i="3"/>
  <c r="C36" i="3"/>
  <c r="E26" i="3"/>
  <c r="E31" i="3" s="1"/>
  <c r="C26" i="3"/>
  <c r="C31" i="3" s="1"/>
  <c r="D22" i="3"/>
  <c r="D26" i="3" s="1"/>
  <c r="D31" i="3" s="1"/>
  <c r="F18" i="3"/>
  <c r="E18" i="3"/>
  <c r="D18" i="3"/>
  <c r="F17" i="3"/>
  <c r="E17" i="3"/>
  <c r="D17" i="3"/>
  <c r="F13" i="3"/>
  <c r="E13" i="3"/>
  <c r="F12" i="3"/>
  <c r="D12" i="3"/>
  <c r="D11" i="3"/>
  <c r="G11" i="3" s="1"/>
  <c r="F10" i="3"/>
  <c r="E10" i="3"/>
  <c r="G159" i="3" l="1"/>
  <c r="J160" i="3" s="1"/>
  <c r="G146" i="3"/>
  <c r="G13" i="3"/>
  <c r="G51" i="3"/>
  <c r="G53" i="3" s="1"/>
  <c r="J54" i="3" s="1"/>
  <c r="G122" i="3"/>
  <c r="G209" i="3"/>
  <c r="G235" i="3"/>
  <c r="J235" i="3" s="1"/>
  <c r="J236" i="3" s="1"/>
  <c r="G128" i="3"/>
  <c r="G152" i="3"/>
  <c r="G153" i="3" s="1"/>
  <c r="J154" i="3" s="1"/>
  <c r="G22" i="3"/>
  <c r="G23" i="3" s="1"/>
  <c r="J23" i="3" s="1"/>
  <c r="G76" i="3"/>
  <c r="G205" i="3"/>
  <c r="G210" i="3"/>
  <c r="G17" i="3"/>
  <c r="G18" i="3"/>
  <c r="G64" i="3"/>
  <c r="F36" i="3"/>
  <c r="G36" i="3" s="1"/>
  <c r="G174" i="3"/>
  <c r="G70" i="3"/>
  <c r="G80" i="3"/>
  <c r="G82" i="3"/>
  <c r="G10" i="3"/>
  <c r="F37" i="3"/>
  <c r="G37" i="3" s="1"/>
  <c r="F40" i="3"/>
  <c r="G40" i="3" s="1"/>
  <c r="G71" i="3"/>
  <c r="G75" i="3"/>
  <c r="G102" i="3"/>
  <c r="G140" i="3"/>
  <c r="G220" i="3"/>
  <c r="G221" i="3" s="1"/>
  <c r="J221" i="3" s="1"/>
  <c r="G66" i="3"/>
  <c r="F38" i="3"/>
  <c r="G38" i="3" s="1"/>
  <c r="G116" i="3"/>
  <c r="G229" i="3"/>
  <c r="F39" i="3"/>
  <c r="G39" i="3" s="1"/>
  <c r="G65" i="3"/>
  <c r="G134" i="3"/>
  <c r="G224" i="3"/>
  <c r="C269" i="3"/>
  <c r="G58" i="3"/>
  <c r="G163" i="3"/>
  <c r="G165" i="3"/>
  <c r="G167" i="3"/>
  <c r="G169" i="3"/>
  <c r="G72" i="3"/>
  <c r="D87" i="3"/>
  <c r="D93" i="3" s="1"/>
  <c r="D73" i="3"/>
  <c r="G73" i="3" s="1"/>
  <c r="G81" i="3"/>
  <c r="G110" i="3"/>
  <c r="G175" i="3"/>
  <c r="G193" i="3"/>
  <c r="G197" i="3"/>
  <c r="G46" i="3"/>
  <c r="G47" i="3" s="1"/>
  <c r="J48" i="3" s="1"/>
  <c r="G57" i="3"/>
  <c r="G63" i="3"/>
  <c r="G74" i="3"/>
  <c r="G79" i="3"/>
  <c r="G164" i="3"/>
  <c r="G166" i="3"/>
  <c r="G168" i="3"/>
  <c r="C182" i="3"/>
  <c r="G182" i="3" s="1"/>
  <c r="G183" i="3" s="1"/>
  <c r="G12" i="3"/>
  <c r="G69" i="3"/>
  <c r="G176" i="3"/>
  <c r="J188" i="3"/>
  <c r="J189" i="3" s="1"/>
  <c r="J159" i="3"/>
  <c r="J53" i="3"/>
  <c r="G31" i="3"/>
  <c r="G32" i="3" s="1"/>
  <c r="J33" i="3" s="1"/>
  <c r="G203" i="3"/>
  <c r="G26" i="3"/>
  <c r="G27" i="3" s="1"/>
  <c r="J28" i="3" s="1"/>
  <c r="D67" i="3"/>
  <c r="G258" i="3"/>
  <c r="J259" i="3" s="1"/>
  <c r="J216" i="3"/>
  <c r="G211" i="3" l="1"/>
  <c r="G206" i="3"/>
  <c r="J206" i="3" s="1"/>
  <c r="G225" i="3"/>
  <c r="J225" i="3" s="1"/>
  <c r="G19" i="3"/>
  <c r="J19" i="3" s="1"/>
  <c r="G198" i="3"/>
  <c r="J199" i="3" s="1"/>
  <c r="G230" i="3"/>
  <c r="J230" i="3" s="1"/>
  <c r="G170" i="3"/>
  <c r="G59" i="3"/>
  <c r="J60" i="3" s="1"/>
  <c r="G87" i="3"/>
  <c r="G89" i="3" s="1"/>
  <c r="J90" i="3" s="1"/>
  <c r="G14" i="3"/>
  <c r="J14" i="3" s="1"/>
  <c r="G41" i="3"/>
  <c r="J42" i="3" s="1"/>
  <c r="J178" i="3"/>
  <c r="G67" i="3"/>
  <c r="D68" i="3"/>
  <c r="G68" i="3" s="1"/>
  <c r="J153" i="3"/>
  <c r="J27" i="3"/>
  <c r="J32" i="3"/>
  <c r="J47" i="3"/>
  <c r="J184" i="3"/>
  <c r="J183" i="3"/>
  <c r="D99" i="3"/>
  <c r="G93" i="3"/>
  <c r="G95" i="3" s="1"/>
  <c r="J96" i="3" s="1"/>
  <c r="J211" i="3" l="1"/>
  <c r="J212" i="3"/>
  <c r="J231" i="3"/>
  <c r="J226" i="3"/>
  <c r="J89" i="3"/>
  <c r="J41" i="3"/>
  <c r="J198" i="3"/>
  <c r="J59" i="3"/>
  <c r="J171" i="3"/>
  <c r="J170" i="3"/>
  <c r="J95" i="3"/>
  <c r="D107" i="3"/>
  <c r="G99" i="3"/>
  <c r="G103" i="3" s="1"/>
  <c r="J104" i="3" s="1"/>
  <c r="G83" i="3"/>
  <c r="J84" i="3" s="1"/>
  <c r="D145" i="3" l="1"/>
  <c r="D115" i="3"/>
  <c r="G115" i="3" s="1"/>
  <c r="G117" i="3" s="1"/>
  <c r="J118" i="3" s="1"/>
  <c r="G107" i="3"/>
  <c r="G111" i="3" s="1"/>
  <c r="J112" i="3" s="1"/>
  <c r="J83" i="3"/>
  <c r="J103" i="3"/>
  <c r="J111" i="3" l="1"/>
  <c r="J117" i="3"/>
  <c r="G145" i="3"/>
  <c r="G147" i="3" s="1"/>
  <c r="J148" i="3" s="1"/>
  <c r="D121" i="3"/>
  <c r="D127" i="3" l="1"/>
  <c r="G121" i="3"/>
  <c r="G123" i="3" s="1"/>
  <c r="J124" i="3" s="1"/>
  <c r="J147" i="3"/>
  <c r="J123" i="3" l="1"/>
  <c r="D133" i="3"/>
  <c r="G127" i="3"/>
  <c r="G129" i="3" s="1"/>
  <c r="J130" i="3" s="1"/>
  <c r="G133" i="3" l="1"/>
  <c r="G135" i="3" s="1"/>
  <c r="J136" i="3" s="1"/>
  <c r="D139" i="3"/>
  <c r="G139" i="3" s="1"/>
  <c r="G141" i="3" s="1"/>
  <c r="J142" i="3" s="1"/>
  <c r="J129" i="3"/>
  <c r="J135" i="3" l="1"/>
  <c r="J141" i="3"/>
  <c r="J265" i="3" l="1"/>
  <c r="C267" i="3" s="1"/>
  <c r="C270" i="3" s="1"/>
  <c r="E269" i="3" l="1"/>
  <c r="E270" i="3" s="1"/>
  <c r="J34" i="13" l="1"/>
  <c r="J33" i="13"/>
  <c r="J47" i="13" l="1"/>
  <c r="C49" i="13"/>
  <c r="L88" i="15"/>
  <c r="C53" i="13"/>
  <c r="J60" i="13" l="1"/>
  <c r="L89" i="15"/>
  <c r="C56" i="13"/>
  <c r="E55" i="13"/>
  <c r="E56" i="13" s="1"/>
  <c r="C50" i="13"/>
  <c r="C51" i="13" s="1"/>
</calcChain>
</file>

<file path=xl/comments1.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List>
</comments>
</file>

<file path=xl/comments2.xml><?xml version="1.0" encoding="utf-8"?>
<comments xmlns="http://schemas.openxmlformats.org/spreadsheetml/2006/main">
  <authors>
    <author>Author</author>
  </authors>
  <commentList>
    <comment ref="D60" authorId="0" shapeId="0">
      <text>
        <r>
          <rPr>
            <b/>
            <sz val="10"/>
            <color indexed="81"/>
            <rFont val="Tahoma"/>
          </rPr>
          <t>Author:</t>
        </r>
        <r>
          <rPr>
            <sz val="10"/>
            <color indexed="81"/>
            <rFont val="Tahoma"/>
          </rPr>
          <t xml:space="preserve">
killa thokna lai bich bich maa rakhne kath baala</t>
        </r>
      </text>
    </comment>
    <comment ref="D62" authorId="0" shapeId="0">
      <text>
        <r>
          <rPr>
            <b/>
            <sz val="10"/>
            <color indexed="81"/>
            <rFont val="Tahoma"/>
          </rPr>
          <t>Author:</t>
        </r>
        <r>
          <rPr>
            <sz val="10"/>
            <color indexed="81"/>
            <rFont val="Tahoma"/>
          </rPr>
          <t xml:space="preserve">
edge ko wood</t>
        </r>
      </text>
    </comment>
    <comment ref="C145"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4.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 ref="C140" authorId="0" shapeId="0">
      <text>
        <r>
          <rPr>
            <b/>
            <sz val="10"/>
            <color indexed="81"/>
            <rFont val="Tahoma"/>
            <family val="2"/>
          </rPr>
          <t>Author:</t>
        </r>
        <r>
          <rPr>
            <sz val="10"/>
            <color indexed="81"/>
            <rFont val="Tahoma"/>
            <family val="2"/>
          </rPr>
          <t xml:space="preserve">
at top also</t>
        </r>
      </text>
    </comment>
  </commentList>
</comments>
</file>

<file path=xl/comments5.xml><?xml version="1.0" encoding="utf-8"?>
<comments xmlns="http://schemas.openxmlformats.org/spreadsheetml/2006/main">
  <authors>
    <author>Author</author>
  </authors>
  <commentList>
    <comment ref="D59" authorId="0" shapeId="0">
      <text>
        <r>
          <rPr>
            <b/>
            <sz val="10"/>
            <color indexed="81"/>
            <rFont val="Tahoma"/>
          </rPr>
          <t>Author:</t>
        </r>
        <r>
          <rPr>
            <sz val="10"/>
            <color indexed="81"/>
            <rFont val="Tahoma"/>
          </rPr>
          <t xml:space="preserve">
killa thokna lai bich bich maa rakhne kath baala</t>
        </r>
      </text>
    </comment>
    <comment ref="D63" authorId="0" shapeId="0">
      <text>
        <r>
          <rPr>
            <b/>
            <sz val="10"/>
            <color indexed="81"/>
            <rFont val="Tahoma"/>
          </rPr>
          <t>Author:</t>
        </r>
        <r>
          <rPr>
            <sz val="10"/>
            <color indexed="81"/>
            <rFont val="Tahoma"/>
          </rPr>
          <t xml:space="preserve">
edge ko wood</t>
        </r>
      </text>
    </comment>
  </commentList>
</comments>
</file>

<file path=xl/comments6.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42" authorId="0" shapeId="0">
      <text>
        <r>
          <rPr>
            <b/>
            <sz val="10"/>
            <color indexed="81"/>
            <rFont val="Tahoma"/>
            <family val="2"/>
          </rPr>
          <t>Author:</t>
        </r>
        <r>
          <rPr>
            <sz val="10"/>
            <color indexed="81"/>
            <rFont val="Tahoma"/>
            <family val="2"/>
          </rPr>
          <t xml:space="preserve">
at top also</t>
        </r>
      </text>
    </comment>
  </commentList>
</comments>
</file>

<file path=xl/comments7.xml><?xml version="1.0" encoding="utf-8"?>
<comments xmlns="http://schemas.openxmlformats.org/spreadsheetml/2006/main">
  <authors>
    <author>Author</author>
  </authors>
  <commentList>
    <comment ref="C55"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<sst xmlns="http://schemas.openxmlformats.org/spreadsheetml/2006/main" count="1796" uniqueCount="175">
  <si>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</si>
  <si>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</si>
  <si>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</si>
  <si>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</si>
  <si>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</si>
  <si>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</si>
  <si>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F.Y.: 2080/2081      </t>
  </si>
  <si>
    <t>Location:- Shankharapur Municipality 9</t>
  </si>
  <si>
    <t xml:space="preserve">Date:                        </t>
  </si>
  <si>
    <t>S.N.</t>
  </si>
  <si>
    <t>Description of work</t>
  </si>
  <si>
    <t>No.</t>
  </si>
  <si>
    <t>Length</t>
  </si>
  <si>
    <t>Breadth</t>
  </si>
  <si>
    <t>Height</t>
  </si>
  <si>
    <t>Quantity</t>
  </si>
  <si>
    <t>Unit</t>
  </si>
  <si>
    <t>Rate</t>
  </si>
  <si>
    <t>Amount</t>
  </si>
  <si>
    <t>Remarks</t>
  </si>
  <si>
    <t>l;d]G6 jf jh| Knfi6/ eTsfO{ !) dL= k/ x6fpg] sfd</t>
  </si>
  <si>
    <t>-Front wall</t>
  </si>
  <si>
    <t>-deduction for opening</t>
  </si>
  <si>
    <t>-deduction for door opening</t>
  </si>
  <si>
    <t>-Side wall</t>
  </si>
  <si>
    <t>Sub-total</t>
  </si>
  <si>
    <t>sqm</t>
  </si>
  <si>
    <t>l;d]G6 jf jh|df hf]8]sf] uf/f] eTsfO{ To;af6 cfPsf] ;fdfu+|L !) dL</t>
  </si>
  <si>
    <t>-Bell</t>
  </si>
  <si>
    <t>cum</t>
  </si>
  <si>
    <t>-for bell</t>
  </si>
  <si>
    <t xml:space="preserve">;'Vvf O{6f RofK6f] 5fKg] sfd </t>
  </si>
  <si>
    <t>-For footing work</t>
  </si>
  <si>
    <t>VAT Calculation</t>
  </si>
  <si>
    <t>hu leQf kvf{ndf l;d]G6 s+lqm6 ug]{ sfd -lk=;L=;L= !M@M$_</t>
  </si>
  <si>
    <t xml:space="preserve">cf/=;L=;L= nflu kmnfd] 808L sf6\g], df]8\g] #) dL6/ ;Dd </t>
  </si>
  <si>
    <t>Length (m)</t>
  </si>
  <si>
    <t>Unit weight (m)</t>
  </si>
  <si>
    <t>Total weight (kg)</t>
  </si>
  <si>
    <t>Total weight (M.T.)</t>
  </si>
  <si>
    <t>-column</t>
  </si>
  <si>
    <t>-stirrups</t>
  </si>
  <si>
    <t>-for new roof</t>
  </si>
  <si>
    <t>M.T</t>
  </si>
  <si>
    <t>-VAT 13% for materials</t>
  </si>
  <si>
    <t>d]lzgsf] k|of]u u/L ;'k/ :6«Sr/df l;d]G6 s+lqm6 ug]{ sfd -!M!=%M#_</t>
  </si>
  <si>
    <t>-at new roof</t>
  </si>
  <si>
    <t>-VAT calculation</t>
  </si>
  <si>
    <r>
      <t xml:space="preserve">e'O{+tNnfeGbf dfly lrDgL e§fsf] </t>
    </r>
    <r>
      <rPr>
        <sz val="12"/>
        <rFont val="Preeti"/>
      </rPr>
      <t>O{+6fsf] uf/f] l;d]G6 d;nf -!M$_ df</t>
    </r>
  </si>
  <si>
    <t>-wall</t>
  </si>
  <si>
    <t>e'O{+tNnfdf lrDgL e§fsf] O{+6fsf] uf/f] l;d]G6 d;nf -!M^_ df</t>
  </si>
  <si>
    <t>-bell</t>
  </si>
  <si>
    <t>-deduction for core area</t>
  </si>
  <si>
    <t>Traditional Brick (Small Dachi Appa) work in (1:4)cement sand mortar</t>
  </si>
  <si>
    <t>-Outer face front wall</t>
  </si>
  <si>
    <t>-Outer face side wall</t>
  </si>
  <si>
    <t>-Deduction for butta works</t>
  </si>
  <si>
    <t>-At inner face wall</t>
  </si>
  <si>
    <t>-deduction for door</t>
  </si>
  <si>
    <t>-deduction for steps</t>
  </si>
  <si>
    <t>-At 2nd storey wall</t>
  </si>
  <si>
    <t>-At new wall outer face</t>
  </si>
  <si>
    <t>-At new wall inner face</t>
  </si>
  <si>
    <t>-deduction for tika jhyal</t>
  </si>
  <si>
    <t>-At bell</t>
  </si>
  <si>
    <t>-deduction for butta</t>
  </si>
  <si>
    <t>-at back side</t>
  </si>
  <si>
    <t>Traditional Kassimo Brick work in (1:1:2) lime,surkhi, sand mortar</t>
  </si>
  <si>
    <t>rm</t>
  </si>
  <si>
    <t>Traditional Nago Brick work in (1:1:2) lime,surkhi, sand mortar</t>
  </si>
  <si>
    <t>Traditional Tinkune pali Brick work in (1:1:2) lime,surkhi, sand mortar</t>
  </si>
  <si>
    <t>Traditional Nagabeli Brick work in (1:1:2) lime,surkhi, sand mortar</t>
  </si>
  <si>
    <t>Traditional Jhallr Brick work in (1:1:2) lime,surkhi, sand mortar</t>
  </si>
  <si>
    <t>Traditional Kerafo Brick work in (1:1:2) lime,surkhi, sand mortar</t>
  </si>
  <si>
    <t>Traditional Sinkhwa Brick work in (1:1:2) lime,surkhi, sand mortar</t>
  </si>
  <si>
    <t>Traditional Palefo Brick work in (1:1:2) lime,surkhi, sand mortar</t>
  </si>
  <si>
    <t>Traditional Ba fya Brick work in (1:1:2) lime,surkhi, sand mortar</t>
  </si>
  <si>
    <t>3 Traditional Fya Brick work in (1:1:2) lime,surkhi, sand mortar</t>
  </si>
  <si>
    <t>Telia Brick (Machin made) 6"x6" in (1:1:1) lime, surkhi, sand mortar with (1:1) lime surkhi pointing</t>
  </si>
  <si>
    <t>-Flooring</t>
  </si>
  <si>
    <t>12.5 mm thick lime, surkhi and sand plaster in 1:1:2 ratio</t>
  </si>
  <si>
    <t>-Ceiling</t>
  </si>
  <si>
    <t>-Remaining parts</t>
  </si>
  <si>
    <t>Nepali Sal wood work for beam,joist,column etc.(8'- 0" to 12'-0")</t>
  </si>
  <si>
    <t>-Horizontal member</t>
  </si>
  <si>
    <t>VAT calculation</t>
  </si>
  <si>
    <t>Sal Timber work for beam,joist,column etc.(up to 8'- 0" )</t>
  </si>
  <si>
    <t>Single layers of plastic felt laying on roofing with bitumen</t>
  </si>
  <si>
    <t>9" exhaust fan</t>
  </si>
  <si>
    <t>-Exhaust fan</t>
  </si>
  <si>
    <t>no.</t>
  </si>
  <si>
    <t>cu|fv sf7sf] rf}s; agfO hf]8\g] sfd</t>
  </si>
  <si>
    <t>-For Door</t>
  </si>
  <si>
    <t>-For window</t>
  </si>
  <si>
    <t>-tika jhyal</t>
  </si>
  <si>
    <t>-Window</t>
  </si>
  <si>
    <t>-Window khapa</t>
  </si>
  <si>
    <t>#* dL=dL= afSnf] lr/fg cu|fv sf7sf] k|m]d xfnL l8nfvfkf agfO</t>
  </si>
  <si>
    <t>-door</t>
  </si>
  <si>
    <t>Carved Door (except khapa) works excluding wood</t>
  </si>
  <si>
    <t>New Jhingati (8-3/4"*4") laying on roof with 3" clay</t>
  </si>
  <si>
    <t>-New Roof</t>
  </si>
  <si>
    <t>Dhuri Chang (horizontal and vertical)works</t>
  </si>
  <si>
    <t>Middle class Gongacha (Corner bird) fixing works</t>
  </si>
  <si>
    <t>-Gongacha</t>
  </si>
  <si>
    <t>kg</t>
  </si>
  <si>
    <t>Provisional sum for unforseen works</t>
  </si>
  <si>
    <t>PS</t>
  </si>
  <si>
    <t>Information board (सुचना पाटि)</t>
  </si>
  <si>
    <t>Grand Total</t>
  </si>
  <si>
    <t>Total Estimated</t>
  </si>
  <si>
    <t>Budget allocated</t>
  </si>
  <si>
    <t>Municipal payment</t>
  </si>
  <si>
    <t>User Contribution</t>
  </si>
  <si>
    <t xml:space="preserve">Contingencies </t>
  </si>
  <si>
    <t xml:space="preserve">Maintanince </t>
  </si>
  <si>
    <t>g/d k|sf/sf] Sn] / l;N6L df6f]df ;j} lsl;dsf] vGg] sfd</t>
  </si>
  <si>
    <t>-bell footing</t>
  </si>
  <si>
    <t>22 gauge Brass plate making and fixing on roof</t>
  </si>
  <si>
    <t>20/22 /26 gauge brass sheet gajur making and fixing on roof with Gajur size height 24" approx. weight 3.5kg</t>
  </si>
  <si>
    <t>20/22/26 gauge 6"/8" copper/brass sheet Eaves/jhaller butta making(labour cost only)</t>
  </si>
  <si>
    <t>20/22/26 gauge 15" brass sheet kunpa making and fixing on roof (avg wt. 2kg)</t>
  </si>
  <si>
    <t>Single MS black pipe scafolding works</t>
  </si>
  <si>
    <t>-scaffolding</t>
  </si>
  <si>
    <t>Wooden Column highly carving work excluding wood</t>
  </si>
  <si>
    <t>Carved salwood Lattice (jali) of Carved Window highly carving including wood</t>
  </si>
  <si>
    <t>VAT 13%</t>
  </si>
  <si>
    <t>Grand total</t>
  </si>
  <si>
    <t>Total</t>
  </si>
  <si>
    <t xml:space="preserve">Location:- </t>
  </si>
  <si>
    <t xml:space="preserve">F.Y.: 2081/2082      </t>
  </si>
  <si>
    <t>20 gauge Brass plate making and fixing on roof</t>
  </si>
  <si>
    <t>Sal timber work for chaukhat frame (upto 8'-0")</t>
  </si>
  <si>
    <t>-window</t>
  </si>
  <si>
    <t>20 gauge Copper plate making and fixing on roof</t>
  </si>
  <si>
    <t>-VAT for materials only</t>
  </si>
  <si>
    <t>20/22/26 gauge 15" copper sheet kunpa making and fixing on roof (avg wt. 2kg)</t>
  </si>
  <si>
    <t>Making and fixing of Bhairab of 20 gauge Copper plate medium size 4" (avg. 300gm weight)</t>
  </si>
  <si>
    <t>20 gauge Brass sheet gajur making and fixing on roof with Gajur size height 24" approx. weight 3.5kg</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</si>
  <si>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</si>
  <si>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</si>
  <si>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</si>
  <si>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</si>
  <si>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</si>
  <si>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-Tundal all complete</t>
  </si>
  <si>
    <t>Carved tundal works excluding wood</t>
  </si>
  <si>
    <t>Carved Door works excluding wood</t>
  </si>
  <si>
    <t>Location:- Shankharapur 9</t>
  </si>
  <si>
    <t>-deduction for window</t>
  </si>
  <si>
    <t>-Front roof</t>
  </si>
  <si>
    <t>-Back roof</t>
  </si>
  <si>
    <t>-ridge</t>
  </si>
  <si>
    <t>-Ridge part/bhangi</t>
  </si>
  <si>
    <t>-eaves</t>
  </si>
  <si>
    <t>20/22/26 gauge 6"/8" copper/brass sheet Eaves/jhaller &amp; butta making(labour cost only)</t>
  </si>
  <si>
    <t>Window carving (except lattice jali) including wood</t>
  </si>
  <si>
    <t>-deduction for lattice jali</t>
  </si>
  <si>
    <t>-Tundal</t>
  </si>
  <si>
    <t>Carved Tundal work excluding wood</t>
  </si>
  <si>
    <t>-deduction for khapa works</t>
  </si>
  <si>
    <t>-khapa works</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</si>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</sst>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3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b/>
      <sz val="12"/>
      <name val="Times New Roman"/>
      <family val="1"/>
    </font>
    <font>
      <b/>
      <sz val="13"/>
      <name val="Preeti"/>
    </font>
    <font>
      <sz val="12"/>
      <name val="Preeti"/>
    </font>
    <font>
      <b/>
      <sz val="11"/>
      <color rgb="FFFF0000"/>
      <name val="Calibri"/>
      <family val="2"/>
      <scheme val="minor"/>
    </font>
    <font>
      <b/>
      <sz val="11"/>
      <color rgb="FFFF0000"/>
      <name val="Times New Roman"/>
      <family val="1"/>
    </font>
    <font>
      <sz val="10"/>
      <color indexed="81"/>
      <name val="Tahoma"/>
    </font>
    <font>
      <b/>
      <sz val="10"/>
      <color indexed="81"/>
      <name val="Tahoma"/>
    </font>
    <font>
      <sz val="16"/>
      <name val="Times New Roman"/>
      <family val="1"/>
    </font>
    <font>
      <sz val="10"/>
      <color indexed="81"/>
      <name val="Tahoma"/>
      <family val="2"/>
    </font>
    <font>
      <b/>
      <sz val="10"/>
      <color indexed="81"/>
      <name val="Tahoma"/>
      <family val="2"/>
    </font>
    <font>
      <sz val="11"/>
      <color rgb="FF00B050"/>
      <name val="Calibri"/>
      <family val="2"/>
      <scheme val="minor"/>
    </font>
    <font>
      <b/>
      <sz val="11"/>
      <color rgb="FF00B050"/>
      <name val="Calibri"/>
      <family val="2"/>
      <scheme val="minor"/>
    </font>
    <font>
      <sz val="11"/>
      <color rgb="FF00B050"/>
      <name val="Times New Roman"/>
      <family val="1"/>
    </font>
    <font>
      <b/>
      <sz val="11"/>
      <color rgb="FF00B050"/>
      <name val="Times New Roman"/>
      <family val="1"/>
    </font>
    <font>
      <b/>
      <sz val="12"/>
      <color rgb="FF00B050"/>
      <name val="Preeti"/>
    </font>
    <font>
      <sz val="11"/>
      <color rgb="FFFF0000"/>
      <name val="Times New Roman"/>
      <family val="1"/>
    </font>
    <font>
      <b/>
      <sz val="12"/>
      <color rgb="FF00B05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35">
    <xf numFmtId="0" fontId="0" fillId="0" borderId="0" xfId="0"/>
    <xf numFmtId="0" fontId="0" fillId="0" borderId="0" xfId="0" applyAlignment="1">
      <alignment vertical="center"/>
    </xf>
    <xf numFmtId="0" fontId="8" fillId="0" borderId="0" xfId="0" applyFont="1" applyAlignment="1">
      <alignment horizontal="center"/>
    </xf>
    <xf numFmtId="43" fontId="8" fillId="0" borderId="0" xfId="1" applyFont="1"/>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wrapText="1"/>
    </xf>
    <xf numFmtId="0" fontId="0" fillId="0" borderId="0" xfId="0" applyAlignment="1">
      <alignment horizontal="center"/>
    </xf>
    <xf numFmtId="0" fontId="8" fillId="0" borderId="1" xfId="0" applyFont="1" applyBorder="1" applyAlignment="1">
      <alignment vertical="center"/>
    </xf>
    <xf numFmtId="0" fontId="9" fillId="2" borderId="1" xfId="0" applyFont="1" applyFill="1" applyBorder="1" applyAlignment="1">
      <alignment wrapText="1"/>
    </xf>
    <xf numFmtId="1" fontId="10" fillId="0" borderId="1" xfId="0" applyNumberFormat="1" applyFont="1" applyFill="1" applyBorder="1" applyAlignment="1">
      <alignment vertical="center"/>
    </xf>
    <xf numFmtId="1" fontId="11" fillId="0" borderId="1" xfId="0" quotePrefix="1" applyNumberFormat="1" applyFont="1" applyFill="1" applyBorder="1" applyAlignment="1">
      <alignment horizontal="right" vertical="center" wrapText="1"/>
    </xf>
    <xf numFmtId="164" fontId="11" fillId="0" borderId="1" xfId="0" applyNumberFormat="1" applyFont="1" applyFill="1" applyBorder="1" applyAlignment="1">
      <alignment vertical="center"/>
    </xf>
    <xf numFmtId="2" fontId="11" fillId="0" borderId="1" xfId="1" applyNumberFormat="1" applyFont="1" applyFill="1" applyBorder="1" applyAlignment="1">
      <alignment vertical="center"/>
    </xf>
    <xf numFmtId="2" fontId="11" fillId="0" borderId="1" xfId="0" applyNumberFormat="1" applyFont="1" applyFill="1" applyBorder="1" applyAlignment="1">
      <alignment vertical="center"/>
    </xf>
    <xf numFmtId="2" fontId="0" fillId="0" borderId="1" xfId="0" applyNumberFormat="1" applyBorder="1" applyAlignment="1"/>
    <xf numFmtId="2"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3" fillId="0" borderId="1" xfId="0" applyNumberFormat="1" applyFont="1" applyBorder="1"/>
    <xf numFmtId="0" fontId="12" fillId="0" borderId="0" xfId="0" applyFont="1" applyBorder="1" applyAlignment="1"/>
    <xf numFmtId="0" fontId="0" fillId="0" borderId="1" xfId="0" quotePrefix="1" applyFont="1" applyBorder="1" applyAlignment="1">
      <alignment horizontal="right" wrapText="1"/>
    </xf>
    <xf numFmtId="0" fontId="13" fillId="2" borderId="1" xfId="0" applyFont="1" applyFill="1" applyBorder="1" applyAlignment="1">
      <alignmen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2" fontId="4" fillId="0" borderId="1" xfId="0" applyNumberFormat="1" applyFont="1" applyBorder="1" applyAlignment="1"/>
    <xf numFmtId="2" fontId="3" fillId="0" borderId="1" xfId="1" applyNumberFormat="1" applyFont="1" applyBorder="1" applyAlignment="1"/>
    <xf numFmtId="0" fontId="0" fillId="0" borderId="1" xfId="0" applyBorder="1"/>
    <xf numFmtId="0" fontId="14" fillId="2" borderId="1" xfId="0" applyFont="1" applyFill="1" applyBorder="1" applyAlignment="1">
      <alignment vertical="center" wrapText="1"/>
    </xf>
    <xf numFmtId="164" fontId="0" fillId="0" borderId="1" xfId="0" applyNumberFormat="1" applyBorder="1" applyAlignment="1">
      <alignment vertical="center"/>
    </xf>
    <xf numFmtId="2" fontId="0" fillId="0" borderId="1" xfId="0" applyNumberFormat="1" applyBorder="1" applyAlignment="1">
      <alignment vertical="center"/>
    </xf>
    <xf numFmtId="0" fontId="0" fillId="0" borderId="1" xfId="0" applyBorder="1" applyAlignment="1">
      <alignment vertical="center"/>
    </xf>
    <xf numFmtId="0" fontId="0" fillId="0" borderId="1" xfId="0" quotePrefix="1" applyBorder="1" applyAlignment="1">
      <alignment horizontal="right" vertical="center"/>
    </xf>
    <xf numFmtId="0" fontId="0" fillId="0" borderId="1" xfId="0" applyBorder="1" applyAlignment="1">
      <alignment horizontal="right" vertical="center"/>
    </xf>
    <xf numFmtId="2" fontId="3" fillId="0" borderId="1" xfId="0" applyNumberFormat="1" applyFont="1" applyBorder="1" applyAlignment="1">
      <alignment vertical="center"/>
    </xf>
    <xf numFmtId="2" fontId="4" fillId="0" borderId="1" xfId="0" applyNumberFormat="1" applyFont="1" applyBorder="1" applyAlignment="1">
      <alignment vertical="center"/>
    </xf>
    <xf numFmtId="2" fontId="3" fillId="0" borderId="1" xfId="1" applyNumberFormat="1" applyFont="1" applyBorder="1" applyAlignment="1">
      <alignment vertical="center"/>
    </xf>
    <xf numFmtId="2" fontId="0"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Border="1" applyAlignment="1">
      <alignment vertical="center" wrapText="1"/>
    </xf>
    <xf numFmtId="0" fontId="0" fillId="0" borderId="1" xfId="0" quotePrefix="1" applyFont="1" applyBorder="1" applyAlignment="1">
      <alignment horizontal="right" vertical="center" wrapText="1"/>
    </xf>
    <xf numFmtId="165" fontId="0" fillId="0" borderId="1" xfId="0" applyNumberFormat="1" applyFont="1" applyBorder="1" applyAlignment="1">
      <alignment vertical="center"/>
    </xf>
    <xf numFmtId="2" fontId="0" fillId="0" borderId="1" xfId="0" applyNumberFormat="1" applyFont="1" applyBorder="1" applyAlignment="1"/>
    <xf numFmtId="0" fontId="3" fillId="0" borderId="1" xfId="0" applyFont="1" applyBorder="1"/>
    <xf numFmtId="0" fontId="16" fillId="0" borderId="1" xfId="0" applyFont="1" applyBorder="1" applyAlignment="1">
      <alignment vertical="center"/>
    </xf>
    <xf numFmtId="0" fontId="2" fillId="0" borderId="1" xfId="0" quotePrefix="1" applyFont="1" applyBorder="1" applyAlignment="1">
      <alignment horizontal="right" wrapText="1"/>
    </xf>
    <xf numFmtId="164" fontId="2" fillId="0" borderId="1" xfId="0" applyNumberFormat="1" applyFont="1" applyBorder="1" applyAlignment="1"/>
    <xf numFmtId="2" fontId="2" fillId="0" borderId="1" xfId="0" applyNumberFormat="1" applyFont="1" applyBorder="1" applyAlignment="1"/>
    <xf numFmtId="2" fontId="16" fillId="0" borderId="1" xfId="1" applyNumberFormat="1" applyFont="1" applyBorder="1" applyAlignment="1">
      <alignment vertical="center"/>
    </xf>
    <xf numFmtId="0" fontId="2" fillId="0" borderId="1" xfId="0" applyFont="1" applyBorder="1"/>
    <xf numFmtId="0" fontId="2" fillId="0" borderId="0" xfId="0" applyFont="1"/>
    <xf numFmtId="0" fontId="0" fillId="0" borderId="1" xfId="0" quotePrefix="1" applyFont="1" applyBorder="1" applyAlignment="1">
      <alignment vertical="center" wrapText="1"/>
    </xf>
    <xf numFmtId="2" fontId="16" fillId="0" borderId="1" xfId="0" applyNumberFormat="1" applyFont="1" applyBorder="1" applyAlignment="1"/>
    <xf numFmtId="2" fontId="17" fillId="0" borderId="1" xfId="0" applyNumberFormat="1" applyFont="1" applyBorder="1" applyAlignment="1"/>
    <xf numFmtId="2" fontId="16" fillId="0" borderId="1" xfId="1" applyNumberFormat="1" applyFont="1" applyBorder="1" applyAlignment="1"/>
    <xf numFmtId="43" fontId="0" fillId="0" borderId="0" xfId="0" applyNumberFormat="1"/>
    <xf numFmtId="1" fontId="11"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1" fillId="0" borderId="1" xfId="0" applyNumberFormat="1" applyFont="1" applyFill="1" applyBorder="1" applyAlignment="1">
      <alignment vertical="center" wrapText="1"/>
    </xf>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0" fillId="0" borderId="0" xfId="0" applyBorder="1" applyAlignment="1">
      <alignment vertical="center"/>
    </xf>
    <xf numFmtId="2" fontId="0" fillId="0" borderId="0" xfId="0" applyNumberForma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xf numFmtId="0" fontId="2" fillId="0" borderId="1" xfId="0" applyFont="1" applyBorder="1" applyAlignment="1">
      <alignment wrapText="1"/>
    </xf>
    <xf numFmtId="2" fontId="0" fillId="0" borderId="0" xfId="0" applyNumberFormat="1" applyAlignment="1">
      <alignment vertical="center"/>
    </xf>
    <xf numFmtId="0" fontId="0" fillId="0" borderId="1" xfId="0" applyFill="1" applyBorder="1" applyAlignment="1">
      <alignment vertical="center"/>
    </xf>
    <xf numFmtId="0" fontId="3" fillId="0" borderId="1" xfId="0" quotePrefix="1" applyFont="1" applyBorder="1" applyAlignment="1">
      <alignment vertical="center" wrapText="1"/>
    </xf>
    <xf numFmtId="0" fontId="20" fillId="0" borderId="0" xfId="0" applyFont="1" applyBorder="1" applyAlignment="1"/>
    <xf numFmtId="0" fontId="23" fillId="0" borderId="1" xfId="0" quotePrefix="1" applyFont="1" applyBorder="1" applyAlignment="1">
      <alignment wrapText="1"/>
    </xf>
    <xf numFmtId="164" fontId="23" fillId="0" borderId="1" xfId="0" applyNumberFormat="1" applyFont="1" applyBorder="1" applyAlignment="1"/>
    <xf numFmtId="2" fontId="23" fillId="0" borderId="1" xfId="0" applyNumberFormat="1" applyFont="1" applyBorder="1" applyAlignment="1"/>
    <xf numFmtId="2" fontId="24" fillId="0" borderId="1" xfId="1" applyNumberFormat="1" applyFont="1" applyBorder="1" applyAlignment="1">
      <alignment vertical="center"/>
    </xf>
    <xf numFmtId="1" fontId="25" fillId="0" borderId="1" xfId="0" quotePrefix="1" applyNumberFormat="1" applyFont="1" applyFill="1" applyBorder="1" applyAlignment="1">
      <alignment horizontal="right" vertical="center" wrapText="1"/>
    </xf>
    <xf numFmtId="164"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24" fillId="0" borderId="1" xfId="0" applyNumberFormat="1" applyFont="1" applyBorder="1"/>
    <xf numFmtId="0" fontId="23" fillId="0" borderId="1" xfId="0" quotePrefix="1" applyFont="1" applyBorder="1" applyAlignment="1">
      <alignment horizontal="right" wrapText="1"/>
    </xf>
    <xf numFmtId="2" fontId="24" fillId="0" borderId="1" xfId="0" applyNumberFormat="1" applyFont="1" applyBorder="1" applyAlignment="1"/>
    <xf numFmtId="2" fontId="26" fillId="0" borderId="1" xfId="0" applyNumberFormat="1" applyFont="1" applyBorder="1" applyAlignment="1"/>
    <xf numFmtId="2" fontId="24" fillId="0" borderId="1" xfId="1" applyNumberFormat="1" applyFont="1" applyBorder="1" applyAlignment="1"/>
    <xf numFmtId="0" fontId="23" fillId="0" borderId="1" xfId="0" applyFont="1" applyBorder="1" applyAlignment="1">
      <alignment wrapText="1"/>
    </xf>
    <xf numFmtId="2" fontId="25" fillId="0" borderId="1" xfId="1" applyNumberFormat="1" applyFont="1" applyFill="1" applyBorder="1" applyAlignment="1">
      <alignment vertical="center"/>
    </xf>
    <xf numFmtId="0" fontId="23" fillId="0" borderId="1" xfId="0" applyFont="1" applyBorder="1" applyAlignment="1">
      <alignment vertical="center" wrapText="1"/>
    </xf>
    <xf numFmtId="164" fontId="23" fillId="0" borderId="1" xfId="0" applyNumberFormat="1" applyFont="1" applyBorder="1" applyAlignment="1">
      <alignment vertical="center"/>
    </xf>
    <xf numFmtId="2" fontId="23" fillId="0" borderId="1" xfId="0" applyNumberFormat="1" applyFont="1" applyBorder="1" applyAlignment="1">
      <alignment vertical="center"/>
    </xf>
    <xf numFmtId="0" fontId="24" fillId="0" borderId="1" xfId="0" applyFont="1" applyBorder="1" applyAlignment="1">
      <alignment vertical="center"/>
    </xf>
    <xf numFmtId="0" fontId="23" fillId="0" borderId="1" xfId="0" quotePrefix="1" applyFont="1" applyBorder="1" applyAlignment="1">
      <alignment vertical="center" wrapText="1"/>
    </xf>
    <xf numFmtId="1" fontId="23" fillId="0" borderId="1" xfId="0" quotePrefix="1" applyNumberFormat="1" applyFont="1" applyBorder="1" applyAlignment="1">
      <alignment horizontal="right" wrapText="1"/>
    </xf>
    <xf numFmtId="0" fontId="27" fillId="2" borderId="1" xfId="0" applyFont="1" applyFill="1" applyBorder="1" applyAlignment="1">
      <alignment wrapText="1"/>
    </xf>
    <xf numFmtId="0" fontId="2" fillId="0" borderId="1" xfId="0" quotePrefix="1" applyFont="1" applyBorder="1" applyAlignment="1">
      <alignment wrapText="1"/>
    </xf>
    <xf numFmtId="1" fontId="28" fillId="0" borderId="1" xfId="0" quotePrefix="1" applyNumberFormat="1" applyFont="1" applyFill="1" applyBorder="1" applyAlignment="1">
      <alignment horizontal="right" vertical="center" wrapText="1"/>
    </xf>
    <xf numFmtId="1" fontId="26" fillId="0" borderId="1" xfId="0" applyNumberFormat="1" applyFont="1" applyFill="1" applyBorder="1" applyAlignment="1">
      <alignment vertical="center"/>
    </xf>
    <xf numFmtId="0" fontId="29" fillId="2" borderId="1" xfId="0" applyFont="1" applyFill="1" applyBorder="1" applyAlignment="1">
      <alignment wrapText="1"/>
    </xf>
    <xf numFmtId="0" fontId="23" fillId="0" borderId="1" xfId="0" applyFont="1" applyBorder="1"/>
    <xf numFmtId="0" fontId="24" fillId="0" borderId="1" xfId="0" applyFont="1" applyBorder="1"/>
    <xf numFmtId="164" fontId="28" fillId="0" borderId="1" xfId="0" applyNumberFormat="1" applyFont="1" applyFill="1" applyBorder="1" applyAlignment="1">
      <alignment vertical="center"/>
    </xf>
    <xf numFmtId="2" fontId="28" fillId="0" borderId="1" xfId="1" applyNumberFormat="1" applyFont="1" applyFill="1" applyBorder="1" applyAlignment="1">
      <alignment vertical="center"/>
    </xf>
    <xf numFmtId="2" fontId="28" fillId="0" borderId="1" xfId="0" applyNumberFormat="1" applyFont="1" applyFill="1" applyBorder="1" applyAlignment="1">
      <alignment vertical="center"/>
    </xf>
    <xf numFmtId="2" fontId="17" fillId="0" borderId="1" xfId="0" applyNumberFormat="1" applyFont="1" applyFill="1" applyBorder="1" applyAlignment="1">
      <alignment vertical="center"/>
    </xf>
    <xf numFmtId="0" fontId="3" fillId="3" borderId="1" xfId="0" applyFont="1" applyFill="1" applyBorder="1" applyAlignment="1">
      <alignment vertical="center"/>
    </xf>
    <xf numFmtId="0" fontId="0" fillId="3" borderId="1" xfId="0" quotePrefix="1" applyFont="1" applyFill="1" applyBorder="1" applyAlignment="1">
      <alignment horizontal="right" wrapText="1"/>
    </xf>
    <xf numFmtId="164" fontId="0" fillId="3" borderId="1" xfId="0" applyNumberFormat="1" applyFill="1" applyBorder="1" applyAlignment="1"/>
    <xf numFmtId="2" fontId="0" fillId="3" borderId="1" xfId="0" applyNumberFormat="1" applyFill="1" applyBorder="1" applyAlignment="1"/>
    <xf numFmtId="2" fontId="3" fillId="3" borderId="1" xfId="0" applyNumberFormat="1" applyFont="1" applyFill="1" applyBorder="1" applyAlignment="1"/>
    <xf numFmtId="2" fontId="4" fillId="3" borderId="1" xfId="0" applyNumberFormat="1" applyFont="1" applyFill="1" applyBorder="1" applyAlignment="1"/>
    <xf numFmtId="2" fontId="3" fillId="3" borderId="1" xfId="1" applyNumberFormat="1" applyFont="1" applyFill="1" applyBorder="1" applyAlignment="1"/>
    <xf numFmtId="0" fontId="0" fillId="3" borderId="1" xfId="0" applyFill="1" applyBorder="1"/>
    <xf numFmtId="2" fontId="0" fillId="0" borderId="0" xfId="0" applyNumberFormat="1"/>
    <xf numFmtId="165" fontId="0" fillId="0" borderId="0" xfId="0" applyNumberFormat="1"/>
    <xf numFmtId="2" fontId="3" fillId="0" borderId="0" xfId="0" applyNumberFormat="1" applyFont="1"/>
    <xf numFmtId="0" fontId="7" fillId="0" borderId="0" xfId="0" applyFont="1" applyAlignment="1">
      <alignment horizontal="left"/>
    </xf>
    <xf numFmtId="0" fontId="7" fillId="0" borderId="0" xfId="0" applyFont="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7"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Border="1" applyAlignment="1">
      <alignment horizontal="center"/>
    </xf>
    <xf numFmtId="2" fontId="0"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2"/>
  <sheetViews>
    <sheetView topLeftCell="A259" zoomScaleNormal="100" zoomScaleSheetLayoutView="80" workbookViewId="0">
      <selection activeCell="B150" sqref="B150"/>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123" t="s">
        <v>0</v>
      </c>
      <c r="B1" s="123"/>
      <c r="C1" s="123"/>
      <c r="D1" s="123"/>
      <c r="E1" s="123"/>
      <c r="F1" s="123"/>
      <c r="G1" s="123"/>
      <c r="H1" s="123"/>
      <c r="I1" s="123"/>
      <c r="J1" s="123"/>
      <c r="K1" s="123"/>
    </row>
    <row r="2" spans="1:14" s="1" customFormat="1" ht="22.5" x14ac:dyDescent="0.25">
      <c r="A2" s="124" t="s">
        <v>1</v>
      </c>
      <c r="B2" s="124"/>
      <c r="C2" s="124"/>
      <c r="D2" s="124"/>
      <c r="E2" s="124"/>
      <c r="F2" s="124"/>
      <c r="G2" s="124"/>
      <c r="H2" s="124"/>
      <c r="I2" s="124"/>
      <c r="J2" s="124"/>
      <c r="K2" s="124"/>
    </row>
    <row r="3" spans="1:14" s="1" customFormat="1" x14ac:dyDescent="0.25">
      <c r="A3" s="125" t="s">
        <v>2</v>
      </c>
      <c r="B3" s="125"/>
      <c r="C3" s="125"/>
      <c r="D3" s="125"/>
      <c r="E3" s="125"/>
      <c r="F3" s="125"/>
      <c r="G3" s="125"/>
      <c r="H3" s="125"/>
      <c r="I3" s="125"/>
      <c r="J3" s="125"/>
      <c r="K3" s="125"/>
    </row>
    <row r="4" spans="1:14" s="1" customFormat="1" x14ac:dyDescent="0.25">
      <c r="A4" s="125" t="s">
        <v>3</v>
      </c>
      <c r="B4" s="125"/>
      <c r="C4" s="125"/>
      <c r="D4" s="125"/>
      <c r="E4" s="125"/>
      <c r="F4" s="125"/>
      <c r="G4" s="125"/>
      <c r="H4" s="125"/>
      <c r="I4" s="125"/>
      <c r="J4" s="125"/>
      <c r="K4" s="125"/>
    </row>
    <row r="5" spans="1:14" ht="18.75" x14ac:dyDescent="0.3">
      <c r="A5" s="126" t="s">
        <v>4</v>
      </c>
      <c r="B5" s="126"/>
      <c r="C5" s="126"/>
      <c r="D5" s="126"/>
      <c r="E5" s="126"/>
      <c r="F5" s="126"/>
      <c r="G5" s="126"/>
      <c r="H5" s="126"/>
      <c r="I5" s="126"/>
      <c r="J5" s="126"/>
      <c r="K5" s="126"/>
    </row>
    <row r="6" spans="1:14" ht="15.75" x14ac:dyDescent="0.25">
      <c r="A6" s="121" t="s">
        <v>5</v>
      </c>
      <c r="B6" s="121"/>
      <c r="C6" s="121"/>
      <c r="D6" s="121"/>
      <c r="E6" s="121"/>
      <c r="F6" s="121"/>
      <c r="G6" s="2"/>
      <c r="H6" s="122" t="s">
        <v>6</v>
      </c>
      <c r="I6" s="122"/>
      <c r="J6" s="122"/>
      <c r="K6" s="122"/>
    </row>
    <row r="7" spans="1:14" ht="15.75" x14ac:dyDescent="0.25">
      <c r="A7" s="129" t="s">
        <v>7</v>
      </c>
      <c r="B7" s="129"/>
      <c r="C7" s="129"/>
      <c r="D7" s="129"/>
      <c r="E7" s="129"/>
      <c r="F7" s="129"/>
      <c r="G7" s="3"/>
      <c r="H7" s="122" t="s">
        <v>8</v>
      </c>
      <c r="I7" s="122"/>
      <c r="J7" s="122"/>
      <c r="K7" s="122"/>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f>
        <v>99.36</v>
      </c>
      <c r="J14" s="20">
        <f>G14*I14</f>
        <v>2181.7190642864375</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v>1950.4</v>
      </c>
      <c r="J19" s="20">
        <f>G19*I19</f>
        <v>510.88467933808772</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v>663.31</v>
      </c>
      <c r="J23" s="29">
        <f>G23*I23</f>
        <v>429.82487999999995</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v>1014.97</v>
      </c>
      <c r="J27" s="39">
        <f>G27*I27</f>
        <v>730.77840000000003</v>
      </c>
      <c r="K27" s="34"/>
    </row>
    <row r="28" spans="1:14" x14ac:dyDescent="0.25">
      <c r="A28" s="25"/>
      <c r="B28" s="36" t="s">
        <v>33</v>
      </c>
      <c r="C28" s="32"/>
      <c r="D28" s="33"/>
      <c r="E28" s="33"/>
      <c r="F28" s="33"/>
      <c r="G28" s="33"/>
      <c r="H28" s="18"/>
      <c r="I28" s="40"/>
      <c r="J28" s="39">
        <f>0.13*G27*(8617.2)/10</f>
        <v>80.656992000000017</v>
      </c>
      <c r="K28" s="34"/>
    </row>
    <row r="29" spans="1:14" x14ac:dyDescent="0.25">
      <c r="A29" s="25"/>
      <c r="B29" s="34"/>
      <c r="C29" s="32"/>
      <c r="D29" s="33"/>
      <c r="E29" s="33"/>
      <c r="F29" s="33"/>
      <c r="G29" s="33"/>
      <c r="H29" s="34"/>
      <c r="I29" s="33"/>
      <c r="J29" s="33"/>
      <c r="K29" s="34"/>
    </row>
    <row r="30" spans="1:14" s="1" customFormat="1" ht="30" x14ac:dyDescent="0.25">
      <c r="A30" s="25">
        <v>5</v>
      </c>
      <c r="B30" s="41" t="s">
        <v>34</v>
      </c>
      <c r="C30" s="32"/>
      <c r="D30" s="33"/>
      <c r="E30" s="33"/>
      <c r="F30" s="33"/>
      <c r="G30" s="33"/>
      <c r="H30" s="34"/>
      <c r="I30" s="33"/>
      <c r="J30" s="33"/>
      <c r="K30" s="34"/>
    </row>
    <row r="31" spans="1:14" x14ac:dyDescent="0.25">
      <c r="A31" s="25"/>
      <c r="B31" s="35" t="s">
        <v>32</v>
      </c>
      <c r="C31" s="32">
        <f>C26</f>
        <v>2</v>
      </c>
      <c r="D31" s="33">
        <f>D26</f>
        <v>0.6</v>
      </c>
      <c r="E31" s="33">
        <f>E26</f>
        <v>0.6</v>
      </c>
      <c r="F31" s="33">
        <v>0.05</v>
      </c>
      <c r="G31" s="33">
        <f>PRODUCT(C31:F31)</f>
        <v>3.5999999999999997E-2</v>
      </c>
      <c r="H31" s="34"/>
      <c r="I31" s="34"/>
      <c r="J31" s="33"/>
      <c r="K31" s="34"/>
    </row>
    <row r="32" spans="1:14" x14ac:dyDescent="0.25">
      <c r="A32" s="25"/>
      <c r="B32" s="36" t="s">
        <v>25</v>
      </c>
      <c r="C32" s="32"/>
      <c r="D32" s="33"/>
      <c r="E32" s="33"/>
      <c r="F32" s="33"/>
      <c r="G32" s="37">
        <f>SUM(G31:G31)</f>
        <v>3.5999999999999997E-2</v>
      </c>
      <c r="H32" s="25" t="s">
        <v>29</v>
      </c>
      <c r="I32" s="38">
        <v>12983.1</v>
      </c>
      <c r="J32" s="39">
        <f>G32*I32</f>
        <v>467.39159999999998</v>
      </c>
      <c r="K32" s="34"/>
    </row>
    <row r="33" spans="1:11" x14ac:dyDescent="0.25">
      <c r="A33" s="25"/>
      <c r="B33" s="36" t="s">
        <v>33</v>
      </c>
      <c r="C33" s="32"/>
      <c r="D33" s="33"/>
      <c r="E33" s="33"/>
      <c r="F33" s="33"/>
      <c r="G33" s="33"/>
      <c r="H33" s="34"/>
      <c r="I33" s="40"/>
      <c r="J33" s="39">
        <f>0.13*G32*(8078.11)</f>
        <v>37.805554800000003</v>
      </c>
      <c r="K33" s="34"/>
    </row>
    <row r="34" spans="1:11" x14ac:dyDescent="0.25">
      <c r="A34" s="25"/>
      <c r="B34" s="36"/>
      <c r="C34" s="32"/>
      <c r="D34" s="33"/>
      <c r="E34" s="33"/>
      <c r="F34" s="33"/>
      <c r="G34" s="33"/>
      <c r="H34" s="34"/>
      <c r="I34" s="40"/>
      <c r="J34" s="39"/>
      <c r="K34" s="34"/>
    </row>
    <row r="35" spans="1:11" ht="45" x14ac:dyDescent="0.25">
      <c r="A35" s="12">
        <v>6</v>
      </c>
      <c r="B35" s="41" t="s">
        <v>35</v>
      </c>
      <c r="C35" s="32" t="s">
        <v>11</v>
      </c>
      <c r="D35" s="42" t="s">
        <v>36</v>
      </c>
      <c r="E35" s="42" t="s">
        <v>37</v>
      </c>
      <c r="F35" s="42" t="s">
        <v>38</v>
      </c>
      <c r="G35" s="42" t="s">
        <v>39</v>
      </c>
      <c r="H35" s="25"/>
      <c r="I35" s="37"/>
      <c r="J35" s="37"/>
      <c r="K35" s="16"/>
    </row>
    <row r="36" spans="1:11" ht="15" customHeight="1" x14ac:dyDescent="0.25">
      <c r="A36" s="12"/>
      <c r="B36" s="43" t="s">
        <v>32</v>
      </c>
      <c r="C36" s="14">
        <f>2*2*(TRUNC(22/6,0)+1)</f>
        <v>16</v>
      </c>
      <c r="D36" s="33">
        <f>24/12/3.281</f>
        <v>0.6095702529716549</v>
      </c>
      <c r="E36" s="33">
        <f>12*12/162</f>
        <v>0.88888888888888884</v>
      </c>
      <c r="F36" s="33">
        <f>PRODUCT(C36:E36)</f>
        <v>8.6694435978190914</v>
      </c>
      <c r="G36" s="44">
        <f>F36/1000</f>
        <v>8.6694435978190917E-3</v>
      </c>
      <c r="H36" s="18"/>
      <c r="I36" s="19"/>
      <c r="J36" s="37"/>
      <c r="K36" s="16"/>
    </row>
    <row r="37" spans="1:11" ht="15" customHeight="1" x14ac:dyDescent="0.25">
      <c r="A37" s="12"/>
      <c r="B37" s="43" t="s">
        <v>40</v>
      </c>
      <c r="C37" s="14">
        <f>4*2</f>
        <v>8</v>
      </c>
      <c r="D37" s="33">
        <f>(6.5+0.583)/3.281</f>
        <v>2.1587930508991162</v>
      </c>
      <c r="E37" s="33">
        <f>12*12/162</f>
        <v>0.88888888888888884</v>
      </c>
      <c r="F37" s="33">
        <f>PRODUCT(C37:E37)</f>
        <v>15.351417250838159</v>
      </c>
      <c r="G37" s="44">
        <f>F37/1000</f>
        <v>1.5351417250838158E-2</v>
      </c>
      <c r="H37" s="18"/>
      <c r="I37" s="19"/>
      <c r="J37" s="37"/>
      <c r="K37" s="16"/>
    </row>
    <row r="38" spans="1:11" ht="15" customHeight="1" x14ac:dyDescent="0.25">
      <c r="A38" s="12"/>
      <c r="B38" s="43" t="s">
        <v>41</v>
      </c>
      <c r="C38" s="14">
        <f>TRUNC((6.12/0.5),0)</f>
        <v>12</v>
      </c>
      <c r="D38" s="33">
        <f>(0.33+0.33+0.33+0.33+0.083*2)/3.281</f>
        <v>0.45291069795793965</v>
      </c>
      <c r="E38" s="33">
        <f>8*8/162</f>
        <v>0.39506172839506171</v>
      </c>
      <c r="F38" s="33">
        <f>PRODUCT(C38:E38)</f>
        <v>2.1471321977265285</v>
      </c>
      <c r="G38" s="44">
        <f>F38/1000</f>
        <v>2.1471321977265287E-3</v>
      </c>
      <c r="H38" s="18"/>
      <c r="I38" s="19"/>
      <c r="J38" s="37"/>
      <c r="K38" s="16"/>
    </row>
    <row r="39" spans="1:11" ht="15" customHeight="1" x14ac:dyDescent="0.25">
      <c r="A39" s="12"/>
      <c r="B39" s="43" t="s">
        <v>42</v>
      </c>
      <c r="C39" s="14">
        <f>(TRUNC(D40/0.15,0)+1)</f>
        <v>22</v>
      </c>
      <c r="D39" s="33">
        <f>(16.25-0.333+15.667-0.333)/3.281</f>
        <v>9.5248399878085941</v>
      </c>
      <c r="E39" s="33">
        <f>8*8/162</f>
        <v>0.39506172839506171</v>
      </c>
      <c r="F39" s="33">
        <f>PRODUCT(C39:E39)</f>
        <v>82.783794461941355</v>
      </c>
      <c r="G39" s="44">
        <f>F39/1000</f>
        <v>8.2783794461941354E-2</v>
      </c>
      <c r="H39" s="18"/>
      <c r="I39" s="19"/>
      <c r="J39" s="37"/>
      <c r="K39" s="16"/>
    </row>
    <row r="40" spans="1:11" ht="15" customHeight="1" x14ac:dyDescent="0.25">
      <c r="A40" s="12"/>
      <c r="B40" s="43"/>
      <c r="C40" s="14">
        <f>(TRUNC((D39)/0.15,0)+1)</f>
        <v>64</v>
      </c>
      <c r="D40" s="33">
        <f>10.583/3.281</f>
        <v>3.2255409935995121</v>
      </c>
      <c r="E40" s="33">
        <f>8*8/162</f>
        <v>0.39506172839506171</v>
      </c>
      <c r="F40" s="33">
        <f>PRODUCT(C40:E40)</f>
        <v>81.55441919619507</v>
      </c>
      <c r="G40" s="44">
        <f>F40/1000</f>
        <v>8.1554419196195077E-2</v>
      </c>
      <c r="H40" s="18"/>
      <c r="I40" s="19"/>
      <c r="J40" s="37"/>
      <c r="K40" s="16"/>
    </row>
    <row r="41" spans="1:11" ht="15" customHeight="1" x14ac:dyDescent="0.25">
      <c r="A41" s="25"/>
      <c r="B41" s="43" t="s">
        <v>25</v>
      </c>
      <c r="C41" s="32"/>
      <c r="D41" s="33"/>
      <c r="E41" s="33"/>
      <c r="F41" s="33"/>
      <c r="G41" s="37">
        <f>SUM(G36:G40)</f>
        <v>0.1905062067045202</v>
      </c>
      <c r="H41" s="37" t="s">
        <v>43</v>
      </c>
      <c r="I41" s="38">
        <v>131940</v>
      </c>
      <c r="J41" s="39">
        <f>G41*I41</f>
        <v>25135.388912594397</v>
      </c>
      <c r="K41" s="34"/>
    </row>
    <row r="42" spans="1:11" ht="15" customHeight="1" x14ac:dyDescent="0.25">
      <c r="A42" s="12"/>
      <c r="B42" s="43" t="s">
        <v>44</v>
      </c>
      <c r="C42" s="14"/>
      <c r="D42" s="15"/>
      <c r="E42" s="16"/>
      <c r="F42" s="16"/>
      <c r="G42" s="19"/>
      <c r="H42" s="18"/>
      <c r="I42" s="19"/>
      <c r="J42" s="37">
        <f>0.13*G41*106200</f>
        <v>2630.128689762606</v>
      </c>
      <c r="K42" s="16"/>
    </row>
    <row r="43" spans="1:11" ht="15" customHeight="1" x14ac:dyDescent="0.25">
      <c r="A43" s="12"/>
      <c r="B43" s="43"/>
      <c r="C43" s="14"/>
      <c r="D43" s="15"/>
      <c r="E43" s="16"/>
      <c r="F43" s="16"/>
      <c r="G43" s="19"/>
      <c r="H43" s="18"/>
      <c r="I43" s="19"/>
      <c r="J43" s="37"/>
      <c r="K43" s="16"/>
    </row>
    <row r="44" spans="1:11" s="1" customFormat="1" ht="30" x14ac:dyDescent="0.25">
      <c r="A44" s="12">
        <v>7</v>
      </c>
      <c r="B44" s="41" t="s">
        <v>45</v>
      </c>
      <c r="C44" s="14"/>
      <c r="D44" s="15"/>
      <c r="E44" s="16"/>
      <c r="F44" s="16"/>
      <c r="G44" s="19"/>
      <c r="H44" s="18"/>
      <c r="I44" s="19"/>
      <c r="J44" s="37"/>
      <c r="K44" s="16"/>
    </row>
    <row r="45" spans="1:11" x14ac:dyDescent="0.25">
      <c r="A45" s="25"/>
      <c r="B45" s="35" t="s">
        <v>40</v>
      </c>
      <c r="C45" s="32">
        <v>2</v>
      </c>
      <c r="D45" s="33">
        <v>0.15</v>
      </c>
      <c r="E45" s="33">
        <v>0.15</v>
      </c>
      <c r="F45" s="33">
        <f>6.5/3.281</f>
        <v>1.9811033221578787</v>
      </c>
      <c r="G45" s="33">
        <f>PRODUCT(C45:F45)</f>
        <v>8.9149649497104536E-2</v>
      </c>
      <c r="H45" s="34"/>
      <c r="I45" s="34"/>
      <c r="J45" s="33"/>
      <c r="K45" s="34"/>
    </row>
    <row r="46" spans="1:11" x14ac:dyDescent="0.25">
      <c r="A46" s="25"/>
      <c r="B46" s="35" t="s">
        <v>46</v>
      </c>
      <c r="C46" s="32">
        <f>2</f>
        <v>2</v>
      </c>
      <c r="D46" s="33">
        <f>((15.667+16.25)/2)/3.281</f>
        <v>4.8639134410240779</v>
      </c>
      <c r="E46" s="33">
        <f>10.75/3.281</f>
        <v>3.2764401097226452</v>
      </c>
      <c r="F46" s="33">
        <v>7.4999999999999997E-2</v>
      </c>
      <c r="G46" s="33">
        <f>PRODUCT(C46:F46)</f>
        <v>2.3904481632585566</v>
      </c>
      <c r="H46" s="34"/>
      <c r="I46" s="34"/>
      <c r="J46" s="33"/>
      <c r="K46" s="34"/>
    </row>
    <row r="47" spans="1:11" ht="15" customHeight="1" x14ac:dyDescent="0.25">
      <c r="A47" s="25"/>
      <c r="B47" s="43" t="s">
        <v>25</v>
      </c>
      <c r="C47" s="32"/>
      <c r="D47" s="33"/>
      <c r="E47" s="33"/>
      <c r="F47" s="33"/>
      <c r="G47" s="37">
        <f>SUM(G45:G46)</f>
        <v>2.479597812755661</v>
      </c>
      <c r="H47" s="37" t="s">
        <v>29</v>
      </c>
      <c r="I47" s="38">
        <v>13568.9</v>
      </c>
      <c r="J47" s="39">
        <f>G47*I47</f>
        <v>33645.414761500288</v>
      </c>
      <c r="K47" s="34"/>
    </row>
    <row r="48" spans="1:11" ht="15" customHeight="1" x14ac:dyDescent="0.25">
      <c r="A48" s="12"/>
      <c r="B48" s="43" t="s">
        <v>47</v>
      </c>
      <c r="C48" s="14"/>
      <c r="D48" s="15"/>
      <c r="E48" s="16"/>
      <c r="F48" s="16"/>
      <c r="G48" s="19"/>
      <c r="H48" s="18"/>
      <c r="I48" s="19"/>
      <c r="J48" s="37">
        <f>0.13*G47*9524.2</f>
        <v>3070.1041134721709</v>
      </c>
      <c r="K48" s="16"/>
    </row>
    <row r="49" spans="1:14" ht="15" customHeight="1" x14ac:dyDescent="0.25">
      <c r="A49" s="12"/>
      <c r="B49" s="43"/>
      <c r="C49" s="14"/>
      <c r="D49" s="15"/>
      <c r="E49" s="16"/>
      <c r="F49" s="16"/>
      <c r="G49" s="19"/>
      <c r="H49" s="18"/>
      <c r="I49" s="19"/>
      <c r="J49" s="37"/>
      <c r="K49" s="16"/>
    </row>
    <row r="50" spans="1:14" ht="30.75" x14ac:dyDescent="0.25">
      <c r="A50" s="25">
        <v>8</v>
      </c>
      <c r="B50" s="11" t="s">
        <v>48</v>
      </c>
      <c r="C50" s="26"/>
      <c r="D50" s="17"/>
      <c r="E50" s="17"/>
      <c r="F50" s="17"/>
      <c r="G50" s="27"/>
      <c r="H50" s="27"/>
      <c r="I50" s="28"/>
      <c r="J50" s="29"/>
      <c r="K50" s="30"/>
      <c r="N50">
        <f>6.2*3.281+0.23*2</f>
        <v>20.802200000000003</v>
      </c>
    </row>
    <row r="51" spans="1:14" ht="15" customHeight="1" x14ac:dyDescent="0.25">
      <c r="A51" s="25"/>
      <c r="B51" s="22" t="s">
        <v>49</v>
      </c>
      <c r="C51" s="26">
        <v>2</v>
      </c>
      <c r="D51" s="17">
        <f>(10.75/3.281)</f>
        <v>3.2764401097226452</v>
      </c>
      <c r="E51" s="17">
        <f>0.1</f>
        <v>0.1</v>
      </c>
      <c r="F51" s="17">
        <v>0.9</v>
      </c>
      <c r="G51" s="17">
        <f>PRODUCT(C51:F51)</f>
        <v>0.58975921975007617</v>
      </c>
      <c r="H51" s="45"/>
      <c r="I51" s="45"/>
      <c r="J51" s="39"/>
      <c r="K51" s="30"/>
    </row>
    <row r="52" spans="1:14" ht="15" customHeight="1" x14ac:dyDescent="0.25">
      <c r="A52" s="25"/>
      <c r="B52" s="22"/>
      <c r="C52" s="26">
        <v>2</v>
      </c>
      <c r="D52" s="17">
        <f>(6.2)</f>
        <v>6.2</v>
      </c>
      <c r="E52" s="17">
        <v>0.23</v>
      </c>
      <c r="F52" s="17">
        <v>0.9</v>
      </c>
      <c r="G52" s="17">
        <f>PRODUCT(C52:F52)</f>
        <v>2.5668000000000002</v>
      </c>
      <c r="H52" s="45"/>
      <c r="I52" s="45"/>
      <c r="J52" s="39"/>
      <c r="K52" s="30"/>
    </row>
    <row r="53" spans="1:14" ht="15" customHeight="1" x14ac:dyDescent="0.25">
      <c r="A53" s="25"/>
      <c r="B53" s="22" t="s">
        <v>25</v>
      </c>
      <c r="C53" s="26"/>
      <c r="D53" s="17"/>
      <c r="E53" s="17"/>
      <c r="F53" s="17"/>
      <c r="G53" s="27">
        <f>0*SUM(G51:G52)</f>
        <v>0</v>
      </c>
      <c r="H53" s="27" t="s">
        <v>29</v>
      </c>
      <c r="I53" s="28">
        <v>15145.32</v>
      </c>
      <c r="J53" s="29">
        <f>G53*I53</f>
        <v>0</v>
      </c>
      <c r="K53" s="30"/>
    </row>
    <row r="54" spans="1:14" ht="15" customHeight="1" x14ac:dyDescent="0.25">
      <c r="A54" s="12"/>
      <c r="B54" s="22" t="s">
        <v>44</v>
      </c>
      <c r="C54" s="14"/>
      <c r="D54" s="15"/>
      <c r="E54" s="16"/>
      <c r="F54" s="16"/>
      <c r="G54" s="19"/>
      <c r="H54" s="18"/>
      <c r="I54" s="19"/>
      <c r="J54" s="20">
        <f>0.13*G53*10620.51</f>
        <v>0</v>
      </c>
      <c r="K54" s="16"/>
      <c r="M54" s="21"/>
      <c r="N54" s="21"/>
    </row>
    <row r="55" spans="1:14" ht="15" customHeight="1" x14ac:dyDescent="0.25">
      <c r="A55" s="25"/>
      <c r="B55" s="22"/>
      <c r="C55" s="26"/>
      <c r="D55" s="17"/>
      <c r="E55" s="17"/>
      <c r="F55" s="17"/>
      <c r="G55" s="27"/>
      <c r="H55" s="27"/>
      <c r="I55" s="28"/>
      <c r="J55" s="29"/>
      <c r="K55" s="30"/>
    </row>
    <row r="56" spans="1:14" ht="30.75" x14ac:dyDescent="0.25">
      <c r="A56" s="25">
        <v>9</v>
      </c>
      <c r="B56" s="11" t="s">
        <v>50</v>
      </c>
      <c r="C56" s="26"/>
      <c r="D56" s="17"/>
      <c r="E56" s="17"/>
      <c r="F56" s="17"/>
      <c r="G56" s="27"/>
      <c r="H56" s="27"/>
      <c r="I56" s="28"/>
      <c r="J56" s="29"/>
      <c r="K56" s="30"/>
    </row>
    <row r="57" spans="1:14" ht="15" customHeight="1" x14ac:dyDescent="0.25">
      <c r="A57" s="25"/>
      <c r="B57" s="22" t="s">
        <v>117</v>
      </c>
      <c r="C57" s="26">
        <v>2</v>
      </c>
      <c r="D57" s="17">
        <f>24/12/3.281</f>
        <v>0.6095702529716549</v>
      </c>
      <c r="E57" s="17">
        <f>24/12/3.281</f>
        <v>0.6095702529716549</v>
      </c>
      <c r="F57" s="17">
        <f>24/12/3.281</f>
        <v>0.6095702529716549</v>
      </c>
      <c r="G57" s="17">
        <f>PRODUCT(C57:F57)</f>
        <v>0.45300322256376385</v>
      </c>
      <c r="H57" s="45"/>
      <c r="I57" s="45"/>
      <c r="J57" s="39"/>
      <c r="K57" s="30"/>
    </row>
    <row r="58" spans="1:14" ht="15" customHeight="1" x14ac:dyDescent="0.25">
      <c r="A58" s="25"/>
      <c r="B58" s="22" t="s">
        <v>52</v>
      </c>
      <c r="C58" s="26">
        <v>-2</v>
      </c>
      <c r="D58" s="17">
        <f>0.15</f>
        <v>0.15</v>
      </c>
      <c r="E58" s="17">
        <f>0.15</f>
        <v>0.15</v>
      </c>
      <c r="F58" s="17">
        <f>24/12/3.281</f>
        <v>0.6095702529716549</v>
      </c>
      <c r="G58" s="17">
        <f>PRODUCT(C58:F58)</f>
        <v>-2.7430661383724471E-2</v>
      </c>
      <c r="H58" s="45"/>
      <c r="I58" s="45"/>
      <c r="J58" s="39"/>
      <c r="K58" s="30"/>
    </row>
    <row r="59" spans="1:14" ht="15" customHeight="1" x14ac:dyDescent="0.25">
      <c r="A59" s="25"/>
      <c r="B59" s="22" t="s">
        <v>25</v>
      </c>
      <c r="C59" s="26"/>
      <c r="D59" s="17"/>
      <c r="E59" s="17"/>
      <c r="F59" s="17"/>
      <c r="G59" s="27">
        <f>SUM(G57:G58)</f>
        <v>0.42557256118003939</v>
      </c>
      <c r="H59" s="27" t="s">
        <v>29</v>
      </c>
      <c r="I59" s="28">
        <v>14362.76</v>
      </c>
      <c r="J59" s="29">
        <f>G59*I59</f>
        <v>6112.3965588142228</v>
      </c>
      <c r="K59" s="30"/>
    </row>
    <row r="60" spans="1:14" ht="15" customHeight="1" x14ac:dyDescent="0.25">
      <c r="A60" s="12"/>
      <c r="B60" s="22" t="s">
        <v>44</v>
      </c>
      <c r="C60" s="14"/>
      <c r="D60" s="15"/>
      <c r="E60" s="16"/>
      <c r="F60" s="16"/>
      <c r="G60" s="19"/>
      <c r="H60" s="18"/>
      <c r="I60" s="19"/>
      <c r="J60" s="20">
        <f>0.13*G59*10311.74</f>
        <v>570.49116826294573</v>
      </c>
      <c r="K60" s="16"/>
      <c r="M60" s="21"/>
      <c r="N60" s="21"/>
    </row>
    <row r="61" spans="1:14" ht="15" customHeight="1" x14ac:dyDescent="0.25">
      <c r="A61" s="25"/>
      <c r="B61" s="22"/>
      <c r="C61" s="26"/>
      <c r="D61" s="17"/>
      <c r="E61" s="17"/>
      <c r="F61" s="17"/>
      <c r="G61" s="27"/>
      <c r="H61" s="27"/>
      <c r="I61" s="28"/>
      <c r="J61" s="29"/>
      <c r="K61" s="30"/>
    </row>
    <row r="62" spans="1:14" ht="47.25" x14ac:dyDescent="0.25">
      <c r="A62" s="12">
        <v>10</v>
      </c>
      <c r="B62" s="23" t="s">
        <v>53</v>
      </c>
      <c r="C62" s="30"/>
      <c r="D62" s="30"/>
      <c r="E62" s="30"/>
      <c r="F62" s="30"/>
      <c r="G62" s="46"/>
      <c r="H62" s="18"/>
      <c r="I62" s="19"/>
      <c r="J62" s="19"/>
      <c r="K62" s="16"/>
      <c r="M62" s="21"/>
    </row>
    <row r="63" spans="1:14" ht="15" customHeight="1" x14ac:dyDescent="0.25">
      <c r="A63" s="12"/>
      <c r="B63" s="13" t="s">
        <v>54</v>
      </c>
      <c r="C63" s="14">
        <v>1</v>
      </c>
      <c r="D63" s="15"/>
      <c r="E63" s="16">
        <f>10.75/3.281</f>
        <v>3.2764401097226452</v>
      </c>
      <c r="F63" s="16">
        <f>(9.42+7.75)/3.281</f>
        <v>5.233160621761658</v>
      </c>
      <c r="G63" s="17">
        <f t="shared" ref="G63:G68" si="0">PRODUCT(C63:F63)</f>
        <v>17.146137361760992</v>
      </c>
      <c r="H63" s="18"/>
      <c r="I63" s="19"/>
      <c r="J63" s="20"/>
      <c r="K63" s="16"/>
      <c r="M63" s="21"/>
      <c r="N63" s="21"/>
    </row>
    <row r="64" spans="1:14" ht="15" customHeight="1" x14ac:dyDescent="0.25">
      <c r="A64" s="12"/>
      <c r="B64" s="13" t="s">
        <v>22</v>
      </c>
      <c r="C64" s="14">
        <v>-1</v>
      </c>
      <c r="D64" s="15">
        <f>3.5/3.281</f>
        <v>1.0667479427003961</v>
      </c>
      <c r="E64" s="16"/>
      <c r="F64" s="16">
        <f>4.5/3.281</f>
        <v>1.3715330691862238</v>
      </c>
      <c r="G64" s="17">
        <f t="shared" si="0"/>
        <v>-1.4630800798999641</v>
      </c>
      <c r="H64" s="18"/>
      <c r="I64" s="19"/>
      <c r="J64" s="20"/>
      <c r="K64" s="16"/>
      <c r="M64" s="21"/>
      <c r="N64" s="21"/>
    </row>
    <row r="65" spans="1:14" ht="15" customHeight="1" x14ac:dyDescent="0.25">
      <c r="A65" s="12"/>
      <c r="B65" s="13" t="s">
        <v>23</v>
      </c>
      <c r="C65" s="14">
        <v>-1</v>
      </c>
      <c r="D65" s="15">
        <f>3.833/3.281</f>
        <v>1.1682413898201769</v>
      </c>
      <c r="E65" s="16"/>
      <c r="F65" s="16">
        <f>6.5/3.281</f>
        <v>1.9811033221578787</v>
      </c>
      <c r="G65" s="17">
        <f t="shared" si="0"/>
        <v>-2.3144068984550898</v>
      </c>
      <c r="H65" s="18"/>
      <c r="I65" s="19"/>
      <c r="J65" s="20"/>
      <c r="K65" s="16"/>
      <c r="M65" s="21"/>
      <c r="N65" s="21"/>
    </row>
    <row r="66" spans="1:14" ht="15" customHeight="1" x14ac:dyDescent="0.25">
      <c r="A66" s="12"/>
      <c r="B66" s="13" t="s">
        <v>55</v>
      </c>
      <c r="C66" s="14">
        <v>1</v>
      </c>
      <c r="D66" s="15"/>
      <c r="E66" s="16">
        <f>(5.75)/3.281</f>
        <v>1.752514477293508</v>
      </c>
      <c r="F66" s="16">
        <f>(9.42+7.75)/3.281</f>
        <v>5.233160621761658</v>
      </c>
      <c r="G66" s="17">
        <f t="shared" si="0"/>
        <v>9.1711897516396004</v>
      </c>
      <c r="H66" s="18"/>
      <c r="I66" s="19"/>
      <c r="J66" s="20"/>
      <c r="K66" s="16"/>
      <c r="M66" s="21"/>
      <c r="N66" s="21"/>
    </row>
    <row r="67" spans="1:14" ht="15" customHeight="1" x14ac:dyDescent="0.25">
      <c r="A67" s="12"/>
      <c r="B67" s="13" t="s">
        <v>56</v>
      </c>
      <c r="C67" s="14">
        <v>-1</v>
      </c>
      <c r="D67" s="15">
        <f>E63+E66</f>
        <v>5.0289545870161536</v>
      </c>
      <c r="E67" s="16"/>
      <c r="F67" s="16">
        <f>13*0.15</f>
        <v>1.95</v>
      </c>
      <c r="G67" s="17">
        <f t="shared" si="0"/>
        <v>-9.8064614446814993</v>
      </c>
      <c r="H67" s="18"/>
      <c r="I67" s="19"/>
      <c r="J67" s="20"/>
      <c r="K67" s="16"/>
      <c r="M67" s="21"/>
      <c r="N67" s="21"/>
    </row>
    <row r="68" spans="1:14" ht="15" customHeight="1" x14ac:dyDescent="0.25">
      <c r="A68" s="12"/>
      <c r="B68" s="13"/>
      <c r="C68" s="14">
        <v>-1</v>
      </c>
      <c r="D68" s="15">
        <f>D67</f>
        <v>5.0289545870161536</v>
      </c>
      <c r="E68" s="16"/>
      <c r="F68" s="16">
        <f>8/12/3.281</f>
        <v>0.20319008432388497</v>
      </c>
      <c r="G68" s="17">
        <f t="shared" si="0"/>
        <v>-1.0218337065968004</v>
      </c>
      <c r="H68" s="18"/>
      <c r="I68" s="19"/>
      <c r="J68" s="20"/>
      <c r="K68" s="16"/>
      <c r="M68" s="21"/>
      <c r="N68" s="21"/>
    </row>
    <row r="69" spans="1:14" s="53" customFormat="1" ht="15" customHeight="1" x14ac:dyDescent="0.25">
      <c r="A69" s="47"/>
      <c r="B69" s="48" t="s">
        <v>57</v>
      </c>
      <c r="C69" s="49">
        <v>1</v>
      </c>
      <c r="D69" s="50">
        <f>2.75+6.2+6.2+2.6</f>
        <v>17.75</v>
      </c>
      <c r="E69" s="50"/>
      <c r="F69" s="50">
        <f>2.6</f>
        <v>2.6</v>
      </c>
      <c r="G69" s="50">
        <f>PRODUCT(C69:F69)</f>
        <v>46.15</v>
      </c>
      <c r="H69" s="50"/>
      <c r="I69" s="50"/>
      <c r="J69" s="51"/>
      <c r="K69" s="52"/>
    </row>
    <row r="70" spans="1:14" s="53" customFormat="1" ht="15" customHeight="1" x14ac:dyDescent="0.25">
      <c r="A70" s="47"/>
      <c r="B70" s="48" t="s">
        <v>58</v>
      </c>
      <c r="C70" s="49">
        <v>-1</v>
      </c>
      <c r="D70" s="50">
        <f>4/3.281</f>
        <v>1.2191405059433098</v>
      </c>
      <c r="E70" s="50"/>
      <c r="F70" s="50">
        <f>6.5/3.281</f>
        <v>1.9811033221578787</v>
      </c>
      <c r="G70" s="50">
        <f t="shared" ref="G70:G82" si="1">PRODUCT(C70:F70)</f>
        <v>-2.415243306501528</v>
      </c>
      <c r="H70" s="50"/>
      <c r="I70" s="50"/>
      <c r="J70" s="51"/>
      <c r="K70" s="52"/>
    </row>
    <row r="71" spans="1:14" s="53" customFormat="1" ht="15" customHeight="1" x14ac:dyDescent="0.25">
      <c r="A71" s="47"/>
      <c r="B71" s="48" t="s">
        <v>59</v>
      </c>
      <c r="C71" s="49">
        <f>-0.5*8</f>
        <v>-4</v>
      </c>
      <c r="D71" s="50">
        <f>0.667/3.281</f>
        <v>0.20329167936604695</v>
      </c>
      <c r="E71" s="50">
        <f>0.667/3.281</f>
        <v>0.20329167936604695</v>
      </c>
      <c r="F71" s="50"/>
      <c r="G71" s="50">
        <f t="shared" si="1"/>
        <v>-0.16531002759787056</v>
      </c>
      <c r="H71" s="50"/>
      <c r="I71" s="50"/>
      <c r="J71" s="51"/>
      <c r="K71" s="52"/>
    </row>
    <row r="72" spans="1:14" s="53" customFormat="1" ht="15" customHeight="1" x14ac:dyDescent="0.25">
      <c r="A72" s="47"/>
      <c r="B72" s="48" t="s">
        <v>60</v>
      </c>
      <c r="C72" s="49">
        <v>2</v>
      </c>
      <c r="D72" s="50">
        <f>2.6</f>
        <v>2.6</v>
      </c>
      <c r="E72" s="50"/>
      <c r="F72" s="50">
        <f>2.6</f>
        <v>2.6</v>
      </c>
      <c r="G72" s="50">
        <f t="shared" si="1"/>
        <v>13.520000000000001</v>
      </c>
      <c r="H72" s="50"/>
      <c r="I72" s="50"/>
      <c r="J72" s="51"/>
      <c r="K72" s="52"/>
    </row>
    <row r="73" spans="1:14" s="53" customFormat="1" ht="15" customHeight="1" x14ac:dyDescent="0.25">
      <c r="A73" s="47"/>
      <c r="B73" s="48"/>
      <c r="C73" s="49">
        <v>2</v>
      </c>
      <c r="D73" s="50">
        <f>6.2-D72</f>
        <v>3.6</v>
      </c>
      <c r="E73" s="50"/>
      <c r="F73" s="50">
        <f>2.6</f>
        <v>2.6</v>
      </c>
      <c r="G73" s="50">
        <f t="shared" si="1"/>
        <v>18.720000000000002</v>
      </c>
      <c r="H73" s="50"/>
      <c r="I73" s="50"/>
      <c r="J73" s="51"/>
      <c r="K73" s="52"/>
    </row>
    <row r="74" spans="1:14" s="53" customFormat="1" ht="15" customHeight="1" x14ac:dyDescent="0.25">
      <c r="A74" s="47"/>
      <c r="B74" s="48" t="s">
        <v>22</v>
      </c>
      <c r="C74" s="49">
        <v>-1</v>
      </c>
      <c r="D74" s="50">
        <f>3.5/3.281</f>
        <v>1.0667479427003961</v>
      </c>
      <c r="E74" s="50"/>
      <c r="F74" s="50">
        <f>4.5/3.281</f>
        <v>1.3715330691862238</v>
      </c>
      <c r="G74" s="50">
        <f t="shared" si="1"/>
        <v>-1.4630800798999641</v>
      </c>
      <c r="H74" s="50"/>
      <c r="I74" s="50"/>
      <c r="J74" s="51"/>
      <c r="K74" s="52"/>
    </row>
    <row r="75" spans="1:14" s="53" customFormat="1" ht="15" customHeight="1" x14ac:dyDescent="0.25">
      <c r="A75" s="47"/>
      <c r="B75" s="48" t="s">
        <v>61</v>
      </c>
      <c r="C75" s="49">
        <f>1</f>
        <v>1</v>
      </c>
      <c r="D75" s="50">
        <f>10.75/3.281</f>
        <v>3.2764401097226452</v>
      </c>
      <c r="E75" s="50"/>
      <c r="F75" s="50">
        <v>0.9</v>
      </c>
      <c r="G75" s="50">
        <f t="shared" si="1"/>
        <v>2.948796098750381</v>
      </c>
      <c r="H75" s="50"/>
      <c r="I75" s="50"/>
      <c r="J75" s="51"/>
      <c r="K75" s="52"/>
    </row>
    <row r="76" spans="1:14" s="53" customFormat="1" ht="15" customHeight="1" x14ac:dyDescent="0.25">
      <c r="A76" s="47"/>
      <c r="B76" s="48"/>
      <c r="C76" s="49">
        <f>1</f>
        <v>1</v>
      </c>
      <c r="D76" s="50"/>
      <c r="E76" s="50">
        <f>E66</f>
        <v>1.752514477293508</v>
      </c>
      <c r="F76" s="50">
        <v>0.9</v>
      </c>
      <c r="G76" s="50">
        <f t="shared" si="1"/>
        <v>1.5772630295641572</v>
      </c>
      <c r="H76" s="50"/>
      <c r="I76" s="50"/>
      <c r="J76" s="51"/>
      <c r="K76" s="52"/>
    </row>
    <row r="77" spans="1:14" s="53" customFormat="1" ht="15" customHeight="1" x14ac:dyDescent="0.25">
      <c r="A77" s="47"/>
      <c r="B77" s="48" t="s">
        <v>62</v>
      </c>
      <c r="C77" s="49">
        <v>2</v>
      </c>
      <c r="D77" s="50">
        <f>D72</f>
        <v>2.6</v>
      </c>
      <c r="E77" s="50"/>
      <c r="F77" s="50">
        <v>0.9</v>
      </c>
      <c r="G77" s="50">
        <f t="shared" si="1"/>
        <v>4.6800000000000006</v>
      </c>
      <c r="H77" s="50"/>
      <c r="I77" s="50"/>
      <c r="J77" s="51"/>
      <c r="K77" s="52"/>
    </row>
    <row r="78" spans="1:14" s="53" customFormat="1" ht="15" customHeight="1" x14ac:dyDescent="0.25">
      <c r="A78" s="47"/>
      <c r="B78" s="48"/>
      <c r="C78" s="49">
        <v>2</v>
      </c>
      <c r="D78" s="50"/>
      <c r="E78" s="50">
        <v>6.2</v>
      </c>
      <c r="F78" s="50">
        <v>0.9</v>
      </c>
      <c r="G78" s="50">
        <f t="shared" si="1"/>
        <v>11.16</v>
      </c>
      <c r="H78" s="50"/>
      <c r="I78" s="50"/>
      <c r="J78" s="51"/>
      <c r="K78" s="52"/>
    </row>
    <row r="79" spans="1:14" s="53" customFormat="1" ht="15" customHeight="1" x14ac:dyDescent="0.25">
      <c r="A79" s="47"/>
      <c r="B79" s="48" t="s">
        <v>63</v>
      </c>
      <c r="C79" s="49">
        <v>-2</v>
      </c>
      <c r="D79" s="50"/>
      <c r="E79" s="50">
        <f>3/3.281</f>
        <v>0.91435537945748246</v>
      </c>
      <c r="F79" s="50">
        <f>2/3.281</f>
        <v>0.6095702529716549</v>
      </c>
      <c r="G79" s="50">
        <f t="shared" si="1"/>
        <v>-1.1147276799237822</v>
      </c>
      <c r="H79" s="50"/>
      <c r="I79" s="50"/>
      <c r="J79" s="51"/>
      <c r="K79" s="52"/>
    </row>
    <row r="80" spans="1:14" s="53" customFormat="1" ht="15" customHeight="1" x14ac:dyDescent="0.25">
      <c r="A80" s="47"/>
      <c r="B80" s="48" t="s">
        <v>64</v>
      </c>
      <c r="C80" s="49">
        <f>2*4</f>
        <v>8</v>
      </c>
      <c r="D80" s="50">
        <f>24/12/3.281</f>
        <v>0.6095702529716549</v>
      </c>
      <c r="E80" s="50"/>
      <c r="F80" s="50">
        <f>5/3.281</f>
        <v>1.5239256324291375</v>
      </c>
      <c r="G80" s="50">
        <f t="shared" si="1"/>
        <v>7.4315178661585479</v>
      </c>
      <c r="H80" s="50"/>
      <c r="I80" s="50"/>
      <c r="J80" s="51"/>
      <c r="K80" s="52"/>
    </row>
    <row r="81" spans="1:14" s="53" customFormat="1" ht="15" customHeight="1" x14ac:dyDescent="0.25">
      <c r="A81" s="47"/>
      <c r="B81" s="48" t="s">
        <v>65</v>
      </c>
      <c r="C81" s="49">
        <f>-2*4</f>
        <v>-8</v>
      </c>
      <c r="D81" s="50">
        <f>24/12/3.281</f>
        <v>0.6095702529716549</v>
      </c>
      <c r="E81" s="50"/>
      <c r="F81" s="50">
        <f>8/12/3.281</f>
        <v>0.20319008432388497</v>
      </c>
      <c r="G81" s="50">
        <f t="shared" si="1"/>
        <v>-0.99086904882113958</v>
      </c>
      <c r="H81" s="50"/>
      <c r="I81" s="50"/>
      <c r="J81" s="51"/>
      <c r="K81" s="52"/>
    </row>
    <row r="82" spans="1:14" s="53" customFormat="1" ht="15" customHeight="1" x14ac:dyDescent="0.25">
      <c r="A82" s="47"/>
      <c r="B82" s="48" t="s">
        <v>66</v>
      </c>
      <c r="C82" s="49">
        <v>1</v>
      </c>
      <c r="D82" s="50">
        <f>10.75/3.281</f>
        <v>3.2764401097226452</v>
      </c>
      <c r="E82" s="50"/>
      <c r="F82" s="50">
        <f>F63+F75</f>
        <v>6.1331606217616583</v>
      </c>
      <c r="G82" s="50">
        <f t="shared" si="1"/>
        <v>20.094933460511374</v>
      </c>
      <c r="H82" s="50"/>
      <c r="I82" s="50"/>
      <c r="J82" s="51"/>
      <c r="K82" s="52"/>
    </row>
    <row r="83" spans="1:14" ht="15" customHeight="1" x14ac:dyDescent="0.25">
      <c r="A83" s="12"/>
      <c r="B83" s="22" t="s">
        <v>25</v>
      </c>
      <c r="C83" s="14"/>
      <c r="D83" s="15"/>
      <c r="E83" s="16"/>
      <c r="F83" s="16"/>
      <c r="G83" s="19">
        <f>SUM(G63:G82)</f>
        <v>131.8448252960074</v>
      </c>
      <c r="H83" s="18" t="s">
        <v>26</v>
      </c>
      <c r="I83" s="19">
        <f>5810.57/1.15</f>
        <v>5052.6695652173912</v>
      </c>
      <c r="J83" s="20">
        <f>G83*I83</f>
        <v>666168.33610454062</v>
      </c>
      <c r="K83" s="16"/>
      <c r="M83" s="21"/>
      <c r="N83" s="21"/>
    </row>
    <row r="84" spans="1:14" ht="15" customHeight="1" x14ac:dyDescent="0.25">
      <c r="A84" s="12"/>
      <c r="B84" s="22" t="s">
        <v>44</v>
      </c>
      <c r="C84" s="14"/>
      <c r="D84" s="15"/>
      <c r="E84" s="16"/>
      <c r="F84" s="16"/>
      <c r="G84" s="19"/>
      <c r="H84" s="18"/>
      <c r="I84" s="19"/>
      <c r="J84" s="20">
        <f>G83*0.13*(309557.25/100)</f>
        <v>53057.578008971235</v>
      </c>
      <c r="K84" s="16"/>
      <c r="M84" s="21"/>
      <c r="N84" s="21"/>
    </row>
    <row r="85" spans="1:14" ht="15" customHeight="1" x14ac:dyDescent="0.25">
      <c r="A85" s="12"/>
      <c r="B85" s="22"/>
      <c r="C85" s="14"/>
      <c r="D85" s="15"/>
      <c r="E85" s="16"/>
      <c r="F85" s="16"/>
      <c r="G85" s="19"/>
      <c r="H85" s="18"/>
      <c r="I85" s="19"/>
      <c r="J85" s="20"/>
      <c r="K85" s="16"/>
      <c r="M85" s="21"/>
      <c r="N85" s="21"/>
    </row>
    <row r="86" spans="1:14" ht="47.25" x14ac:dyDescent="0.25">
      <c r="A86" s="12">
        <v>11</v>
      </c>
      <c r="B86" s="23" t="s">
        <v>67</v>
      </c>
      <c r="C86" s="14"/>
      <c r="D86" s="15"/>
      <c r="E86" s="16"/>
      <c r="F86" s="16"/>
      <c r="G86" s="19"/>
      <c r="H86" s="18"/>
      <c r="I86" s="19"/>
      <c r="J86" s="20"/>
      <c r="K86" s="16"/>
      <c r="M86" s="21"/>
      <c r="N86" s="21"/>
    </row>
    <row r="87" spans="1:14" ht="15" customHeight="1" x14ac:dyDescent="0.25">
      <c r="A87" s="12"/>
      <c r="B87" s="22" t="s">
        <v>49</v>
      </c>
      <c r="C87" s="14">
        <f>1+1*2</f>
        <v>3</v>
      </c>
      <c r="D87" s="15">
        <f>E63+E66</f>
        <v>5.0289545870161536</v>
      </c>
      <c r="E87" s="16"/>
      <c r="F87" s="16"/>
      <c r="G87" s="17">
        <f>PRODUCT(C87:F87)</f>
        <v>15.086863761048461</v>
      </c>
      <c r="H87" s="18"/>
      <c r="I87" s="19"/>
      <c r="J87" s="20"/>
      <c r="K87" s="16"/>
      <c r="M87" s="21"/>
      <c r="N87" s="21"/>
    </row>
    <row r="88" spans="1:14" ht="15" customHeight="1" x14ac:dyDescent="0.25">
      <c r="A88" s="12"/>
      <c r="B88" s="22" t="s">
        <v>51</v>
      </c>
      <c r="C88" s="14">
        <v>2</v>
      </c>
      <c r="D88" s="15">
        <f>(24/12/3.281)*4</f>
        <v>2.4382810118866196</v>
      </c>
      <c r="E88" s="16"/>
      <c r="F88" s="16"/>
      <c r="G88" s="17">
        <f>PRODUCT(C88:F88)</f>
        <v>4.8765620237732392</v>
      </c>
      <c r="H88" s="18"/>
      <c r="I88" s="19"/>
      <c r="J88" s="20"/>
      <c r="K88" s="16"/>
      <c r="M88" s="21"/>
      <c r="N88" s="21"/>
    </row>
    <row r="89" spans="1:14" ht="15" customHeight="1" x14ac:dyDescent="0.25">
      <c r="A89" s="12"/>
      <c r="B89" s="22" t="s">
        <v>25</v>
      </c>
      <c r="C89" s="14"/>
      <c r="D89" s="15"/>
      <c r="E89" s="16"/>
      <c r="F89" s="16"/>
      <c r="G89" s="19">
        <f>SUM(G87:G88)</f>
        <v>19.963425784821702</v>
      </c>
      <c r="H89" s="18" t="s">
        <v>68</v>
      </c>
      <c r="I89" s="19">
        <f>396.86/1.15</f>
        <v>345.09565217391309</v>
      </c>
      <c r="J89" s="20">
        <f>G89*I89</f>
        <v>6889.2914408385577</v>
      </c>
      <c r="K89" s="16"/>
      <c r="M89" s="21"/>
      <c r="N89" s="21"/>
    </row>
    <row r="90" spans="1:14" ht="15" customHeight="1" x14ac:dyDescent="0.25">
      <c r="A90" s="12"/>
      <c r="B90" s="22" t="s">
        <v>44</v>
      </c>
      <c r="C90" s="14"/>
      <c r="D90" s="15"/>
      <c r="E90" s="16"/>
      <c r="F90" s="16"/>
      <c r="G90" s="19"/>
      <c r="H90" s="18"/>
      <c r="I90" s="19"/>
      <c r="J90" s="20">
        <f>G89*0.13*(2182.61/10)</f>
        <v>566.44084577872616</v>
      </c>
      <c r="K90" s="16"/>
      <c r="M90" s="21"/>
      <c r="N90" s="21"/>
    </row>
    <row r="91" spans="1:14" ht="15" customHeight="1" x14ac:dyDescent="0.25">
      <c r="A91" s="12"/>
      <c r="B91" s="22"/>
      <c r="C91" s="14"/>
      <c r="D91" s="15"/>
      <c r="E91" s="16"/>
      <c r="F91" s="16"/>
      <c r="G91" s="19"/>
      <c r="H91" s="18"/>
      <c r="I91" s="19"/>
      <c r="J91" s="20"/>
      <c r="K91" s="16"/>
      <c r="M91" s="21"/>
      <c r="N91" s="21"/>
    </row>
    <row r="92" spans="1:14" ht="47.25" x14ac:dyDescent="0.25">
      <c r="A92" s="12">
        <v>12</v>
      </c>
      <c r="B92" s="23" t="s">
        <v>69</v>
      </c>
      <c r="C92" s="14"/>
      <c r="D92" s="15"/>
      <c r="E92" s="16"/>
      <c r="F92" s="16"/>
      <c r="G92" s="19"/>
      <c r="H92" s="18"/>
      <c r="I92" s="19"/>
      <c r="J92" s="20"/>
      <c r="K92" s="16"/>
      <c r="M92" s="21"/>
      <c r="N92" s="21"/>
    </row>
    <row r="93" spans="1:14" ht="15" customHeight="1" x14ac:dyDescent="0.25">
      <c r="A93" s="12"/>
      <c r="B93" s="22" t="s">
        <v>49</v>
      </c>
      <c r="C93" s="14">
        <f>1</f>
        <v>1</v>
      </c>
      <c r="D93" s="15">
        <f>D87</f>
        <v>5.0289545870161536</v>
      </c>
      <c r="E93" s="16"/>
      <c r="F93" s="16"/>
      <c r="G93" s="17">
        <f>PRODUCT(C93:F93)</f>
        <v>5.0289545870161536</v>
      </c>
      <c r="H93" s="18"/>
      <c r="I93" s="19"/>
      <c r="J93" s="20"/>
      <c r="K93" s="16"/>
      <c r="M93" s="21"/>
      <c r="N93" s="21"/>
    </row>
    <row r="94" spans="1:14" ht="15" customHeight="1" x14ac:dyDescent="0.25">
      <c r="A94" s="12"/>
      <c r="B94" s="22" t="s">
        <v>51</v>
      </c>
      <c r="C94" s="14">
        <v>2</v>
      </c>
      <c r="D94" s="15">
        <f>(24/12/3.281)*4</f>
        <v>2.4382810118866196</v>
      </c>
      <c r="E94" s="16"/>
      <c r="F94" s="16"/>
      <c r="G94" s="17">
        <f>PRODUCT(C94:F94)</f>
        <v>4.8765620237732392</v>
      </c>
      <c r="H94" s="18"/>
      <c r="I94" s="19"/>
      <c r="J94" s="20"/>
      <c r="K94" s="16"/>
      <c r="M94" s="21"/>
      <c r="N94" s="21"/>
    </row>
    <row r="95" spans="1:14" ht="15" customHeight="1" x14ac:dyDescent="0.25">
      <c r="A95" s="12"/>
      <c r="B95" s="22" t="s">
        <v>25</v>
      </c>
      <c r="C95" s="14"/>
      <c r="D95" s="15"/>
      <c r="E95" s="16"/>
      <c r="F95" s="16"/>
      <c r="G95" s="19">
        <f>SUM(G93:G94)</f>
        <v>9.9055166107893928</v>
      </c>
      <c r="H95" s="18" t="s">
        <v>68</v>
      </c>
      <c r="I95" s="19">
        <f>465.63/1.15</f>
        <v>404.89565217391305</v>
      </c>
      <c r="J95" s="20">
        <f>G95*I95</f>
        <v>4010.7006082450998</v>
      </c>
      <c r="K95" s="16"/>
      <c r="M95" s="21"/>
      <c r="N95" s="21"/>
    </row>
    <row r="96" spans="1:14" ht="15" customHeight="1" x14ac:dyDescent="0.25">
      <c r="A96" s="12"/>
      <c r="B96" s="22" t="s">
        <v>44</v>
      </c>
      <c r="C96" s="14"/>
      <c r="D96" s="15"/>
      <c r="E96" s="16"/>
      <c r="F96" s="16"/>
      <c r="G96" s="19"/>
      <c r="H96" s="18"/>
      <c r="I96" s="19"/>
      <c r="J96" s="20">
        <f>G95*0.13*(2780.61/10)</f>
        <v>358.06392106065226</v>
      </c>
      <c r="K96" s="16"/>
      <c r="M96" s="21"/>
      <c r="N96" s="21"/>
    </row>
    <row r="97" spans="1:14" ht="15" customHeight="1" x14ac:dyDescent="0.25">
      <c r="A97" s="12"/>
      <c r="B97" s="22"/>
      <c r="C97" s="14"/>
      <c r="D97" s="15"/>
      <c r="E97" s="16"/>
      <c r="F97" s="16"/>
      <c r="G97" s="19"/>
      <c r="H97" s="18"/>
      <c r="I97" s="19"/>
      <c r="J97" s="20"/>
      <c r="K97" s="16"/>
      <c r="M97" s="21"/>
      <c r="N97" s="21"/>
    </row>
    <row r="98" spans="1:14" ht="47.25" x14ac:dyDescent="0.25">
      <c r="A98" s="12">
        <v>13</v>
      </c>
      <c r="B98" s="23" t="s">
        <v>70</v>
      </c>
      <c r="C98" s="14"/>
      <c r="D98" s="15"/>
      <c r="E98" s="16"/>
      <c r="F98" s="16"/>
      <c r="G98" s="19"/>
      <c r="H98" s="18"/>
      <c r="I98" s="19"/>
      <c r="J98" s="20"/>
      <c r="K98" s="16"/>
      <c r="M98" s="21"/>
      <c r="N98" s="21"/>
    </row>
    <row r="99" spans="1:14" ht="15" customHeight="1" x14ac:dyDescent="0.25">
      <c r="A99" s="12"/>
      <c r="B99" s="22" t="s">
        <v>49</v>
      </c>
      <c r="C99" s="14">
        <f>2*2</f>
        <v>4</v>
      </c>
      <c r="D99" s="15">
        <f>D93</f>
        <v>5.0289545870161536</v>
      </c>
      <c r="E99" s="16"/>
      <c r="F99" s="16"/>
      <c r="G99" s="17">
        <f>PRODUCT(C99:F99)</f>
        <v>20.115818348064614</v>
      </c>
      <c r="H99" s="18"/>
      <c r="I99" s="19"/>
      <c r="J99" s="20"/>
      <c r="K99" s="16"/>
      <c r="M99" s="21"/>
      <c r="N99" s="21"/>
    </row>
    <row r="100" spans="1:14" ht="15" customHeight="1" x14ac:dyDescent="0.25">
      <c r="A100" s="12"/>
      <c r="B100" s="13" t="s">
        <v>22</v>
      </c>
      <c r="C100" s="14">
        <v>-1</v>
      </c>
      <c r="D100" s="15">
        <f>3.5/3.281</f>
        <v>1.0667479427003961</v>
      </c>
      <c r="E100" s="16"/>
      <c r="F100" s="16"/>
      <c r="G100" s="17">
        <f>PRODUCT(C100:F100)</f>
        <v>-1.0667479427003961</v>
      </c>
      <c r="H100" s="18"/>
      <c r="I100" s="19"/>
      <c r="J100" s="20"/>
      <c r="K100" s="16"/>
      <c r="M100" s="21"/>
      <c r="N100" s="21"/>
    </row>
    <row r="101" spans="1:14" ht="15" customHeight="1" x14ac:dyDescent="0.25">
      <c r="A101" s="12"/>
      <c r="B101" s="13" t="s">
        <v>23</v>
      </c>
      <c r="C101" s="14">
        <v>-1</v>
      </c>
      <c r="D101" s="15">
        <f>3.833/3.281</f>
        <v>1.1682413898201769</v>
      </c>
      <c r="E101" s="16"/>
      <c r="F101" s="16"/>
      <c r="G101" s="17">
        <f>PRODUCT(C101:F101)</f>
        <v>-1.1682413898201769</v>
      </c>
      <c r="H101" s="18"/>
      <c r="I101" s="19"/>
      <c r="J101" s="20"/>
      <c r="K101" s="16"/>
      <c r="M101" s="21"/>
      <c r="N101" s="21"/>
    </row>
    <row r="102" spans="1:14" ht="15" customHeight="1" x14ac:dyDescent="0.25">
      <c r="A102" s="12"/>
      <c r="B102" s="22" t="s">
        <v>51</v>
      </c>
      <c r="C102" s="14">
        <f>2*2</f>
        <v>4</v>
      </c>
      <c r="D102" s="15">
        <f>(24/12/3.281)*4</f>
        <v>2.4382810118866196</v>
      </c>
      <c r="E102" s="16"/>
      <c r="F102" s="16"/>
      <c r="G102" s="17">
        <f>PRODUCT(C102:F102)</f>
        <v>9.7531240475464784</v>
      </c>
      <c r="H102" s="18"/>
      <c r="I102" s="19"/>
      <c r="J102" s="20"/>
      <c r="K102" s="16"/>
      <c r="M102" s="21"/>
      <c r="N102" s="21"/>
    </row>
    <row r="103" spans="1:14" ht="15" customHeight="1" x14ac:dyDescent="0.25">
      <c r="A103" s="12"/>
      <c r="B103" s="22" t="s">
        <v>25</v>
      </c>
      <c r="C103" s="14"/>
      <c r="D103" s="15"/>
      <c r="E103" s="16"/>
      <c r="F103" s="16"/>
      <c r="G103" s="19">
        <f>SUM(G99:G102)</f>
        <v>27.633953063090519</v>
      </c>
      <c r="H103" s="18" t="s">
        <v>68</v>
      </c>
      <c r="I103" s="19">
        <f>406.75/1.15</f>
        <v>353.69565217391306</v>
      </c>
      <c r="J103" s="20">
        <f>G103*I103</f>
        <v>9774.0090507931036</v>
      </c>
      <c r="K103" s="16"/>
      <c r="M103" s="21"/>
      <c r="N103" s="21"/>
    </row>
    <row r="104" spans="1:14" ht="15" customHeight="1" x14ac:dyDescent="0.25">
      <c r="A104" s="12"/>
      <c r="B104" s="22" t="s">
        <v>44</v>
      </c>
      <c r="C104" s="14"/>
      <c r="D104" s="15"/>
      <c r="E104" s="16"/>
      <c r="F104" s="16"/>
      <c r="G104" s="19"/>
      <c r="H104" s="18"/>
      <c r="I104" s="19"/>
      <c r="J104" s="20">
        <f>G103*0.13*(2268.61/10)</f>
        <v>814.97860935995129</v>
      </c>
      <c r="K104" s="16"/>
      <c r="M104" s="21"/>
      <c r="N104" s="21"/>
    </row>
    <row r="105" spans="1:14" ht="15" customHeight="1" x14ac:dyDescent="0.25">
      <c r="A105" s="12"/>
      <c r="B105" s="22"/>
      <c r="C105" s="14"/>
      <c r="D105" s="15"/>
      <c r="E105" s="16"/>
      <c r="F105" s="16"/>
      <c r="G105" s="19"/>
      <c r="H105" s="18"/>
      <c r="I105" s="19"/>
      <c r="J105" s="20"/>
      <c r="K105" s="16"/>
      <c r="M105" s="21"/>
      <c r="N105" s="21"/>
    </row>
    <row r="106" spans="1:14" ht="47.25" x14ac:dyDescent="0.25">
      <c r="A106" s="12">
        <v>14</v>
      </c>
      <c r="B106" s="23" t="s">
        <v>71</v>
      </c>
      <c r="C106" s="14"/>
      <c r="D106" s="15"/>
      <c r="E106" s="16"/>
      <c r="F106" s="16"/>
      <c r="G106" s="19"/>
      <c r="H106" s="18"/>
      <c r="I106" s="19"/>
      <c r="J106" s="20"/>
      <c r="K106" s="16"/>
      <c r="M106" s="21"/>
      <c r="N106" s="21"/>
    </row>
    <row r="107" spans="1:14" ht="15" customHeight="1" x14ac:dyDescent="0.25">
      <c r="A107" s="12"/>
      <c r="B107" s="22" t="s">
        <v>49</v>
      </c>
      <c r="C107" s="14">
        <v>2</v>
      </c>
      <c r="D107" s="15">
        <f>D99</f>
        <v>5.0289545870161536</v>
      </c>
      <c r="E107" s="16"/>
      <c r="F107" s="16"/>
      <c r="G107" s="17">
        <f>PRODUCT(C107:F107)</f>
        <v>10.057909174032307</v>
      </c>
      <c r="H107" s="18"/>
      <c r="I107" s="19"/>
      <c r="J107" s="20"/>
      <c r="K107" s="16"/>
      <c r="M107" s="21"/>
      <c r="N107" s="21"/>
    </row>
    <row r="108" spans="1:14" ht="15" customHeight="1" x14ac:dyDescent="0.25">
      <c r="A108" s="12"/>
      <c r="B108" s="13" t="s">
        <v>22</v>
      </c>
      <c r="C108" s="14">
        <v>-1</v>
      </c>
      <c r="D108" s="15">
        <f>3.5/3.281</f>
        <v>1.0667479427003961</v>
      </c>
      <c r="E108" s="16"/>
      <c r="F108" s="16"/>
      <c r="G108" s="17">
        <f>PRODUCT(C108:F108)</f>
        <v>-1.0667479427003961</v>
      </c>
      <c r="H108" s="18"/>
      <c r="I108" s="19"/>
      <c r="J108" s="20"/>
      <c r="K108" s="16"/>
      <c r="M108" s="21"/>
      <c r="N108" s="21"/>
    </row>
    <row r="109" spans="1:14" ht="15" customHeight="1" x14ac:dyDescent="0.25">
      <c r="A109" s="12"/>
      <c r="B109" s="13" t="s">
        <v>23</v>
      </c>
      <c r="C109" s="14">
        <v>-1</v>
      </c>
      <c r="D109" s="15">
        <f>3.833/3.281</f>
        <v>1.1682413898201769</v>
      </c>
      <c r="E109" s="16"/>
      <c r="F109" s="16"/>
      <c r="G109" s="17">
        <f>PRODUCT(C109:F109)</f>
        <v>-1.1682413898201769</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SUM(G107:G110)</f>
        <v>12.699481865284973</v>
      </c>
      <c r="H111" s="18" t="s">
        <v>68</v>
      </c>
      <c r="I111" s="19">
        <f>447.23/1.15</f>
        <v>388.89565217391311</v>
      </c>
      <c r="J111" s="20">
        <f>G111*I111</f>
        <v>4938.7732822707821</v>
      </c>
      <c r="K111" s="16"/>
      <c r="M111" s="21"/>
      <c r="N111" s="21"/>
    </row>
    <row r="112" spans="1:14" ht="15" customHeight="1" x14ac:dyDescent="0.25">
      <c r="A112" s="12"/>
      <c r="B112" s="22" t="s">
        <v>44</v>
      </c>
      <c r="C112" s="14"/>
      <c r="D112" s="15"/>
      <c r="E112" s="16"/>
      <c r="F112" s="16"/>
      <c r="G112" s="19"/>
      <c r="H112" s="18"/>
      <c r="I112" s="19"/>
      <c r="J112" s="20">
        <f>G111*0.13*(2620.61/10)</f>
        <v>432.64505922279795</v>
      </c>
      <c r="K112" s="16"/>
      <c r="M112" s="21"/>
      <c r="N112" s="21"/>
    </row>
    <row r="113" spans="1:14" ht="15" customHeight="1" x14ac:dyDescent="0.25">
      <c r="A113" s="12"/>
      <c r="B113" s="22"/>
      <c r="C113" s="14"/>
      <c r="D113" s="15"/>
      <c r="E113" s="16"/>
      <c r="F113" s="16"/>
      <c r="G113" s="19"/>
      <c r="H113" s="18"/>
      <c r="I113" s="19"/>
      <c r="J113" s="20"/>
      <c r="K113" s="16"/>
      <c r="M113" s="21"/>
      <c r="N113" s="21"/>
    </row>
    <row r="114" spans="1:14" ht="47.25" x14ac:dyDescent="0.25">
      <c r="A114" s="12">
        <v>15</v>
      </c>
      <c r="B114" s="23" t="s">
        <v>72</v>
      </c>
      <c r="C114" s="14"/>
      <c r="D114" s="15"/>
      <c r="E114" s="16"/>
      <c r="F114" s="16"/>
      <c r="G114" s="19"/>
      <c r="H114" s="18"/>
      <c r="I114" s="19"/>
      <c r="J114" s="20"/>
      <c r="K114" s="16"/>
      <c r="M114" s="21"/>
      <c r="N114" s="21"/>
    </row>
    <row r="115" spans="1:14" ht="15" customHeight="1" x14ac:dyDescent="0.25">
      <c r="A115" s="12"/>
      <c r="B115" s="22" t="s">
        <v>49</v>
      </c>
      <c r="C115" s="14">
        <f>1*2</f>
        <v>2</v>
      </c>
      <c r="D115" s="15">
        <f>D107</f>
        <v>5.0289545870161536</v>
      </c>
      <c r="E115" s="16"/>
      <c r="F115" s="16"/>
      <c r="G115" s="17">
        <f>PRODUCT(C115:F115)</f>
        <v>10.057909174032307</v>
      </c>
      <c r="H115" s="18"/>
      <c r="I115" s="19"/>
      <c r="J115" s="20"/>
      <c r="K115" s="16"/>
      <c r="M115" s="21"/>
      <c r="N115" s="21"/>
    </row>
    <row r="116" spans="1:14" ht="15" customHeight="1" x14ac:dyDescent="0.25">
      <c r="A116" s="12"/>
      <c r="B116" s="22" t="s">
        <v>51</v>
      </c>
      <c r="C116" s="14">
        <f>2</f>
        <v>2</v>
      </c>
      <c r="D116" s="15">
        <f>(24/12/3.281)*4</f>
        <v>2.4382810118866196</v>
      </c>
      <c r="E116" s="16"/>
      <c r="F116" s="16"/>
      <c r="G116" s="17">
        <f>PRODUCT(C116:F116)</f>
        <v>4.8765620237732392</v>
      </c>
      <c r="H116" s="18"/>
      <c r="I116" s="19"/>
      <c r="J116" s="20"/>
      <c r="K116" s="16"/>
      <c r="M116" s="21"/>
      <c r="N116" s="21"/>
    </row>
    <row r="117" spans="1:14" ht="15" customHeight="1" x14ac:dyDescent="0.25">
      <c r="A117" s="12"/>
      <c r="B117" s="22" t="s">
        <v>25</v>
      </c>
      <c r="C117" s="14"/>
      <c r="D117" s="15"/>
      <c r="E117" s="16"/>
      <c r="F117" s="16"/>
      <c r="G117" s="19">
        <f>SUM(G115:G116)</f>
        <v>14.934471197805546</v>
      </c>
      <c r="H117" s="18" t="s">
        <v>68</v>
      </c>
      <c r="I117" s="19">
        <f>469.79/1.15</f>
        <v>408.5130434782609</v>
      </c>
      <c r="J117" s="20">
        <f>G117*I117</f>
        <v>6100.926281753972</v>
      </c>
      <c r="K117" s="16"/>
      <c r="M117" s="21"/>
      <c r="N117" s="21"/>
    </row>
    <row r="118" spans="1:14" ht="15" customHeight="1" x14ac:dyDescent="0.25">
      <c r="A118" s="12"/>
      <c r="B118" s="22" t="s">
        <v>44</v>
      </c>
      <c r="C118" s="14"/>
      <c r="D118" s="15"/>
      <c r="E118" s="16"/>
      <c r="F118" s="16"/>
      <c r="G118" s="19"/>
      <c r="H118" s="18"/>
      <c r="I118" s="19"/>
      <c r="J118" s="20">
        <f>G117*0.13*(2140.61/10)</f>
        <v>415.59541907954895</v>
      </c>
      <c r="K118" s="16"/>
      <c r="M118" s="21"/>
      <c r="N118" s="21"/>
    </row>
    <row r="119" spans="1:14" ht="15" customHeight="1" x14ac:dyDescent="0.25">
      <c r="A119" s="12"/>
      <c r="B119" s="30"/>
      <c r="C119" s="14"/>
      <c r="D119" s="15"/>
      <c r="E119" s="16"/>
      <c r="F119" s="16"/>
      <c r="G119" s="19"/>
      <c r="H119" s="18"/>
      <c r="I119" s="19"/>
      <c r="J119" s="20"/>
      <c r="K119" s="16"/>
      <c r="M119" s="21"/>
      <c r="N119" s="21"/>
    </row>
    <row r="120" spans="1:14" ht="47.25" x14ac:dyDescent="0.25">
      <c r="A120" s="12">
        <v>16</v>
      </c>
      <c r="B120" s="23" t="s">
        <v>73</v>
      </c>
      <c r="C120" s="14"/>
      <c r="D120" s="15"/>
      <c r="E120" s="16"/>
      <c r="F120" s="16"/>
      <c r="G120" s="19"/>
      <c r="H120" s="18"/>
      <c r="I120" s="19"/>
      <c r="J120" s="20"/>
      <c r="K120" s="16"/>
      <c r="M120" s="21"/>
      <c r="N120" s="21"/>
    </row>
    <row r="121" spans="1:14" ht="15" customHeight="1" x14ac:dyDescent="0.25">
      <c r="A121" s="12"/>
      <c r="B121" s="22" t="s">
        <v>49</v>
      </c>
      <c r="C121" s="14">
        <f>1*2</f>
        <v>2</v>
      </c>
      <c r="D121" s="15">
        <f>D145</f>
        <v>5.0289545870161536</v>
      </c>
      <c r="E121" s="16"/>
      <c r="F121" s="16"/>
      <c r="G121" s="17">
        <f>PRODUCT(C121:F121)</f>
        <v>10.057909174032307</v>
      </c>
      <c r="H121" s="18"/>
      <c r="I121" s="19"/>
      <c r="J121" s="20"/>
      <c r="K121" s="16"/>
      <c r="M121" s="21"/>
      <c r="N121" s="21"/>
    </row>
    <row r="122" spans="1:14" ht="15" customHeight="1" x14ac:dyDescent="0.25">
      <c r="A122" s="12"/>
      <c r="B122" s="22" t="s">
        <v>51</v>
      </c>
      <c r="C122" s="14">
        <f>2</f>
        <v>2</v>
      </c>
      <c r="D122" s="15">
        <f>(24/12/3.281)*4</f>
        <v>2.4382810118866196</v>
      </c>
      <c r="E122" s="16"/>
      <c r="F122" s="16"/>
      <c r="G122" s="17">
        <f>PRODUCT(C122:F122)</f>
        <v>4.8765620237732392</v>
      </c>
      <c r="H122" s="18"/>
      <c r="I122" s="19"/>
      <c r="J122" s="20"/>
      <c r="K122" s="16"/>
      <c r="M122" s="21"/>
      <c r="N122" s="21"/>
    </row>
    <row r="123" spans="1:14" ht="15" customHeight="1" x14ac:dyDescent="0.25">
      <c r="A123" s="12"/>
      <c r="B123" s="22" t="s">
        <v>25</v>
      </c>
      <c r="C123" s="14"/>
      <c r="D123" s="15"/>
      <c r="E123" s="16"/>
      <c r="F123" s="16"/>
      <c r="G123" s="19">
        <f>SUM(G121:G122)</f>
        <v>14.934471197805546</v>
      </c>
      <c r="H123" s="18" t="s">
        <v>68</v>
      </c>
      <c r="I123" s="19">
        <f>476.67/1.15</f>
        <v>414.49565217391307</v>
      </c>
      <c r="J123" s="20">
        <f>G123*I123</f>
        <v>6190.2733790069306</v>
      </c>
      <c r="K123" s="16"/>
      <c r="M123" s="21"/>
      <c r="N123" s="21"/>
    </row>
    <row r="124" spans="1:14" ht="15" customHeight="1" x14ac:dyDescent="0.25">
      <c r="A124" s="12"/>
      <c r="B124" s="22" t="s">
        <v>44</v>
      </c>
      <c r="C124" s="14"/>
      <c r="D124" s="15"/>
      <c r="E124" s="16"/>
      <c r="F124" s="16"/>
      <c r="G124" s="19"/>
      <c r="H124" s="18"/>
      <c r="I124" s="19"/>
      <c r="J124" s="20">
        <f>G123*0.13*(2876.61/10)</f>
        <v>558.48843950015237</v>
      </c>
      <c r="K124" s="16"/>
      <c r="M124" s="21"/>
      <c r="N124" s="21"/>
    </row>
    <row r="125" spans="1:14" ht="15" customHeight="1" x14ac:dyDescent="0.25">
      <c r="A125" s="12"/>
      <c r="B125" s="22"/>
      <c r="C125" s="14"/>
      <c r="D125" s="15"/>
      <c r="E125" s="16"/>
      <c r="F125" s="16"/>
      <c r="G125" s="19"/>
      <c r="H125" s="18"/>
      <c r="I125" s="19"/>
      <c r="J125" s="20"/>
      <c r="K125" s="16"/>
      <c r="M125" s="21"/>
      <c r="N125" s="21"/>
    </row>
    <row r="126" spans="1:14" ht="47.25" x14ac:dyDescent="0.25">
      <c r="A126" s="12">
        <v>17</v>
      </c>
      <c r="B126" s="23" t="s">
        <v>74</v>
      </c>
      <c r="C126" s="14"/>
      <c r="D126" s="15"/>
      <c r="E126" s="16"/>
      <c r="F126" s="16"/>
      <c r="G126" s="19"/>
      <c r="H126" s="18"/>
      <c r="I126" s="19"/>
      <c r="J126" s="20"/>
      <c r="K126" s="16"/>
      <c r="M126" s="21"/>
      <c r="N126" s="21"/>
    </row>
    <row r="127" spans="1:14" ht="15" customHeight="1" x14ac:dyDescent="0.25">
      <c r="A127" s="12"/>
      <c r="B127" s="22" t="s">
        <v>49</v>
      </c>
      <c r="C127" s="14">
        <f>1*2</f>
        <v>2</v>
      </c>
      <c r="D127" s="15">
        <f>D121</f>
        <v>5.0289545870161536</v>
      </c>
      <c r="E127" s="16"/>
      <c r="F127" s="16"/>
      <c r="G127" s="17">
        <f>PRODUCT(C127:F127)</f>
        <v>10.057909174032307</v>
      </c>
      <c r="H127" s="18"/>
      <c r="I127" s="19"/>
      <c r="J127" s="20"/>
      <c r="K127" s="16"/>
      <c r="M127" s="21"/>
      <c r="N127" s="21"/>
    </row>
    <row r="128" spans="1:14" ht="15" customHeight="1" x14ac:dyDescent="0.25">
      <c r="A128" s="12"/>
      <c r="B128" s="22" t="s">
        <v>51</v>
      </c>
      <c r="C128" s="14">
        <f>2</f>
        <v>2</v>
      </c>
      <c r="D128" s="15">
        <f>(24/12/3.281)*4</f>
        <v>2.4382810118866196</v>
      </c>
      <c r="E128" s="16"/>
      <c r="F128" s="16"/>
      <c r="G128" s="17">
        <f>PRODUCT(C128:F128)</f>
        <v>4.8765620237732392</v>
      </c>
      <c r="H128" s="18"/>
      <c r="I128" s="19"/>
      <c r="J128" s="20"/>
      <c r="K128" s="16"/>
      <c r="M128" s="21"/>
      <c r="N128" s="21"/>
    </row>
    <row r="129" spans="1:14" ht="15" customHeight="1" x14ac:dyDescent="0.25">
      <c r="A129" s="12"/>
      <c r="B129" s="22" t="s">
        <v>25</v>
      </c>
      <c r="C129" s="14"/>
      <c r="D129" s="15"/>
      <c r="E129" s="16"/>
      <c r="F129" s="16"/>
      <c r="G129" s="19">
        <f>SUM(G127:G128)</f>
        <v>14.934471197805546</v>
      </c>
      <c r="H129" s="18" t="s">
        <v>68</v>
      </c>
      <c r="I129" s="19">
        <f>593.85/1.15</f>
        <v>516.39130434782612</v>
      </c>
      <c r="J129" s="20">
        <f>G129*I129</f>
        <v>7712.0310615798471</v>
      </c>
      <c r="K129" s="16"/>
      <c r="M129" s="21"/>
      <c r="N129" s="21"/>
    </row>
    <row r="130" spans="1:14" ht="15" customHeight="1" x14ac:dyDescent="0.25">
      <c r="A130" s="12"/>
      <c r="B130" s="22" t="s">
        <v>44</v>
      </c>
      <c r="C130" s="14"/>
      <c r="D130" s="15"/>
      <c r="E130" s="16"/>
      <c r="F130" s="16"/>
      <c r="G130" s="19"/>
      <c r="H130" s="18"/>
      <c r="I130" s="19"/>
      <c r="J130" s="20">
        <f>G129*0.13*(3895.61/10)</f>
        <v>756.32537945748254</v>
      </c>
      <c r="K130" s="16"/>
      <c r="M130" s="21"/>
      <c r="N130" s="21"/>
    </row>
    <row r="131" spans="1:14" ht="15" customHeight="1" x14ac:dyDescent="0.25">
      <c r="A131" s="12"/>
      <c r="B131" s="22"/>
      <c r="C131" s="14"/>
      <c r="D131" s="15"/>
      <c r="E131" s="16"/>
      <c r="F131" s="16"/>
      <c r="G131" s="19"/>
      <c r="H131" s="18"/>
      <c r="I131" s="19"/>
      <c r="J131" s="20"/>
      <c r="K131" s="16"/>
      <c r="M131" s="21"/>
      <c r="N131" s="21"/>
    </row>
    <row r="132" spans="1:14" ht="47.25" x14ac:dyDescent="0.25">
      <c r="A132" s="12">
        <v>18</v>
      </c>
      <c r="B132" s="23" t="s">
        <v>75</v>
      </c>
      <c r="C132" s="14"/>
      <c r="D132" s="15"/>
      <c r="E132" s="16"/>
      <c r="F132" s="16"/>
      <c r="G132" s="19"/>
      <c r="H132" s="18"/>
      <c r="I132" s="19"/>
      <c r="J132" s="20"/>
      <c r="K132" s="16"/>
      <c r="M132" s="21"/>
      <c r="N132" s="21"/>
    </row>
    <row r="133" spans="1:14" ht="15" customHeight="1" x14ac:dyDescent="0.25">
      <c r="A133" s="12"/>
      <c r="B133" s="22" t="s">
        <v>49</v>
      </c>
      <c r="C133" s="14">
        <f>1*2</f>
        <v>2</v>
      </c>
      <c r="D133" s="15">
        <f>D127</f>
        <v>5.0289545870161536</v>
      </c>
      <c r="E133" s="16"/>
      <c r="F133" s="16"/>
      <c r="G133" s="17">
        <f>PRODUCT(C133:F133)</f>
        <v>10.057909174032307</v>
      </c>
      <c r="H133" s="18"/>
      <c r="I133" s="19"/>
      <c r="J133" s="20"/>
      <c r="K133" s="16"/>
      <c r="M133" s="21"/>
      <c r="N133" s="21"/>
    </row>
    <row r="134" spans="1:14" ht="15" customHeight="1" x14ac:dyDescent="0.25">
      <c r="A134" s="12"/>
      <c r="B134" s="22" t="s">
        <v>51</v>
      </c>
      <c r="C134" s="14">
        <f>2</f>
        <v>2</v>
      </c>
      <c r="D134" s="15">
        <f>(24/12/3.281)*4</f>
        <v>2.4382810118866196</v>
      </c>
      <c r="E134" s="16"/>
      <c r="F134" s="16"/>
      <c r="G134" s="17">
        <f>PRODUCT(C134:F134)</f>
        <v>4.8765620237732392</v>
      </c>
      <c r="H134" s="18"/>
      <c r="I134" s="19"/>
      <c r="J134" s="20"/>
      <c r="K134" s="16"/>
      <c r="M134" s="21"/>
      <c r="N134" s="21"/>
    </row>
    <row r="135" spans="1:14" ht="15" customHeight="1" x14ac:dyDescent="0.25">
      <c r="A135" s="12"/>
      <c r="B135" s="22" t="s">
        <v>25</v>
      </c>
      <c r="C135" s="14"/>
      <c r="D135" s="15"/>
      <c r="E135" s="16"/>
      <c r="F135" s="16"/>
      <c r="G135" s="19">
        <f>SUM(G133:G134)</f>
        <v>14.934471197805546</v>
      </c>
      <c r="H135" s="18" t="s">
        <v>68</v>
      </c>
      <c r="I135" s="19">
        <f>487.71/1.15</f>
        <v>424.09565217391304</v>
      </c>
      <c r="J135" s="20">
        <f>G135*I135</f>
        <v>6333.6443025058634</v>
      </c>
      <c r="K135" s="16"/>
      <c r="M135" s="21"/>
      <c r="N135" s="21"/>
    </row>
    <row r="136" spans="1:14" ht="15" customHeight="1" x14ac:dyDescent="0.25">
      <c r="A136" s="12"/>
      <c r="B136" s="22" t="s">
        <v>44</v>
      </c>
      <c r="C136" s="14"/>
      <c r="D136" s="15"/>
      <c r="E136" s="16"/>
      <c r="F136" s="16"/>
      <c r="G136" s="19"/>
      <c r="H136" s="18"/>
      <c r="I136" s="19"/>
      <c r="J136" s="20">
        <f>G135*0.13*(2972.61/10)</f>
        <v>577.12665955501382</v>
      </c>
      <c r="K136" s="16"/>
      <c r="M136" s="21"/>
      <c r="N136" s="21"/>
    </row>
    <row r="137" spans="1:14" ht="15" customHeight="1" x14ac:dyDescent="0.25">
      <c r="A137" s="12"/>
      <c r="B137" s="22"/>
      <c r="C137" s="14"/>
      <c r="D137" s="15"/>
      <c r="E137" s="16"/>
      <c r="F137" s="16"/>
      <c r="G137" s="19"/>
      <c r="H137" s="18"/>
      <c r="I137" s="19"/>
      <c r="J137" s="20"/>
      <c r="K137" s="16"/>
      <c r="M137" s="21"/>
      <c r="N137" s="21"/>
    </row>
    <row r="138" spans="1:14" ht="47.25" x14ac:dyDescent="0.25">
      <c r="A138" s="12">
        <v>19</v>
      </c>
      <c r="B138" s="23" t="s">
        <v>76</v>
      </c>
      <c r="C138" s="14"/>
      <c r="D138" s="15"/>
      <c r="E138" s="16"/>
      <c r="F138" s="16"/>
      <c r="G138" s="19"/>
      <c r="H138" s="18"/>
      <c r="I138" s="19"/>
      <c r="J138" s="20"/>
      <c r="K138" s="16"/>
      <c r="M138" s="21"/>
      <c r="N138" s="21"/>
    </row>
    <row r="139" spans="1:14" ht="15" customHeight="1" x14ac:dyDescent="0.25">
      <c r="A139" s="12"/>
      <c r="B139" s="22" t="s">
        <v>49</v>
      </c>
      <c r="C139" s="14">
        <f>1*2</f>
        <v>2</v>
      </c>
      <c r="D139" s="15">
        <f>D133</f>
        <v>5.0289545870161536</v>
      </c>
      <c r="E139" s="16"/>
      <c r="F139" s="16"/>
      <c r="G139" s="17">
        <f>PRODUCT(C139:F139)</f>
        <v>10.057909174032307</v>
      </c>
      <c r="H139" s="18"/>
      <c r="I139" s="19"/>
      <c r="J139" s="20"/>
      <c r="K139" s="16"/>
      <c r="M139" s="21"/>
      <c r="N139" s="21"/>
    </row>
    <row r="140" spans="1:14" ht="15" customHeight="1" x14ac:dyDescent="0.25">
      <c r="A140" s="12"/>
      <c r="B140" s="22" t="s">
        <v>51</v>
      </c>
      <c r="C140" s="14">
        <f>2</f>
        <v>2</v>
      </c>
      <c r="D140" s="15">
        <f>(24/12/3.281)*4</f>
        <v>2.4382810118866196</v>
      </c>
      <c r="E140" s="16"/>
      <c r="F140" s="16"/>
      <c r="G140" s="17">
        <f>PRODUCT(C140:F140)</f>
        <v>4.8765620237732392</v>
      </c>
      <c r="H140" s="18"/>
      <c r="I140" s="19"/>
      <c r="J140" s="20"/>
      <c r="K140" s="16"/>
      <c r="M140" s="21"/>
      <c r="N140" s="21"/>
    </row>
    <row r="141" spans="1:14" ht="15" customHeight="1" x14ac:dyDescent="0.25">
      <c r="A141" s="12"/>
      <c r="B141" s="22" t="s">
        <v>25</v>
      </c>
      <c r="C141" s="14"/>
      <c r="D141" s="15"/>
      <c r="E141" s="16"/>
      <c r="F141" s="16"/>
      <c r="G141" s="19">
        <f>SUM(G139:G140)</f>
        <v>14.934471197805546</v>
      </c>
      <c r="H141" s="18" t="s">
        <v>68</v>
      </c>
      <c r="I141" s="19">
        <f>776.13/1.15</f>
        <v>674.89565217391305</v>
      </c>
      <c r="J141" s="20">
        <f>G141*I141</f>
        <v>10079.209678915495</v>
      </c>
      <c r="K141" s="16"/>
      <c r="M141" s="21"/>
      <c r="N141" s="21"/>
    </row>
    <row r="142" spans="1:14" ht="15" customHeight="1" x14ac:dyDescent="0.25">
      <c r="A142" s="12"/>
      <c r="B142" s="22" t="s">
        <v>44</v>
      </c>
      <c r="C142" s="14"/>
      <c r="D142" s="15"/>
      <c r="E142" s="16"/>
      <c r="F142" s="16"/>
      <c r="G142" s="19"/>
      <c r="H142" s="18"/>
      <c r="I142" s="19"/>
      <c r="J142" s="20">
        <f>G141*0.13*(5480.61/10)</f>
        <v>1064.0501584882657</v>
      </c>
      <c r="K142" s="16"/>
      <c r="M142" s="21"/>
      <c r="N142" s="21"/>
    </row>
    <row r="143" spans="1:14" ht="15" customHeight="1" x14ac:dyDescent="0.25">
      <c r="A143" s="12"/>
      <c r="B143" s="22"/>
      <c r="C143" s="14"/>
      <c r="D143" s="15"/>
      <c r="E143" s="16"/>
      <c r="F143" s="16"/>
      <c r="G143" s="19"/>
      <c r="H143" s="18"/>
      <c r="I143" s="19"/>
      <c r="J143" s="20"/>
      <c r="K143" s="16"/>
      <c r="M143" s="21"/>
      <c r="N143" s="21"/>
    </row>
    <row r="144" spans="1:14" ht="47.25" x14ac:dyDescent="0.25">
      <c r="A144" s="12">
        <v>20</v>
      </c>
      <c r="B144" s="23" t="s">
        <v>77</v>
      </c>
      <c r="C144" s="14"/>
      <c r="D144" s="15"/>
      <c r="E144" s="16"/>
      <c r="F144" s="16"/>
      <c r="G144" s="19"/>
      <c r="H144" s="18"/>
      <c r="I144" s="19"/>
      <c r="J144" s="20"/>
      <c r="K144" s="16"/>
      <c r="M144" s="21"/>
      <c r="N144" s="21"/>
    </row>
    <row r="145" spans="1:14" ht="15" customHeight="1" x14ac:dyDescent="0.25">
      <c r="A145" s="12"/>
      <c r="B145" s="22" t="s">
        <v>49</v>
      </c>
      <c r="C145" s="14">
        <f>2*2</f>
        <v>4</v>
      </c>
      <c r="D145" s="15">
        <f>D107</f>
        <v>5.0289545870161536</v>
      </c>
      <c r="E145" s="16"/>
      <c r="F145" s="16"/>
      <c r="G145" s="17">
        <f>PRODUCT(C145:F145)</f>
        <v>20.115818348064614</v>
      </c>
      <c r="H145" s="18"/>
      <c r="I145" s="19"/>
      <c r="J145" s="20"/>
      <c r="K145" s="16"/>
      <c r="M145" s="21"/>
      <c r="N145" s="21"/>
    </row>
    <row r="146" spans="1:14" ht="15" customHeight="1" x14ac:dyDescent="0.25">
      <c r="A146" s="12"/>
      <c r="B146" s="22" t="s">
        <v>51</v>
      </c>
      <c r="C146" s="14">
        <f>2</f>
        <v>2</v>
      </c>
      <c r="D146" s="15">
        <f>(24/12/3.281)*4</f>
        <v>2.4382810118866196</v>
      </c>
      <c r="E146" s="16"/>
      <c r="F146" s="16"/>
      <c r="G146" s="17">
        <f>PRODUCT(C146:F146)</f>
        <v>4.8765620237732392</v>
      </c>
      <c r="H146" s="18"/>
      <c r="I146" s="19"/>
      <c r="J146" s="20"/>
      <c r="K146" s="16"/>
      <c r="M146" s="21"/>
      <c r="N146" s="21"/>
    </row>
    <row r="147" spans="1:14" ht="15" customHeight="1" x14ac:dyDescent="0.25">
      <c r="A147" s="12"/>
      <c r="B147" s="22" t="s">
        <v>25</v>
      </c>
      <c r="C147" s="14"/>
      <c r="D147" s="15"/>
      <c r="E147" s="16"/>
      <c r="F147" s="16"/>
      <c r="G147" s="19">
        <f>SUM(G145:G146)</f>
        <v>24.992380371837854</v>
      </c>
      <c r="H147" s="18" t="s">
        <v>68</v>
      </c>
      <c r="I147" s="19">
        <f>465.63/1.15</f>
        <v>404.89565217391305</v>
      </c>
      <c r="J147" s="20">
        <f>G147*I147</f>
        <v>10119.306150033792</v>
      </c>
      <c r="K147" s="16"/>
      <c r="M147" s="21"/>
      <c r="N147" s="21"/>
    </row>
    <row r="148" spans="1:14" ht="15" customHeight="1" x14ac:dyDescent="0.25">
      <c r="A148" s="12"/>
      <c r="B148" s="22" t="s">
        <v>44</v>
      </c>
      <c r="C148" s="14"/>
      <c r="D148" s="15"/>
      <c r="E148" s="16"/>
      <c r="F148" s="16"/>
      <c r="G148" s="19"/>
      <c r="H148" s="18"/>
      <c r="I148" s="19"/>
      <c r="J148" s="20">
        <f>G147*0.13*(2780.61/10)</f>
        <v>903.42281621456891</v>
      </c>
      <c r="K148" s="16"/>
      <c r="M148" s="21"/>
      <c r="N148" s="21"/>
    </row>
    <row r="149" spans="1:14" ht="15" customHeight="1" x14ac:dyDescent="0.25">
      <c r="A149" s="12"/>
      <c r="B149" s="22"/>
      <c r="C149" s="14"/>
      <c r="D149" s="15"/>
      <c r="E149" s="16"/>
      <c r="F149" s="16"/>
      <c r="G149" s="19"/>
      <c r="H149" s="18"/>
      <c r="I149" s="19"/>
      <c r="J149" s="20"/>
      <c r="K149" s="16"/>
      <c r="M149" s="21"/>
      <c r="N149" s="21"/>
    </row>
    <row r="150" spans="1:14" ht="45" customHeight="1" x14ac:dyDescent="0.25">
      <c r="A150" s="25">
        <v>21</v>
      </c>
      <c r="B150" s="54" t="s">
        <v>78</v>
      </c>
      <c r="C150" s="26"/>
      <c r="D150" s="17"/>
      <c r="E150" s="17"/>
      <c r="F150" s="17"/>
      <c r="G150" s="45"/>
      <c r="H150" s="45"/>
      <c r="I150" s="45"/>
      <c r="J150" s="39"/>
      <c r="K150" s="30"/>
    </row>
    <row r="151" spans="1:14" ht="15" customHeight="1" x14ac:dyDescent="0.25">
      <c r="A151" s="25"/>
      <c r="B151" s="22" t="s">
        <v>79</v>
      </c>
      <c r="C151" s="26">
        <f>1*2</f>
        <v>2</v>
      </c>
      <c r="D151" s="17">
        <f>(2.75+2.6)/2</f>
        <v>2.6749999999999998</v>
      </c>
      <c r="E151" s="17">
        <v>6.2</v>
      </c>
      <c r="F151" s="17"/>
      <c r="G151" s="17">
        <f>PRODUCT(C151:F151)</f>
        <v>33.17</v>
      </c>
      <c r="H151" s="45"/>
      <c r="I151" s="45"/>
      <c r="J151" s="39"/>
      <c r="K151" s="30"/>
    </row>
    <row r="152" spans="1:14" ht="15" customHeight="1" x14ac:dyDescent="0.25">
      <c r="A152" s="25"/>
      <c r="B152" s="22"/>
      <c r="C152" s="26">
        <f>1*0</f>
        <v>0</v>
      </c>
      <c r="D152" s="17">
        <v>2.5</v>
      </c>
      <c r="E152" s="17">
        <f>3+0.675</f>
        <v>3.6749999999999998</v>
      </c>
      <c r="F152" s="17"/>
      <c r="G152" s="17">
        <f>PRODUCT(C152:F152)</f>
        <v>0</v>
      </c>
      <c r="H152" s="45"/>
      <c r="I152" s="45"/>
      <c r="J152" s="39"/>
      <c r="K152" s="30"/>
    </row>
    <row r="153" spans="1:14" ht="15" customHeight="1" x14ac:dyDescent="0.25">
      <c r="A153" s="25"/>
      <c r="B153" s="22" t="s">
        <v>25</v>
      </c>
      <c r="C153" s="26"/>
      <c r="D153" s="17"/>
      <c r="E153" s="17"/>
      <c r="F153" s="17"/>
      <c r="G153" s="27">
        <f>SUM(G151:G152)</f>
        <v>33.17</v>
      </c>
      <c r="H153" s="27" t="s">
        <v>26</v>
      </c>
      <c r="I153" s="28">
        <f>3626.64/1.15</f>
        <v>3153.6</v>
      </c>
      <c r="J153" s="29">
        <f>G153*I153</f>
        <v>104604.912</v>
      </c>
      <c r="K153" s="30"/>
    </row>
    <row r="154" spans="1:14" ht="15" customHeight="1" x14ac:dyDescent="0.25">
      <c r="A154" s="12"/>
      <c r="B154" s="22" t="s">
        <v>44</v>
      </c>
      <c r="C154" s="14"/>
      <c r="D154" s="15"/>
      <c r="E154" s="16"/>
      <c r="F154" s="16"/>
      <c r="G154" s="19"/>
      <c r="H154" s="18"/>
      <c r="I154" s="19"/>
      <c r="J154" s="20">
        <f>G153*0.13*(21343.49/10)</f>
        <v>9203.5263229000011</v>
      </c>
      <c r="K154" s="16"/>
      <c r="M154" s="21"/>
      <c r="N154" s="21"/>
    </row>
    <row r="155" spans="1:14" ht="15" customHeight="1" x14ac:dyDescent="0.25">
      <c r="A155" s="25"/>
      <c r="B155" s="22"/>
      <c r="C155" s="26"/>
      <c r="D155" s="17"/>
      <c r="E155" s="17"/>
      <c r="F155" s="17"/>
      <c r="G155" s="27"/>
      <c r="H155" s="27"/>
      <c r="I155" s="28"/>
      <c r="J155" s="29"/>
      <c r="K155" s="30"/>
    </row>
    <row r="156" spans="1:14" ht="31.5" x14ac:dyDescent="0.25">
      <c r="A156" s="47">
        <v>22</v>
      </c>
      <c r="B156" s="23" t="s">
        <v>80</v>
      </c>
      <c r="C156" s="49"/>
      <c r="D156" s="50"/>
      <c r="E156" s="50"/>
      <c r="F156" s="50"/>
      <c r="G156" s="50"/>
      <c r="H156" s="50"/>
      <c r="I156" s="50"/>
      <c r="J156" s="51"/>
      <c r="K156" s="52"/>
    </row>
    <row r="157" spans="1:14" ht="15" customHeight="1" x14ac:dyDescent="0.25">
      <c r="A157" s="47"/>
      <c r="B157" s="48" t="s">
        <v>81</v>
      </c>
      <c r="C157" s="49">
        <v>1</v>
      </c>
      <c r="D157" s="50">
        <f>(2.75+2.6)/2</f>
        <v>2.6749999999999998</v>
      </c>
      <c r="E157" s="50">
        <v>6.2</v>
      </c>
      <c r="F157" s="50"/>
      <c r="G157" s="50">
        <f>PRODUCT(C157:F157)</f>
        <v>16.585000000000001</v>
      </c>
      <c r="H157" s="50"/>
      <c r="I157" s="50"/>
      <c r="J157" s="51"/>
      <c r="K157" s="52"/>
    </row>
    <row r="158" spans="1:14" ht="15" customHeight="1" x14ac:dyDescent="0.25">
      <c r="A158" s="47"/>
      <c r="B158" s="48" t="s">
        <v>82</v>
      </c>
      <c r="C158" s="49">
        <v>1</v>
      </c>
      <c r="D158" s="50">
        <v>5</v>
      </c>
      <c r="E158" s="50">
        <v>5</v>
      </c>
      <c r="F158" s="50"/>
      <c r="G158" s="50">
        <f>PRODUCT(C158:F158)</f>
        <v>25</v>
      </c>
      <c r="H158" s="50"/>
      <c r="I158" s="50"/>
      <c r="J158" s="51"/>
      <c r="K158" s="52"/>
    </row>
    <row r="159" spans="1:14" ht="15" customHeight="1" x14ac:dyDescent="0.25">
      <c r="A159" s="47"/>
      <c r="B159" s="48" t="s">
        <v>25</v>
      </c>
      <c r="C159" s="49"/>
      <c r="D159" s="50"/>
      <c r="E159" s="50"/>
      <c r="F159" s="50"/>
      <c r="G159" s="55">
        <f>SUM(G157:G158)</f>
        <v>41.585000000000001</v>
      </c>
      <c r="H159" s="55" t="s">
        <v>26</v>
      </c>
      <c r="I159" s="56">
        <f>646.8/1.15</f>
        <v>562.43478260869563</v>
      </c>
      <c r="J159" s="57">
        <f>G159*I159</f>
        <v>23388.850434782609</v>
      </c>
      <c r="K159" s="52"/>
    </row>
    <row r="160" spans="1:14" ht="15" customHeight="1" x14ac:dyDescent="0.25">
      <c r="A160" s="12"/>
      <c r="B160" s="22" t="s">
        <v>44</v>
      </c>
      <c r="C160" s="14"/>
      <c r="D160" s="15"/>
      <c r="E160" s="16"/>
      <c r="F160" s="16"/>
      <c r="G160" s="19"/>
      <c r="H160" s="18"/>
      <c r="I160" s="19"/>
      <c r="J160" s="20">
        <f>G159*0.13*(24003.58/100)</f>
        <v>1297.6455365900003</v>
      </c>
      <c r="K160" s="16"/>
      <c r="M160" s="21"/>
      <c r="N160" s="21"/>
    </row>
    <row r="161" spans="1:14" ht="15" customHeight="1" x14ac:dyDescent="0.25">
      <c r="A161" s="12"/>
      <c r="B161" s="22"/>
      <c r="C161" s="14"/>
      <c r="D161" s="15"/>
      <c r="E161" s="16"/>
      <c r="F161" s="16"/>
      <c r="G161" s="19"/>
      <c r="H161" s="18"/>
      <c r="I161" s="19"/>
      <c r="J161" s="20"/>
      <c r="K161" s="16"/>
      <c r="M161" s="21"/>
      <c r="N161" s="21"/>
    </row>
    <row r="162" spans="1:14" ht="45" hidden="1" x14ac:dyDescent="0.25">
      <c r="A162" s="25">
        <v>23</v>
      </c>
      <c r="B162" s="54" t="s">
        <v>83</v>
      </c>
      <c r="C162" s="26"/>
      <c r="D162" s="17"/>
      <c r="E162" s="17"/>
      <c r="F162" s="17"/>
      <c r="G162" s="45"/>
      <c r="H162" s="45"/>
      <c r="I162" s="45"/>
      <c r="J162" s="39"/>
      <c r="K162" s="30"/>
    </row>
    <row r="163" spans="1:14" ht="15" hidden="1" customHeight="1" x14ac:dyDescent="0.25">
      <c r="A163" s="25"/>
      <c r="B163" s="22" t="s">
        <v>84</v>
      </c>
      <c r="C163" s="26">
        <f>1</f>
        <v>1</v>
      </c>
      <c r="D163" s="17">
        <f>11/3.281</f>
        <v>3.3526363913441024</v>
      </c>
      <c r="E163" s="17">
        <f>5/12/3.281</f>
        <v>0.12699380270242813</v>
      </c>
      <c r="F163" s="17">
        <f>8/12/3.281</f>
        <v>0.20319008432388497</v>
      </c>
      <c r="G163" s="17">
        <f t="shared" ref="G163:G169" si="2">PRODUCT(C163:F163)</f>
        <v>8.6511032086829934E-2</v>
      </c>
      <c r="H163" s="45"/>
      <c r="I163" s="45"/>
      <c r="J163" s="39"/>
      <c r="K163" s="30"/>
    </row>
    <row r="164" spans="1:14" ht="15" hidden="1" customHeight="1" x14ac:dyDescent="0.25">
      <c r="A164" s="25"/>
      <c r="B164" s="30"/>
      <c r="C164" s="26">
        <f>(8)</f>
        <v>8</v>
      </c>
      <c r="D164" s="17">
        <f>12/3.281</f>
        <v>3.6574215178299299</v>
      </c>
      <c r="E164" s="17">
        <f>3/12/3.281</f>
        <v>7.6196281621456863E-2</v>
      </c>
      <c r="F164" s="17">
        <f>4/12/3.281</f>
        <v>0.10159504216194248</v>
      </c>
      <c r="G164" s="17">
        <f t="shared" si="2"/>
        <v>0.22650161128188195</v>
      </c>
      <c r="H164" s="45"/>
      <c r="I164" s="45"/>
      <c r="J164" s="39"/>
      <c r="K164" s="30"/>
    </row>
    <row r="165" spans="1:14" ht="15" hidden="1" customHeight="1" x14ac:dyDescent="0.25">
      <c r="A165" s="25"/>
      <c r="B165" s="22"/>
      <c r="C165" s="26">
        <f>(3)</f>
        <v>3</v>
      </c>
      <c r="D165" s="17">
        <f>8/3.281</f>
        <v>2.4382810118866196</v>
      </c>
      <c r="E165" s="17">
        <f>7/12/3.281</f>
        <v>0.17779132378339937</v>
      </c>
      <c r="F165" s="17">
        <f>7/12/3.281</f>
        <v>0.17779132378339937</v>
      </c>
      <c r="G165" s="17">
        <f t="shared" si="2"/>
        <v>0.23122039485025456</v>
      </c>
      <c r="H165" s="45"/>
      <c r="I165" s="45"/>
      <c r="J165" s="39"/>
      <c r="K165" s="30"/>
    </row>
    <row r="166" spans="1:14" ht="15" hidden="1" customHeight="1" x14ac:dyDescent="0.25">
      <c r="A166" s="25"/>
      <c r="B166" s="22"/>
      <c r="C166" s="26">
        <f>22</f>
        <v>22</v>
      </c>
      <c r="D166" s="17">
        <f>12/3.281</f>
        <v>3.6574215178299299</v>
      </c>
      <c r="E166" s="17">
        <f>3/12/3.281</f>
        <v>7.6196281621456863E-2</v>
      </c>
      <c r="F166" s="17">
        <f>4/12/3.281</f>
        <v>0.10159504216194248</v>
      </c>
      <c r="G166" s="17">
        <f t="shared" si="2"/>
        <v>0.6228794310251754</v>
      </c>
      <c r="H166" s="45"/>
      <c r="I166" s="45"/>
      <c r="J166" s="39"/>
      <c r="K166" s="30"/>
    </row>
    <row r="167" spans="1:14" ht="15" hidden="1" customHeight="1" x14ac:dyDescent="0.25">
      <c r="A167" s="25"/>
      <c r="B167" s="22"/>
      <c r="C167" s="26">
        <f>(2)</f>
        <v>2</v>
      </c>
      <c r="D167" s="17">
        <f>12/3.281</f>
        <v>3.6574215178299299</v>
      </c>
      <c r="E167" s="17">
        <f>3/12/3.281</f>
        <v>7.6196281621456863E-2</v>
      </c>
      <c r="F167" s="17">
        <f>4/12/3.281</f>
        <v>0.10159504216194248</v>
      </c>
      <c r="G167" s="17">
        <f t="shared" si="2"/>
        <v>5.6625402820470488E-2</v>
      </c>
      <c r="H167" s="45"/>
      <c r="I167" s="45"/>
      <c r="J167" s="39"/>
      <c r="K167" s="30"/>
    </row>
    <row r="168" spans="1:14" ht="15" hidden="1" customHeight="1" x14ac:dyDescent="0.25">
      <c r="A168" s="25"/>
      <c r="B168" s="22"/>
      <c r="C168" s="26">
        <f>(1)</f>
        <v>1</v>
      </c>
      <c r="D168" s="17">
        <f>12/3.281</f>
        <v>3.6574215178299299</v>
      </c>
      <c r="E168" s="17">
        <f>6/12/3.281</f>
        <v>0.15239256324291373</v>
      </c>
      <c r="F168" s="17">
        <f>4/12/3.281</f>
        <v>0.10159504216194248</v>
      </c>
      <c r="G168" s="17">
        <f t="shared" si="2"/>
        <v>5.6625402820470488E-2</v>
      </c>
      <c r="H168" s="45"/>
      <c r="I168" s="45"/>
      <c r="J168" s="39"/>
      <c r="K168" s="30"/>
    </row>
    <row r="169" spans="1:14" ht="15" hidden="1" customHeight="1" x14ac:dyDescent="0.25">
      <c r="A169" s="25"/>
      <c r="B169" s="22"/>
      <c r="C169" s="26">
        <f>36</f>
        <v>36</v>
      </c>
      <c r="D169" s="17">
        <f>12/3.281</f>
        <v>3.6574215178299299</v>
      </c>
      <c r="E169" s="17">
        <f>3/12/3.281</f>
        <v>7.6196281621456863E-2</v>
      </c>
      <c r="F169" s="17">
        <f>4/12/3.281</f>
        <v>0.10159504216194248</v>
      </c>
      <c r="G169" s="17">
        <f t="shared" si="2"/>
        <v>1.0192572507684687</v>
      </c>
      <c r="H169" s="45"/>
      <c r="I169" s="45"/>
      <c r="J169" s="39"/>
      <c r="K169" s="30"/>
    </row>
    <row r="170" spans="1:14" ht="15" hidden="1" customHeight="1" x14ac:dyDescent="0.25">
      <c r="A170" s="25"/>
      <c r="B170" s="22" t="s">
        <v>25</v>
      </c>
      <c r="C170" s="26"/>
      <c r="D170" s="17"/>
      <c r="E170" s="17"/>
      <c r="F170" s="17"/>
      <c r="G170" s="27">
        <f>0*SUM(G163:G169)</f>
        <v>0</v>
      </c>
      <c r="H170" s="27" t="s">
        <v>29</v>
      </c>
      <c r="I170" s="28">
        <f>369833.1/1.15</f>
        <v>321594</v>
      </c>
      <c r="J170" s="29">
        <f>G170*I170</f>
        <v>0</v>
      </c>
      <c r="K170" s="30"/>
    </row>
    <row r="171" spans="1:14" ht="15" hidden="1" customHeight="1" x14ac:dyDescent="0.25">
      <c r="A171" s="25"/>
      <c r="B171" s="22" t="s">
        <v>85</v>
      </c>
      <c r="C171" s="26"/>
      <c r="D171" s="17"/>
      <c r="E171" s="17"/>
      <c r="F171" s="17"/>
      <c r="G171" s="45"/>
      <c r="H171" s="45"/>
      <c r="I171" s="45"/>
      <c r="J171" s="39">
        <f>0.13*G170*(296712)</f>
        <v>0</v>
      </c>
      <c r="K171" s="30"/>
      <c r="M171" s="58"/>
    </row>
    <row r="172" spans="1:14" ht="15" hidden="1" customHeight="1" x14ac:dyDescent="0.25">
      <c r="A172" s="25"/>
      <c r="B172" s="22"/>
      <c r="C172" s="26"/>
      <c r="D172" s="17"/>
      <c r="E172" s="17"/>
      <c r="F172" s="17"/>
      <c r="G172" s="45"/>
      <c r="H172" s="45"/>
      <c r="I172" s="45"/>
      <c r="J172" s="39"/>
      <c r="K172" s="30"/>
      <c r="M172" s="58"/>
    </row>
    <row r="173" spans="1:14" ht="45" x14ac:dyDescent="0.25">
      <c r="A173" s="47">
        <v>23</v>
      </c>
      <c r="B173" s="54" t="s">
        <v>86</v>
      </c>
      <c r="C173" s="49"/>
      <c r="D173" s="50"/>
      <c r="E173" s="50"/>
      <c r="F173" s="50"/>
      <c r="G173" s="55"/>
      <c r="H173" s="55"/>
      <c r="I173" s="56"/>
      <c r="J173" s="57"/>
      <c r="K173" s="52"/>
    </row>
    <row r="174" spans="1:14" ht="15" hidden="1" customHeight="1" x14ac:dyDescent="0.25">
      <c r="A174" s="25"/>
      <c r="B174" s="22" t="s">
        <v>84</v>
      </c>
      <c r="C174" s="26">
        <f>(3)</f>
        <v>3</v>
      </c>
      <c r="D174" s="17">
        <f>3/3.281</f>
        <v>0.91435537945748246</v>
      </c>
      <c r="E174" s="17">
        <f>6/12/3.281</f>
        <v>0.15239256324291373</v>
      </c>
      <c r="F174" s="17">
        <f>6/12/3.281</f>
        <v>0.15239256324291373</v>
      </c>
      <c r="G174" s="17">
        <f>PRODUCT(C174:F174)</f>
        <v>6.370357817302931E-2</v>
      </c>
      <c r="H174" s="45"/>
      <c r="I174" s="45"/>
      <c r="J174" s="39"/>
      <c r="K174" s="30"/>
    </row>
    <row r="175" spans="1:14" ht="15" hidden="1" customHeight="1" x14ac:dyDescent="0.25">
      <c r="A175" s="25"/>
      <c r="B175" s="22"/>
      <c r="C175" s="26">
        <f>(12)</f>
        <v>12</v>
      </c>
      <c r="D175" s="17">
        <f>5/3.281</f>
        <v>1.5239256324291375</v>
      </c>
      <c r="E175" s="17">
        <f>3/12/3.281</f>
        <v>7.6196281621456863E-2</v>
      </c>
      <c r="F175" s="17">
        <f>4/12/3.281</f>
        <v>0.10159504216194248</v>
      </c>
      <c r="G175" s="17">
        <f>PRODUCT(C175:F175)</f>
        <v>0.14156350705117624</v>
      </c>
      <c r="H175" s="45"/>
      <c r="I175" s="45"/>
      <c r="J175" s="39"/>
      <c r="K175" s="30"/>
    </row>
    <row r="176" spans="1:14" ht="15" hidden="1" customHeight="1" x14ac:dyDescent="0.25">
      <c r="A176" s="25"/>
      <c r="B176" s="22"/>
      <c r="C176" s="26">
        <f>(10)</f>
        <v>10</v>
      </c>
      <c r="D176" s="17">
        <f>1/3.281</f>
        <v>0.30478512648582745</v>
      </c>
      <c r="E176" s="17">
        <f>3/12/3.281</f>
        <v>7.6196281621456863E-2</v>
      </c>
      <c r="F176" s="17">
        <f>4/12/3.281</f>
        <v>0.10159504216194248</v>
      </c>
      <c r="G176" s="17">
        <f>PRODUCT(C176:F176)</f>
        <v>2.35939178418627E-2</v>
      </c>
      <c r="H176" s="45"/>
      <c r="I176" s="45"/>
      <c r="J176" s="39"/>
      <c r="K176" s="30"/>
    </row>
    <row r="177" spans="1:19" ht="15" customHeight="1" x14ac:dyDescent="0.25">
      <c r="A177" s="25"/>
      <c r="B177" s="22" t="s">
        <v>30</v>
      </c>
      <c r="C177" s="26">
        <v>2</v>
      </c>
      <c r="D177" s="17">
        <f>8/3.281</f>
        <v>2.4382810118866196</v>
      </c>
      <c r="E177" s="17">
        <v>0.15</v>
      </c>
      <c r="F177" s="17">
        <v>0.15</v>
      </c>
      <c r="G177" s="17">
        <f>PRODUCT(C177:F177)</f>
        <v>0.10972264553489787</v>
      </c>
      <c r="H177" s="45"/>
      <c r="I177" s="45"/>
      <c r="J177" s="39"/>
      <c r="K177" s="30"/>
    </row>
    <row r="178" spans="1:19" ht="15" customHeight="1" x14ac:dyDescent="0.25">
      <c r="A178" s="25"/>
      <c r="B178" s="22" t="s">
        <v>25</v>
      </c>
      <c r="C178" s="26"/>
      <c r="D178" s="17"/>
      <c r="E178" s="17"/>
      <c r="F178" s="17"/>
      <c r="G178" s="27">
        <f>SUM(G177)</f>
        <v>0.10972264553489787</v>
      </c>
      <c r="H178" s="27" t="s">
        <v>29</v>
      </c>
      <c r="I178" s="28">
        <f>286497.45/1.15</f>
        <v>249128.21739130438</v>
      </c>
      <c r="J178" s="29">
        <f>G178*I178</f>
        <v>27335.007089567069</v>
      </c>
      <c r="K178" s="30"/>
    </row>
    <row r="179" spans="1:19" ht="15" customHeight="1" x14ac:dyDescent="0.25">
      <c r="A179" s="25"/>
      <c r="B179" s="22" t="s">
        <v>85</v>
      </c>
      <c r="C179" s="26"/>
      <c r="D179" s="17"/>
      <c r="E179" s="17"/>
      <c r="F179" s="17"/>
      <c r="G179" s="45"/>
      <c r="H179" s="45"/>
      <c r="I179" s="45"/>
      <c r="J179" s="39">
        <f>0.13*G178*(225887.77)</f>
        <v>3222.0504833892101</v>
      </c>
      <c r="K179" s="30"/>
      <c r="M179" s="58"/>
    </row>
    <row r="180" spans="1:19" ht="15" customHeight="1" x14ac:dyDescent="0.25">
      <c r="A180" s="25"/>
      <c r="B180" s="22"/>
      <c r="C180" s="26"/>
      <c r="D180" s="17"/>
      <c r="E180" s="17"/>
      <c r="F180" s="17"/>
      <c r="G180" s="45"/>
      <c r="H180" s="45"/>
      <c r="I180" s="45"/>
      <c r="J180" s="39"/>
      <c r="K180" s="30"/>
      <c r="M180" s="58"/>
    </row>
    <row r="181" spans="1:19" ht="30" hidden="1" x14ac:dyDescent="0.25">
      <c r="A181" s="12">
        <v>25</v>
      </c>
      <c r="B181" s="72" t="s">
        <v>87</v>
      </c>
      <c r="C181" s="14"/>
      <c r="D181" s="15"/>
      <c r="E181" s="16"/>
      <c r="F181" s="16"/>
      <c r="G181" s="19"/>
      <c r="H181" s="18"/>
      <c r="I181" s="19"/>
      <c r="J181" s="20"/>
      <c r="K181" s="16"/>
      <c r="M181" s="21"/>
      <c r="N181" s="1"/>
      <c r="O181" s="1"/>
      <c r="P181" s="1"/>
      <c r="Q181" s="1"/>
      <c r="R181" s="21"/>
      <c r="S181" s="21"/>
    </row>
    <row r="182" spans="1:19" ht="15" hidden="1" customHeight="1" x14ac:dyDescent="0.25">
      <c r="A182" s="12"/>
      <c r="B182" s="13" t="str">
        <f>B46</f>
        <v>-at new roof</v>
      </c>
      <c r="C182" s="26">
        <f>C46</f>
        <v>2</v>
      </c>
      <c r="D182" s="17">
        <f>D46</f>
        <v>4.8639134410240779</v>
      </c>
      <c r="E182" s="17">
        <f>E46</f>
        <v>3.2764401097226452</v>
      </c>
      <c r="F182" s="17"/>
      <c r="G182" s="17">
        <f>PRODUCT(C182:F182)</f>
        <v>31.872642176780758</v>
      </c>
      <c r="H182" s="18"/>
      <c r="I182" s="19"/>
      <c r="J182" s="20"/>
      <c r="K182" s="16"/>
      <c r="M182" s="21"/>
      <c r="N182" s="73"/>
      <c r="O182" s="1">
        <v>173798.37571991887</v>
      </c>
      <c r="P182" s="1"/>
      <c r="Q182" s="1"/>
      <c r="R182" s="21"/>
      <c r="S182" s="21"/>
    </row>
    <row r="183" spans="1:19" ht="15" hidden="1" customHeight="1" x14ac:dyDescent="0.25">
      <c r="A183" s="25"/>
      <c r="B183" s="22" t="s">
        <v>25</v>
      </c>
      <c r="C183" s="26"/>
      <c r="D183" s="17"/>
      <c r="E183" s="17"/>
      <c r="F183" s="17"/>
      <c r="G183" s="27">
        <f>0*SUM(G182:G182)</f>
        <v>0</v>
      </c>
      <c r="H183" s="27" t="s">
        <v>26</v>
      </c>
      <c r="I183" s="28">
        <f>5999.55/10</f>
        <v>599.95500000000004</v>
      </c>
      <c r="J183" s="29">
        <f>G183*I183</f>
        <v>0</v>
      </c>
      <c r="K183" s="30"/>
    </row>
    <row r="184" spans="1:19" ht="15" hidden="1" customHeight="1" x14ac:dyDescent="0.25">
      <c r="A184" s="25"/>
      <c r="B184" s="22" t="s">
        <v>85</v>
      </c>
      <c r="C184" s="26"/>
      <c r="D184" s="17"/>
      <c r="E184" s="17"/>
      <c r="F184" s="17"/>
      <c r="G184" s="45"/>
      <c r="H184" s="45"/>
      <c r="I184" s="45"/>
      <c r="J184" s="39">
        <f>0.13*G183*((1397.55)/10)</f>
        <v>0</v>
      </c>
      <c r="K184" s="30"/>
    </row>
    <row r="185" spans="1:19" ht="15" hidden="1" customHeight="1" x14ac:dyDescent="0.25">
      <c r="A185" s="12"/>
      <c r="B185" s="59"/>
      <c r="C185" s="14"/>
      <c r="D185" s="15"/>
      <c r="E185" s="16"/>
      <c r="F185" s="16"/>
      <c r="G185" s="19"/>
      <c r="H185" s="18"/>
      <c r="I185" s="19"/>
      <c r="J185" s="20"/>
      <c r="K185" s="16"/>
      <c r="M185" s="21"/>
      <c r="N185" s="1"/>
      <c r="O185" s="1"/>
      <c r="P185" s="1"/>
      <c r="Q185" s="1"/>
      <c r="R185" s="21"/>
      <c r="S185" s="21"/>
    </row>
    <row r="186" spans="1:19" x14ac:dyDescent="0.25">
      <c r="A186" s="12">
        <v>24</v>
      </c>
      <c r="B186" s="24" t="s">
        <v>88</v>
      </c>
      <c r="C186" s="26"/>
      <c r="D186" s="17"/>
      <c r="E186" s="17"/>
      <c r="F186" s="17"/>
      <c r="G186" s="45"/>
      <c r="H186" s="45"/>
      <c r="I186" s="45"/>
      <c r="J186" s="39"/>
      <c r="K186" s="30"/>
    </row>
    <row r="187" spans="1:19" ht="15" customHeight="1" x14ac:dyDescent="0.25">
      <c r="A187" s="25"/>
      <c r="B187" s="22" t="s">
        <v>89</v>
      </c>
      <c r="C187" s="26">
        <v>2</v>
      </c>
      <c r="D187" s="17"/>
      <c r="E187" s="17"/>
      <c r="F187" s="17"/>
      <c r="G187" s="17">
        <f>PRODUCT(C187:F187)</f>
        <v>2</v>
      </c>
      <c r="H187" s="45"/>
      <c r="I187" s="45"/>
      <c r="J187" s="39"/>
      <c r="K187" s="30"/>
    </row>
    <row r="188" spans="1:19" ht="15" customHeight="1" x14ac:dyDescent="0.25">
      <c r="A188" s="25"/>
      <c r="B188" s="22" t="s">
        <v>25</v>
      </c>
      <c r="C188" s="26"/>
      <c r="D188" s="17"/>
      <c r="E188" s="17"/>
      <c r="F188" s="17"/>
      <c r="G188" s="27">
        <f>SUM(G187:G187)</f>
        <v>2</v>
      </c>
      <c r="H188" s="27" t="s">
        <v>90</v>
      </c>
      <c r="I188" s="28">
        <f>2365*1.15</f>
        <v>2719.75</v>
      </c>
      <c r="J188" s="29">
        <f>G188*I188</f>
        <v>5439.5</v>
      </c>
      <c r="K188" s="30"/>
    </row>
    <row r="189" spans="1:19" ht="15" customHeight="1" x14ac:dyDescent="0.25">
      <c r="A189" s="12"/>
      <c r="B189" s="22" t="s">
        <v>44</v>
      </c>
      <c r="C189" s="14"/>
      <c r="D189" s="15"/>
      <c r="E189" s="16"/>
      <c r="F189" s="16"/>
      <c r="G189" s="19"/>
      <c r="H189" s="18"/>
      <c r="I189" s="19"/>
      <c r="J189" s="20">
        <f>J188*0.13</f>
        <v>707.13499999999999</v>
      </c>
      <c r="K189" s="16"/>
      <c r="M189" s="21"/>
      <c r="N189" s="21"/>
    </row>
    <row r="190" spans="1:19" ht="15" customHeight="1" x14ac:dyDescent="0.25">
      <c r="A190" s="25"/>
      <c r="B190" s="22"/>
      <c r="C190" s="26"/>
      <c r="D190" s="17"/>
      <c r="E190" s="17"/>
      <c r="F190" s="17"/>
      <c r="G190" s="27"/>
      <c r="H190" s="27"/>
      <c r="I190" s="28"/>
      <c r="J190" s="29"/>
      <c r="K190" s="30"/>
    </row>
    <row r="191" spans="1:19" ht="30.75" x14ac:dyDescent="0.25">
      <c r="A191" s="25">
        <v>25</v>
      </c>
      <c r="B191" s="11" t="s">
        <v>91</v>
      </c>
      <c r="C191" s="26"/>
      <c r="D191" s="17"/>
      <c r="E191" s="17"/>
      <c r="F191" s="17"/>
      <c r="G191" s="45"/>
      <c r="H191" s="45"/>
      <c r="I191" s="45"/>
      <c r="J191" s="39"/>
      <c r="K191" s="30"/>
    </row>
    <row r="192" spans="1:19" x14ac:dyDescent="0.25">
      <c r="A192" s="25"/>
      <c r="B192" s="22" t="s">
        <v>92</v>
      </c>
      <c r="C192" s="26">
        <v>2</v>
      </c>
      <c r="D192" s="17">
        <f>3.833/3.281</f>
        <v>1.1682413898201769</v>
      </c>
      <c r="E192" s="17">
        <v>7.4999999999999997E-2</v>
      </c>
      <c r="F192" s="17">
        <v>0.125</v>
      </c>
      <c r="G192" s="17">
        <f t="shared" ref="G192:G197" si="3">PRODUCT(C192:F192)</f>
        <v>2.1904526059128317E-2</v>
      </c>
      <c r="H192" s="45"/>
      <c r="I192" s="45"/>
      <c r="J192" s="39"/>
      <c r="K192" s="30"/>
    </row>
    <row r="193" spans="1:14" x14ac:dyDescent="0.25">
      <c r="A193" s="25"/>
      <c r="B193" s="22"/>
      <c r="C193" s="26">
        <v>2</v>
      </c>
      <c r="D193" s="17">
        <f>6/3.281</f>
        <v>1.8287107589149649</v>
      </c>
      <c r="E193" s="17">
        <v>7.4999999999999997E-2</v>
      </c>
      <c r="F193" s="17">
        <v>0.125</v>
      </c>
      <c r="G193" s="17">
        <f t="shared" si="3"/>
        <v>3.4288326729655594E-2</v>
      </c>
      <c r="H193" s="45"/>
      <c r="I193" s="45"/>
      <c r="J193" s="39"/>
      <c r="K193" s="30"/>
    </row>
    <row r="194" spans="1:14" x14ac:dyDescent="0.25">
      <c r="A194" s="25"/>
      <c r="B194" s="22"/>
      <c r="C194" s="26">
        <v>2</v>
      </c>
      <c r="D194" s="17">
        <f>6/3.281</f>
        <v>1.8287107589149649</v>
      </c>
      <c r="E194" s="17">
        <v>7.4999999999999997E-2</v>
      </c>
      <c r="F194" s="17">
        <v>7.4999999999999997E-2</v>
      </c>
      <c r="G194" s="17">
        <f t="shared" si="3"/>
        <v>2.0572996037793355E-2</v>
      </c>
      <c r="H194" s="45"/>
      <c r="I194" s="45"/>
      <c r="J194" s="39"/>
      <c r="K194" s="30"/>
    </row>
    <row r="195" spans="1:14" x14ac:dyDescent="0.25">
      <c r="A195" s="25"/>
      <c r="B195" s="22" t="s">
        <v>93</v>
      </c>
      <c r="C195" s="26">
        <v>2</v>
      </c>
      <c r="D195" s="17">
        <f>3.5/3.281</f>
        <v>1.0667479427003961</v>
      </c>
      <c r="E195" s="17">
        <v>7.4999999999999997E-2</v>
      </c>
      <c r="F195" s="17">
        <v>0.125</v>
      </c>
      <c r="G195" s="17">
        <f t="shared" si="3"/>
        <v>2.0001523925632425E-2</v>
      </c>
      <c r="H195" s="45"/>
      <c r="I195" s="45"/>
      <c r="J195" s="39"/>
      <c r="K195" s="30"/>
    </row>
    <row r="196" spans="1:14" x14ac:dyDescent="0.25">
      <c r="A196" s="25"/>
      <c r="B196" s="22"/>
      <c r="C196" s="26">
        <v>2</v>
      </c>
      <c r="D196" s="17">
        <f>4.5/3.281</f>
        <v>1.3715330691862238</v>
      </c>
      <c r="E196" s="17">
        <v>7.4999999999999997E-2</v>
      </c>
      <c r="F196" s="17">
        <v>0.125</v>
      </c>
      <c r="G196" s="17">
        <f t="shared" si="3"/>
        <v>2.5716245047241695E-2</v>
      </c>
      <c r="H196" s="45"/>
      <c r="I196" s="45"/>
      <c r="J196" s="39"/>
      <c r="K196" s="30"/>
    </row>
    <row r="197" spans="1:14" hidden="1" x14ac:dyDescent="0.25">
      <c r="A197" s="25"/>
      <c r="B197" s="22" t="s">
        <v>94</v>
      </c>
      <c r="C197" s="26">
        <f>0*2</f>
        <v>0</v>
      </c>
      <c r="D197" s="17">
        <f>(2*2+2.5*2)/3.281</f>
        <v>2.7430661383724475</v>
      </c>
      <c r="E197" s="17">
        <v>7.4999999999999997E-2</v>
      </c>
      <c r="F197" s="17">
        <v>0.125</v>
      </c>
      <c r="G197" s="17">
        <f t="shared" si="3"/>
        <v>0</v>
      </c>
      <c r="H197" s="45"/>
      <c r="I197" s="45"/>
      <c r="J197" s="39"/>
      <c r="K197" s="30"/>
    </row>
    <row r="198" spans="1:14" ht="15" customHeight="1" x14ac:dyDescent="0.25">
      <c r="A198" s="25"/>
      <c r="B198" s="22" t="s">
        <v>25</v>
      </c>
      <c r="C198" s="26"/>
      <c r="D198" s="17"/>
      <c r="E198" s="17"/>
      <c r="F198" s="17"/>
      <c r="G198" s="27">
        <f>SUM(G192:G197)</f>
        <v>0.1224836177994514</v>
      </c>
      <c r="H198" s="27" t="s">
        <v>90</v>
      </c>
      <c r="I198" s="28">
        <v>284000.83</v>
      </c>
      <c r="J198" s="29">
        <f>G198*I198</f>
        <v>34785.449116446973</v>
      </c>
      <c r="K198" s="30"/>
    </row>
    <row r="199" spans="1:14" ht="15" customHeight="1" x14ac:dyDescent="0.25">
      <c r="A199" s="12"/>
      <c r="B199" s="22" t="s">
        <v>44</v>
      </c>
      <c r="C199" s="14"/>
      <c r="D199" s="15"/>
      <c r="E199" s="16"/>
      <c r="F199" s="16"/>
      <c r="G199" s="19"/>
      <c r="H199" s="18"/>
      <c r="I199" s="19"/>
      <c r="J199" s="20">
        <f>0.13*G198*239222.83</f>
        <v>3809.1140982210081</v>
      </c>
      <c r="K199" s="16"/>
      <c r="M199" s="21"/>
      <c r="N199" s="21"/>
    </row>
    <row r="200" spans="1:14" ht="15" customHeight="1" x14ac:dyDescent="0.25">
      <c r="A200" s="25"/>
      <c r="B200" s="22"/>
      <c r="C200" s="26"/>
      <c r="D200" s="17"/>
      <c r="E200" s="17"/>
      <c r="F200" s="17"/>
      <c r="G200" s="45"/>
      <c r="H200" s="45"/>
      <c r="I200" s="45"/>
      <c r="J200" s="39"/>
      <c r="K200" s="30"/>
    </row>
    <row r="201" spans="1:14" ht="30" x14ac:dyDescent="0.25">
      <c r="A201" s="12">
        <v>26</v>
      </c>
      <c r="B201" s="54" t="s">
        <v>124</v>
      </c>
      <c r="C201" s="14"/>
      <c r="D201" s="15"/>
      <c r="E201" s="16"/>
      <c r="F201" s="16"/>
      <c r="G201" s="19"/>
      <c r="H201" s="18"/>
      <c r="I201" s="19"/>
      <c r="J201" s="37"/>
      <c r="K201" s="16"/>
    </row>
    <row r="202" spans="1:14" x14ac:dyDescent="0.25">
      <c r="A202" s="12"/>
      <c r="B202" s="43" t="s">
        <v>95</v>
      </c>
      <c r="C202" s="14">
        <v>1</v>
      </c>
      <c r="D202" s="15">
        <f>15/3.281</f>
        <v>4.5717768972874122</v>
      </c>
      <c r="E202" s="16">
        <v>7.4999999999999997E-2</v>
      </c>
      <c r="F202" s="30"/>
      <c r="G202" s="33">
        <f>PRODUCT(C202:E202)</f>
        <v>0.34288326729655588</v>
      </c>
      <c r="H202" s="18"/>
      <c r="I202" s="19"/>
      <c r="J202" s="37"/>
      <c r="K202" s="16"/>
    </row>
    <row r="203" spans="1:14" x14ac:dyDescent="0.25">
      <c r="A203" s="12"/>
      <c r="B203" s="43" t="str">
        <f>B192</f>
        <v>-For Door</v>
      </c>
      <c r="C203" s="14">
        <v>2</v>
      </c>
      <c r="D203" s="15">
        <f>0.3</f>
        <v>0.3</v>
      </c>
      <c r="E203" s="16"/>
      <c r="F203" s="16">
        <f>D193</f>
        <v>1.8287107589149649</v>
      </c>
      <c r="G203" s="33">
        <f>PRODUCT(C203:F203)</f>
        <v>1.097226455348979</v>
      </c>
      <c r="H203" s="18"/>
      <c r="I203" s="19"/>
      <c r="J203" s="37"/>
      <c r="K203" s="16"/>
    </row>
    <row r="204" spans="1:14" x14ac:dyDescent="0.25">
      <c r="A204" s="12"/>
      <c r="B204" s="43"/>
      <c r="C204" s="14">
        <v>1</v>
      </c>
      <c r="D204" s="15">
        <f>(6*2+4*2)/3.281</f>
        <v>6.0957025297165499</v>
      </c>
      <c r="E204" s="16">
        <v>7.4999999999999997E-2</v>
      </c>
      <c r="F204" s="16"/>
      <c r="G204" s="33">
        <f>PRODUCT(C204:F204)</f>
        <v>0.45717768972874123</v>
      </c>
      <c r="H204" s="18"/>
      <c r="I204" s="19"/>
      <c r="J204" s="37"/>
      <c r="K204" s="16"/>
    </row>
    <row r="205" spans="1:14" hidden="1" x14ac:dyDescent="0.25">
      <c r="A205" s="12"/>
      <c r="B205" s="43" t="s">
        <v>94</v>
      </c>
      <c r="C205" s="14">
        <f>0*2</f>
        <v>0</v>
      </c>
      <c r="D205" s="15">
        <f>D197</f>
        <v>2.7430661383724475</v>
      </c>
      <c r="E205" s="16">
        <f>E197</f>
        <v>7.4999999999999997E-2</v>
      </c>
      <c r="F205" s="16"/>
      <c r="G205" s="33">
        <f>PRODUCT(C205:F205)</f>
        <v>0</v>
      </c>
      <c r="H205" s="18"/>
      <c r="I205" s="19"/>
      <c r="J205" s="37"/>
      <c r="K205" s="16"/>
    </row>
    <row r="206" spans="1:14" ht="15" customHeight="1" x14ac:dyDescent="0.25">
      <c r="A206" s="25"/>
      <c r="B206" s="43" t="s">
        <v>25</v>
      </c>
      <c r="C206" s="32"/>
      <c r="D206" s="33"/>
      <c r="E206" s="33"/>
      <c r="F206" s="33"/>
      <c r="G206" s="37">
        <f>SUM(G202:G205)</f>
        <v>1.897287412374276</v>
      </c>
      <c r="H206" s="37" t="s">
        <v>26</v>
      </c>
      <c r="I206" s="38">
        <f>55091.51/1.15</f>
        <v>47905.660869565225</v>
      </c>
      <c r="J206" s="39">
        <f>G206*I206</f>
        <v>90890.807349297014</v>
      </c>
      <c r="K206" s="34"/>
    </row>
    <row r="207" spans="1:14" x14ac:dyDescent="0.25">
      <c r="A207" s="12"/>
      <c r="B207" s="54"/>
      <c r="C207" s="14"/>
      <c r="D207" s="15"/>
      <c r="E207" s="16"/>
      <c r="F207" s="16"/>
      <c r="G207" s="19"/>
      <c r="H207" s="18"/>
      <c r="I207" s="19"/>
      <c r="J207" s="37"/>
      <c r="K207" s="16"/>
    </row>
    <row r="208" spans="1:14" ht="45" x14ac:dyDescent="0.25">
      <c r="A208" s="25">
        <v>27</v>
      </c>
      <c r="B208" s="24" t="s">
        <v>125</v>
      </c>
      <c r="C208" s="26"/>
      <c r="D208" s="17"/>
      <c r="E208" s="17"/>
      <c r="F208" s="17"/>
      <c r="G208" s="45"/>
      <c r="H208" s="45"/>
      <c r="I208" s="45"/>
      <c r="J208" s="39"/>
      <c r="K208" s="30"/>
    </row>
    <row r="209" spans="1:19" ht="15" customHeight="1" x14ac:dyDescent="0.25">
      <c r="A209" s="25"/>
      <c r="B209" s="22" t="s">
        <v>96</v>
      </c>
      <c r="C209" s="26">
        <v>1</v>
      </c>
      <c r="D209" s="17">
        <f>3/3.281</f>
        <v>0.91435537945748246</v>
      </c>
      <c r="E209" s="17">
        <f>4/3.281</f>
        <v>1.2191405059433098</v>
      </c>
      <c r="F209" s="17"/>
      <c r="G209" s="17">
        <f>PRODUCT(C209:F209)</f>
        <v>1.1147276799237822</v>
      </c>
      <c r="H209" s="45"/>
      <c r="I209" s="45"/>
      <c r="J209" s="39"/>
      <c r="K209" s="30"/>
    </row>
    <row r="210" spans="1:19" ht="15" customHeight="1" x14ac:dyDescent="0.25">
      <c r="A210" s="25"/>
      <c r="B210" s="22" t="s">
        <v>94</v>
      </c>
      <c r="C210" s="26">
        <f>0*2</f>
        <v>0</v>
      </c>
      <c r="D210" s="17"/>
      <c r="E210" s="17">
        <f>2.5/3.281</f>
        <v>0.76196281621456874</v>
      </c>
      <c r="F210" s="17">
        <f>1.5/3.281</f>
        <v>0.45717768972874123</v>
      </c>
      <c r="G210" s="17">
        <f>PRODUCT(C210:F210)</f>
        <v>0</v>
      </c>
      <c r="H210" s="45"/>
      <c r="I210" s="45"/>
      <c r="J210" s="39"/>
      <c r="K210" s="30"/>
    </row>
    <row r="211" spans="1:19" ht="15" customHeight="1" x14ac:dyDescent="0.25">
      <c r="A211" s="25"/>
      <c r="B211" s="22" t="s">
        <v>25</v>
      </c>
      <c r="C211" s="26"/>
      <c r="D211" s="17"/>
      <c r="E211" s="17"/>
      <c r="F211" s="17"/>
      <c r="G211" s="27">
        <f>SUM(G209:G210)</f>
        <v>1.1147276799237822</v>
      </c>
      <c r="H211" s="27" t="s">
        <v>26</v>
      </c>
      <c r="I211" s="28">
        <f>69579.92/1.15</f>
        <v>60504.278260869571</v>
      </c>
      <c r="J211" s="29">
        <f>G211*I211</f>
        <v>67445.793731202066</v>
      </c>
      <c r="K211" s="30"/>
    </row>
    <row r="212" spans="1:19" ht="15" customHeight="1" x14ac:dyDescent="0.25">
      <c r="A212" s="25"/>
      <c r="B212" s="22" t="s">
        <v>85</v>
      </c>
      <c r="C212" s="26"/>
      <c r="D212" s="17"/>
      <c r="E212" s="17"/>
      <c r="F212" s="17"/>
      <c r="G212" s="45"/>
      <c r="H212" s="45"/>
      <c r="I212" s="45"/>
      <c r="J212" s="39">
        <f>0.13*G211*((9888.94)/0.92)</f>
        <v>1557.6649658736014</v>
      </c>
      <c r="K212" s="30"/>
      <c r="M212" s="58"/>
    </row>
    <row r="213" spans="1:19" ht="15" customHeight="1" x14ac:dyDescent="0.25">
      <c r="A213" s="25"/>
      <c r="B213" s="22"/>
      <c r="C213" s="26"/>
      <c r="D213" s="17"/>
      <c r="E213" s="17"/>
      <c r="F213" s="17"/>
      <c r="G213" s="45"/>
      <c r="H213" s="45"/>
      <c r="I213" s="45"/>
      <c r="J213" s="39"/>
      <c r="K213" s="30"/>
      <c r="M213" s="58"/>
    </row>
    <row r="214" spans="1:19" ht="30.75" x14ac:dyDescent="0.25">
      <c r="A214" s="25">
        <v>28</v>
      </c>
      <c r="B214" s="11" t="s">
        <v>97</v>
      </c>
      <c r="C214" s="26"/>
      <c r="D214" s="17"/>
      <c r="E214" s="17"/>
      <c r="F214" s="17"/>
      <c r="G214" s="45"/>
      <c r="H214" s="45"/>
      <c r="I214" s="45"/>
      <c r="J214" s="39"/>
      <c r="K214" s="30"/>
      <c r="M214" s="58"/>
    </row>
    <row r="215" spans="1:19" ht="15" customHeight="1" x14ac:dyDescent="0.25">
      <c r="A215" s="25"/>
      <c r="B215" s="22" t="s">
        <v>98</v>
      </c>
      <c r="C215" s="26">
        <v>1</v>
      </c>
      <c r="D215" s="17"/>
      <c r="E215" s="17">
        <f>3.5/3.281</f>
        <v>1.0667479427003961</v>
      </c>
      <c r="F215" s="17">
        <f>6/3.281</f>
        <v>1.8287107589149649</v>
      </c>
      <c r="G215" s="17">
        <f>PRODUCT(C215:F215)</f>
        <v>1.9507734398666188</v>
      </c>
      <c r="H215" s="45"/>
      <c r="I215" s="45"/>
      <c r="J215" s="39"/>
      <c r="K215" s="30"/>
    </row>
    <row r="216" spans="1:19" ht="15" customHeight="1" x14ac:dyDescent="0.25">
      <c r="A216" s="25"/>
      <c r="B216" s="22" t="s">
        <v>25</v>
      </c>
      <c r="C216" s="26"/>
      <c r="D216" s="17"/>
      <c r="E216" s="17"/>
      <c r="F216" s="17"/>
      <c r="G216" s="27">
        <f>SUM(G215:G215)</f>
        <v>1.9507734398666188</v>
      </c>
      <c r="H216" s="27" t="s">
        <v>26</v>
      </c>
      <c r="I216" s="28">
        <v>15859.11</v>
      </c>
      <c r="J216" s="29">
        <f>G216*I216</f>
        <v>30937.530567923095</v>
      </c>
      <c r="K216" s="30"/>
    </row>
    <row r="217" spans="1:19" ht="15" customHeight="1" x14ac:dyDescent="0.25">
      <c r="A217" s="25"/>
      <c r="B217" s="22" t="s">
        <v>85</v>
      </c>
      <c r="C217" s="26"/>
      <c r="D217" s="17"/>
      <c r="E217" s="17"/>
      <c r="F217" s="17"/>
      <c r="G217" s="45"/>
      <c r="H217" s="45"/>
      <c r="I217" s="45"/>
      <c r="J217" s="39">
        <f>0.13*G216*((20356.18)/2.114)</f>
        <v>2441.9765310069674</v>
      </c>
      <c r="K217" s="30"/>
      <c r="M217" s="58"/>
    </row>
    <row r="218" spans="1:19" ht="15.75" x14ac:dyDescent="0.25">
      <c r="A218" s="25"/>
      <c r="B218" s="11"/>
      <c r="C218" s="26"/>
      <c r="D218" s="17"/>
      <c r="E218" s="17"/>
      <c r="F218" s="17"/>
      <c r="G218" s="45"/>
      <c r="H218" s="45"/>
      <c r="I218" s="45"/>
      <c r="J218" s="39"/>
      <c r="K218" s="30"/>
      <c r="M218" s="58"/>
    </row>
    <row r="219" spans="1:19" ht="30" x14ac:dyDescent="0.25">
      <c r="A219" s="25">
        <v>29</v>
      </c>
      <c r="B219" s="24" t="s">
        <v>99</v>
      </c>
      <c r="C219" s="26"/>
      <c r="D219" s="17"/>
      <c r="E219" s="17"/>
      <c r="F219" s="17"/>
      <c r="G219" s="45"/>
      <c r="H219" s="45"/>
      <c r="I219" s="45"/>
      <c r="J219" s="39"/>
      <c r="K219" s="30"/>
    </row>
    <row r="220" spans="1:19" ht="15" customHeight="1" x14ac:dyDescent="0.25">
      <c r="A220" s="25"/>
      <c r="B220" s="22" t="s">
        <v>98</v>
      </c>
      <c r="C220" s="26">
        <v>1</v>
      </c>
      <c r="D220" s="17"/>
      <c r="E220" s="17">
        <f>3.5/3.281</f>
        <v>1.0667479427003961</v>
      </c>
      <c r="F220" s="17">
        <f>6/3.281</f>
        <v>1.8287107589149649</v>
      </c>
      <c r="G220" s="17">
        <f>PRODUCT(C220:F220)</f>
        <v>1.9507734398666188</v>
      </c>
      <c r="H220" s="45"/>
      <c r="I220" s="45"/>
      <c r="J220" s="39"/>
      <c r="K220" s="30"/>
    </row>
    <row r="221" spans="1:19" ht="15" customHeight="1" x14ac:dyDescent="0.25">
      <c r="A221" s="25"/>
      <c r="B221" s="22" t="s">
        <v>25</v>
      </c>
      <c r="C221" s="26"/>
      <c r="D221" s="17"/>
      <c r="E221" s="17"/>
      <c r="F221" s="17"/>
      <c r="G221" s="27">
        <f>SUM(G220:G220)</f>
        <v>1.9507734398666188</v>
      </c>
      <c r="H221" s="27" t="s">
        <v>26</v>
      </c>
      <c r="I221" s="28">
        <f>46573/1.15</f>
        <v>40498.260869565223</v>
      </c>
      <c r="J221" s="29">
        <f>G221*I221</f>
        <v>79002.931665137439</v>
      </c>
      <c r="K221" s="30"/>
    </row>
    <row r="222" spans="1:19" x14ac:dyDescent="0.25">
      <c r="A222" s="25"/>
      <c r="B222" s="24"/>
      <c r="C222" s="26"/>
      <c r="D222" s="17"/>
      <c r="E222" s="17"/>
      <c r="F222" s="17"/>
      <c r="G222" s="45"/>
      <c r="H222" s="45"/>
      <c r="I222" s="45"/>
      <c r="J222" s="39"/>
      <c r="K222" s="30"/>
    </row>
    <row r="223" spans="1:19" ht="30" hidden="1" x14ac:dyDescent="0.25">
      <c r="A223" s="12">
        <v>32</v>
      </c>
      <c r="B223" s="72" t="s">
        <v>100</v>
      </c>
      <c r="C223" s="14"/>
      <c r="D223" s="15"/>
      <c r="E223" s="16"/>
      <c r="F223" s="16"/>
      <c r="G223" s="19"/>
      <c r="H223" s="18"/>
      <c r="I223" s="19"/>
      <c r="J223" s="20"/>
      <c r="K223" s="16"/>
      <c r="M223" s="21"/>
      <c r="N223" s="1"/>
      <c r="O223" s="1"/>
      <c r="P223" s="1"/>
      <c r="Q223" s="1"/>
      <c r="R223" s="21"/>
      <c r="S223" s="21"/>
    </row>
    <row r="224" spans="1:19" ht="15" hidden="1" customHeight="1" x14ac:dyDescent="0.25">
      <c r="A224" s="12"/>
      <c r="B224" s="13" t="s">
        <v>101</v>
      </c>
      <c r="C224" s="14">
        <v>2</v>
      </c>
      <c r="D224" s="15">
        <f>((15.667+16.25)/2)/3.281</f>
        <v>4.8639134410240779</v>
      </c>
      <c r="E224" s="16">
        <f>((10.75)/3.281)</f>
        <v>3.2764401097226452</v>
      </c>
      <c r="F224" s="16"/>
      <c r="G224" s="17">
        <f>PRODUCT(C224:F224)</f>
        <v>31.872642176780758</v>
      </c>
      <c r="H224" s="18"/>
      <c r="I224" s="19"/>
      <c r="J224" s="20"/>
      <c r="K224" s="16"/>
      <c r="M224" s="21"/>
      <c r="N224" s="1"/>
      <c r="O224" s="1"/>
      <c r="P224" s="1"/>
      <c r="Q224" s="1"/>
      <c r="R224" s="21"/>
      <c r="S224" s="21"/>
    </row>
    <row r="225" spans="1:19" ht="15" hidden="1" customHeight="1" x14ac:dyDescent="0.25">
      <c r="A225" s="25"/>
      <c r="B225" s="22" t="s">
        <v>25</v>
      </c>
      <c r="C225" s="26"/>
      <c r="D225" s="17"/>
      <c r="E225" s="17"/>
      <c r="F225" s="17"/>
      <c r="G225" s="27">
        <f>0*SUM(G224:G224)</f>
        <v>0</v>
      </c>
      <c r="H225" s="27" t="s">
        <v>26</v>
      </c>
      <c r="I225" s="28">
        <f>(325188.75/100)</f>
        <v>3251.8874999999998</v>
      </c>
      <c r="J225" s="29">
        <f>G225*I225</f>
        <v>0</v>
      </c>
      <c r="K225" s="30"/>
    </row>
    <row r="226" spans="1:19" ht="15" hidden="1" customHeight="1" x14ac:dyDescent="0.25">
      <c r="A226" s="25"/>
      <c r="B226" s="22" t="s">
        <v>85</v>
      </c>
      <c r="C226" s="26"/>
      <c r="D226" s="17"/>
      <c r="E226" s="17"/>
      <c r="F226" s="17"/>
      <c r="G226" s="45"/>
      <c r="H226" s="45"/>
      <c r="I226" s="45"/>
      <c r="J226" s="39">
        <f>0.13*G225*((221748.75)/100)</f>
        <v>0</v>
      </c>
      <c r="K226" s="30"/>
    </row>
    <row r="227" spans="1:19" ht="15" hidden="1" customHeight="1" x14ac:dyDescent="0.25">
      <c r="A227" s="25"/>
      <c r="B227" s="22"/>
      <c r="C227" s="26"/>
      <c r="D227" s="17"/>
      <c r="E227" s="17"/>
      <c r="F227" s="17"/>
      <c r="G227" s="45"/>
      <c r="H227" s="45"/>
      <c r="I227" s="45"/>
      <c r="J227" s="39"/>
      <c r="K227" s="30"/>
    </row>
    <row r="228" spans="1:19" ht="30" hidden="1" x14ac:dyDescent="0.25">
      <c r="A228" s="12">
        <v>33</v>
      </c>
      <c r="B228" s="72" t="s">
        <v>102</v>
      </c>
      <c r="C228" s="26"/>
      <c r="D228" s="17"/>
      <c r="E228" s="17"/>
      <c r="F228" s="17"/>
      <c r="G228" s="45"/>
      <c r="H228" s="45"/>
      <c r="I228" s="45"/>
      <c r="J228" s="39"/>
      <c r="K228" s="30"/>
    </row>
    <row r="229" spans="1:19" ht="15" hidden="1" customHeight="1" x14ac:dyDescent="0.25">
      <c r="A229" s="12"/>
      <c r="B229" s="13" t="s">
        <v>101</v>
      </c>
      <c r="C229" s="14">
        <f>2*2</f>
        <v>4</v>
      </c>
      <c r="D229" s="15">
        <f>D224</f>
        <v>4.8639134410240779</v>
      </c>
      <c r="E229" s="16"/>
      <c r="F229" s="16"/>
      <c r="G229" s="17">
        <f>PRODUCT(C229:F229)</f>
        <v>19.455653764096311</v>
      </c>
      <c r="H229" s="18"/>
      <c r="I229" s="19"/>
      <c r="J229" s="20"/>
      <c r="K229" s="16"/>
      <c r="M229" s="21"/>
      <c r="N229" s="1"/>
      <c r="O229" s="1"/>
      <c r="P229" s="1"/>
      <c r="Q229" s="1"/>
      <c r="R229" s="21"/>
      <c r="S229" s="21"/>
    </row>
    <row r="230" spans="1:19" ht="15" hidden="1" customHeight="1" x14ac:dyDescent="0.25">
      <c r="A230" s="25"/>
      <c r="B230" s="22" t="s">
        <v>25</v>
      </c>
      <c r="C230" s="26"/>
      <c r="D230" s="17"/>
      <c r="E230" s="17"/>
      <c r="F230" s="17"/>
      <c r="G230" s="27">
        <f>0*SUM(G229:G229)</f>
        <v>0</v>
      </c>
      <c r="H230" s="27" t="s">
        <v>68</v>
      </c>
      <c r="I230" s="28">
        <v>1842.85</v>
      </c>
      <c r="J230" s="29">
        <f>G230*I230</f>
        <v>0</v>
      </c>
      <c r="K230" s="30"/>
    </row>
    <row r="231" spans="1:19" ht="15" hidden="1" customHeight="1" x14ac:dyDescent="0.25">
      <c r="A231" s="25"/>
      <c r="B231" s="22" t="s">
        <v>85</v>
      </c>
      <c r="C231" s="26"/>
      <c r="D231" s="17"/>
      <c r="E231" s="17"/>
      <c r="F231" s="17"/>
      <c r="G231" s="45"/>
      <c r="H231" s="45"/>
      <c r="I231" s="45"/>
      <c r="J231" s="39">
        <f>0.13*G230*((164000)/100)</f>
        <v>0</v>
      </c>
      <c r="K231" s="30"/>
    </row>
    <row r="232" spans="1:19" ht="15" hidden="1" customHeight="1" x14ac:dyDescent="0.25">
      <c r="A232" s="25"/>
      <c r="B232" s="22"/>
      <c r="C232" s="26"/>
      <c r="D232" s="17"/>
      <c r="E232" s="17"/>
      <c r="F232" s="17"/>
      <c r="G232" s="45"/>
      <c r="H232" s="45"/>
      <c r="I232" s="45"/>
      <c r="J232" s="39"/>
      <c r="K232" s="30"/>
    </row>
    <row r="233" spans="1:19" ht="30" hidden="1" x14ac:dyDescent="0.25">
      <c r="A233" s="25">
        <v>34</v>
      </c>
      <c r="B233" s="72" t="s">
        <v>103</v>
      </c>
      <c r="C233" s="26"/>
      <c r="D233" s="17"/>
      <c r="E233" s="17"/>
      <c r="F233" s="17"/>
      <c r="G233" s="45"/>
      <c r="H233" s="45"/>
      <c r="I233" s="45"/>
      <c r="J233" s="39"/>
      <c r="K233" s="30"/>
    </row>
    <row r="234" spans="1:19" hidden="1" x14ac:dyDescent="0.25">
      <c r="A234" s="25"/>
      <c r="B234" s="22" t="s">
        <v>104</v>
      </c>
      <c r="C234" s="26">
        <v>4</v>
      </c>
      <c r="D234" s="17"/>
      <c r="E234" s="17"/>
      <c r="F234" s="17"/>
      <c r="G234" s="17">
        <f>PRODUCT(C234:F234)</f>
        <v>4</v>
      </c>
      <c r="H234" s="45"/>
      <c r="I234" s="45"/>
      <c r="J234" s="39"/>
      <c r="K234" s="30"/>
    </row>
    <row r="235" spans="1:19" ht="15" hidden="1" customHeight="1" x14ac:dyDescent="0.25">
      <c r="A235" s="25"/>
      <c r="B235" s="22" t="s">
        <v>25</v>
      </c>
      <c r="C235" s="26"/>
      <c r="D235" s="17"/>
      <c r="E235" s="17"/>
      <c r="F235" s="17"/>
      <c r="G235" s="27">
        <f>0*SUM(G234)</f>
        <v>0</v>
      </c>
      <c r="H235" s="27" t="s">
        <v>90</v>
      </c>
      <c r="I235" s="28">
        <v>279</v>
      </c>
      <c r="J235" s="29">
        <f>G235*I235</f>
        <v>0</v>
      </c>
      <c r="K235" s="30"/>
    </row>
    <row r="236" spans="1:19" ht="15" hidden="1" customHeight="1" x14ac:dyDescent="0.25">
      <c r="A236" s="25"/>
      <c r="B236" s="22" t="s">
        <v>85</v>
      </c>
      <c r="C236" s="26"/>
      <c r="D236" s="17"/>
      <c r="E236" s="17"/>
      <c r="F236" s="17"/>
      <c r="G236" s="45"/>
      <c r="H236" s="45"/>
      <c r="I236" s="45"/>
      <c r="J236" s="39">
        <f>0.13*J235</f>
        <v>0</v>
      </c>
      <c r="K236" s="30"/>
    </row>
    <row r="237" spans="1:19" hidden="1" x14ac:dyDescent="0.25">
      <c r="A237" s="25"/>
      <c r="B237" s="24"/>
      <c r="C237" s="26"/>
      <c r="D237" s="17"/>
      <c r="E237" s="17"/>
      <c r="F237" s="17"/>
      <c r="G237" s="45"/>
      <c r="H237" s="45"/>
      <c r="I237" s="45"/>
      <c r="J237" s="39"/>
      <c r="K237" s="30"/>
    </row>
    <row r="238" spans="1:19" ht="30" x14ac:dyDescent="0.25">
      <c r="A238" s="12">
        <v>30</v>
      </c>
      <c r="B238" s="72" t="s">
        <v>118</v>
      </c>
      <c r="C238" s="14"/>
      <c r="D238" s="15"/>
      <c r="E238" s="16"/>
      <c r="F238" s="16"/>
      <c r="G238" s="19"/>
      <c r="H238" s="18"/>
      <c r="I238" s="19"/>
      <c r="J238" s="20"/>
      <c r="K238" s="16"/>
      <c r="M238" s="21"/>
      <c r="N238" s="1"/>
      <c r="O238" s="1"/>
      <c r="P238" s="1"/>
      <c r="Q238" s="1"/>
      <c r="R238" s="21"/>
      <c r="S238" s="21"/>
    </row>
    <row r="239" spans="1:19" ht="15" customHeight="1" x14ac:dyDescent="0.25">
      <c r="A239" s="12"/>
      <c r="B239" s="13" t="s">
        <v>101</v>
      </c>
      <c r="C239" s="14">
        <v>2</v>
      </c>
      <c r="D239" s="15">
        <f>(((15.667+16.25)/2)/3.281)+0.2</f>
        <v>5.063913441024078</v>
      </c>
      <c r="E239" s="16">
        <f>((10.75)/3.281)</f>
        <v>3.2764401097226452</v>
      </c>
      <c r="F239" s="16"/>
      <c r="G239" s="17">
        <f>PRODUCT(C239:F239)</f>
        <v>33.183218220669815</v>
      </c>
      <c r="H239" s="18"/>
      <c r="I239" s="19"/>
      <c r="J239" s="20"/>
      <c r="K239" s="16"/>
      <c r="M239" s="21"/>
      <c r="N239" s="1"/>
      <c r="O239" s="1"/>
      <c r="P239" s="1"/>
      <c r="Q239" s="1"/>
      <c r="R239" s="21"/>
      <c r="S239" s="21"/>
    </row>
    <row r="240" spans="1:19" ht="15" customHeight="1" x14ac:dyDescent="0.25">
      <c r="A240" s="25"/>
      <c r="B240" s="22" t="s">
        <v>25</v>
      </c>
      <c r="C240" s="26"/>
      <c r="D240" s="17"/>
      <c r="E240" s="17"/>
      <c r="F240" s="17"/>
      <c r="G240" s="27">
        <f>SUM(G239:G239)</f>
        <v>33.183218220669815</v>
      </c>
      <c r="H240" s="27" t="s">
        <v>26</v>
      </c>
      <c r="I240" s="28">
        <f>12179.38/1.15</f>
        <v>10590.765217391305</v>
      </c>
      <c r="J240" s="29">
        <f>G240*I240</f>
        <v>351435.67333257524</v>
      </c>
      <c r="K240" s="30"/>
    </row>
    <row r="241" spans="1:19" ht="15" customHeight="1" x14ac:dyDescent="0.25">
      <c r="A241" s="25"/>
      <c r="B241" s="22" t="s">
        <v>85</v>
      </c>
      <c r="C241" s="26"/>
      <c r="D241" s="17"/>
      <c r="E241" s="17"/>
      <c r="F241" s="17"/>
      <c r="G241" s="45"/>
      <c r="H241" s="45"/>
      <c r="I241" s="45"/>
      <c r="J241" s="39">
        <f>0.13*G240*(95368.8/10)</f>
        <v>41140.368123964407</v>
      </c>
      <c r="K241" s="30"/>
    </row>
    <row r="242" spans="1:19" ht="15" customHeight="1" x14ac:dyDescent="0.25">
      <c r="A242" s="25"/>
      <c r="B242" s="22"/>
      <c r="C242" s="26"/>
      <c r="D242" s="17"/>
      <c r="E242" s="17"/>
      <c r="F242" s="17"/>
      <c r="G242" s="45"/>
      <c r="H242" s="45"/>
      <c r="I242" s="45"/>
      <c r="J242" s="39"/>
      <c r="K242" s="30"/>
    </row>
    <row r="243" spans="1:19" ht="45" x14ac:dyDescent="0.25">
      <c r="A243" s="25">
        <v>31</v>
      </c>
      <c r="B243" s="24" t="s">
        <v>120</v>
      </c>
      <c r="C243" s="26"/>
      <c r="D243" s="17"/>
      <c r="E243" s="17"/>
      <c r="F243" s="17"/>
      <c r="G243" s="45"/>
      <c r="H243" s="45"/>
      <c r="I243" s="45"/>
      <c r="J243" s="39"/>
      <c r="K243" s="30"/>
    </row>
    <row r="244" spans="1:19" ht="15" customHeight="1" x14ac:dyDescent="0.25">
      <c r="A244" s="12"/>
      <c r="B244" s="13" t="s">
        <v>101</v>
      </c>
      <c r="C244" s="14">
        <v>2</v>
      </c>
      <c r="D244" s="16">
        <f>((10.75)/3.281)</f>
        <v>3.2764401097226452</v>
      </c>
      <c r="E244" s="16"/>
      <c r="F244" s="16"/>
      <c r="G244" s="17">
        <f>PRODUCT(C244:F244)</f>
        <v>6.5528802194452904</v>
      </c>
      <c r="H244" s="18"/>
      <c r="I244" s="19"/>
      <c r="J244" s="20"/>
      <c r="K244" s="16"/>
      <c r="M244" s="21"/>
      <c r="N244" s="1"/>
      <c r="O244" s="1"/>
      <c r="P244" s="1"/>
      <c r="Q244" s="1"/>
      <c r="R244" s="21"/>
      <c r="S244" s="21"/>
    </row>
    <row r="245" spans="1:19" ht="15" customHeight="1" x14ac:dyDescent="0.25">
      <c r="A245" s="25"/>
      <c r="B245" s="22" t="s">
        <v>25</v>
      </c>
      <c r="C245" s="26"/>
      <c r="D245" s="17"/>
      <c r="E245" s="17"/>
      <c r="F245" s="17"/>
      <c r="G245" s="27">
        <f>SUM(G244:G244)</f>
        <v>6.5528802194452904</v>
      </c>
      <c r="H245" s="27" t="s">
        <v>68</v>
      </c>
      <c r="I245" s="28">
        <v>2563.0700000000002</v>
      </c>
      <c r="J245" s="29">
        <f>G245*I245</f>
        <v>16795.490704053642</v>
      </c>
      <c r="K245" s="30"/>
    </row>
    <row r="246" spans="1:19" ht="15" customHeight="1" x14ac:dyDescent="0.25">
      <c r="A246" s="25"/>
      <c r="B246" s="22"/>
      <c r="C246" s="26"/>
      <c r="D246" s="17"/>
      <c r="E246" s="17"/>
      <c r="F246" s="17"/>
      <c r="G246" s="45"/>
      <c r="H246" s="45"/>
      <c r="I246" s="45"/>
      <c r="J246" s="39"/>
      <c r="K246" s="30"/>
    </row>
    <row r="247" spans="1:19" ht="45" x14ac:dyDescent="0.25">
      <c r="A247" s="25">
        <v>32</v>
      </c>
      <c r="B247" s="24" t="s">
        <v>121</v>
      </c>
      <c r="C247" s="26"/>
      <c r="D247" s="17"/>
      <c r="E247" s="17"/>
      <c r="F247" s="17"/>
      <c r="G247" s="45"/>
      <c r="H247" s="45"/>
      <c r="I247" s="45"/>
      <c r="J247" s="39"/>
      <c r="K247" s="30"/>
    </row>
    <row r="248" spans="1:19" ht="15" customHeight="1" x14ac:dyDescent="0.25">
      <c r="A248" s="12"/>
      <c r="B248" s="13" t="s">
        <v>101</v>
      </c>
      <c r="C248" s="14">
        <v>4</v>
      </c>
      <c r="D248" s="16"/>
      <c r="E248" s="16"/>
      <c r="F248" s="16"/>
      <c r="G248" s="17">
        <f>PRODUCT(C248:F248)</f>
        <v>4</v>
      </c>
      <c r="H248" s="18"/>
      <c r="I248" s="19"/>
      <c r="J248" s="20"/>
      <c r="K248" s="16"/>
      <c r="M248" s="21"/>
      <c r="N248" s="1"/>
      <c r="O248" s="1"/>
      <c r="P248" s="1"/>
      <c r="Q248" s="1"/>
      <c r="R248" s="21"/>
      <c r="S248" s="21"/>
    </row>
    <row r="249" spans="1:19" ht="15" customHeight="1" x14ac:dyDescent="0.25">
      <c r="A249" s="25"/>
      <c r="B249" s="22" t="s">
        <v>25</v>
      </c>
      <c r="C249" s="26"/>
      <c r="D249" s="17"/>
      <c r="E249" s="17"/>
      <c r="F249" s="17"/>
      <c r="G249" s="27">
        <f>SUM(G248:G248)</f>
        <v>4</v>
      </c>
      <c r="H249" s="27" t="s">
        <v>90</v>
      </c>
      <c r="I249" s="28">
        <f>6970.73/1.15</f>
        <v>6061.5043478260868</v>
      </c>
      <c r="J249" s="29">
        <f>G249*I249</f>
        <v>24246.017391304347</v>
      </c>
      <c r="K249" s="30"/>
    </row>
    <row r="250" spans="1:19" ht="15" customHeight="1" x14ac:dyDescent="0.25">
      <c r="A250" s="25"/>
      <c r="B250" s="22" t="s">
        <v>85</v>
      </c>
      <c r="C250" s="26"/>
      <c r="D250" s="17"/>
      <c r="E250" s="17"/>
      <c r="F250" s="17"/>
      <c r="G250" s="45"/>
      <c r="H250" s="45"/>
      <c r="I250" s="45"/>
      <c r="J250" s="39">
        <f>0.13*G249*2664</f>
        <v>1385.28</v>
      </c>
      <c r="K250" s="30"/>
    </row>
    <row r="251" spans="1:19" ht="15" customHeight="1" x14ac:dyDescent="0.25">
      <c r="A251" s="25"/>
      <c r="B251" s="22"/>
      <c r="C251" s="26"/>
      <c r="D251" s="17"/>
      <c r="E251" s="17"/>
      <c r="F251" s="17"/>
      <c r="G251" s="45"/>
      <c r="H251" s="45"/>
      <c r="I251" s="45"/>
      <c r="J251" s="39"/>
      <c r="K251" s="30"/>
    </row>
    <row r="252" spans="1:19" ht="15" customHeight="1" x14ac:dyDescent="0.25">
      <c r="A252" s="25">
        <v>33</v>
      </c>
      <c r="B252" s="24" t="s">
        <v>122</v>
      </c>
      <c r="C252" s="26"/>
      <c r="D252" s="17"/>
      <c r="E252" s="17"/>
      <c r="F252" s="17"/>
      <c r="G252" s="45"/>
      <c r="H252" s="45"/>
      <c r="I252" s="45"/>
      <c r="J252" s="39"/>
      <c r="K252" s="30"/>
    </row>
    <row r="253" spans="1:19" ht="15" customHeight="1" x14ac:dyDescent="0.25">
      <c r="A253" s="12"/>
      <c r="B253" s="13" t="s">
        <v>123</v>
      </c>
      <c r="C253" s="14">
        <v>1</v>
      </c>
      <c r="D253" s="16"/>
      <c r="E253" s="16"/>
      <c r="F253" s="16"/>
      <c r="G253" s="17">
        <f>PRODUCT(C253:F253)</f>
        <v>1</v>
      </c>
      <c r="H253" s="18"/>
      <c r="I253" s="19"/>
      <c r="J253" s="20"/>
      <c r="K253" s="16"/>
      <c r="M253" s="21"/>
      <c r="N253" s="1"/>
      <c r="O253" s="1"/>
      <c r="P253" s="1"/>
      <c r="Q253" s="1"/>
      <c r="R253" s="21"/>
      <c r="S253" s="21"/>
    </row>
    <row r="254" spans="1:19" ht="15" customHeight="1" x14ac:dyDescent="0.25">
      <c r="A254" s="25"/>
      <c r="B254" s="22" t="s">
        <v>25</v>
      </c>
      <c r="C254" s="26"/>
      <c r="D254" s="17"/>
      <c r="E254" s="17"/>
      <c r="F254" s="17"/>
      <c r="G254" s="27">
        <f>SUM(G253:G253)</f>
        <v>1</v>
      </c>
      <c r="H254" s="27" t="s">
        <v>26</v>
      </c>
      <c r="I254" s="28">
        <f>139.736/1.15</f>
        <v>121.5095652173913</v>
      </c>
      <c r="J254" s="29">
        <f>G254*I254</f>
        <v>121.5095652173913</v>
      </c>
      <c r="K254" s="30"/>
    </row>
    <row r="255" spans="1:19" ht="15" customHeight="1" x14ac:dyDescent="0.25">
      <c r="A255" s="25"/>
      <c r="B255" s="22" t="s">
        <v>85</v>
      </c>
      <c r="C255" s="26"/>
      <c r="D255" s="17"/>
      <c r="E255" s="17"/>
      <c r="F255" s="17"/>
      <c r="G255" s="45"/>
      <c r="H255" s="45"/>
      <c r="I255" s="45"/>
      <c r="J255" s="39">
        <f>0.13*G254*6900/100</f>
        <v>8.9700000000000006</v>
      </c>
      <c r="K255" s="30"/>
    </row>
    <row r="256" spans="1:19" ht="15" customHeight="1" x14ac:dyDescent="0.25">
      <c r="A256" s="25"/>
      <c r="B256" s="22"/>
      <c r="C256" s="26"/>
      <c r="D256" s="17"/>
      <c r="E256" s="17"/>
      <c r="F256" s="17"/>
      <c r="G256" s="45"/>
      <c r="H256" s="45"/>
      <c r="I256" s="45"/>
      <c r="J256" s="39"/>
      <c r="K256" s="30"/>
    </row>
    <row r="257" spans="1:14" s="1" customFormat="1" ht="60" x14ac:dyDescent="0.25">
      <c r="A257" s="25">
        <v>34</v>
      </c>
      <c r="B257" s="60" t="s">
        <v>119</v>
      </c>
      <c r="C257" s="32">
        <f>3</f>
        <v>3</v>
      </c>
      <c r="D257" s="33">
        <v>3.5</v>
      </c>
      <c r="E257" s="33"/>
      <c r="F257" s="33"/>
      <c r="G257" s="33">
        <f>PRODUCT(C257:F257)</f>
        <v>10.5</v>
      </c>
      <c r="H257" s="25"/>
      <c r="I257" s="25"/>
      <c r="J257" s="25"/>
      <c r="K257" s="34"/>
    </row>
    <row r="258" spans="1:14" ht="15" customHeight="1" x14ac:dyDescent="0.25">
      <c r="A258" s="25"/>
      <c r="B258" s="22" t="s">
        <v>25</v>
      </c>
      <c r="C258" s="26"/>
      <c r="D258" s="17"/>
      <c r="E258" s="17"/>
      <c r="F258" s="17"/>
      <c r="G258" s="27">
        <f>SUM(G257:G257)</f>
        <v>10.5</v>
      </c>
      <c r="H258" s="27" t="s">
        <v>105</v>
      </c>
      <c r="I258" s="27">
        <f>4289.73/1.15</f>
        <v>3730.2</v>
      </c>
      <c r="J258" s="29">
        <f>G257*I258</f>
        <v>39167.1</v>
      </c>
      <c r="K258" s="30"/>
    </row>
    <row r="259" spans="1:14" ht="15" customHeight="1" x14ac:dyDescent="0.25">
      <c r="A259" s="25"/>
      <c r="B259" s="22" t="s">
        <v>85</v>
      </c>
      <c r="C259" s="26"/>
      <c r="D259" s="17"/>
      <c r="E259" s="17"/>
      <c r="F259" s="17"/>
      <c r="G259" s="45"/>
      <c r="H259" s="45"/>
      <c r="I259" s="45"/>
      <c r="J259" s="39">
        <f>0.13*G258*7326/5</f>
        <v>1999.998</v>
      </c>
      <c r="K259" s="30"/>
      <c r="M259" s="58"/>
    </row>
    <row r="260" spans="1:14" ht="15" customHeight="1" x14ac:dyDescent="0.25">
      <c r="A260" s="25"/>
      <c r="B260" s="22"/>
      <c r="C260" s="26"/>
      <c r="D260" s="17"/>
      <c r="E260" s="17"/>
      <c r="F260" s="17"/>
      <c r="G260" s="45"/>
      <c r="H260" s="45"/>
      <c r="I260" s="45"/>
      <c r="J260" s="39"/>
      <c r="K260" s="30"/>
    </row>
    <row r="261" spans="1:14" s="1" customFormat="1" ht="30" x14ac:dyDescent="0.25">
      <c r="A261" s="12">
        <v>35</v>
      </c>
      <c r="B261" s="54" t="s">
        <v>106</v>
      </c>
      <c r="C261" s="32">
        <v>1</v>
      </c>
      <c r="D261" s="33"/>
      <c r="E261" s="33"/>
      <c r="F261" s="33"/>
      <c r="G261" s="37">
        <f>PRODUCT(C261:F261)</f>
        <v>1</v>
      </c>
      <c r="H261" s="37" t="s">
        <v>107</v>
      </c>
      <c r="I261" s="37">
        <v>50000</v>
      </c>
      <c r="J261" s="39">
        <f>G261*I261</f>
        <v>50000</v>
      </c>
      <c r="K261" s="34"/>
    </row>
    <row r="262" spans="1:14" ht="15" customHeight="1" x14ac:dyDescent="0.25">
      <c r="A262" s="25"/>
      <c r="B262" s="41"/>
      <c r="C262" s="26"/>
      <c r="D262" s="17"/>
      <c r="E262" s="17"/>
      <c r="F262" s="17"/>
      <c r="G262" s="45"/>
      <c r="H262" s="45"/>
      <c r="I262" s="45"/>
      <c r="J262" s="39"/>
      <c r="K262" s="30"/>
    </row>
    <row r="263" spans="1:14" ht="15" customHeight="1" x14ac:dyDescent="0.25">
      <c r="A263" s="12">
        <v>36</v>
      </c>
      <c r="B263" s="61" t="s">
        <v>108</v>
      </c>
      <c r="C263" s="14">
        <v>1</v>
      </c>
      <c r="D263" s="15"/>
      <c r="E263" s="16"/>
      <c r="F263" s="16"/>
      <c r="G263" s="37">
        <f>PRODUCT(C263:F263)</f>
        <v>1</v>
      </c>
      <c r="H263" s="18" t="s">
        <v>90</v>
      </c>
      <c r="I263" s="19">
        <v>1000</v>
      </c>
      <c r="J263" s="37">
        <f>G263*I263</f>
        <v>1000</v>
      </c>
      <c r="K263" s="16"/>
      <c r="M263" s="21"/>
      <c r="N263" s="21"/>
    </row>
    <row r="264" spans="1:14" ht="15" customHeight="1" x14ac:dyDescent="0.25">
      <c r="A264" s="12"/>
      <c r="B264" s="59"/>
      <c r="C264" s="14"/>
      <c r="D264" s="15"/>
      <c r="E264" s="16"/>
      <c r="F264" s="16"/>
      <c r="G264" s="19"/>
      <c r="H264" s="18"/>
      <c r="I264" s="19"/>
      <c r="J264" s="20"/>
      <c r="K264" s="16"/>
      <c r="M264" s="21"/>
      <c r="N264" s="21"/>
    </row>
    <row r="265" spans="1:14" x14ac:dyDescent="0.25">
      <c r="A265" s="25"/>
      <c r="B265" s="62" t="s">
        <v>109</v>
      </c>
      <c r="C265" s="63"/>
      <c r="D265" s="64"/>
      <c r="E265" s="64"/>
      <c r="F265" s="64"/>
      <c r="G265" s="20"/>
      <c r="H265" s="20"/>
      <c r="I265" s="20"/>
      <c r="J265" s="20">
        <f>SUM(J14:J263)</f>
        <v>1886794.504041455</v>
      </c>
      <c r="K265" s="30"/>
    </row>
    <row r="267" spans="1:14" s="1" customFormat="1" x14ac:dyDescent="0.25">
      <c r="B267" s="34" t="s">
        <v>110</v>
      </c>
      <c r="C267" s="127">
        <f>J265</f>
        <v>1886794.504041455</v>
      </c>
      <c r="D267" s="128"/>
      <c r="E267" s="33">
        <v>100</v>
      </c>
      <c r="F267" s="65"/>
      <c r="G267" s="66"/>
      <c r="H267" s="65"/>
      <c r="I267" s="67"/>
      <c r="J267" s="68"/>
      <c r="K267" s="69"/>
    </row>
    <row r="268" spans="1:14" x14ac:dyDescent="0.25">
      <c r="B268" s="34" t="s">
        <v>111</v>
      </c>
      <c r="C268" s="130">
        <v>2250000</v>
      </c>
      <c r="D268" s="131"/>
      <c r="E268" s="33"/>
    </row>
    <row r="269" spans="1:14" x14ac:dyDescent="0.25">
      <c r="B269" s="34" t="s">
        <v>112</v>
      </c>
      <c r="C269" s="130">
        <f>C268-C271-C272</f>
        <v>2137500</v>
      </c>
      <c r="D269" s="131"/>
      <c r="E269" s="33">
        <f>C269/C267*100</f>
        <v>113.28737684053785</v>
      </c>
    </row>
    <row r="270" spans="1:14" x14ac:dyDescent="0.25">
      <c r="B270" s="34" t="s">
        <v>113</v>
      </c>
      <c r="C270" s="132">
        <f>C267-C269</f>
        <v>-250705.49595854501</v>
      </c>
      <c r="D270" s="132"/>
      <c r="E270" s="33">
        <f>100-E269</f>
        <v>-13.287376840537846</v>
      </c>
    </row>
    <row r="271" spans="1:14" x14ac:dyDescent="0.25">
      <c r="B271" s="34" t="s">
        <v>114</v>
      </c>
      <c r="C271" s="127">
        <f>C268*0.03</f>
        <v>67500</v>
      </c>
      <c r="D271" s="128"/>
      <c r="E271" s="33">
        <v>3</v>
      </c>
    </row>
    <row r="272" spans="1:14" x14ac:dyDescent="0.25">
      <c r="B272" s="34" t="s">
        <v>115</v>
      </c>
      <c r="C272" s="127">
        <f>C268*0.02</f>
        <v>45000</v>
      </c>
      <c r="D272" s="128"/>
      <c r="E272" s="33">
        <v>2</v>
      </c>
    </row>
  </sheetData>
  <mergeCells count="15">
    <mergeCell ref="C271:D271"/>
    <mergeCell ref="C272:D272"/>
    <mergeCell ref="A7:F7"/>
    <mergeCell ref="H7:K7"/>
    <mergeCell ref="C267:D267"/>
    <mergeCell ref="C268:D268"/>
    <mergeCell ref="C269:D269"/>
    <mergeCell ref="C270:D270"/>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3"/>
  <sheetViews>
    <sheetView topLeftCell="A72" zoomScale="99" zoomScaleNormal="99" zoomScaleSheetLayoutView="80" workbookViewId="0">
      <selection activeCell="C76" sqref="C76:J78"/>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9" bestFit="1" customWidth="1"/>
    <col min="12" max="12" width="10.7109375" bestFit="1"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14913.64/1.15</f>
        <v>12968.382608695652</v>
      </c>
      <c r="J37" s="90">
        <f>G37*I37</f>
        <v>603558.17150508007</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25"/>
      <c r="B57" s="22"/>
      <c r="C57" s="26"/>
      <c r="D57" s="17"/>
      <c r="E57" s="17"/>
      <c r="F57" s="17"/>
      <c r="G57" s="27"/>
      <c r="H57" s="27"/>
      <c r="I57" s="28"/>
      <c r="J57" s="29"/>
      <c r="K57" s="30"/>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D28</f>
        <v>4.9781570659351821</v>
      </c>
      <c r="E60" s="83">
        <v>0.05</v>
      </c>
      <c r="F60" s="83">
        <v>0.05</v>
      </c>
      <c r="G60" s="79">
        <f t="shared" ref="G60:G62" si="3">PRODUCT(C60:F60)</f>
        <v>2.4890785329675914E-2</v>
      </c>
      <c r="H60" s="84"/>
      <c r="I60" s="85"/>
      <c r="J60" s="86"/>
      <c r="K60" s="16"/>
      <c r="N60" s="1"/>
      <c r="O60" s="1"/>
      <c r="P60" s="1"/>
      <c r="Q60" s="1"/>
      <c r="R60" s="21"/>
      <c r="S60" s="21"/>
    </row>
    <row r="61" spans="1:19" ht="15" customHeight="1" x14ac:dyDescent="0.25">
      <c r="A61" s="12"/>
      <c r="B61" s="81"/>
      <c r="C61" s="82">
        <v>4</v>
      </c>
      <c r="D61" s="92">
        <f>D29</f>
        <v>4.9781570659351821</v>
      </c>
      <c r="E61" s="83">
        <f>2/12/3.281</f>
        <v>5.0797521080971242E-2</v>
      </c>
      <c r="F61" s="83">
        <f>2/12/3.281</f>
        <v>5.0797521080971242E-2</v>
      </c>
      <c r="G61" s="79">
        <f t="shared" si="3"/>
        <v>5.1382309966723223E-2</v>
      </c>
      <c r="H61" s="84"/>
      <c r="I61" s="85"/>
      <c r="J61" s="86"/>
      <c r="K61" s="16"/>
      <c r="N61" s="1"/>
      <c r="O61" s="1"/>
      <c r="P61" s="1"/>
      <c r="Q61" s="1"/>
      <c r="R61" s="21"/>
      <c r="S61" s="21"/>
    </row>
    <row r="62" spans="1:19" ht="15" customHeight="1" x14ac:dyDescent="0.25">
      <c r="A62" s="12"/>
      <c r="B62" s="81"/>
      <c r="C62" s="82">
        <v>2</v>
      </c>
      <c r="D62" s="92">
        <f>D30</f>
        <v>4.8257645026922686</v>
      </c>
      <c r="E62" s="83">
        <f>2/12/3.281</f>
        <v>5.0797521080971242E-2</v>
      </c>
      <c r="F62" s="83">
        <f>2/12/3.281</f>
        <v>5.0797521080971242E-2</v>
      </c>
      <c r="G62" s="79">
        <f t="shared" si="3"/>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c r="B69" s="77" t="s">
        <v>171</v>
      </c>
      <c r="C69" s="78"/>
      <c r="D69" s="79"/>
      <c r="E69" s="79"/>
      <c r="F69" s="79"/>
      <c r="G69" s="88"/>
      <c r="H69" s="88"/>
      <c r="I69" s="89"/>
      <c r="J69" s="90"/>
      <c r="K69" s="30"/>
    </row>
    <row r="70" spans="1:19" ht="15" customHeight="1" x14ac:dyDescent="0.25">
      <c r="A70" s="25"/>
      <c r="B70" s="87"/>
      <c r="C70" s="78">
        <v>2</v>
      </c>
      <c r="D70" s="79">
        <f>17/12/3.281</f>
        <v>0.43177892918825561</v>
      </c>
      <c r="E70" s="79"/>
      <c r="F70" s="79">
        <f>12/12/3.281</f>
        <v>0.30478512648582745</v>
      </c>
      <c r="G70" s="79">
        <f>PRODUCT(C70:F70)</f>
        <v>0.26319959109311525</v>
      </c>
      <c r="H70" s="88"/>
      <c r="I70" s="89"/>
      <c r="J70" s="90"/>
      <c r="K70" s="30"/>
    </row>
    <row r="71" spans="1:19" ht="15" customHeight="1" x14ac:dyDescent="0.25">
      <c r="A71" s="25"/>
      <c r="B71" s="87"/>
      <c r="C71" s="78">
        <v>2</v>
      </c>
      <c r="D71" s="79">
        <f>40/12/3.281</f>
        <v>1.0159504216194251</v>
      </c>
      <c r="E71" s="79"/>
      <c r="F71" s="79">
        <f>12/12/3.281</f>
        <v>0.30478512648582745</v>
      </c>
      <c r="G71" s="79">
        <f>PRODUCT(C71:F71)</f>
        <v>0.6192931555132124</v>
      </c>
      <c r="H71" s="88"/>
      <c r="I71" s="89"/>
      <c r="J71" s="90"/>
      <c r="K71" s="30"/>
    </row>
    <row r="72" spans="1:19" ht="15" customHeight="1" x14ac:dyDescent="0.25">
      <c r="A72" s="25"/>
      <c r="B72" s="87" t="s">
        <v>25</v>
      </c>
      <c r="C72" s="78"/>
      <c r="D72" s="79"/>
      <c r="E72" s="79"/>
      <c r="F72" s="79"/>
      <c r="G72" s="88">
        <f>SUM(G70:G71)</f>
        <v>0.8824927466063277</v>
      </c>
      <c r="H72" s="88" t="s">
        <v>29</v>
      </c>
      <c r="I72" s="89">
        <f>6679.1</f>
        <v>6679.1</v>
      </c>
      <c r="J72" s="90">
        <f>G72*I72</f>
        <v>5894.2573038583241</v>
      </c>
      <c r="K72" s="30"/>
    </row>
    <row r="73" spans="1:19" ht="15" customHeight="1" x14ac:dyDescent="0.25">
      <c r="A73" s="25"/>
      <c r="B73" s="87" t="s">
        <v>142</v>
      </c>
      <c r="C73" s="78"/>
      <c r="D73" s="79"/>
      <c r="E73" s="79"/>
      <c r="F73" s="79"/>
      <c r="G73" s="88"/>
      <c r="H73" s="88"/>
      <c r="I73" s="89"/>
      <c r="J73" s="90">
        <f>0.13*G72*(571320.75/100)</f>
        <v>655.44234321889326</v>
      </c>
      <c r="K73" s="30"/>
    </row>
    <row r="74" spans="1:19" ht="15" customHeight="1" x14ac:dyDescent="0.25">
      <c r="A74" s="25"/>
      <c r="B74" s="22"/>
      <c r="C74" s="26"/>
      <c r="D74" s="17"/>
      <c r="E74" s="17"/>
      <c r="F74" s="17"/>
      <c r="G74" s="27"/>
      <c r="H74" s="27"/>
      <c r="I74" s="28"/>
      <c r="J74" s="29"/>
      <c r="K74" s="30"/>
    </row>
    <row r="75" spans="1:19" ht="30" x14ac:dyDescent="0.25">
      <c r="A75" s="25">
        <v>11</v>
      </c>
      <c r="B75" s="97" t="s">
        <v>158</v>
      </c>
      <c r="C75" s="78"/>
      <c r="D75" s="79"/>
      <c r="E75" s="79"/>
      <c r="F75" s="79"/>
      <c r="G75" s="79"/>
      <c r="H75" s="79"/>
      <c r="I75" s="79"/>
      <c r="J75" s="80"/>
      <c r="K75" s="30"/>
    </row>
    <row r="76" spans="1:19" ht="15" customHeight="1" x14ac:dyDescent="0.25">
      <c r="A76" s="25"/>
      <c r="B76" s="98" t="str">
        <f>B64</f>
        <v>-Tundal</v>
      </c>
      <c r="C76" s="78">
        <f>C64</f>
        <v>2</v>
      </c>
      <c r="D76" s="79">
        <f>D64</f>
        <v>1.1429442243218531</v>
      </c>
      <c r="E76" s="79">
        <f>(3*2+5)/12/3.281</f>
        <v>0.27938636594534183</v>
      </c>
      <c r="F76" s="79"/>
      <c r="G76" s="79">
        <f>PRODUCT(C76:F76)</f>
        <v>0.63864606662300016</v>
      </c>
      <c r="H76" s="79"/>
      <c r="I76" s="79"/>
      <c r="J76" s="80"/>
      <c r="K76" s="30"/>
    </row>
    <row r="77" spans="1:19" ht="15" customHeight="1" x14ac:dyDescent="0.25">
      <c r="A77" s="25"/>
      <c r="B77" s="87"/>
      <c r="C77" s="78">
        <f>C65</f>
        <v>2</v>
      </c>
      <c r="D77" s="79">
        <f>D65</f>
        <v>0.99055166107893933</v>
      </c>
      <c r="E77" s="79">
        <f>(3*2+5)/12/3.281</f>
        <v>0.27938636594534183</v>
      </c>
      <c r="F77" s="79"/>
      <c r="G77" s="79">
        <f>PRODUCT(C77:F77)</f>
        <v>0.55349325773993352</v>
      </c>
      <c r="H77" s="79"/>
      <c r="I77" s="79"/>
      <c r="J77" s="80"/>
      <c r="K77" s="30"/>
    </row>
    <row r="78" spans="1:19" ht="15" customHeight="1" x14ac:dyDescent="0.25">
      <c r="A78" s="25"/>
      <c r="B78" s="87" t="s">
        <v>25</v>
      </c>
      <c r="C78" s="78"/>
      <c r="D78" s="79"/>
      <c r="E78" s="79"/>
      <c r="F78" s="79"/>
      <c r="G78" s="88">
        <f>SUM(G76:G77)</f>
        <v>1.1921393243629337</v>
      </c>
      <c r="H78" s="88" t="s">
        <v>26</v>
      </c>
      <c r="I78" s="89">
        <f>15743.5/1.15</f>
        <v>13690.000000000002</v>
      </c>
      <c r="J78" s="90">
        <f>G78*I78</f>
        <v>16320.387350528565</v>
      </c>
      <c r="K78" s="30"/>
    </row>
    <row r="79" spans="1:19" x14ac:dyDescent="0.25">
      <c r="A79" s="25"/>
      <c r="B79" s="24"/>
      <c r="C79" s="26"/>
      <c r="D79" s="17"/>
      <c r="E79" s="17"/>
      <c r="F79" s="17"/>
      <c r="G79" s="45"/>
      <c r="H79" s="45"/>
      <c r="I79" s="45"/>
      <c r="J79" s="39"/>
      <c r="K79" s="30"/>
    </row>
    <row r="80" spans="1:19" ht="15" customHeight="1" x14ac:dyDescent="0.25">
      <c r="A80" s="12">
        <v>16</v>
      </c>
      <c r="B80" s="61" t="s">
        <v>108</v>
      </c>
      <c r="C80" s="14">
        <v>1</v>
      </c>
      <c r="D80" s="15"/>
      <c r="E80" s="16"/>
      <c r="F80" s="16"/>
      <c r="G80" s="37">
        <f>PRODUCT(C80:F80)</f>
        <v>1</v>
      </c>
      <c r="H80" s="18" t="s">
        <v>90</v>
      </c>
      <c r="I80" s="19">
        <v>1000</v>
      </c>
      <c r="J80" s="37">
        <f>G80*I80</f>
        <v>1000</v>
      </c>
      <c r="K80" s="16"/>
      <c r="N80" s="21"/>
    </row>
    <row r="81" spans="1:14" ht="15" customHeight="1" x14ac:dyDescent="0.25">
      <c r="A81" s="12"/>
      <c r="B81" s="59"/>
      <c r="C81" s="14"/>
      <c r="D81" s="15"/>
      <c r="E81" s="16"/>
      <c r="F81" s="16"/>
      <c r="G81" s="19"/>
      <c r="H81" s="18"/>
      <c r="I81" s="19"/>
      <c r="J81" s="20"/>
      <c r="K81" s="16"/>
      <c r="N81" s="21"/>
    </row>
    <row r="82" spans="1:14" x14ac:dyDescent="0.25">
      <c r="A82" s="25"/>
      <c r="B82" s="62" t="s">
        <v>128</v>
      </c>
      <c r="C82" s="63"/>
      <c r="D82" s="64"/>
      <c r="E82" s="64"/>
      <c r="F82" s="64"/>
      <c r="G82" s="20"/>
      <c r="H82" s="20"/>
      <c r="I82" s="20"/>
      <c r="J82" s="20">
        <f>SUM(J37:J80)</f>
        <v>809060.47676870949</v>
      </c>
      <c r="K82" s="30"/>
    </row>
    <row r="84" spans="1:14" s="1" customFormat="1" hidden="1" x14ac:dyDescent="0.25">
      <c r="B84" s="34" t="s">
        <v>110</v>
      </c>
      <c r="C84" s="132">
        <f>J82</f>
        <v>809060.47676870949</v>
      </c>
      <c r="D84" s="132"/>
      <c r="E84" s="132"/>
      <c r="F84" s="65"/>
      <c r="G84" s="66"/>
      <c r="H84" s="65"/>
      <c r="I84" s="67"/>
      <c r="J84" s="68"/>
      <c r="K84" s="69"/>
      <c r="M84"/>
    </row>
    <row r="85" spans="1:14" hidden="1" x14ac:dyDescent="0.25">
      <c r="B85" s="74" t="s">
        <v>126</v>
      </c>
      <c r="C85" s="133">
        <f>C84*0.13</f>
        <v>105177.86197993223</v>
      </c>
      <c r="D85" s="133"/>
      <c r="E85" s="133"/>
    </row>
    <row r="86" spans="1:14" hidden="1" x14ac:dyDescent="0.25">
      <c r="B86" s="74" t="s">
        <v>127</v>
      </c>
      <c r="C86" s="133">
        <f>C84+C85</f>
        <v>914238.33874864178</v>
      </c>
      <c r="D86" s="133"/>
      <c r="E86" s="133"/>
    </row>
    <row r="88" spans="1:14" s="1" customFormat="1" x14ac:dyDescent="0.25">
      <c r="B88" s="34" t="s">
        <v>110</v>
      </c>
      <c r="C88" s="127">
        <f>J82</f>
        <v>809060.47676870949</v>
      </c>
      <c r="D88" s="128"/>
      <c r="E88" s="33">
        <v>100</v>
      </c>
      <c r="F88" s="65"/>
      <c r="G88" s="66"/>
      <c r="H88" s="65"/>
      <c r="I88" s="67"/>
      <c r="J88" s="68"/>
      <c r="K88" s="69"/>
      <c r="L88" s="73">
        <f>J82+'Window only'!J61+'Door only'!J47+'dachi appa only'!J68</f>
        <v>1291918.4293308684</v>
      </c>
      <c r="M88"/>
    </row>
    <row r="89" spans="1:14" x14ac:dyDescent="0.25">
      <c r="B89" s="34" t="s">
        <v>111</v>
      </c>
      <c r="C89" s="130">
        <v>1200000</v>
      </c>
      <c r="D89" s="131"/>
      <c r="E89" s="33"/>
      <c r="L89" s="118">
        <f>J82+'Door only'!J47+'Window only'!J61+'dachi appa only'!J68</f>
        <v>1291918.4293308684</v>
      </c>
    </row>
    <row r="90" spans="1:14" x14ac:dyDescent="0.25">
      <c r="B90" s="34" t="s">
        <v>112</v>
      </c>
      <c r="C90" s="130">
        <f>C89-C92-C93</f>
        <v>1140000</v>
      </c>
      <c r="D90" s="131"/>
      <c r="E90" s="33">
        <f>C90/C88*100</f>
        <v>140.90417623080828</v>
      </c>
    </row>
    <row r="91" spans="1:14" x14ac:dyDescent="0.25">
      <c r="B91" s="34" t="s">
        <v>113</v>
      </c>
      <c r="C91" s="132">
        <f>C88-C90</f>
        <v>-330939.52323129051</v>
      </c>
      <c r="D91" s="132"/>
      <c r="E91" s="33">
        <f>100-E90</f>
        <v>-40.904176230808275</v>
      </c>
    </row>
    <row r="92" spans="1:14" x14ac:dyDescent="0.25">
      <c r="B92" s="34" t="s">
        <v>114</v>
      </c>
      <c r="C92" s="127">
        <f>C89*0.03</f>
        <v>36000</v>
      </c>
      <c r="D92" s="128"/>
      <c r="E92" s="33">
        <v>3</v>
      </c>
    </row>
    <row r="93" spans="1:14" x14ac:dyDescent="0.25">
      <c r="B93" s="34" t="s">
        <v>115</v>
      </c>
      <c r="C93" s="127">
        <f>C89*0.02</f>
        <v>24000</v>
      </c>
      <c r="D93" s="128"/>
      <c r="E93" s="33">
        <v>2</v>
      </c>
    </row>
  </sheetData>
  <mergeCells count="18">
    <mergeCell ref="C89:D89"/>
    <mergeCell ref="C90:D90"/>
    <mergeCell ref="C91:D91"/>
    <mergeCell ref="C92:D92"/>
    <mergeCell ref="C93:D93"/>
    <mergeCell ref="C88:D88"/>
    <mergeCell ref="A1:K1"/>
    <mergeCell ref="A2:K2"/>
    <mergeCell ref="A3:K3"/>
    <mergeCell ref="A4:K4"/>
    <mergeCell ref="A5:K5"/>
    <mergeCell ref="A6:F6"/>
    <mergeCell ref="H6:K6"/>
    <mergeCell ref="A7:F7"/>
    <mergeCell ref="H7:K7"/>
    <mergeCell ref="C84:E84"/>
    <mergeCell ref="C85:E85"/>
    <mergeCell ref="C86:E86"/>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6"/>
  <sheetViews>
    <sheetView tabSelected="1" topLeftCell="A156" zoomScaleNormal="100" workbookViewId="0">
      <selection activeCell="J169" sqref="J169"/>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customWidth="1"/>
    <col min="10" max="10" width="10.5703125" customWidth="1"/>
    <col min="11" max="11" width="8.85546875" customWidth="1"/>
    <col min="12" max="12" width="10.5703125" bestFit="1" customWidth="1"/>
  </cols>
  <sheetData>
    <row r="1" spans="1:11" ht="22.5" x14ac:dyDescent="0.25">
      <c r="A1" s="124" t="s">
        <v>1</v>
      </c>
      <c r="B1" s="124"/>
      <c r="C1" s="124"/>
      <c r="D1" s="124"/>
      <c r="E1" s="124"/>
      <c r="F1" s="124"/>
      <c r="G1" s="124"/>
      <c r="H1" s="124"/>
      <c r="I1" s="124"/>
      <c r="J1" s="124"/>
      <c r="K1" s="124"/>
    </row>
    <row r="2" spans="1:11" x14ac:dyDescent="0.25">
      <c r="A2" s="125" t="s">
        <v>2</v>
      </c>
      <c r="B2" s="125"/>
      <c r="C2" s="125"/>
      <c r="D2" s="125"/>
      <c r="E2" s="125"/>
      <c r="F2" s="125"/>
      <c r="G2" s="125"/>
      <c r="H2" s="125"/>
      <c r="I2" s="125"/>
      <c r="J2" s="125"/>
      <c r="K2" s="125"/>
    </row>
    <row r="3" spans="1:11" x14ac:dyDescent="0.25">
      <c r="A3" s="125" t="s">
        <v>3</v>
      </c>
      <c r="B3" s="125"/>
      <c r="C3" s="125"/>
      <c r="D3" s="125"/>
      <c r="E3" s="125"/>
      <c r="F3" s="125"/>
      <c r="G3" s="125"/>
      <c r="H3" s="125"/>
      <c r="I3" s="125"/>
      <c r="J3" s="125"/>
      <c r="K3" s="125"/>
    </row>
    <row r="4" spans="1:11" ht="18.75" x14ac:dyDescent="0.3">
      <c r="A4" s="126" t="s">
        <v>4</v>
      </c>
      <c r="B4" s="126"/>
      <c r="C4" s="126"/>
      <c r="D4" s="126"/>
      <c r="E4" s="126"/>
      <c r="F4" s="126"/>
      <c r="G4" s="126"/>
      <c r="H4" s="126"/>
      <c r="I4" s="126"/>
      <c r="J4" s="126"/>
      <c r="K4" s="126"/>
    </row>
    <row r="5" spans="1:11" ht="15.75" x14ac:dyDescent="0.25">
      <c r="A5" s="121" t="s">
        <v>5</v>
      </c>
      <c r="B5" s="121"/>
      <c r="C5" s="121"/>
      <c r="D5" s="121"/>
      <c r="E5" s="121"/>
      <c r="F5" s="121"/>
      <c r="G5" s="2"/>
      <c r="H5" s="122" t="s">
        <v>130</v>
      </c>
      <c r="I5" s="122"/>
      <c r="J5" s="122"/>
      <c r="K5" s="122"/>
    </row>
    <row r="6" spans="1:11" ht="15.75" x14ac:dyDescent="0.25">
      <c r="A6" s="129" t="s">
        <v>147</v>
      </c>
      <c r="B6" s="129"/>
      <c r="C6" s="129"/>
      <c r="D6" s="129"/>
      <c r="E6" s="129"/>
      <c r="F6" s="129"/>
      <c r="G6" s="3"/>
      <c r="H6" s="122" t="s">
        <v>8</v>
      </c>
      <c r="I6" s="122"/>
      <c r="J6" s="122"/>
      <c r="K6" s="122"/>
    </row>
    <row r="7" spans="1:11" ht="15.75" x14ac:dyDescent="0.25">
      <c r="A7" s="4" t="s">
        <v>9</v>
      </c>
      <c r="B7" s="5" t="s">
        <v>10</v>
      </c>
      <c r="C7" s="6" t="s">
        <v>11</v>
      </c>
      <c r="D7" s="7" t="s">
        <v>12</v>
      </c>
      <c r="E7" s="7" t="s">
        <v>13</v>
      </c>
      <c r="F7" s="7" t="s">
        <v>14</v>
      </c>
      <c r="G7" s="7" t="s">
        <v>15</v>
      </c>
      <c r="H7" s="6" t="s">
        <v>16</v>
      </c>
      <c r="I7" s="7" t="s">
        <v>17</v>
      </c>
      <c r="J7" s="7" t="s">
        <v>18</v>
      </c>
      <c r="K7" s="8" t="s">
        <v>172</v>
      </c>
    </row>
    <row r="8" spans="1:11" ht="30" x14ac:dyDescent="0.25">
      <c r="A8" s="12">
        <v>1</v>
      </c>
      <c r="B8" s="91" t="s">
        <v>118</v>
      </c>
      <c r="C8" s="82"/>
      <c r="D8" s="92"/>
      <c r="E8" s="83"/>
      <c r="F8" s="83"/>
      <c r="G8" s="85"/>
      <c r="H8" s="84"/>
      <c r="I8" s="85"/>
      <c r="J8" s="86"/>
      <c r="K8" s="16"/>
    </row>
    <row r="9" spans="1:11" x14ac:dyDescent="0.25">
      <c r="A9" s="12"/>
      <c r="B9" s="81" t="s">
        <v>149</v>
      </c>
      <c r="C9" s="82">
        <v>1</v>
      </c>
      <c r="D9" s="92">
        <f>5.23+0.025*2</f>
        <v>5.28</v>
      </c>
      <c r="E9" s="83">
        <v>3.31</v>
      </c>
      <c r="F9" s="83"/>
      <c r="G9" s="79">
        <f t="shared" ref="G9:G20" si="0">PRODUCT(C9:F9)</f>
        <v>17.476800000000001</v>
      </c>
      <c r="H9" s="84"/>
      <c r="I9" s="85"/>
      <c r="J9" s="86"/>
      <c r="K9" s="16"/>
    </row>
    <row r="10" spans="1:11" x14ac:dyDescent="0.25">
      <c r="A10" s="12"/>
      <c r="B10" s="81" t="s">
        <v>150</v>
      </c>
      <c r="C10" s="82">
        <v>1</v>
      </c>
      <c r="D10" s="92">
        <f>200/12/3.281</f>
        <v>5.0797521080971251</v>
      </c>
      <c r="E10" s="83">
        <v>3.31</v>
      </c>
      <c r="F10" s="83"/>
      <c r="G10" s="79">
        <f t="shared" si="0"/>
        <v>16.813979477801485</v>
      </c>
      <c r="H10" s="84"/>
      <c r="I10" s="85"/>
      <c r="J10" s="86"/>
      <c r="K10" s="16"/>
    </row>
    <row r="11" spans="1:11" x14ac:dyDescent="0.25">
      <c r="A11" s="12"/>
      <c r="B11" s="81" t="s">
        <v>141</v>
      </c>
      <c r="C11" s="82">
        <v>4</v>
      </c>
      <c r="D11" s="92">
        <f>204/12/3.281</f>
        <v>5.1813471502590671</v>
      </c>
      <c r="E11" s="83">
        <f>(E43*2+F43)</f>
        <v>0.15000000000000002</v>
      </c>
      <c r="F11" s="83"/>
      <c r="G11" s="79">
        <f t="shared" si="0"/>
        <v>3.1088082901554408</v>
      </c>
      <c r="H11" s="84"/>
      <c r="I11" s="85"/>
      <c r="J11" s="86"/>
      <c r="K11" s="16"/>
    </row>
    <row r="12" spans="1:11" x14ac:dyDescent="0.25">
      <c r="A12" s="12"/>
      <c r="B12" s="81"/>
      <c r="C12" s="82">
        <v>2</v>
      </c>
      <c r="D12" s="92">
        <f>196/12/3.281</f>
        <v>4.9781570659351821</v>
      </c>
      <c r="E12" s="83">
        <v>0.15</v>
      </c>
      <c r="F12" s="83"/>
      <c r="G12" s="79">
        <f t="shared" si="0"/>
        <v>1.4934471197805546</v>
      </c>
      <c r="H12" s="84"/>
      <c r="I12" s="85"/>
      <c r="J12" s="86"/>
      <c r="K12" s="16"/>
    </row>
    <row r="13" spans="1:11" x14ac:dyDescent="0.25">
      <c r="A13" s="12"/>
      <c r="B13" s="81"/>
      <c r="C13" s="82">
        <v>4</v>
      </c>
      <c r="D13" s="92">
        <f>196/12/3.281</f>
        <v>4.9781570659351821</v>
      </c>
      <c r="E13" s="83">
        <v>0.15</v>
      </c>
      <c r="F13" s="83"/>
      <c r="G13" s="79">
        <f t="shared" si="0"/>
        <v>2.9868942395611091</v>
      </c>
      <c r="H13" s="84"/>
      <c r="I13" s="85"/>
      <c r="J13" s="86"/>
      <c r="K13" s="16"/>
    </row>
    <row r="14" spans="1:11" x14ac:dyDescent="0.25">
      <c r="A14" s="12"/>
      <c r="B14" s="81"/>
      <c r="C14" s="82">
        <v>2</v>
      </c>
      <c r="D14" s="92">
        <f>190/12/3.281</f>
        <v>4.8257645026922686</v>
      </c>
      <c r="E14" s="83">
        <v>0.15</v>
      </c>
      <c r="F14" s="83"/>
      <c r="G14" s="79">
        <f t="shared" si="0"/>
        <v>1.4477293508076805</v>
      </c>
      <c r="H14" s="84"/>
      <c r="I14" s="85"/>
      <c r="J14" s="86"/>
      <c r="K14" s="16"/>
    </row>
    <row r="15" spans="1:11" x14ac:dyDescent="0.25">
      <c r="A15" s="12"/>
      <c r="B15" s="81" t="s">
        <v>152</v>
      </c>
      <c r="C15" s="82">
        <v>2</v>
      </c>
      <c r="D15" s="92">
        <f>17/12/3.281</f>
        <v>0.43177892918825561</v>
      </c>
      <c r="E15" s="83">
        <v>0.3</v>
      </c>
      <c r="F15" s="83"/>
      <c r="G15" s="79">
        <f t="shared" si="0"/>
        <v>0.25906735751295334</v>
      </c>
      <c r="H15" s="84"/>
      <c r="I15" s="85"/>
      <c r="J15" s="86"/>
      <c r="K15" s="16"/>
    </row>
    <row r="16" spans="1:11" x14ac:dyDescent="0.25">
      <c r="A16" s="12"/>
      <c r="B16" s="81"/>
      <c r="C16" s="82">
        <v>2</v>
      </c>
      <c r="D16" s="92">
        <f>40/12/3.281</f>
        <v>1.0159504216194251</v>
      </c>
      <c r="E16" s="83">
        <v>0.3</v>
      </c>
      <c r="F16" s="83"/>
      <c r="G16" s="79">
        <f t="shared" si="0"/>
        <v>0.60957025297165501</v>
      </c>
      <c r="H16" s="84"/>
      <c r="I16" s="85"/>
      <c r="J16" s="86"/>
      <c r="K16" s="16"/>
    </row>
    <row r="17" spans="1:11" x14ac:dyDescent="0.25">
      <c r="A17" s="12"/>
      <c r="B17" s="81"/>
      <c r="C17" s="82">
        <v>1</v>
      </c>
      <c r="D17" s="92">
        <f>40/12/3.281</f>
        <v>1.0159504216194251</v>
      </c>
      <c r="E17" s="83">
        <f>17/12/3.281</f>
        <v>0.43177892918825561</v>
      </c>
      <c r="F17" s="83"/>
      <c r="G17" s="79">
        <f t="shared" si="0"/>
        <v>0.43866598515519217</v>
      </c>
      <c r="H17" s="84"/>
      <c r="I17" s="85"/>
      <c r="J17" s="86"/>
      <c r="K17" s="16"/>
    </row>
    <row r="18" spans="1:11" x14ac:dyDescent="0.25">
      <c r="A18" s="12"/>
      <c r="B18" s="81" t="s">
        <v>151</v>
      </c>
      <c r="C18" s="82">
        <v>2</v>
      </c>
      <c r="D18" s="92">
        <v>1.2</v>
      </c>
      <c r="E18" s="83">
        <v>0.23</v>
      </c>
      <c r="F18" s="83"/>
      <c r="G18" s="79">
        <f t="shared" si="0"/>
        <v>0.55200000000000005</v>
      </c>
      <c r="H18" s="84"/>
      <c r="I18" s="85"/>
      <c r="J18" s="86"/>
      <c r="K18" s="16"/>
    </row>
    <row r="19" spans="1:11" x14ac:dyDescent="0.25">
      <c r="A19" s="12"/>
      <c r="B19" s="81" t="s">
        <v>153</v>
      </c>
      <c r="C19" s="82">
        <v>1</v>
      </c>
      <c r="D19" s="92">
        <f>11/3.281</f>
        <v>3.3526363913441024</v>
      </c>
      <c r="E19" s="83">
        <f>8/12/3.281</f>
        <v>0.20319008432388497</v>
      </c>
      <c r="F19" s="83"/>
      <c r="G19" s="79">
        <f t="shared" si="0"/>
        <v>0.6812224710645336</v>
      </c>
      <c r="H19" s="84"/>
      <c r="I19" s="85"/>
      <c r="J19" s="86"/>
      <c r="K19" s="16"/>
    </row>
    <row r="20" spans="1:11" x14ac:dyDescent="0.25">
      <c r="A20" s="12"/>
      <c r="B20" s="81"/>
      <c r="C20" s="82">
        <v>1</v>
      </c>
      <c r="D20" s="92">
        <v>3.31</v>
      </c>
      <c r="E20" s="83">
        <f>8/12/3.281</f>
        <v>0.20319008432388497</v>
      </c>
      <c r="F20" s="83"/>
      <c r="G20" s="79">
        <f t="shared" si="0"/>
        <v>0.6725591791120592</v>
      </c>
      <c r="H20" s="84"/>
      <c r="I20" s="85"/>
      <c r="J20" s="86"/>
      <c r="K20" s="16"/>
    </row>
    <row r="21" spans="1:11" x14ac:dyDescent="0.25">
      <c r="A21" s="25"/>
      <c r="B21" s="87" t="s">
        <v>25</v>
      </c>
      <c r="C21" s="78"/>
      <c r="D21" s="79"/>
      <c r="E21" s="79"/>
      <c r="F21" s="79"/>
      <c r="G21" s="88">
        <f>SUM(G9:G20)</f>
        <v>46.540743723922667</v>
      </c>
      <c r="H21" s="88" t="s">
        <v>26</v>
      </c>
      <c r="I21" s="89">
        <f>14913.64/1.15</f>
        <v>12968.382608695652</v>
      </c>
      <c r="J21" s="90">
        <f>G21*I21</f>
        <v>603558.17150508007</v>
      </c>
      <c r="K21" s="30"/>
    </row>
    <row r="22" spans="1:11" x14ac:dyDescent="0.25">
      <c r="A22" s="25"/>
      <c r="B22" s="87" t="s">
        <v>135</v>
      </c>
      <c r="C22" s="78"/>
      <c r="D22" s="79"/>
      <c r="E22" s="79"/>
      <c r="F22" s="79"/>
      <c r="G22" s="88"/>
      <c r="H22" s="88"/>
      <c r="I22" s="89"/>
      <c r="J22" s="90">
        <f>0.13*G21*(95368.8)/10</f>
        <v>57700.953440754478</v>
      </c>
      <c r="K22" s="30"/>
    </row>
    <row r="23" spans="1:11" x14ac:dyDescent="0.25">
      <c r="A23" s="25"/>
      <c r="B23" s="87"/>
      <c r="C23" s="78"/>
      <c r="D23" s="79"/>
      <c r="E23" s="79"/>
      <c r="F23" s="79"/>
      <c r="G23" s="88"/>
      <c r="H23" s="88"/>
      <c r="I23" s="89"/>
      <c r="J23" s="90"/>
      <c r="K23" s="30"/>
    </row>
    <row r="24" spans="1:11" ht="45" x14ac:dyDescent="0.25">
      <c r="A24" s="25">
        <v>2</v>
      </c>
      <c r="B24" s="77" t="s">
        <v>154</v>
      </c>
      <c r="C24" s="78"/>
      <c r="D24" s="79"/>
      <c r="E24" s="79"/>
      <c r="F24" s="79"/>
      <c r="G24" s="79"/>
      <c r="H24" s="79"/>
      <c r="I24" s="79"/>
      <c r="J24" s="80"/>
      <c r="K24" s="30"/>
    </row>
    <row r="25" spans="1:11" ht="15" customHeight="1" x14ac:dyDescent="0.25">
      <c r="A25" s="12"/>
      <c r="B25" s="81" t="s">
        <v>101</v>
      </c>
      <c r="C25" s="82">
        <f>C19</f>
        <v>1</v>
      </c>
      <c r="D25" s="83">
        <f>D19</f>
        <v>3.3526363913441024</v>
      </c>
      <c r="E25" s="83"/>
      <c r="F25" s="83"/>
      <c r="G25" s="79">
        <f>PRODUCT(C25:F25)</f>
        <v>3.3526363913441024</v>
      </c>
      <c r="H25" s="84"/>
      <c r="I25" s="85"/>
      <c r="J25" s="86"/>
      <c r="K25" s="16"/>
    </row>
    <row r="26" spans="1:11" ht="15" customHeight="1" x14ac:dyDescent="0.25">
      <c r="A26" s="12"/>
      <c r="B26" s="81"/>
      <c r="C26" s="82">
        <f>C20</f>
        <v>1</v>
      </c>
      <c r="D26" s="83">
        <f>D20</f>
        <v>3.31</v>
      </c>
      <c r="E26" s="83"/>
      <c r="F26" s="83"/>
      <c r="G26" s="79">
        <f>PRODUCT(C26:F26)</f>
        <v>3.31</v>
      </c>
      <c r="H26" s="84"/>
      <c r="I26" s="85"/>
      <c r="J26" s="86"/>
      <c r="K26" s="16"/>
    </row>
    <row r="27" spans="1:11" ht="15" customHeight="1" x14ac:dyDescent="0.25">
      <c r="A27" s="25"/>
      <c r="B27" s="87" t="s">
        <v>25</v>
      </c>
      <c r="C27" s="78"/>
      <c r="D27" s="79"/>
      <c r="E27" s="79"/>
      <c r="F27" s="79"/>
      <c r="G27" s="88">
        <f>SUM(G25:G26)</f>
        <v>6.6626363913441029</v>
      </c>
      <c r="H27" s="88" t="s">
        <v>68</v>
      </c>
      <c r="I27" s="89">
        <f>2563.07/1.15</f>
        <v>2228.7565217391307</v>
      </c>
      <c r="J27" s="90">
        <f>G27*I27</f>
        <v>14849.394309184636</v>
      </c>
      <c r="K27" s="30"/>
    </row>
    <row r="28" spans="1:11" ht="15" customHeight="1" x14ac:dyDescent="0.25">
      <c r="A28" s="25"/>
      <c r="B28" s="22"/>
      <c r="C28" s="26"/>
      <c r="D28" s="17"/>
      <c r="E28" s="17"/>
      <c r="F28" s="17"/>
      <c r="G28" s="45"/>
      <c r="H28" s="45"/>
      <c r="I28" s="45"/>
      <c r="J28" s="39"/>
      <c r="K28" s="30"/>
    </row>
    <row r="29" spans="1:11" ht="45" x14ac:dyDescent="0.25">
      <c r="A29" s="25">
        <v>5</v>
      </c>
      <c r="B29" s="77" t="s">
        <v>173</v>
      </c>
      <c r="C29" s="78">
        <v>1</v>
      </c>
      <c r="D29" s="79">
        <v>3.5</v>
      </c>
      <c r="E29" s="79"/>
      <c r="F29" s="79"/>
      <c r="G29" s="79">
        <f>PRODUCT(C29:F29)</f>
        <v>3.5</v>
      </c>
      <c r="H29" s="79"/>
      <c r="I29" s="79"/>
      <c r="J29" s="80"/>
      <c r="K29" s="30"/>
    </row>
    <row r="30" spans="1:11" ht="15" customHeight="1" x14ac:dyDescent="0.25">
      <c r="A30" s="25"/>
      <c r="B30" s="87" t="s">
        <v>25</v>
      </c>
      <c r="C30" s="78"/>
      <c r="D30" s="79"/>
      <c r="E30" s="79"/>
      <c r="F30" s="79"/>
      <c r="G30" s="88">
        <f>SUM(G29:G29)</f>
        <v>3.5</v>
      </c>
      <c r="H30" s="88" t="s">
        <v>105</v>
      </c>
      <c r="I30" s="88">
        <f>4289.73/1.15</f>
        <v>3730.2</v>
      </c>
      <c r="J30" s="90">
        <f>G29*I30</f>
        <v>13055.699999999999</v>
      </c>
      <c r="K30" s="30"/>
    </row>
    <row r="31" spans="1:11" ht="15" customHeight="1" x14ac:dyDescent="0.25">
      <c r="A31" s="25"/>
      <c r="B31" s="87" t="s">
        <v>135</v>
      </c>
      <c r="C31" s="78"/>
      <c r="D31" s="79"/>
      <c r="E31" s="79"/>
      <c r="F31" s="79"/>
      <c r="G31" s="88"/>
      <c r="H31" s="88"/>
      <c r="I31" s="89"/>
      <c r="J31" s="90">
        <f>0.13*G30*(7326/5)</f>
        <v>666.66600000000005</v>
      </c>
      <c r="K31" s="30"/>
    </row>
    <row r="32" spans="1:11" ht="15" customHeight="1" x14ac:dyDescent="0.25">
      <c r="A32" s="25"/>
      <c r="B32" s="87"/>
      <c r="C32" s="78"/>
      <c r="D32" s="79"/>
      <c r="E32" s="79"/>
      <c r="F32" s="79"/>
      <c r="G32" s="79"/>
      <c r="H32" s="79"/>
      <c r="I32" s="79"/>
      <c r="J32" s="80"/>
      <c r="K32" s="30"/>
    </row>
    <row r="33" spans="1:11" ht="45" x14ac:dyDescent="0.25">
      <c r="A33" s="25">
        <v>6</v>
      </c>
      <c r="B33" s="77" t="s">
        <v>139</v>
      </c>
      <c r="C33" s="78">
        <v>2</v>
      </c>
      <c r="D33" s="79">
        <v>2</v>
      </c>
      <c r="E33" s="79"/>
      <c r="F33" s="79"/>
      <c r="G33" s="79">
        <f>PRODUCT(C33:F33)</f>
        <v>4</v>
      </c>
      <c r="H33" s="79"/>
      <c r="I33" s="79"/>
      <c r="J33" s="80"/>
      <c r="K33" s="30"/>
    </row>
    <row r="34" spans="1:11" ht="15" customHeight="1" x14ac:dyDescent="0.25">
      <c r="A34" s="25"/>
      <c r="B34" s="87" t="s">
        <v>25</v>
      </c>
      <c r="C34" s="78"/>
      <c r="D34" s="79"/>
      <c r="E34" s="79"/>
      <c r="F34" s="79"/>
      <c r="G34" s="88">
        <f>SUM(G33:G33)</f>
        <v>4</v>
      </c>
      <c r="H34" s="88" t="s">
        <v>105</v>
      </c>
      <c r="I34" s="88">
        <f>4289.73/1.15</f>
        <v>3730.2</v>
      </c>
      <c r="J34" s="90">
        <f>G33*I34</f>
        <v>14920.8</v>
      </c>
      <c r="K34" s="30"/>
    </row>
    <row r="35" spans="1:11" ht="15" customHeight="1" x14ac:dyDescent="0.25">
      <c r="A35" s="25"/>
      <c r="B35" s="87" t="s">
        <v>135</v>
      </c>
      <c r="C35" s="78"/>
      <c r="D35" s="79"/>
      <c r="E35" s="79"/>
      <c r="F35" s="79"/>
      <c r="G35" s="88"/>
      <c r="H35" s="88"/>
      <c r="I35" s="89"/>
      <c r="J35" s="90">
        <f>0.13*G34*(7326/5)</f>
        <v>761.904</v>
      </c>
      <c r="K35" s="30"/>
    </row>
    <row r="36" spans="1:11" ht="15" customHeight="1" x14ac:dyDescent="0.25">
      <c r="A36" s="25"/>
      <c r="B36" s="22"/>
      <c r="C36" s="26"/>
      <c r="D36" s="17"/>
      <c r="E36" s="17"/>
      <c r="F36" s="17"/>
      <c r="G36" s="45"/>
      <c r="H36" s="45"/>
      <c r="I36" s="45"/>
      <c r="J36" s="39"/>
      <c r="K36" s="30"/>
    </row>
    <row r="37" spans="1:11" ht="30" x14ac:dyDescent="0.25">
      <c r="A37" s="25">
        <v>7</v>
      </c>
      <c r="B37" s="97" t="s">
        <v>87</v>
      </c>
      <c r="C37" s="78"/>
      <c r="D37" s="79"/>
      <c r="E37" s="79"/>
      <c r="F37" s="79"/>
      <c r="G37" s="79"/>
      <c r="H37" s="79"/>
      <c r="I37" s="79"/>
      <c r="J37" s="80"/>
      <c r="K37" s="30"/>
    </row>
    <row r="38" spans="1:11" ht="15" customHeight="1" x14ac:dyDescent="0.25">
      <c r="A38" s="12"/>
      <c r="B38" s="81" t="s">
        <v>101</v>
      </c>
      <c r="C38" s="82">
        <v>2</v>
      </c>
      <c r="D38" s="92">
        <f>(((15.667+16.25)/2)/3.281)+0.2</f>
        <v>5.063913441024078</v>
      </c>
      <c r="E38" s="83">
        <f>((10.75)/3.281)</f>
        <v>3.2764401097226452</v>
      </c>
      <c r="F38" s="83"/>
      <c r="G38" s="79">
        <f>PRODUCT(C38:F38)</f>
        <v>33.183218220669815</v>
      </c>
      <c r="H38" s="84"/>
      <c r="I38" s="85"/>
      <c r="J38" s="86"/>
      <c r="K38" s="16"/>
    </row>
    <row r="39" spans="1:11" ht="15" customHeight="1" x14ac:dyDescent="0.25">
      <c r="A39" s="25"/>
      <c r="B39" s="87" t="s">
        <v>25</v>
      </c>
      <c r="C39" s="78"/>
      <c r="D39" s="79"/>
      <c r="E39" s="79"/>
      <c r="F39" s="79"/>
      <c r="G39" s="88">
        <f>SUM(G38:G38)</f>
        <v>33.183218220669815</v>
      </c>
      <c r="H39" s="88" t="s">
        <v>26</v>
      </c>
      <c r="I39" s="89">
        <f>685.98/1.15</f>
        <v>596.50434782608704</v>
      </c>
      <c r="J39" s="90">
        <f>G39*I39</f>
        <v>19793.933943491378</v>
      </c>
      <c r="K39" s="30"/>
    </row>
    <row r="40" spans="1:11" ht="15" customHeight="1" x14ac:dyDescent="0.25">
      <c r="A40" s="25"/>
      <c r="B40" s="87" t="s">
        <v>135</v>
      </c>
      <c r="C40" s="78"/>
      <c r="D40" s="79"/>
      <c r="E40" s="79"/>
      <c r="F40" s="79"/>
      <c r="G40" s="88"/>
      <c r="H40" s="88"/>
      <c r="I40" s="89"/>
      <c r="J40" s="90">
        <f>0.13*G39*(1397.55/10)</f>
        <v>602.87768611586228</v>
      </c>
      <c r="K40" s="30"/>
    </row>
    <row r="41" spans="1:11" ht="15" customHeight="1" x14ac:dyDescent="0.25">
      <c r="A41" s="25"/>
      <c r="B41" s="22"/>
      <c r="C41" s="26"/>
      <c r="D41" s="17"/>
      <c r="E41" s="17"/>
      <c r="F41" s="17"/>
      <c r="G41" s="27"/>
      <c r="H41" s="27"/>
      <c r="I41" s="28"/>
      <c r="J41" s="29"/>
      <c r="K41" s="30"/>
    </row>
    <row r="42" spans="1:11" ht="30" x14ac:dyDescent="0.25">
      <c r="A42" s="25">
        <v>8</v>
      </c>
      <c r="B42" s="97" t="s">
        <v>140</v>
      </c>
      <c r="C42" s="78"/>
      <c r="D42" s="79"/>
      <c r="E42" s="79"/>
      <c r="F42" s="79"/>
      <c r="G42" s="79"/>
      <c r="H42" s="79"/>
      <c r="I42" s="79"/>
      <c r="J42" s="80"/>
      <c r="K42" s="30"/>
    </row>
    <row r="43" spans="1:11" ht="15" customHeight="1" x14ac:dyDescent="0.25">
      <c r="A43" s="12"/>
      <c r="B43" s="81" t="str">
        <f>B11</f>
        <v>-Strip wood</v>
      </c>
      <c r="C43" s="82">
        <v>4</v>
      </c>
      <c r="D43" s="92">
        <f>D11</f>
        <v>5.1813471502590671</v>
      </c>
      <c r="E43" s="83">
        <v>0.05</v>
      </c>
      <c r="F43" s="83">
        <v>0.05</v>
      </c>
      <c r="G43" s="79">
        <f>PRODUCT(C43:F43)</f>
        <v>5.181347150259067E-2</v>
      </c>
      <c r="H43" s="84"/>
      <c r="I43" s="85"/>
      <c r="J43" s="86"/>
      <c r="K43" s="16"/>
    </row>
    <row r="44" spans="1:11" ht="15" customHeight="1" x14ac:dyDescent="0.25">
      <c r="A44" s="12"/>
      <c r="B44" s="81"/>
      <c r="C44" s="82">
        <v>2</v>
      </c>
      <c r="D44" s="92">
        <f>D12</f>
        <v>4.9781570659351821</v>
      </c>
      <c r="E44" s="83">
        <v>0.05</v>
      </c>
      <c r="F44" s="83">
        <v>0.05</v>
      </c>
      <c r="G44" s="79">
        <f t="shared" ref="G44:G46" si="1">PRODUCT(C44:F44)</f>
        <v>2.4890785329675914E-2</v>
      </c>
      <c r="H44" s="84"/>
      <c r="I44" s="85"/>
      <c r="J44" s="86"/>
      <c r="K44" s="16"/>
    </row>
    <row r="45" spans="1:11" ht="15" customHeight="1" x14ac:dyDescent="0.25">
      <c r="A45" s="12"/>
      <c r="B45" s="81"/>
      <c r="C45" s="82">
        <v>4</v>
      </c>
      <c r="D45" s="92">
        <f>D13</f>
        <v>4.9781570659351821</v>
      </c>
      <c r="E45" s="83">
        <f>2/12/3.281</f>
        <v>5.0797521080971242E-2</v>
      </c>
      <c r="F45" s="83">
        <f>2/12/3.281</f>
        <v>5.0797521080971242E-2</v>
      </c>
      <c r="G45" s="79">
        <f t="shared" si="1"/>
        <v>5.1382309966723223E-2</v>
      </c>
      <c r="H45" s="84"/>
      <c r="I45" s="85"/>
      <c r="J45" s="86"/>
      <c r="K45" s="16"/>
    </row>
    <row r="46" spans="1:11" ht="15" customHeight="1" x14ac:dyDescent="0.25">
      <c r="A46" s="12"/>
      <c r="B46" s="81"/>
      <c r="C46" s="82">
        <v>2</v>
      </c>
      <c r="D46" s="92">
        <f>D14</f>
        <v>4.8257645026922686</v>
      </c>
      <c r="E46" s="83">
        <f>2/12/3.281</f>
        <v>5.0797521080971242E-2</v>
      </c>
      <c r="F46" s="83">
        <f>2/12/3.281</f>
        <v>5.0797521080971242E-2</v>
      </c>
      <c r="G46" s="79">
        <f t="shared" si="1"/>
        <v>2.4904691055299522E-2</v>
      </c>
      <c r="H46" s="84"/>
      <c r="I46" s="85"/>
      <c r="J46" s="86"/>
      <c r="K46" s="16"/>
    </row>
    <row r="47" spans="1:11" ht="15" customHeight="1" x14ac:dyDescent="0.25">
      <c r="A47" s="12"/>
      <c r="B47" s="81" t="str">
        <f>B18</f>
        <v>-ridge</v>
      </c>
      <c r="C47" s="82">
        <v>2</v>
      </c>
      <c r="D47" s="92">
        <f>D18</f>
        <v>1.2</v>
      </c>
      <c r="E47" s="83">
        <f>3/12/3.281</f>
        <v>7.6196281621456863E-2</v>
      </c>
      <c r="F47" s="83">
        <f>4/12/3.281</f>
        <v>0.10159504216194248</v>
      </c>
      <c r="G47" s="79">
        <f>PRODUCT(C47:F47)</f>
        <v>1.8578794665396366E-2</v>
      </c>
      <c r="H47" s="84"/>
      <c r="I47" s="85"/>
      <c r="J47" s="86"/>
      <c r="K47" s="16"/>
    </row>
    <row r="48" spans="1:11" ht="15" customHeight="1" x14ac:dyDescent="0.25">
      <c r="A48" s="12"/>
      <c r="B48" s="81" t="s">
        <v>157</v>
      </c>
      <c r="C48" s="82">
        <v>2</v>
      </c>
      <c r="D48" s="92">
        <f>45/12/3.281</f>
        <v>1.1429442243218531</v>
      </c>
      <c r="E48" s="83">
        <f>3/12/3.281</f>
        <v>7.6196281621456863E-2</v>
      </c>
      <c r="F48" s="83">
        <f>5/12/3.281</f>
        <v>0.12699380270242813</v>
      </c>
      <c r="G48" s="79">
        <f>PRODUCT(C48:F48)</f>
        <v>2.2119297976746291E-2</v>
      </c>
      <c r="H48" s="84"/>
      <c r="I48" s="85"/>
      <c r="J48" s="86"/>
      <c r="K48" s="16"/>
    </row>
    <row r="49" spans="1:11" ht="15" customHeight="1" x14ac:dyDescent="0.25">
      <c r="A49" s="12"/>
      <c r="B49" s="81"/>
      <c r="C49" s="82">
        <v>2</v>
      </c>
      <c r="D49" s="92">
        <f>39/12/3.281</f>
        <v>0.99055166107893933</v>
      </c>
      <c r="E49" s="83">
        <f>3/12/3.281</f>
        <v>7.6196281621456863E-2</v>
      </c>
      <c r="F49" s="83">
        <f>5/12/3.281</f>
        <v>0.12699380270242813</v>
      </c>
      <c r="G49" s="79">
        <f>PRODUCT(C49:F49)</f>
        <v>1.9170058246513449E-2</v>
      </c>
      <c r="H49" s="84"/>
      <c r="I49" s="85"/>
      <c r="J49" s="86"/>
      <c r="K49" s="16"/>
    </row>
    <row r="50" spans="1:11" ht="15" customHeight="1" x14ac:dyDescent="0.25">
      <c r="A50" s="25"/>
      <c r="B50" s="87" t="s">
        <v>25</v>
      </c>
      <c r="C50" s="78"/>
      <c r="D50" s="79"/>
      <c r="E50" s="79"/>
      <c r="F50" s="79"/>
      <c r="G50" s="88">
        <f>SUM(G43:G49)</f>
        <v>0.21285940874294543</v>
      </c>
      <c r="H50" s="88" t="s">
        <v>29</v>
      </c>
      <c r="I50" s="89">
        <f>286497.45/1.15</f>
        <v>249128.21739130438</v>
      </c>
      <c r="J50" s="90">
        <f>G50*I50</f>
        <v>53029.285055097025</v>
      </c>
      <c r="K50" s="30"/>
    </row>
    <row r="51" spans="1:11" ht="15" customHeight="1" x14ac:dyDescent="0.25">
      <c r="A51" s="25"/>
      <c r="B51" s="87" t="s">
        <v>142</v>
      </c>
      <c r="C51" s="78"/>
      <c r="D51" s="79"/>
      <c r="E51" s="79"/>
      <c r="F51" s="79"/>
      <c r="G51" s="88"/>
      <c r="H51" s="88"/>
      <c r="I51" s="89"/>
      <c r="J51" s="90">
        <f>0.13*G50*225887.77</f>
        <v>6250.7038313801177</v>
      </c>
      <c r="K51" s="30"/>
    </row>
    <row r="52" spans="1:11" ht="15" customHeight="1" x14ac:dyDescent="0.25">
      <c r="A52" s="25"/>
      <c r="B52" s="22"/>
      <c r="C52" s="26"/>
      <c r="D52" s="17"/>
      <c r="E52" s="17"/>
      <c r="F52" s="17"/>
      <c r="G52" s="27"/>
      <c r="H52" s="27"/>
      <c r="I52" s="28"/>
      <c r="J52" s="29"/>
      <c r="K52" s="30"/>
    </row>
    <row r="53" spans="1:11" ht="30" x14ac:dyDescent="0.25">
      <c r="A53" s="25"/>
      <c r="B53" s="77" t="s">
        <v>171</v>
      </c>
      <c r="C53" s="78"/>
      <c r="D53" s="79"/>
      <c r="E53" s="79"/>
      <c r="F53" s="79"/>
      <c r="G53" s="88"/>
      <c r="H53" s="88"/>
      <c r="I53" s="89"/>
      <c r="J53" s="90"/>
      <c r="K53" s="30"/>
    </row>
    <row r="54" spans="1:11" ht="15" customHeight="1" x14ac:dyDescent="0.25">
      <c r="A54" s="25"/>
      <c r="B54" s="87"/>
      <c r="C54" s="78">
        <v>2</v>
      </c>
      <c r="D54" s="79">
        <f>17/12/3.281</f>
        <v>0.43177892918825561</v>
      </c>
      <c r="E54" s="79"/>
      <c r="F54" s="79">
        <f>12/12/3.281</f>
        <v>0.30478512648582745</v>
      </c>
      <c r="G54" s="79">
        <f>PRODUCT(C54:F54)</f>
        <v>0.26319959109311525</v>
      </c>
      <c r="H54" s="88"/>
      <c r="I54" s="89"/>
      <c r="J54" s="90"/>
      <c r="K54" s="30"/>
    </row>
    <row r="55" spans="1:11" ht="15" customHeight="1" x14ac:dyDescent="0.25">
      <c r="A55" s="25"/>
      <c r="B55" s="87"/>
      <c r="C55" s="78">
        <v>2</v>
      </c>
      <c r="D55" s="79">
        <f>40/12/3.281</f>
        <v>1.0159504216194251</v>
      </c>
      <c r="E55" s="79"/>
      <c r="F55" s="79">
        <f>12/12/3.281</f>
        <v>0.30478512648582745</v>
      </c>
      <c r="G55" s="79">
        <f>PRODUCT(C55:F55)</f>
        <v>0.6192931555132124</v>
      </c>
      <c r="H55" s="88"/>
      <c r="I55" s="89"/>
      <c r="J55" s="90"/>
      <c r="K55" s="30"/>
    </row>
    <row r="56" spans="1:11" ht="15" customHeight="1" x14ac:dyDescent="0.25">
      <c r="A56" s="25"/>
      <c r="B56" s="87" t="s">
        <v>25</v>
      </c>
      <c r="C56" s="78"/>
      <c r="D56" s="79"/>
      <c r="E56" s="79"/>
      <c r="F56" s="79"/>
      <c r="G56" s="88">
        <f>SUM(G54:G55)</f>
        <v>0.8824927466063277</v>
      </c>
      <c r="H56" s="88" t="s">
        <v>29</v>
      </c>
      <c r="I56" s="89">
        <f>6679.1</f>
        <v>6679.1</v>
      </c>
      <c r="J56" s="90">
        <f>G56*I56</f>
        <v>5894.2573038583241</v>
      </c>
      <c r="K56" s="30"/>
    </row>
    <row r="57" spans="1:11" ht="15" customHeight="1" x14ac:dyDescent="0.25">
      <c r="A57" s="25"/>
      <c r="B57" s="87" t="s">
        <v>142</v>
      </c>
      <c r="C57" s="78"/>
      <c r="D57" s="79"/>
      <c r="E57" s="79"/>
      <c r="F57" s="79"/>
      <c r="G57" s="88"/>
      <c r="H57" s="88"/>
      <c r="I57" s="89"/>
      <c r="J57" s="90">
        <f>0.13*G56*(571320.75/100)</f>
        <v>655.44234321889326</v>
      </c>
      <c r="K57" s="30"/>
    </row>
    <row r="58" spans="1:11" ht="15" customHeight="1" x14ac:dyDescent="0.25">
      <c r="A58" s="25"/>
      <c r="B58" s="22"/>
      <c r="C58" s="26"/>
      <c r="D58" s="17"/>
      <c r="E58" s="17"/>
      <c r="F58" s="17"/>
      <c r="G58" s="27"/>
      <c r="H58" s="27"/>
      <c r="I58" s="28"/>
      <c r="J58" s="29"/>
      <c r="K58" s="30"/>
    </row>
    <row r="59" spans="1:11" ht="30" x14ac:dyDescent="0.25">
      <c r="A59" s="25">
        <v>11</v>
      </c>
      <c r="B59" s="97" t="s">
        <v>158</v>
      </c>
      <c r="C59" s="78"/>
      <c r="D59" s="79"/>
      <c r="E59" s="79"/>
      <c r="F59" s="79"/>
      <c r="G59" s="79"/>
      <c r="H59" s="79"/>
      <c r="I59" s="79"/>
      <c r="J59" s="80"/>
      <c r="K59" s="30"/>
    </row>
    <row r="60" spans="1:11" ht="15" customHeight="1" x14ac:dyDescent="0.25">
      <c r="A60" s="25"/>
      <c r="B60" s="98" t="str">
        <f>B48</f>
        <v>-Tundal</v>
      </c>
      <c r="C60" s="78">
        <f>C48</f>
        <v>2</v>
      </c>
      <c r="D60" s="79">
        <f>D48</f>
        <v>1.1429442243218531</v>
      </c>
      <c r="E60" s="79">
        <f>(3*2+5)/12/3.281</f>
        <v>0.27938636594534183</v>
      </c>
      <c r="F60" s="79"/>
      <c r="G60" s="79">
        <f>PRODUCT(C60:F60)</f>
        <v>0.63864606662300016</v>
      </c>
      <c r="H60" s="79"/>
      <c r="I60" s="79"/>
      <c r="J60" s="80"/>
      <c r="K60" s="30"/>
    </row>
    <row r="61" spans="1:11" ht="15" customHeight="1" x14ac:dyDescent="0.25">
      <c r="A61" s="25"/>
      <c r="B61" s="87"/>
      <c r="C61" s="78">
        <f>C49</f>
        <v>2</v>
      </c>
      <c r="D61" s="79">
        <f>D49</f>
        <v>0.99055166107893933</v>
      </c>
      <c r="E61" s="79">
        <f>(3*2+5)/12/3.281</f>
        <v>0.27938636594534183</v>
      </c>
      <c r="F61" s="79"/>
      <c r="G61" s="79">
        <f>PRODUCT(C61:F61)</f>
        <v>0.55349325773993352</v>
      </c>
      <c r="H61" s="79"/>
      <c r="I61" s="79"/>
      <c r="J61" s="80"/>
      <c r="K61" s="30"/>
    </row>
    <row r="62" spans="1:11" ht="15" customHeight="1" x14ac:dyDescent="0.25">
      <c r="A62" s="25"/>
      <c r="B62" s="87" t="s">
        <v>25</v>
      </c>
      <c r="C62" s="78"/>
      <c r="D62" s="79"/>
      <c r="E62" s="79"/>
      <c r="F62" s="79"/>
      <c r="G62" s="88">
        <f>SUM(G60:G61)</f>
        <v>1.1921393243629337</v>
      </c>
      <c r="H62" s="88" t="s">
        <v>26</v>
      </c>
      <c r="I62" s="89">
        <f>15743.5/1.15</f>
        <v>13690.000000000002</v>
      </c>
      <c r="J62" s="90">
        <f>G62*I62</f>
        <v>16320.387350528565</v>
      </c>
      <c r="K62" s="30"/>
    </row>
    <row r="63" spans="1:11" x14ac:dyDescent="0.25">
      <c r="A63" s="25"/>
      <c r="B63" s="24"/>
      <c r="C63" s="26"/>
      <c r="D63" s="17"/>
      <c r="E63" s="17"/>
      <c r="F63" s="17"/>
      <c r="G63" s="45"/>
      <c r="H63" s="45"/>
      <c r="I63" s="45"/>
      <c r="J63" s="39"/>
      <c r="K63" s="30"/>
    </row>
    <row r="64" spans="1:11" ht="30" x14ac:dyDescent="0.25">
      <c r="A64" s="25">
        <v>11</v>
      </c>
      <c r="B64" s="77" t="s">
        <v>143</v>
      </c>
      <c r="C64" s="78"/>
      <c r="D64" s="79"/>
      <c r="E64" s="79"/>
      <c r="F64" s="79"/>
      <c r="G64" s="79"/>
      <c r="H64" s="79"/>
      <c r="I64" s="79"/>
      <c r="J64" s="80"/>
      <c r="K64" s="30"/>
    </row>
    <row r="65" spans="1:15" ht="15" customHeight="1" x14ac:dyDescent="0.25">
      <c r="A65" s="25"/>
      <c r="B65" s="87" t="s">
        <v>133</v>
      </c>
      <c r="C65" s="78">
        <v>1</v>
      </c>
      <c r="D65" s="79">
        <v>0.9</v>
      </c>
      <c r="E65" s="79"/>
      <c r="F65" s="79">
        <v>1.5</v>
      </c>
      <c r="G65" s="79">
        <f>PRODUCT(C65:F65)</f>
        <v>1.35</v>
      </c>
      <c r="H65" s="79"/>
      <c r="I65" s="79"/>
      <c r="J65" s="80"/>
      <c r="K65" s="30"/>
    </row>
    <row r="66" spans="1:15" ht="15" customHeight="1" x14ac:dyDescent="0.25">
      <c r="A66" s="25"/>
      <c r="B66" s="87" t="s">
        <v>156</v>
      </c>
      <c r="C66" s="78">
        <v>-2</v>
      </c>
      <c r="D66" s="79">
        <v>0.88</v>
      </c>
      <c r="E66" s="79"/>
      <c r="F66" s="79">
        <v>0.3</v>
      </c>
      <c r="G66" s="79">
        <f>PRODUCT(C66:F66)</f>
        <v>-0.52800000000000002</v>
      </c>
      <c r="H66" s="79"/>
      <c r="I66" s="79"/>
      <c r="J66" s="80"/>
      <c r="K66" s="30"/>
    </row>
    <row r="67" spans="1:15" ht="15" customHeight="1" x14ac:dyDescent="0.25">
      <c r="A67" s="25"/>
      <c r="B67" s="87" t="s">
        <v>168</v>
      </c>
      <c r="C67" s="78">
        <v>1</v>
      </c>
      <c r="D67" s="79">
        <v>0.73</v>
      </c>
      <c r="E67" s="79"/>
      <c r="F67" s="79">
        <v>0.23</v>
      </c>
      <c r="G67" s="79">
        <f>PRODUCT(C67:F67)</f>
        <v>0.16789999999999999</v>
      </c>
      <c r="H67" s="79"/>
      <c r="I67" s="79"/>
      <c r="J67" s="80"/>
      <c r="K67" s="30"/>
    </row>
    <row r="68" spans="1:15" ht="15" customHeight="1" x14ac:dyDescent="0.25">
      <c r="A68" s="25"/>
      <c r="B68" s="87" t="s">
        <v>25</v>
      </c>
      <c r="C68" s="78"/>
      <c r="D68" s="79"/>
      <c r="E68" s="79"/>
      <c r="F68" s="79"/>
      <c r="G68" s="88">
        <f>SUM(G65:G67)</f>
        <v>0.9899</v>
      </c>
      <c r="H68" s="88" t="s">
        <v>26</v>
      </c>
      <c r="I68" s="89">
        <f>120237.47/1.772</f>
        <v>67854.102708803606</v>
      </c>
      <c r="J68" s="90">
        <f>G68*I68</f>
        <v>67168.776271444687</v>
      </c>
      <c r="K68" s="30"/>
      <c r="M68">
        <v>73689.555541760725</v>
      </c>
    </row>
    <row r="69" spans="1:15" ht="15" customHeight="1" x14ac:dyDescent="0.25">
      <c r="A69" s="25"/>
      <c r="B69" s="87" t="s">
        <v>142</v>
      </c>
      <c r="C69" s="78"/>
      <c r="D69" s="79"/>
      <c r="E69" s="79"/>
      <c r="F69" s="79"/>
      <c r="G69" s="88"/>
      <c r="H69" s="88"/>
      <c r="I69" s="89"/>
      <c r="J69" s="90">
        <f>0.13*G68*(41917.47/1.772)</f>
        <v>3044.1498091930021</v>
      </c>
      <c r="K69" s="30"/>
      <c r="M69">
        <v>3339.6774348758472</v>
      </c>
    </row>
    <row r="70" spans="1:15" x14ac:dyDescent="0.25">
      <c r="A70" s="25"/>
      <c r="B70" s="24"/>
      <c r="C70" s="26"/>
      <c r="D70" s="17"/>
      <c r="E70" s="17"/>
      <c r="F70" s="17"/>
      <c r="G70" s="45"/>
      <c r="H70" s="45"/>
      <c r="I70" s="45"/>
      <c r="J70" s="39"/>
      <c r="K70" s="30"/>
    </row>
    <row r="71" spans="1:15" ht="45" x14ac:dyDescent="0.25">
      <c r="A71" s="25">
        <v>13</v>
      </c>
      <c r="B71" s="77" t="s">
        <v>125</v>
      </c>
      <c r="C71" s="78"/>
      <c r="D71" s="79"/>
      <c r="E71" s="79"/>
      <c r="F71" s="79"/>
      <c r="G71" s="79"/>
      <c r="H71" s="79"/>
      <c r="I71" s="79"/>
      <c r="J71" s="80"/>
      <c r="K71" s="30"/>
    </row>
    <row r="72" spans="1:15" ht="15" customHeight="1" x14ac:dyDescent="0.25">
      <c r="A72" s="25"/>
      <c r="B72" s="87" t="s">
        <v>96</v>
      </c>
      <c r="C72" s="78">
        <v>2</v>
      </c>
      <c r="D72" s="79">
        <f>D66</f>
        <v>0.88</v>
      </c>
      <c r="E72" s="79"/>
      <c r="F72" s="79">
        <f>F66</f>
        <v>0.3</v>
      </c>
      <c r="G72" s="79">
        <f>PRODUCT(C72:F72)</f>
        <v>0.52800000000000002</v>
      </c>
      <c r="H72" s="79"/>
      <c r="I72" s="79"/>
      <c r="J72" s="80"/>
      <c r="K72" s="30"/>
      <c r="O72">
        <f>0.93-0.05*2</f>
        <v>0.83000000000000007</v>
      </c>
    </row>
    <row r="73" spans="1:15" ht="15" customHeight="1" x14ac:dyDescent="0.25">
      <c r="A73" s="25"/>
      <c r="B73" s="87" t="s">
        <v>25</v>
      </c>
      <c r="C73" s="78"/>
      <c r="D73" s="79"/>
      <c r="E73" s="79"/>
      <c r="F73" s="79"/>
      <c r="G73" s="88">
        <f>SUM(G72:G72)</f>
        <v>0.52800000000000002</v>
      </c>
      <c r="H73" s="88" t="s">
        <v>26</v>
      </c>
      <c r="I73" s="89">
        <f>69579.92/1.15</f>
        <v>60504.278260869571</v>
      </c>
      <c r="J73" s="90">
        <f>G73*I73</f>
        <v>31946.258921739136</v>
      </c>
      <c r="K73" s="30"/>
      <c r="M73">
        <v>15973.129460869568</v>
      </c>
    </row>
    <row r="74" spans="1:15" ht="15" customHeight="1" x14ac:dyDescent="0.25">
      <c r="A74" s="25"/>
      <c r="B74" s="87" t="s">
        <v>142</v>
      </c>
      <c r="C74" s="78"/>
      <c r="D74" s="79"/>
      <c r="E74" s="79"/>
      <c r="F74" s="79"/>
      <c r="G74" s="88"/>
      <c r="H74" s="88"/>
      <c r="I74" s="89"/>
      <c r="J74" s="90">
        <f>0.13*G73*(9888.94/0.92)</f>
        <v>737.80091478260874</v>
      </c>
      <c r="K74" s="30"/>
      <c r="M74">
        <v>368.90045739130437</v>
      </c>
    </row>
    <row r="75" spans="1:15" ht="15" customHeight="1" x14ac:dyDescent="0.25">
      <c r="A75" s="25"/>
      <c r="B75" s="22"/>
      <c r="C75" s="26"/>
      <c r="D75" s="17"/>
      <c r="E75" s="17"/>
      <c r="F75" s="17"/>
      <c r="G75" s="45"/>
      <c r="H75" s="45"/>
      <c r="I75" s="45"/>
      <c r="J75" s="39"/>
      <c r="K75" s="30"/>
    </row>
    <row r="76" spans="1:15" ht="30" x14ac:dyDescent="0.25">
      <c r="A76" s="25">
        <v>9</v>
      </c>
      <c r="B76" s="97" t="s">
        <v>132</v>
      </c>
      <c r="C76" s="78"/>
      <c r="D76" s="79"/>
      <c r="E76" s="79"/>
      <c r="F76" s="79"/>
      <c r="G76" s="79"/>
      <c r="H76" s="79"/>
      <c r="I76" s="79"/>
      <c r="J76" s="80"/>
      <c r="K76" s="30"/>
    </row>
    <row r="77" spans="1:15" x14ac:dyDescent="0.25">
      <c r="A77" s="25"/>
      <c r="B77" s="87" t="s">
        <v>92</v>
      </c>
      <c r="C77" s="78">
        <v>2</v>
      </c>
      <c r="D77" s="79">
        <f>7/3.281</f>
        <v>2.1334958854007922</v>
      </c>
      <c r="E77" s="79">
        <f>0.1</f>
        <v>0.1</v>
      </c>
      <c r="F77" s="79">
        <v>0.125</v>
      </c>
      <c r="G77" s="79">
        <f>PRODUCT(C77:F77)</f>
        <v>5.333739713501981E-2</v>
      </c>
      <c r="H77" s="79"/>
      <c r="I77" s="79"/>
      <c r="J77" s="80"/>
      <c r="K77" s="30"/>
    </row>
    <row r="78" spans="1:15" x14ac:dyDescent="0.25">
      <c r="A78" s="25"/>
      <c r="B78" s="87"/>
      <c r="C78" s="78">
        <v>1</v>
      </c>
      <c r="D78" s="79">
        <f>4/3.281</f>
        <v>1.2191405059433098</v>
      </c>
      <c r="E78" s="79">
        <v>0.1</v>
      </c>
      <c r="F78" s="79">
        <v>0.125</v>
      </c>
      <c r="G78" s="79">
        <f>PRODUCT(C78:F78)</f>
        <v>1.5239256324291373E-2</v>
      </c>
      <c r="H78" s="79"/>
      <c r="I78" s="79"/>
      <c r="J78" s="80"/>
      <c r="K78" s="30"/>
    </row>
    <row r="79" spans="1:15" x14ac:dyDescent="0.25">
      <c r="A79" s="25"/>
      <c r="B79" s="87"/>
      <c r="C79" s="78">
        <v>1</v>
      </c>
      <c r="D79" s="79">
        <f>4/3.281</f>
        <v>1.2191405059433098</v>
      </c>
      <c r="E79" s="79">
        <f>3/12/3.281</f>
        <v>7.6196281621456863E-2</v>
      </c>
      <c r="F79" s="79">
        <f>7/12/3.281</f>
        <v>0.17779132378339937</v>
      </c>
      <c r="G79" s="79">
        <f>PRODUCT(C79:F79)</f>
        <v>1.6515742489303892E-2</v>
      </c>
      <c r="H79" s="79"/>
      <c r="I79" s="79"/>
      <c r="J79" s="80"/>
      <c r="K79" s="30"/>
    </row>
    <row r="80" spans="1:15" x14ac:dyDescent="0.25">
      <c r="A80" s="25"/>
      <c r="B80" s="87" t="s">
        <v>93</v>
      </c>
      <c r="C80" s="78">
        <v>2</v>
      </c>
      <c r="D80" s="79">
        <f>5/3.281</f>
        <v>1.5239256324291375</v>
      </c>
      <c r="E80" s="79">
        <f>0.1</f>
        <v>0.1</v>
      </c>
      <c r="F80" s="79">
        <f>3/12/3.281</f>
        <v>7.6196281621456863E-2</v>
      </c>
      <c r="G80" s="79">
        <f>PRODUCT(C80:F80)</f>
        <v>2.3223493331745462E-2</v>
      </c>
      <c r="H80" s="79"/>
      <c r="I80" s="79"/>
      <c r="J80" s="80"/>
      <c r="K80" s="30"/>
    </row>
    <row r="81" spans="1:13" x14ac:dyDescent="0.25">
      <c r="A81" s="25"/>
      <c r="B81" s="87"/>
      <c r="C81" s="78">
        <v>2</v>
      </c>
      <c r="D81" s="79">
        <f>4.5/3.281</f>
        <v>1.3715330691862238</v>
      </c>
      <c r="E81" s="79">
        <v>0.15</v>
      </c>
      <c r="F81" s="79">
        <f>3/12/3.281</f>
        <v>7.6196281621456863E-2</v>
      </c>
      <c r="G81" s="79">
        <f>PRODUCT(C81:F81)</f>
        <v>3.1351715997856376E-2</v>
      </c>
      <c r="H81" s="79"/>
      <c r="I81" s="79"/>
      <c r="J81" s="80"/>
      <c r="K81" s="30"/>
    </row>
    <row r="82" spans="1:13" ht="15" customHeight="1" x14ac:dyDescent="0.25">
      <c r="A82" s="25"/>
      <c r="B82" s="87" t="s">
        <v>25</v>
      </c>
      <c r="C82" s="78"/>
      <c r="D82" s="79"/>
      <c r="E82" s="79"/>
      <c r="F82" s="79"/>
      <c r="G82" s="88">
        <f>SUM(G79:G81)</f>
        <v>7.1090951818905734E-2</v>
      </c>
      <c r="H82" s="88" t="s">
        <v>29</v>
      </c>
      <c r="I82" s="89">
        <f>353723.98/1.15</f>
        <v>307586.06956521742</v>
      </c>
      <c r="J82" s="90">
        <f>G82*I82</f>
        <v>21866.58645162746</v>
      </c>
      <c r="K82" s="30"/>
      <c r="M82">
        <f>1.03*3.281</f>
        <v>3.3794300000000002</v>
      </c>
    </row>
    <row r="83" spans="1:13" ht="15" customHeight="1" x14ac:dyDescent="0.25">
      <c r="A83" s="25"/>
      <c r="B83" s="87" t="s">
        <v>142</v>
      </c>
      <c r="C83" s="78"/>
      <c r="D83" s="79"/>
      <c r="E83" s="79"/>
      <c r="F83" s="79"/>
      <c r="G83" s="88"/>
      <c r="H83" s="88"/>
      <c r="I83" s="89"/>
      <c r="J83" s="90">
        <f>0.13*G82*262808.07</f>
        <v>2428.8258594586487</v>
      </c>
      <c r="K83" s="30"/>
    </row>
    <row r="84" spans="1:13" x14ac:dyDescent="0.25">
      <c r="A84" s="25"/>
      <c r="B84" s="87"/>
      <c r="C84" s="78"/>
      <c r="D84" s="79"/>
      <c r="E84" s="79"/>
      <c r="F84" s="79"/>
      <c r="G84" s="79"/>
      <c r="H84" s="79"/>
      <c r="I84" s="79"/>
      <c r="J84" s="80"/>
      <c r="K84" s="30"/>
    </row>
    <row r="85" spans="1:13" ht="30.75" x14ac:dyDescent="0.25">
      <c r="A85" s="25">
        <v>10</v>
      </c>
      <c r="B85" s="11" t="s">
        <v>91</v>
      </c>
      <c r="C85" s="78"/>
      <c r="D85" s="79"/>
      <c r="E85" s="79"/>
      <c r="F85" s="79"/>
      <c r="G85" s="79"/>
      <c r="H85" s="79"/>
      <c r="I85" s="79"/>
      <c r="J85" s="80"/>
      <c r="K85" s="30"/>
    </row>
    <row r="86" spans="1:13" x14ac:dyDescent="0.25">
      <c r="A86" s="25"/>
      <c r="B86" s="87" t="s">
        <v>163</v>
      </c>
      <c r="C86" s="78">
        <v>2</v>
      </c>
      <c r="D86" s="79">
        <f>6/3.281</f>
        <v>1.8287107589149649</v>
      </c>
      <c r="E86" s="79">
        <v>0.1</v>
      </c>
      <c r="F86" s="79">
        <v>0.05</v>
      </c>
      <c r="G86" s="79">
        <f t="shared" ref="G86:G95" si="2">PRODUCT(C86:F86)</f>
        <v>1.8287107589149653E-2</v>
      </c>
      <c r="H86" s="79"/>
      <c r="I86" s="79"/>
      <c r="J86" s="80"/>
      <c r="K86" s="30"/>
    </row>
    <row r="87" spans="1:13" x14ac:dyDescent="0.25">
      <c r="A87" s="25"/>
      <c r="B87" s="87"/>
      <c r="C87" s="78">
        <v>2</v>
      </c>
      <c r="D87" s="79">
        <f>4.5/3.281</f>
        <v>1.3715330691862238</v>
      </c>
      <c r="E87" s="79">
        <v>0.1</v>
      </c>
      <c r="F87" s="79">
        <v>0.05</v>
      </c>
      <c r="G87" s="79">
        <f t="shared" si="2"/>
        <v>1.3715330691862239E-2</v>
      </c>
      <c r="H87" s="79"/>
      <c r="I87" s="79"/>
      <c r="J87" s="80"/>
      <c r="K87" s="30"/>
    </row>
    <row r="88" spans="1:13" x14ac:dyDescent="0.25">
      <c r="A88" s="25"/>
      <c r="B88" s="87" t="s">
        <v>164</v>
      </c>
      <c r="C88" s="78">
        <v>1</v>
      </c>
      <c r="D88" s="79">
        <f>1.5</f>
        <v>1.5</v>
      </c>
      <c r="E88" s="79">
        <v>0.1</v>
      </c>
      <c r="F88" s="79">
        <v>0.05</v>
      </c>
      <c r="G88" s="79">
        <f t="shared" si="2"/>
        <v>7.5000000000000015E-3</v>
      </c>
      <c r="H88" s="79"/>
      <c r="I88" s="79"/>
      <c r="J88" s="80"/>
      <c r="K88" s="30"/>
    </row>
    <row r="89" spans="1:13" x14ac:dyDescent="0.25">
      <c r="A89" s="25"/>
      <c r="B89" s="87" t="s">
        <v>165</v>
      </c>
      <c r="C89" s="78">
        <v>1</v>
      </c>
      <c r="D89" s="79">
        <v>0.9</v>
      </c>
      <c r="E89" s="79">
        <v>7.4999999999999997E-2</v>
      </c>
      <c r="F89" s="79">
        <v>0.125</v>
      </c>
      <c r="G89" s="79">
        <f t="shared" si="2"/>
        <v>8.4375000000000006E-3</v>
      </c>
      <c r="H89" s="79"/>
      <c r="I89" s="79"/>
      <c r="J89" s="80"/>
      <c r="K89" s="30"/>
    </row>
    <row r="90" spans="1:13" x14ac:dyDescent="0.25">
      <c r="A90" s="25"/>
      <c r="B90" s="87" t="s">
        <v>166</v>
      </c>
      <c r="C90" s="78">
        <v>1</v>
      </c>
      <c r="D90" s="79">
        <f>2.33/3.281</f>
        <v>0.71014934471197799</v>
      </c>
      <c r="E90" s="79">
        <v>2.5000000000000001E-2</v>
      </c>
      <c r="F90" s="79">
        <v>0.05</v>
      </c>
      <c r="G90" s="79">
        <f t="shared" si="2"/>
        <v>8.876866808899726E-4</v>
      </c>
      <c r="H90" s="79"/>
      <c r="I90" s="79"/>
      <c r="J90" s="80"/>
      <c r="K90" s="30"/>
    </row>
    <row r="91" spans="1:13" x14ac:dyDescent="0.25">
      <c r="A91" s="25"/>
      <c r="B91" s="87" t="s">
        <v>167</v>
      </c>
      <c r="C91" s="78">
        <v>2</v>
      </c>
      <c r="D91" s="79">
        <f>7/12/3.281</f>
        <v>0.17779132378339937</v>
      </c>
      <c r="E91" s="79">
        <f>1.5/12/3.281</f>
        <v>3.8098140810728431E-2</v>
      </c>
      <c r="F91" s="79">
        <f>1.5/12/3.281</f>
        <v>3.8098140810728431E-2</v>
      </c>
      <c r="G91" s="79">
        <f t="shared" si="2"/>
        <v>5.1611695279074664E-4</v>
      </c>
      <c r="H91" s="79"/>
      <c r="I91" s="79"/>
      <c r="J91" s="80"/>
      <c r="K91" s="30"/>
      <c r="M91" s="119">
        <f>G82+G99</f>
        <v>0.15755429203553573</v>
      </c>
    </row>
    <row r="92" spans="1:13" x14ac:dyDescent="0.25">
      <c r="A92" s="25"/>
      <c r="B92" s="87" t="s">
        <v>168</v>
      </c>
      <c r="C92" s="78">
        <v>1</v>
      </c>
      <c r="D92" s="79">
        <v>0.73</v>
      </c>
      <c r="E92" s="79">
        <v>0.05</v>
      </c>
      <c r="F92" s="79">
        <v>0.23</v>
      </c>
      <c r="G92" s="79">
        <f t="shared" si="2"/>
        <v>8.3949999999999997E-3</v>
      </c>
      <c r="H92" s="79"/>
      <c r="I92" s="79"/>
      <c r="J92" s="80"/>
      <c r="K92" s="30"/>
    </row>
    <row r="93" spans="1:13" x14ac:dyDescent="0.25">
      <c r="A93" s="25"/>
      <c r="B93" s="87" t="s">
        <v>169</v>
      </c>
      <c r="C93" s="78">
        <v>1</v>
      </c>
      <c r="D93" s="79">
        <v>0.32</v>
      </c>
      <c r="E93" s="79">
        <v>0.72</v>
      </c>
      <c r="F93" s="79">
        <v>0.05</v>
      </c>
      <c r="G93" s="79">
        <f t="shared" si="2"/>
        <v>1.1520000000000001E-2</v>
      </c>
      <c r="H93" s="79"/>
      <c r="I93" s="79"/>
      <c r="J93" s="80"/>
      <c r="K93" s="30"/>
    </row>
    <row r="94" spans="1:13" x14ac:dyDescent="0.25">
      <c r="A94" s="25"/>
      <c r="B94" s="87" t="s">
        <v>170</v>
      </c>
      <c r="C94" s="78">
        <v>4</v>
      </c>
      <c r="D94" s="79">
        <v>0.93</v>
      </c>
      <c r="E94" s="79">
        <v>0.05</v>
      </c>
      <c r="F94" s="79">
        <v>7.4999999999999997E-2</v>
      </c>
      <c r="G94" s="79">
        <f t="shared" si="2"/>
        <v>1.3950000000000002E-2</v>
      </c>
      <c r="H94" s="79"/>
      <c r="I94" s="79"/>
      <c r="J94" s="80"/>
      <c r="K94" s="30"/>
    </row>
    <row r="95" spans="1:13" x14ac:dyDescent="0.25">
      <c r="A95" s="25"/>
      <c r="B95" s="87"/>
      <c r="C95" s="78">
        <v>4</v>
      </c>
      <c r="D95" s="79">
        <v>0.36</v>
      </c>
      <c r="E95" s="79">
        <v>0.05</v>
      </c>
      <c r="F95" s="79">
        <v>7.4999999999999997E-2</v>
      </c>
      <c r="G95" s="79">
        <f t="shared" si="2"/>
        <v>5.3999999999999994E-3</v>
      </c>
      <c r="H95" s="79"/>
      <c r="I95" s="79"/>
      <c r="J95" s="80"/>
      <c r="K95" s="30"/>
    </row>
    <row r="96" spans="1:13" x14ac:dyDescent="0.25">
      <c r="A96" s="25"/>
      <c r="B96" s="87" t="s">
        <v>174</v>
      </c>
      <c r="C96" s="78">
        <v>2</v>
      </c>
      <c r="D96" s="79">
        <f>6.75/3.281</f>
        <v>2.0572996037793354</v>
      </c>
      <c r="E96" s="79">
        <f>4/12/3.281</f>
        <v>0.10159504216194248</v>
      </c>
      <c r="F96" s="79">
        <f>2/12/3.281</f>
        <v>5.0797521080971242E-2</v>
      </c>
      <c r="G96" s="79">
        <f>PRODUCT(C96:F96)</f>
        <v>2.1234526057676433E-2</v>
      </c>
      <c r="H96" s="79"/>
      <c r="I96" s="79"/>
      <c r="J96" s="80"/>
      <c r="K96" s="30"/>
    </row>
    <row r="97" spans="1:14" x14ac:dyDescent="0.25">
      <c r="A97" s="25"/>
      <c r="B97" s="87"/>
      <c r="C97" s="78">
        <v>1</v>
      </c>
      <c r="D97" s="79">
        <f>4/3.281</f>
        <v>1.2191405059433098</v>
      </c>
      <c r="E97" s="79">
        <f>4/12/3.281</f>
        <v>0.10159504216194248</v>
      </c>
      <c r="F97" s="79">
        <f>2/12/3.281</f>
        <v>5.0797521080971242E-2</v>
      </c>
      <c r="G97" s="79">
        <f>PRODUCT(C97:F97)</f>
        <v>6.2917114244967201E-3</v>
      </c>
      <c r="H97" s="79"/>
      <c r="I97" s="79"/>
      <c r="J97" s="80"/>
      <c r="K97" s="30"/>
    </row>
    <row r="98" spans="1:14" x14ac:dyDescent="0.25">
      <c r="A98" s="25"/>
      <c r="B98" s="87"/>
      <c r="C98" s="78">
        <v>1</v>
      </c>
      <c r="D98" s="79">
        <f>5/3.281</f>
        <v>1.5239256324291375</v>
      </c>
      <c r="E98" s="79">
        <f>5/12/3.281</f>
        <v>0.12699380270242813</v>
      </c>
      <c r="F98" s="79">
        <f>2/12/3.281</f>
        <v>5.0797521080971242E-2</v>
      </c>
      <c r="G98" s="79">
        <f>PRODUCT(C98:F98)</f>
        <v>9.8307991007761299E-3</v>
      </c>
      <c r="H98" s="79"/>
      <c r="I98" s="79"/>
      <c r="J98" s="80"/>
      <c r="K98" s="30"/>
    </row>
    <row r="99" spans="1:14" ht="15" customHeight="1" x14ac:dyDescent="0.25">
      <c r="A99" s="25"/>
      <c r="B99" s="87" t="s">
        <v>25</v>
      </c>
      <c r="C99" s="78"/>
      <c r="D99" s="79"/>
      <c r="E99" s="79"/>
      <c r="F99" s="79"/>
      <c r="G99" s="88">
        <f>SUM(G89:G98)</f>
        <v>8.6463340216630005E-2</v>
      </c>
      <c r="H99" s="88" t="s">
        <v>29</v>
      </c>
      <c r="I99" s="89">
        <v>284000.83</v>
      </c>
      <c r="J99" s="90">
        <f>G99*I99</f>
        <v>24555.660386095304</v>
      </c>
      <c r="K99" s="30"/>
      <c r="M99">
        <f>1.03*3.281</f>
        <v>3.3794300000000002</v>
      </c>
    </row>
    <row r="100" spans="1:14" ht="15" customHeight="1" x14ac:dyDescent="0.25">
      <c r="A100" s="25"/>
      <c r="B100" s="87" t="s">
        <v>142</v>
      </c>
      <c r="C100" s="78"/>
      <c r="D100" s="79"/>
      <c r="E100" s="79"/>
      <c r="F100" s="79"/>
      <c r="G100" s="88"/>
      <c r="H100" s="88"/>
      <c r="I100" s="89"/>
      <c r="J100" s="90">
        <f>0.13*G99*239222.83</f>
        <v>2688.9206419237553</v>
      </c>
      <c r="K100" s="30"/>
    </row>
    <row r="101" spans="1:14" ht="15" customHeight="1" x14ac:dyDescent="0.25">
      <c r="A101" s="25"/>
      <c r="B101" s="22"/>
      <c r="C101" s="26"/>
      <c r="D101" s="17"/>
      <c r="E101" s="17"/>
      <c r="F101" s="17"/>
      <c r="G101" s="27"/>
      <c r="H101" s="27"/>
      <c r="I101" s="28"/>
      <c r="J101" s="29"/>
      <c r="K101" s="30"/>
    </row>
    <row r="102" spans="1:14" ht="30" x14ac:dyDescent="0.25">
      <c r="A102" s="96">
        <v>10</v>
      </c>
      <c r="B102" s="77" t="s">
        <v>146</v>
      </c>
      <c r="C102" s="78"/>
      <c r="D102" s="79"/>
      <c r="E102" s="79"/>
      <c r="F102" s="79"/>
      <c r="G102" s="79"/>
      <c r="H102" s="79"/>
      <c r="I102" s="79"/>
      <c r="J102" s="80"/>
      <c r="K102" s="30"/>
    </row>
    <row r="103" spans="1:14" ht="15" customHeight="1" x14ac:dyDescent="0.25">
      <c r="A103" s="96"/>
      <c r="B103" s="87" t="s">
        <v>98</v>
      </c>
      <c r="C103" s="78">
        <v>1</v>
      </c>
      <c r="D103" s="79">
        <f>1.2+(2.5/12/3.281)*2</f>
        <v>1.3269938027024282</v>
      </c>
      <c r="E103" s="79"/>
      <c r="F103" s="79">
        <f>2.07+(2.5/12/3.281)</f>
        <v>2.1334969013512137</v>
      </c>
      <c r="G103" s="79">
        <f>PRODUCT(C103:F103)</f>
        <v>2.8311371661778946</v>
      </c>
      <c r="H103" s="79"/>
      <c r="I103" s="79"/>
      <c r="J103" s="80"/>
      <c r="K103" s="30"/>
    </row>
    <row r="104" spans="1:14" ht="15" customHeight="1" x14ac:dyDescent="0.25">
      <c r="A104" s="96"/>
      <c r="B104" s="87" t="s">
        <v>25</v>
      </c>
      <c r="C104" s="78"/>
      <c r="D104" s="79"/>
      <c r="E104" s="79"/>
      <c r="F104" s="79"/>
      <c r="G104" s="88">
        <f>SUM(G103:G103)</f>
        <v>2.8311371661778946</v>
      </c>
      <c r="H104" s="88" t="s">
        <v>26</v>
      </c>
      <c r="I104" s="89">
        <f>46573/1.15</f>
        <v>40498.260869565223</v>
      </c>
      <c r="J104" s="90">
        <f>G104*I104</f>
        <v>114656.13151339401</v>
      </c>
      <c r="K104" s="30"/>
    </row>
    <row r="105" spans="1:14" x14ac:dyDescent="0.25">
      <c r="A105" s="25"/>
      <c r="B105" s="24"/>
      <c r="C105" s="26"/>
      <c r="D105" s="17"/>
      <c r="E105" s="17"/>
      <c r="F105" s="17"/>
      <c r="G105" s="45"/>
      <c r="H105" s="45"/>
      <c r="I105" s="45"/>
      <c r="J105" s="39"/>
      <c r="K105" s="30"/>
      <c r="N105" s="118">
        <f>G99+G157</f>
        <v>8.6463340216630005E-2</v>
      </c>
    </row>
    <row r="106" spans="1:14" ht="30.75" x14ac:dyDescent="0.25">
      <c r="A106" s="25">
        <v>14</v>
      </c>
      <c r="B106" s="99" t="s">
        <v>97</v>
      </c>
      <c r="C106" s="78"/>
      <c r="D106" s="79"/>
      <c r="E106" s="79"/>
      <c r="F106" s="79"/>
      <c r="G106" s="79"/>
      <c r="H106" s="79"/>
      <c r="I106" s="79"/>
      <c r="J106" s="80"/>
      <c r="K106" s="30"/>
    </row>
    <row r="107" spans="1:14" ht="15" customHeight="1" x14ac:dyDescent="0.25">
      <c r="A107" s="25"/>
      <c r="B107" s="87" t="s">
        <v>98</v>
      </c>
      <c r="C107" s="78">
        <v>1</v>
      </c>
      <c r="D107" s="79">
        <v>0.95</v>
      </c>
      <c r="E107" s="79"/>
      <c r="F107" s="79">
        <v>1.85</v>
      </c>
      <c r="G107" s="79">
        <f>PRODUCT(C107:F107)</f>
        <v>1.7575000000000001</v>
      </c>
      <c r="H107" s="79"/>
      <c r="I107" s="79"/>
      <c r="J107" s="80"/>
      <c r="K107" s="30"/>
    </row>
    <row r="108" spans="1:14" ht="15" customHeight="1" x14ac:dyDescent="0.25">
      <c r="A108" s="25"/>
      <c r="B108" s="87" t="s">
        <v>25</v>
      </c>
      <c r="C108" s="78"/>
      <c r="D108" s="79"/>
      <c r="E108" s="79"/>
      <c r="F108" s="79"/>
      <c r="G108" s="88">
        <f>SUM(G107:G107)</f>
        <v>1.7575000000000001</v>
      </c>
      <c r="H108" s="88" t="s">
        <v>26</v>
      </c>
      <c r="I108" s="89">
        <f>15859.11</f>
        <v>15859.11</v>
      </c>
      <c r="J108" s="90">
        <f>G108*I108</f>
        <v>27872.385825000001</v>
      </c>
      <c r="K108" s="30"/>
    </row>
    <row r="109" spans="1:14" ht="15" customHeight="1" x14ac:dyDescent="0.25">
      <c r="A109" s="25"/>
      <c r="B109" s="87" t="s">
        <v>142</v>
      </c>
      <c r="C109" s="78"/>
      <c r="D109" s="79"/>
      <c r="E109" s="79"/>
      <c r="F109" s="79"/>
      <c r="G109" s="88"/>
      <c r="H109" s="88"/>
      <c r="I109" s="89"/>
      <c r="J109" s="90">
        <f>0.13*G108*(20356.18/2.114)</f>
        <v>2200.0370035477767</v>
      </c>
      <c r="K109" s="30"/>
    </row>
    <row r="110" spans="1:14" ht="15.75" x14ac:dyDescent="0.25">
      <c r="A110" s="25"/>
      <c r="B110" s="11"/>
      <c r="C110" s="26"/>
      <c r="D110" s="17"/>
      <c r="E110" s="17"/>
      <c r="F110" s="17"/>
      <c r="G110" s="45"/>
      <c r="H110" s="45"/>
      <c r="I110" s="45"/>
      <c r="J110" s="39"/>
      <c r="K110" s="30"/>
    </row>
    <row r="111" spans="1:14" ht="47.25" x14ac:dyDescent="0.25">
      <c r="A111" s="102">
        <v>10</v>
      </c>
      <c r="B111" s="103" t="s">
        <v>53</v>
      </c>
      <c r="C111" s="104"/>
      <c r="D111" s="104"/>
      <c r="E111" s="104"/>
      <c r="F111" s="104"/>
      <c r="G111" s="105"/>
      <c r="H111" s="84"/>
      <c r="I111" s="85"/>
      <c r="J111" s="85"/>
      <c r="K111" s="16"/>
    </row>
    <row r="112" spans="1:14" ht="15" customHeight="1" x14ac:dyDescent="0.25">
      <c r="A112" s="102"/>
      <c r="B112" s="81" t="s">
        <v>54</v>
      </c>
      <c r="C112" s="82">
        <v>1</v>
      </c>
      <c r="D112" s="92"/>
      <c r="E112" s="83">
        <f>11.667/3.281</f>
        <v>3.555928070710149</v>
      </c>
      <c r="F112" s="83">
        <f>18.33/3.281</f>
        <v>5.5867113684852168</v>
      </c>
      <c r="G112" s="79">
        <f t="shared" ref="G112:G121" si="3">PRODUCT(C112:F112)</f>
        <v>19.865943778152094</v>
      </c>
      <c r="H112" s="84"/>
      <c r="I112" s="85"/>
      <c r="J112" s="86"/>
      <c r="K112" s="16"/>
      <c r="N112" s="21"/>
    </row>
    <row r="113" spans="1:14" ht="15" customHeight="1" x14ac:dyDescent="0.25">
      <c r="A113" s="102"/>
      <c r="B113" s="81" t="s">
        <v>161</v>
      </c>
      <c r="C113" s="82">
        <v>-1</v>
      </c>
      <c r="D113" s="92">
        <f>3/3.281</f>
        <v>0.91435537945748246</v>
      </c>
      <c r="E113" s="83"/>
      <c r="F113" s="83">
        <f>5/3.281</f>
        <v>1.5239256324291375</v>
      </c>
      <c r="G113" s="79">
        <f t="shared" si="3"/>
        <v>-1.393409599904728</v>
      </c>
      <c r="H113" s="84"/>
      <c r="I113" s="85"/>
      <c r="J113" s="86"/>
      <c r="K113" s="16"/>
      <c r="N113" s="21"/>
    </row>
    <row r="114" spans="1:14" ht="15" customHeight="1" x14ac:dyDescent="0.25">
      <c r="A114" s="102"/>
      <c r="B114" s="81" t="s">
        <v>23</v>
      </c>
      <c r="C114" s="82">
        <v>-1</v>
      </c>
      <c r="D114" s="92">
        <f>1.18</f>
        <v>1.18</v>
      </c>
      <c r="E114" s="83"/>
      <c r="F114" s="83">
        <f>2.07+0.127</f>
        <v>2.1970000000000001</v>
      </c>
      <c r="G114" s="79">
        <f t="shared" si="3"/>
        <v>-2.59246</v>
      </c>
      <c r="H114" s="84"/>
      <c r="I114" s="85"/>
      <c r="J114" s="86"/>
      <c r="K114" s="16"/>
      <c r="N114" s="21"/>
    </row>
    <row r="115" spans="1:14" ht="15" customHeight="1" x14ac:dyDescent="0.25">
      <c r="A115" s="102"/>
      <c r="B115" s="81" t="s">
        <v>56</v>
      </c>
      <c r="C115" s="82">
        <v>-1</v>
      </c>
      <c r="D115" s="92"/>
      <c r="E115" s="83">
        <f>E112</f>
        <v>3.555928070710149</v>
      </c>
      <c r="F115" s="83">
        <f>(2.5/12/3.281)*12</f>
        <v>0.76196281621456885</v>
      </c>
      <c r="G115" s="79">
        <f t="shared" si="3"/>
        <v>-2.7094849670147436</v>
      </c>
      <c r="H115" s="84"/>
      <c r="I115" s="85"/>
      <c r="J115" s="86"/>
      <c r="K115" s="16"/>
      <c r="N115" s="21"/>
    </row>
    <row r="116" spans="1:14" ht="15" customHeight="1" x14ac:dyDescent="0.25">
      <c r="A116" s="102"/>
      <c r="B116" s="81" t="s">
        <v>55</v>
      </c>
      <c r="C116" s="82">
        <v>1</v>
      </c>
      <c r="D116" s="92"/>
      <c r="E116" s="83">
        <f>78/12/3.281</f>
        <v>1.9811033221578787</v>
      </c>
      <c r="F116" s="83">
        <f>18.083/3.281</f>
        <v>5.5114294422432177</v>
      </c>
      <c r="G116" s="79">
        <f t="shared" si="3"/>
        <v>10.918711177866783</v>
      </c>
      <c r="H116" s="84"/>
      <c r="I116" s="85"/>
      <c r="J116" s="86"/>
      <c r="K116" s="16"/>
      <c r="N116" s="21"/>
    </row>
    <row r="117" spans="1:14" ht="15" customHeight="1" x14ac:dyDescent="0.25">
      <c r="A117" s="102"/>
      <c r="B117" s="81"/>
      <c r="C117" s="82">
        <v>0.5</v>
      </c>
      <c r="D117" s="92"/>
      <c r="E117" s="92">
        <f>92/12/3.281</f>
        <v>2.3366859697246776</v>
      </c>
      <c r="F117" s="83">
        <f>32/12/3.281</f>
        <v>0.81276033729553987</v>
      </c>
      <c r="G117" s="79">
        <f t="shared" si="3"/>
        <v>0.94958283845359226</v>
      </c>
      <c r="H117" s="84"/>
      <c r="I117" s="85"/>
      <c r="J117" s="86"/>
      <c r="K117" s="16"/>
      <c r="N117" s="21"/>
    </row>
    <row r="118" spans="1:14" ht="15" customHeight="1" x14ac:dyDescent="0.25">
      <c r="A118" s="102"/>
      <c r="B118" s="81"/>
      <c r="C118" s="82">
        <v>0.5</v>
      </c>
      <c r="D118" s="92"/>
      <c r="E118" s="83">
        <f>7.5/12/3.281</f>
        <v>0.19049070405364218</v>
      </c>
      <c r="F118" s="83">
        <v>0.9</v>
      </c>
      <c r="G118" s="79">
        <f t="shared" si="3"/>
        <v>8.5720816824138985E-2</v>
      </c>
      <c r="H118" s="84"/>
      <c r="I118" s="85"/>
      <c r="J118" s="86"/>
      <c r="K118" s="16"/>
      <c r="N118" s="21"/>
    </row>
    <row r="119" spans="1:14" ht="15" customHeight="1" x14ac:dyDescent="0.25">
      <c r="A119" s="102"/>
      <c r="B119" s="81" t="s">
        <v>162</v>
      </c>
      <c r="C119" s="82">
        <v>-1</v>
      </c>
      <c r="D119" s="92">
        <f>2/3.281</f>
        <v>0.6095702529716549</v>
      </c>
      <c r="E119" s="83"/>
      <c r="F119" s="83">
        <f>14/12/3.281</f>
        <v>0.35558264756679875</v>
      </c>
      <c r="G119" s="79">
        <f t="shared" si="3"/>
        <v>-0.21675260442962432</v>
      </c>
      <c r="H119" s="84"/>
      <c r="I119" s="85"/>
      <c r="J119" s="86"/>
      <c r="K119" s="16"/>
      <c r="N119" s="21"/>
    </row>
    <row r="120" spans="1:14" ht="15" customHeight="1" x14ac:dyDescent="0.25">
      <c r="A120" s="102"/>
      <c r="B120" s="81"/>
      <c r="C120" s="82">
        <v>-1</v>
      </c>
      <c r="D120" s="92">
        <f>11/12/3.281</f>
        <v>0.27938636594534183</v>
      </c>
      <c r="E120" s="83"/>
      <c r="F120" s="83">
        <f>5.42/3.281</f>
        <v>1.6519353855531849</v>
      </c>
      <c r="G120" s="79">
        <f t="shared" si="3"/>
        <v>-0.46152822414622147</v>
      </c>
      <c r="H120" s="84"/>
      <c r="I120" s="85"/>
      <c r="J120" s="86"/>
      <c r="K120" s="16"/>
      <c r="N120" s="21"/>
    </row>
    <row r="121" spans="1:14" ht="15" customHeight="1" x14ac:dyDescent="0.25">
      <c r="A121" s="102"/>
      <c r="B121" s="81" t="s">
        <v>56</v>
      </c>
      <c r="C121" s="82">
        <v>-1</v>
      </c>
      <c r="D121" s="92"/>
      <c r="E121" s="83">
        <f>E116</f>
        <v>1.9811033221578787</v>
      </c>
      <c r="F121" s="84">
        <f>(2.5/12/3.281)*9</f>
        <v>0.57147211216092664</v>
      </c>
      <c r="G121" s="79">
        <f t="shared" si="3"/>
        <v>-1.1321452999225916</v>
      </c>
      <c r="H121" s="84"/>
      <c r="I121" s="85"/>
      <c r="J121" s="86"/>
      <c r="K121" s="16"/>
      <c r="N121" s="21"/>
    </row>
    <row r="122" spans="1:14" ht="15" customHeight="1" x14ac:dyDescent="0.25">
      <c r="A122" s="102"/>
      <c r="B122" s="87" t="s">
        <v>25</v>
      </c>
      <c r="C122" s="82"/>
      <c r="D122" s="92"/>
      <c r="E122" s="83"/>
      <c r="F122" s="83"/>
      <c r="G122" s="85">
        <f>SUM(G112:G121)</f>
        <v>23.314177915878702</v>
      </c>
      <c r="H122" s="84" t="s">
        <v>26</v>
      </c>
      <c r="I122" s="85">
        <f>5810.57/1.15</f>
        <v>5052.6695652173912</v>
      </c>
      <c r="J122" s="86">
        <f>G122*I122</f>
        <v>117798.83719362374</v>
      </c>
      <c r="K122" s="16"/>
      <c r="N122" s="21"/>
    </row>
    <row r="123" spans="1:14" ht="15" customHeight="1" x14ac:dyDescent="0.25">
      <c r="A123" s="102"/>
      <c r="B123" s="87" t="s">
        <v>44</v>
      </c>
      <c r="C123" s="82"/>
      <c r="D123" s="92"/>
      <c r="E123" s="83"/>
      <c r="F123" s="83"/>
      <c r="G123" s="85"/>
      <c r="H123" s="84"/>
      <c r="I123" s="85"/>
      <c r="J123" s="86">
        <f>G122*0.13*(309557.25/100)</f>
        <v>9382.1946421451848</v>
      </c>
      <c r="K123" s="16"/>
      <c r="N123" s="21"/>
    </row>
    <row r="124" spans="1:14" ht="15" customHeight="1" x14ac:dyDescent="0.25">
      <c r="A124" s="102"/>
      <c r="B124" s="87"/>
      <c r="C124" s="82"/>
      <c r="D124" s="92"/>
      <c r="E124" s="83"/>
      <c r="F124" s="83"/>
      <c r="G124" s="85"/>
      <c r="H124" s="84"/>
      <c r="I124" s="85"/>
      <c r="J124" s="86"/>
      <c r="K124" s="16"/>
      <c r="N124" s="21"/>
    </row>
    <row r="125" spans="1:14" ht="47.25" x14ac:dyDescent="0.25">
      <c r="A125" s="102">
        <v>11</v>
      </c>
      <c r="B125" s="103" t="s">
        <v>67</v>
      </c>
      <c r="C125" s="82"/>
      <c r="D125" s="92"/>
      <c r="E125" s="83"/>
      <c r="F125" s="83"/>
      <c r="G125" s="85"/>
      <c r="H125" s="84"/>
      <c r="I125" s="85"/>
      <c r="J125" s="86"/>
      <c r="K125" s="16"/>
      <c r="N125" s="21"/>
    </row>
    <row r="126" spans="1:14" ht="15" customHeight="1" x14ac:dyDescent="0.25">
      <c r="A126" s="102"/>
      <c r="B126" s="87" t="s">
        <v>49</v>
      </c>
      <c r="C126" s="82">
        <v>2</v>
      </c>
      <c r="D126" s="92">
        <f>E112+E116</f>
        <v>5.5370313928680277</v>
      </c>
      <c r="E126" s="83"/>
      <c r="F126" s="83"/>
      <c r="G126" s="79">
        <f>PRODUCT(C126:F126)</f>
        <v>11.074062785736055</v>
      </c>
      <c r="H126" s="84"/>
      <c r="I126" s="85"/>
      <c r="J126" s="86"/>
      <c r="K126" s="16"/>
      <c r="N126" s="21"/>
    </row>
    <row r="127" spans="1:14" ht="15" customHeight="1" x14ac:dyDescent="0.25">
      <c r="A127" s="102"/>
      <c r="B127" s="87" t="s">
        <v>25</v>
      </c>
      <c r="C127" s="82"/>
      <c r="D127" s="92"/>
      <c r="E127" s="83"/>
      <c r="F127" s="83"/>
      <c r="G127" s="85">
        <f>SUM(G126:G126)</f>
        <v>11.074062785736055</v>
      </c>
      <c r="H127" s="84" t="s">
        <v>68</v>
      </c>
      <c r="I127" s="85">
        <f>396.86/1.15</f>
        <v>345.09565217391309</v>
      </c>
      <c r="J127" s="86">
        <f>G127*I127</f>
        <v>3821.6109192584449</v>
      </c>
      <c r="K127" s="16"/>
      <c r="N127" s="21"/>
    </row>
    <row r="128" spans="1:14" ht="15" customHeight="1" x14ac:dyDescent="0.25">
      <c r="A128" s="102"/>
      <c r="B128" s="87" t="s">
        <v>44</v>
      </c>
      <c r="C128" s="82"/>
      <c r="D128" s="92"/>
      <c r="E128" s="83"/>
      <c r="F128" s="83"/>
      <c r="G128" s="85"/>
      <c r="H128" s="84"/>
      <c r="I128" s="85"/>
      <c r="J128" s="86">
        <f>G127*0.13*(2182.61/10)</f>
        <v>314.21468229807988</v>
      </c>
      <c r="K128" s="16"/>
      <c r="N128" s="21"/>
    </row>
    <row r="129" spans="1:14" ht="15" customHeight="1" x14ac:dyDescent="0.25">
      <c r="A129" s="102"/>
      <c r="B129" s="87"/>
      <c r="C129" s="82"/>
      <c r="D129" s="92"/>
      <c r="E129" s="83"/>
      <c r="F129" s="83"/>
      <c r="G129" s="85"/>
      <c r="H129" s="84"/>
      <c r="I129" s="85"/>
      <c r="J129" s="86"/>
      <c r="K129" s="16"/>
      <c r="N129" s="21"/>
    </row>
    <row r="130" spans="1:14" ht="47.25" x14ac:dyDescent="0.25">
      <c r="A130" s="102">
        <v>12</v>
      </c>
      <c r="B130" s="103" t="s">
        <v>69</v>
      </c>
      <c r="C130" s="82"/>
      <c r="D130" s="92"/>
      <c r="E130" s="83"/>
      <c r="F130" s="83"/>
      <c r="G130" s="85"/>
      <c r="H130" s="84"/>
      <c r="I130" s="85"/>
      <c r="J130" s="86"/>
      <c r="K130" s="16"/>
      <c r="N130" s="21"/>
    </row>
    <row r="131" spans="1:14" ht="15" customHeight="1" x14ac:dyDescent="0.25">
      <c r="A131" s="102"/>
      <c r="B131" s="87" t="s">
        <v>49</v>
      </c>
      <c r="C131" s="82">
        <f>1</f>
        <v>1</v>
      </c>
      <c r="D131" s="92">
        <f>D126</f>
        <v>5.5370313928680277</v>
      </c>
      <c r="E131" s="83"/>
      <c r="F131" s="83"/>
      <c r="G131" s="79">
        <f>PRODUCT(C131:F131)</f>
        <v>5.5370313928680277</v>
      </c>
      <c r="H131" s="84"/>
      <c r="I131" s="85"/>
      <c r="J131" s="86"/>
      <c r="K131" s="16"/>
      <c r="N131" s="21"/>
    </row>
    <row r="132" spans="1:14" ht="15" customHeight="1" x14ac:dyDescent="0.25">
      <c r="A132" s="102"/>
      <c r="B132" s="87" t="s">
        <v>25</v>
      </c>
      <c r="C132" s="82"/>
      <c r="D132" s="92"/>
      <c r="E132" s="83"/>
      <c r="F132" s="83"/>
      <c r="G132" s="85">
        <f>SUM(G131:G131)</f>
        <v>5.5370313928680277</v>
      </c>
      <c r="H132" s="84" t="s">
        <v>68</v>
      </c>
      <c r="I132" s="85">
        <f>465.63/1.15</f>
        <v>404.89565217391305</v>
      </c>
      <c r="J132" s="86">
        <f>G132*I132</f>
        <v>2241.9199369227304</v>
      </c>
      <c r="K132" s="16"/>
      <c r="N132" s="21"/>
    </row>
    <row r="133" spans="1:14" ht="15" customHeight="1" x14ac:dyDescent="0.25">
      <c r="A133" s="102"/>
      <c r="B133" s="87" t="s">
        <v>44</v>
      </c>
      <c r="C133" s="82"/>
      <c r="D133" s="92"/>
      <c r="E133" s="83"/>
      <c r="F133" s="83"/>
      <c r="G133" s="85"/>
      <c r="H133" s="84"/>
      <c r="I133" s="85"/>
      <c r="J133" s="86">
        <f>G132*0.13*(2780.61/10)</f>
        <v>200.15222319719598</v>
      </c>
      <c r="K133" s="16"/>
      <c r="N133" s="21"/>
    </row>
    <row r="134" spans="1:14" ht="15" customHeight="1" x14ac:dyDescent="0.25">
      <c r="A134" s="12"/>
      <c r="B134" s="22"/>
      <c r="C134" s="14"/>
      <c r="D134" s="15"/>
      <c r="E134" s="16"/>
      <c r="F134" s="16"/>
      <c r="G134" s="19"/>
      <c r="H134" s="18"/>
      <c r="I134" s="19"/>
      <c r="J134" s="20"/>
      <c r="K134" s="16"/>
      <c r="N134" s="21"/>
    </row>
    <row r="135" spans="1:14" ht="47.25" x14ac:dyDescent="0.25">
      <c r="A135" s="102">
        <v>15</v>
      </c>
      <c r="B135" s="103" t="s">
        <v>72</v>
      </c>
      <c r="C135" s="82"/>
      <c r="D135" s="92"/>
      <c r="E135" s="83"/>
      <c r="F135" s="83"/>
      <c r="G135" s="85"/>
      <c r="H135" s="84"/>
      <c r="I135" s="85"/>
      <c r="J135" s="86"/>
      <c r="K135" s="16"/>
      <c r="N135" s="21"/>
    </row>
    <row r="136" spans="1:14" ht="15" customHeight="1" x14ac:dyDescent="0.25">
      <c r="A136" s="102"/>
      <c r="B136" s="87" t="s">
        <v>49</v>
      </c>
      <c r="C136" s="82">
        <f>1*2</f>
        <v>2</v>
      </c>
      <c r="D136" s="92">
        <f>E112</f>
        <v>3.555928070710149</v>
      </c>
      <c r="E136" s="83"/>
      <c r="F136" s="83"/>
      <c r="G136" s="79">
        <f>PRODUCT(C136:F136)</f>
        <v>7.1118561414202981</v>
      </c>
      <c r="H136" s="84"/>
      <c r="I136" s="85"/>
      <c r="J136" s="86"/>
      <c r="K136" s="16"/>
      <c r="N136" s="21"/>
    </row>
    <row r="137" spans="1:14" ht="15" customHeight="1" x14ac:dyDescent="0.25">
      <c r="A137" s="102"/>
      <c r="B137" s="87"/>
      <c r="C137" s="82">
        <v>2</v>
      </c>
      <c r="D137" s="92">
        <f>E116</f>
        <v>1.9811033221578787</v>
      </c>
      <c r="E137" s="83"/>
      <c r="F137" s="83"/>
      <c r="G137" s="79">
        <f>PRODUCT(C137:F137)</f>
        <v>3.9622066443157573</v>
      </c>
      <c r="H137" s="84"/>
      <c r="I137" s="85"/>
      <c r="J137" s="86"/>
      <c r="K137" s="16"/>
      <c r="N137" s="21"/>
    </row>
    <row r="138" spans="1:14" ht="15" customHeight="1" x14ac:dyDescent="0.25">
      <c r="A138" s="102"/>
      <c r="B138" s="87" t="s">
        <v>25</v>
      </c>
      <c r="C138" s="82"/>
      <c r="D138" s="92"/>
      <c r="E138" s="83"/>
      <c r="F138" s="83"/>
      <c r="G138" s="85">
        <f>SUM(G136:G137)</f>
        <v>11.074062785736055</v>
      </c>
      <c r="H138" s="84" t="s">
        <v>68</v>
      </c>
      <c r="I138" s="85">
        <f>469.79/1.15</f>
        <v>408.5130434782609</v>
      </c>
      <c r="J138" s="86">
        <f>G138*I138</f>
        <v>4523.8990922703842</v>
      </c>
      <c r="K138" s="16"/>
      <c r="N138" s="21"/>
    </row>
    <row r="139" spans="1:14" ht="15" customHeight="1" x14ac:dyDescent="0.25">
      <c r="A139" s="102"/>
      <c r="B139" s="87" t="s">
        <v>44</v>
      </c>
      <c r="C139" s="82"/>
      <c r="D139" s="92"/>
      <c r="E139" s="83"/>
      <c r="F139" s="83"/>
      <c r="G139" s="85"/>
      <c r="H139" s="84"/>
      <c r="I139" s="85"/>
      <c r="J139" s="86">
        <f>G138*0.13*(2140.61/10)</f>
        <v>308.16824401706799</v>
      </c>
      <c r="K139" s="16"/>
      <c r="N139" s="21"/>
    </row>
    <row r="140" spans="1:14" ht="15" customHeight="1" x14ac:dyDescent="0.25">
      <c r="A140" s="12"/>
      <c r="B140" s="30"/>
      <c r="C140" s="14"/>
      <c r="D140" s="15"/>
      <c r="E140" s="16"/>
      <c r="F140" s="16"/>
      <c r="G140" s="19"/>
      <c r="H140" s="18"/>
      <c r="I140" s="19"/>
      <c r="J140" s="20"/>
      <c r="K140" s="16"/>
      <c r="N140" s="21"/>
    </row>
    <row r="141" spans="1:14" ht="47.25" x14ac:dyDescent="0.25">
      <c r="A141" s="102">
        <v>18</v>
      </c>
      <c r="B141" s="103" t="s">
        <v>75</v>
      </c>
      <c r="C141" s="82"/>
      <c r="D141" s="92"/>
      <c r="E141" s="83"/>
      <c r="F141" s="83"/>
      <c r="G141" s="85"/>
      <c r="H141" s="84"/>
      <c r="I141" s="85"/>
      <c r="J141" s="86"/>
      <c r="K141" s="16"/>
      <c r="N141" s="21"/>
    </row>
    <row r="142" spans="1:14" ht="15" customHeight="1" x14ac:dyDescent="0.25">
      <c r="A142" s="102"/>
      <c r="B142" s="87" t="s">
        <v>49</v>
      </c>
      <c r="C142" s="82">
        <f>1*2</f>
        <v>2</v>
      </c>
      <c r="D142" s="92">
        <f>D136</f>
        <v>3.555928070710149</v>
      </c>
      <c r="E142" s="83"/>
      <c r="F142" s="83"/>
      <c r="G142" s="79">
        <f>PRODUCT(C142:F142)</f>
        <v>7.1118561414202981</v>
      </c>
      <c r="H142" s="84"/>
      <c r="I142" s="85"/>
      <c r="J142" s="86"/>
      <c r="K142" s="16"/>
      <c r="N142" s="21"/>
    </row>
    <row r="143" spans="1:14" ht="15" customHeight="1" x14ac:dyDescent="0.25">
      <c r="A143" s="102"/>
      <c r="B143" s="87"/>
      <c r="C143" s="82">
        <v>1</v>
      </c>
      <c r="D143" s="92">
        <f>E116</f>
        <v>1.9811033221578787</v>
      </c>
      <c r="E143" s="83"/>
      <c r="F143" s="83"/>
      <c r="G143" s="79">
        <f>PRODUCT(C143:F143)</f>
        <v>1.9811033221578787</v>
      </c>
      <c r="H143" s="84"/>
      <c r="I143" s="85"/>
      <c r="J143" s="86"/>
      <c r="K143" s="16"/>
      <c r="N143" s="21"/>
    </row>
    <row r="144" spans="1:14" ht="15" customHeight="1" x14ac:dyDescent="0.25">
      <c r="A144" s="102"/>
      <c r="B144" s="87" t="s">
        <v>25</v>
      </c>
      <c r="C144" s="82"/>
      <c r="D144" s="92"/>
      <c r="E144" s="83"/>
      <c r="F144" s="83"/>
      <c r="G144" s="85">
        <f>SUM(G142:G143)</f>
        <v>9.0929594635781772</v>
      </c>
      <c r="H144" s="84" t="s">
        <v>68</v>
      </c>
      <c r="I144" s="85">
        <f>487.71/1.15</f>
        <v>424.09565217391304</v>
      </c>
      <c r="J144" s="86">
        <f>G144*I144</f>
        <v>3856.2845738971414</v>
      </c>
      <c r="K144" s="16"/>
      <c r="N144" s="21"/>
    </row>
    <row r="145" spans="1:14" ht="15" customHeight="1" x14ac:dyDescent="0.25">
      <c r="A145" s="102"/>
      <c r="B145" s="87" t="s">
        <v>44</v>
      </c>
      <c r="C145" s="82"/>
      <c r="D145" s="92"/>
      <c r="E145" s="83"/>
      <c r="F145" s="83"/>
      <c r="G145" s="85"/>
      <c r="H145" s="84"/>
      <c r="I145" s="85"/>
      <c r="J145" s="86">
        <f>G144*0.13*(2972.61/10)</f>
        <v>351.3876890033527</v>
      </c>
      <c r="K145" s="16"/>
      <c r="N145" s="21"/>
    </row>
    <row r="146" spans="1:14" ht="15" customHeight="1" x14ac:dyDescent="0.25">
      <c r="A146" s="12"/>
      <c r="B146" s="22"/>
      <c r="C146" s="14"/>
      <c r="D146" s="15"/>
      <c r="E146" s="16"/>
      <c r="F146" s="16"/>
      <c r="G146" s="19"/>
      <c r="H146" s="18"/>
      <c r="I146" s="19"/>
      <c r="J146" s="20"/>
      <c r="K146" s="16"/>
      <c r="N146" s="21"/>
    </row>
    <row r="147" spans="1:14" ht="47.25" x14ac:dyDescent="0.25">
      <c r="A147" s="102">
        <v>20</v>
      </c>
      <c r="B147" s="103" t="s">
        <v>77</v>
      </c>
      <c r="C147" s="82"/>
      <c r="D147" s="92"/>
      <c r="E147" s="83"/>
      <c r="F147" s="83"/>
      <c r="G147" s="85"/>
      <c r="H147" s="84"/>
      <c r="I147" s="85"/>
      <c r="J147" s="86"/>
      <c r="K147" s="16"/>
      <c r="N147" s="21"/>
    </row>
    <row r="148" spans="1:14" ht="15" customHeight="1" x14ac:dyDescent="0.25">
      <c r="A148" s="102"/>
      <c r="B148" s="87" t="s">
        <v>49</v>
      </c>
      <c r="C148" s="82">
        <f>2</f>
        <v>2</v>
      </c>
      <c r="D148" s="92">
        <f>E112</f>
        <v>3.555928070710149</v>
      </c>
      <c r="E148" s="83"/>
      <c r="F148" s="83"/>
      <c r="G148" s="79">
        <f>PRODUCT(C148:F148)</f>
        <v>7.1118561414202981</v>
      </c>
      <c r="H148" s="84"/>
      <c r="I148" s="85"/>
      <c r="J148" s="86"/>
      <c r="K148" s="16"/>
      <c r="N148" s="21"/>
    </row>
    <row r="149" spans="1:14" ht="15" customHeight="1" x14ac:dyDescent="0.25">
      <c r="A149" s="102"/>
      <c r="B149" s="87"/>
      <c r="C149" s="82">
        <v>1</v>
      </c>
      <c r="D149" s="92">
        <f>D143</f>
        <v>1.9811033221578787</v>
      </c>
      <c r="E149" s="83"/>
      <c r="F149" s="83"/>
      <c r="G149" s="79">
        <f>PRODUCT(C149:F149)</f>
        <v>1.9811033221578787</v>
      </c>
      <c r="H149" s="84"/>
      <c r="I149" s="85"/>
      <c r="J149" s="86"/>
      <c r="K149" s="16"/>
      <c r="N149" s="21"/>
    </row>
    <row r="150" spans="1:14" ht="15" customHeight="1" x14ac:dyDescent="0.25">
      <c r="A150" s="102"/>
      <c r="B150" s="87" t="s">
        <v>25</v>
      </c>
      <c r="C150" s="82"/>
      <c r="D150" s="92"/>
      <c r="E150" s="83"/>
      <c r="F150" s="83"/>
      <c r="G150" s="85">
        <f>SUM(G148:G149)</f>
        <v>9.0929594635781772</v>
      </c>
      <c r="H150" s="84" t="s">
        <v>68</v>
      </c>
      <c r="I150" s="85">
        <f>465.63/1.15</f>
        <v>404.89565217391305</v>
      </c>
      <c r="J150" s="86">
        <f>G150*I150</f>
        <v>3681.6997521964408</v>
      </c>
      <c r="K150" s="16"/>
      <c r="N150" s="21"/>
    </row>
    <row r="151" spans="1:14" ht="15" customHeight="1" x14ac:dyDescent="0.25">
      <c r="A151" s="102"/>
      <c r="B151" s="87" t="s">
        <v>44</v>
      </c>
      <c r="C151" s="82"/>
      <c r="D151" s="92"/>
      <c r="E151" s="83"/>
      <c r="F151" s="83"/>
      <c r="G151" s="85"/>
      <c r="H151" s="84"/>
      <c r="I151" s="85"/>
      <c r="J151" s="86">
        <f>G150*0.13*(2780.61/10)</f>
        <v>328.69166218226155</v>
      </c>
      <c r="K151" s="16"/>
      <c r="N151" s="21"/>
    </row>
    <row r="152" spans="1:14" ht="15" customHeight="1" x14ac:dyDescent="0.25">
      <c r="A152" s="12"/>
      <c r="B152" s="22"/>
      <c r="C152" s="14"/>
      <c r="D152" s="15"/>
      <c r="E152" s="16"/>
      <c r="F152" s="16"/>
      <c r="G152" s="19"/>
      <c r="H152" s="18"/>
      <c r="I152" s="19"/>
      <c r="J152" s="20"/>
      <c r="K152" s="16"/>
      <c r="N152" s="21"/>
    </row>
    <row r="153" spans="1:14" ht="15" customHeight="1" x14ac:dyDescent="0.25">
      <c r="A153" s="12">
        <v>16</v>
      </c>
      <c r="B153" s="61" t="s">
        <v>108</v>
      </c>
      <c r="C153" s="14">
        <v>1</v>
      </c>
      <c r="D153" s="15"/>
      <c r="E153" s="16"/>
      <c r="F153" s="16"/>
      <c r="G153" s="37">
        <f>PRODUCT(C153:F153)</f>
        <v>1</v>
      </c>
      <c r="H153" s="18" t="s">
        <v>90</v>
      </c>
      <c r="I153" s="19">
        <v>1000</v>
      </c>
      <c r="J153" s="37">
        <f>G153*I153</f>
        <v>1000</v>
      </c>
      <c r="K153" s="16"/>
    </row>
    <row r="154" spans="1:14" ht="15" customHeight="1" x14ac:dyDescent="0.25">
      <c r="A154" s="12"/>
      <c r="B154" s="59"/>
      <c r="C154" s="14"/>
      <c r="D154" s="15"/>
      <c r="E154" s="16"/>
      <c r="F154" s="16"/>
      <c r="G154" s="19"/>
      <c r="H154" s="18"/>
      <c r="I154" s="19"/>
      <c r="J154" s="20"/>
      <c r="K154" s="16"/>
    </row>
    <row r="155" spans="1:14" x14ac:dyDescent="0.25">
      <c r="A155" s="25"/>
      <c r="B155" s="62" t="s">
        <v>128</v>
      </c>
      <c r="C155" s="63"/>
      <c r="D155" s="64"/>
      <c r="E155" s="64"/>
      <c r="F155" s="64"/>
      <c r="G155" s="20"/>
      <c r="H155" s="20"/>
      <c r="I155" s="20"/>
      <c r="J155" s="20">
        <f>SUM(J21:J153)</f>
        <v>1255035.0709779281</v>
      </c>
      <c r="K155" s="30"/>
    </row>
    <row r="156" spans="1:14" x14ac:dyDescent="0.25">
      <c r="A156" s="70"/>
      <c r="G156" s="71"/>
      <c r="H156" s="71"/>
      <c r="I156" s="71"/>
      <c r="J156" s="71"/>
    </row>
    <row r="157" spans="1:14" s="1" customFormat="1" hidden="1" x14ac:dyDescent="0.25">
      <c r="B157" s="34" t="s">
        <v>110</v>
      </c>
      <c r="C157" s="132">
        <f>J155</f>
        <v>1255035.0709779281</v>
      </c>
      <c r="D157" s="132"/>
      <c r="E157" s="132"/>
      <c r="F157" s="65"/>
      <c r="G157" s="66"/>
      <c r="H157" s="65"/>
      <c r="I157" s="67"/>
      <c r="J157" s="68"/>
      <c r="K157" s="69"/>
    </row>
    <row r="158" spans="1:14" hidden="1" x14ac:dyDescent="0.25">
      <c r="A158" s="70"/>
      <c r="B158" s="74" t="s">
        <v>126</v>
      </c>
      <c r="C158" s="133">
        <f>C157*0.13</f>
        <v>163154.55922713067</v>
      </c>
      <c r="D158" s="133"/>
      <c r="E158" s="133"/>
      <c r="G158" s="71"/>
      <c r="H158" s="71"/>
      <c r="I158" s="71"/>
      <c r="J158" s="71"/>
    </row>
    <row r="159" spans="1:14" hidden="1" x14ac:dyDescent="0.25">
      <c r="A159" s="70"/>
      <c r="B159" s="74" t="s">
        <v>127</v>
      </c>
      <c r="C159" s="133">
        <f>C157+C158</f>
        <v>1418189.6302050587</v>
      </c>
      <c r="D159" s="133"/>
      <c r="E159" s="133"/>
      <c r="G159" s="71"/>
      <c r="H159" s="71"/>
      <c r="I159" s="71"/>
      <c r="J159" s="71"/>
    </row>
    <row r="160" spans="1:14" x14ac:dyDescent="0.25">
      <c r="A160" s="70"/>
      <c r="G160" s="71"/>
      <c r="H160" s="71"/>
      <c r="I160" s="71"/>
      <c r="J160" s="71"/>
    </row>
    <row r="161" spans="1:12" s="1" customFormat="1" x14ac:dyDescent="0.25">
      <c r="B161" s="34" t="s">
        <v>110</v>
      </c>
      <c r="C161" s="127">
        <f>J155</f>
        <v>1255035.0709779281</v>
      </c>
      <c r="D161" s="128"/>
      <c r="E161" s="33">
        <v>100</v>
      </c>
      <c r="F161" s="65"/>
      <c r="G161" s="66"/>
      <c r="H161" s="65"/>
      <c r="I161" s="67"/>
      <c r="J161" s="68"/>
      <c r="K161" s="69"/>
      <c r="L161" s="73">
        <f>J155+'Window only'!J45+'Door only'!J31+'dachi appa only'!J52</f>
        <v>1257207.8039283338</v>
      </c>
    </row>
    <row r="162" spans="1:12" x14ac:dyDescent="0.25">
      <c r="A162" s="70"/>
      <c r="B162" s="34" t="s">
        <v>111</v>
      </c>
      <c r="C162" s="130">
        <v>1200000</v>
      </c>
      <c r="D162" s="131"/>
      <c r="E162" s="33"/>
      <c r="G162" s="71"/>
      <c r="H162" s="71"/>
      <c r="I162" s="71"/>
      <c r="J162" s="71"/>
      <c r="L162" s="118">
        <f>J155+'Door only'!J31+'Window only'!J45+'dachi appa only'!J52</f>
        <v>1257207.8039283338</v>
      </c>
    </row>
    <row r="163" spans="1:12" x14ac:dyDescent="0.25">
      <c r="A163" s="70"/>
      <c r="B163" s="34" t="s">
        <v>112</v>
      </c>
      <c r="C163" s="130">
        <f>C162-C165-C166</f>
        <v>1140000</v>
      </c>
      <c r="D163" s="131"/>
      <c r="E163" s="33">
        <f>C163/C161*100</f>
        <v>90.83411502689782</v>
      </c>
      <c r="G163" s="71"/>
      <c r="H163" s="71"/>
      <c r="I163" s="71"/>
      <c r="J163" s="71"/>
    </row>
    <row r="164" spans="1:12" x14ac:dyDescent="0.25">
      <c r="A164" s="70"/>
      <c r="B164" s="34" t="s">
        <v>113</v>
      </c>
      <c r="C164" s="132">
        <f>C161-C163</f>
        <v>115035.07097792812</v>
      </c>
      <c r="D164" s="132"/>
      <c r="E164" s="33">
        <f>100-E163</f>
        <v>9.1658849731021803</v>
      </c>
      <c r="G164" s="71"/>
      <c r="H164" s="71"/>
      <c r="I164" s="71"/>
      <c r="J164" s="71"/>
    </row>
    <row r="165" spans="1:12" x14ac:dyDescent="0.25">
      <c r="A165" s="70"/>
      <c r="B165" s="34" t="s">
        <v>114</v>
      </c>
      <c r="C165" s="127">
        <f>C162*0.03</f>
        <v>36000</v>
      </c>
      <c r="D165" s="128"/>
      <c r="E165" s="33">
        <v>3</v>
      </c>
      <c r="G165" s="71"/>
      <c r="H165" s="71"/>
      <c r="I165" s="71"/>
      <c r="J165" s="71"/>
    </row>
    <row r="166" spans="1:12" x14ac:dyDescent="0.25">
      <c r="A166" s="70"/>
      <c r="B166" s="34" t="s">
        <v>115</v>
      </c>
      <c r="C166" s="127">
        <f>C162*0.02</f>
        <v>24000</v>
      </c>
      <c r="D166" s="128"/>
      <c r="E166" s="33">
        <v>2</v>
      </c>
      <c r="G166" s="71"/>
      <c r="H166" s="71"/>
      <c r="I166" s="71"/>
      <c r="J166" s="71"/>
    </row>
  </sheetData>
  <mergeCells count="17">
    <mergeCell ref="C162:D162"/>
    <mergeCell ref="C163:D163"/>
    <mergeCell ref="C164:D164"/>
    <mergeCell ref="C165:D165"/>
    <mergeCell ref="C166:D166"/>
    <mergeCell ref="A6:F6"/>
    <mergeCell ref="H6:K6"/>
    <mergeCell ref="C157:E157"/>
    <mergeCell ref="C158:E158"/>
    <mergeCell ref="C159:E159"/>
    <mergeCell ref="C161:D161"/>
    <mergeCell ref="A1:K1"/>
    <mergeCell ref="A2:K2"/>
    <mergeCell ref="A3:K3"/>
    <mergeCell ref="A4:K4"/>
    <mergeCell ref="A5:F5"/>
    <mergeCell ref="H5:K5"/>
  </mergeCells>
  <pageMargins left="0.7" right="0.7" top="0.75" bottom="0.75" header="0.3" footer="0.3"/>
  <pageSetup paperSize="9" scale="80" orientation="portrait"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42" zoomScale="99" zoomScaleNormal="99" zoomScaleSheetLayoutView="80" workbookViewId="0">
      <selection activeCell="G58" sqref="G58:J59"/>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8554687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5" ht="15" hidden="1" customHeight="1" x14ac:dyDescent="0.25">
      <c r="A17" s="25"/>
      <c r="B17" s="22" t="s">
        <v>85</v>
      </c>
      <c r="C17" s="26"/>
      <c r="D17" s="17"/>
      <c r="E17" s="17"/>
      <c r="F17" s="17"/>
      <c r="G17" s="45"/>
      <c r="H17" s="45"/>
      <c r="I17" s="45"/>
      <c r="J17" s="39">
        <f>0.13*G16*((164000)/100)</f>
        <v>0</v>
      </c>
      <c r="K17" s="30"/>
    </row>
    <row r="18" spans="1:15" ht="15" hidden="1" customHeight="1" x14ac:dyDescent="0.25">
      <c r="A18" s="25"/>
      <c r="B18" s="22"/>
      <c r="C18" s="26"/>
      <c r="D18" s="17"/>
      <c r="E18" s="17"/>
      <c r="F18" s="17"/>
      <c r="G18" s="45"/>
      <c r="H18" s="45"/>
      <c r="I18" s="45"/>
      <c r="J18" s="39"/>
      <c r="K18" s="30"/>
    </row>
    <row r="19" spans="1:15" ht="30" hidden="1" x14ac:dyDescent="0.25">
      <c r="A19" s="25">
        <v>34</v>
      </c>
      <c r="B19" s="72" t="s">
        <v>103</v>
      </c>
      <c r="C19" s="26"/>
      <c r="D19" s="17"/>
      <c r="E19" s="17"/>
      <c r="F19" s="17"/>
      <c r="G19" s="45"/>
      <c r="H19" s="45"/>
      <c r="I19" s="45"/>
      <c r="J19" s="39"/>
      <c r="K19" s="30"/>
    </row>
    <row r="20" spans="1:15" hidden="1" x14ac:dyDescent="0.25">
      <c r="A20" s="25"/>
      <c r="B20" s="22" t="s">
        <v>104</v>
      </c>
      <c r="C20" s="26">
        <v>4</v>
      </c>
      <c r="D20" s="17"/>
      <c r="E20" s="17"/>
      <c r="F20" s="17"/>
      <c r="G20" s="17">
        <f>PRODUCT(C20:F20)</f>
        <v>4</v>
      </c>
      <c r="H20" s="45"/>
      <c r="I20" s="45"/>
      <c r="J20" s="39"/>
      <c r="K20" s="30"/>
    </row>
    <row r="21" spans="1:15" ht="15" hidden="1" customHeight="1" x14ac:dyDescent="0.25">
      <c r="A21" s="25"/>
      <c r="B21" s="22" t="s">
        <v>25</v>
      </c>
      <c r="C21" s="26"/>
      <c r="D21" s="17"/>
      <c r="E21" s="17"/>
      <c r="F21" s="17"/>
      <c r="G21" s="27">
        <f>0*SUM(G20)</f>
        <v>0</v>
      </c>
      <c r="H21" s="27" t="s">
        <v>90</v>
      </c>
      <c r="I21" s="28">
        <v>279</v>
      </c>
      <c r="J21" s="29">
        <f>G21*I21</f>
        <v>0</v>
      </c>
      <c r="K21" s="30"/>
    </row>
    <row r="22" spans="1:15" ht="15" hidden="1" customHeight="1" x14ac:dyDescent="0.25">
      <c r="A22" s="25"/>
      <c r="B22" s="22" t="s">
        <v>85</v>
      </c>
      <c r="C22" s="26"/>
      <c r="D22" s="17"/>
      <c r="E22" s="17"/>
      <c r="F22" s="17"/>
      <c r="G22" s="45"/>
      <c r="H22" s="45"/>
      <c r="I22" s="45"/>
      <c r="J22" s="39">
        <f>0.13*J21</f>
        <v>0</v>
      </c>
      <c r="K22" s="30"/>
    </row>
    <row r="23" spans="1:15" hidden="1" x14ac:dyDescent="0.25">
      <c r="A23" s="25"/>
      <c r="B23" s="24"/>
      <c r="C23" s="26"/>
      <c r="D23" s="17"/>
      <c r="E23" s="17"/>
      <c r="F23" s="17"/>
      <c r="G23" s="45"/>
      <c r="H23" s="45"/>
      <c r="I23" s="45"/>
      <c r="J23" s="39"/>
      <c r="K23" s="30"/>
    </row>
    <row r="24" spans="1:15" ht="30" x14ac:dyDescent="0.25">
      <c r="A24" s="25">
        <v>11</v>
      </c>
      <c r="B24" s="77" t="s">
        <v>143</v>
      </c>
      <c r="C24" s="78"/>
      <c r="D24" s="79"/>
      <c r="E24" s="79"/>
      <c r="F24" s="79"/>
      <c r="G24" s="79"/>
      <c r="H24" s="79"/>
      <c r="I24" s="79"/>
      <c r="J24" s="80"/>
      <c r="K24" s="30"/>
    </row>
    <row r="25" spans="1:15" ht="15" customHeight="1" x14ac:dyDescent="0.25">
      <c r="A25" s="25"/>
      <c r="B25" s="87" t="s">
        <v>133</v>
      </c>
      <c r="C25" s="78">
        <v>1</v>
      </c>
      <c r="D25" s="79">
        <v>0.9</v>
      </c>
      <c r="E25" s="79"/>
      <c r="F25" s="79">
        <v>1.5</v>
      </c>
      <c r="G25" s="79">
        <f>PRODUCT(C25:F25)</f>
        <v>1.35</v>
      </c>
      <c r="H25" s="79"/>
      <c r="I25" s="79"/>
      <c r="J25" s="80"/>
      <c r="K25" s="30"/>
    </row>
    <row r="26" spans="1:15" ht="15" customHeight="1" x14ac:dyDescent="0.25">
      <c r="A26" s="25"/>
      <c r="B26" s="87" t="s">
        <v>156</v>
      </c>
      <c r="C26" s="78">
        <v>-2</v>
      </c>
      <c r="D26" s="79">
        <v>0.88</v>
      </c>
      <c r="E26" s="79"/>
      <c r="F26" s="79">
        <v>0.3</v>
      </c>
      <c r="G26" s="79">
        <f>PRODUCT(C26:F26)</f>
        <v>-0.52800000000000002</v>
      </c>
      <c r="H26" s="79"/>
      <c r="I26" s="79"/>
      <c r="J26" s="80"/>
      <c r="K26" s="30"/>
    </row>
    <row r="27" spans="1:15" ht="15" customHeight="1" x14ac:dyDescent="0.25">
      <c r="A27" s="25"/>
      <c r="B27" s="87" t="s">
        <v>168</v>
      </c>
      <c r="C27" s="78">
        <v>1</v>
      </c>
      <c r="D27" s="79">
        <v>0.73</v>
      </c>
      <c r="E27" s="79"/>
      <c r="F27" s="79">
        <v>0.23</v>
      </c>
      <c r="G27" s="79">
        <f>PRODUCT(C27:F27)</f>
        <v>0.16789999999999999</v>
      </c>
      <c r="H27" s="79"/>
      <c r="I27" s="79"/>
      <c r="J27" s="80"/>
      <c r="K27" s="30"/>
    </row>
    <row r="28" spans="1:15" ht="15" customHeight="1" x14ac:dyDescent="0.25">
      <c r="A28" s="25"/>
      <c r="B28" s="87" t="s">
        <v>25</v>
      </c>
      <c r="C28" s="78"/>
      <c r="D28" s="79"/>
      <c r="E28" s="79"/>
      <c r="F28" s="79"/>
      <c r="G28" s="88">
        <f>SUM(G25:G27)</f>
        <v>0.9899</v>
      </c>
      <c r="H28" s="88" t="s">
        <v>26</v>
      </c>
      <c r="I28" s="89">
        <f>120237.47/1.772</f>
        <v>67854.102708803606</v>
      </c>
      <c r="J28" s="90">
        <f>G28*I28</f>
        <v>67168.776271444687</v>
      </c>
      <c r="K28" s="30"/>
      <c r="M28">
        <v>73689.555541760725</v>
      </c>
    </row>
    <row r="29" spans="1:15" ht="15" customHeight="1" x14ac:dyDescent="0.25">
      <c r="A29" s="25"/>
      <c r="B29" s="87" t="s">
        <v>142</v>
      </c>
      <c r="C29" s="78"/>
      <c r="D29" s="79"/>
      <c r="E29" s="79"/>
      <c r="F29" s="79"/>
      <c r="G29" s="88"/>
      <c r="H29" s="88"/>
      <c r="I29" s="89"/>
      <c r="J29" s="90">
        <f>0.13*G28*(41917.47/1.772)</f>
        <v>3044.1498091930021</v>
      </c>
      <c r="K29" s="30"/>
      <c r="M29">
        <v>3339.6774348758472</v>
      </c>
    </row>
    <row r="30" spans="1:15" x14ac:dyDescent="0.25">
      <c r="A30" s="25"/>
      <c r="B30" s="24"/>
      <c r="C30" s="26"/>
      <c r="D30" s="17"/>
      <c r="E30" s="17"/>
      <c r="F30" s="17"/>
      <c r="G30" s="45"/>
      <c r="H30" s="45"/>
      <c r="I30" s="45"/>
      <c r="J30" s="39"/>
      <c r="K30" s="30"/>
    </row>
    <row r="31" spans="1:15" ht="45" x14ac:dyDescent="0.25">
      <c r="A31" s="25">
        <v>13</v>
      </c>
      <c r="B31" s="77" t="s">
        <v>125</v>
      </c>
      <c r="C31" s="78"/>
      <c r="D31" s="79"/>
      <c r="E31" s="79"/>
      <c r="F31" s="79"/>
      <c r="G31" s="79"/>
      <c r="H31" s="79"/>
      <c r="I31" s="79"/>
      <c r="J31" s="80"/>
      <c r="K31" s="30"/>
    </row>
    <row r="32" spans="1:15" ht="15" customHeight="1" x14ac:dyDescent="0.25">
      <c r="A32" s="25"/>
      <c r="B32" s="87" t="s">
        <v>96</v>
      </c>
      <c r="C32" s="78">
        <v>2</v>
      </c>
      <c r="D32" s="79">
        <f>D26</f>
        <v>0.88</v>
      </c>
      <c r="E32" s="79"/>
      <c r="F32" s="79">
        <f>F26</f>
        <v>0.3</v>
      </c>
      <c r="G32" s="79">
        <f>PRODUCT(C32:F32)</f>
        <v>0.52800000000000002</v>
      </c>
      <c r="H32" s="79"/>
      <c r="I32" s="79"/>
      <c r="J32" s="80"/>
      <c r="K32" s="30"/>
      <c r="O32">
        <f>0.93-0.05*2</f>
        <v>0.83000000000000007</v>
      </c>
    </row>
    <row r="33" spans="1:13" ht="15" customHeight="1" x14ac:dyDescent="0.25">
      <c r="A33" s="25"/>
      <c r="B33" s="87" t="s">
        <v>25</v>
      </c>
      <c r="C33" s="78"/>
      <c r="D33" s="79"/>
      <c r="E33" s="79"/>
      <c r="F33" s="79"/>
      <c r="G33" s="88">
        <f>SUM(G32:G32)</f>
        <v>0.52800000000000002</v>
      </c>
      <c r="H33" s="88" t="s">
        <v>26</v>
      </c>
      <c r="I33" s="89">
        <f>69579.92/1.15</f>
        <v>60504.278260869571</v>
      </c>
      <c r="J33" s="90">
        <f>G33*I33</f>
        <v>31946.258921739136</v>
      </c>
      <c r="K33" s="30"/>
      <c r="M33">
        <v>15973.129460869568</v>
      </c>
    </row>
    <row r="34" spans="1:13" ht="15" customHeight="1" x14ac:dyDescent="0.25">
      <c r="A34" s="25"/>
      <c r="B34" s="87" t="s">
        <v>142</v>
      </c>
      <c r="C34" s="78"/>
      <c r="D34" s="79"/>
      <c r="E34" s="79"/>
      <c r="F34" s="79"/>
      <c r="G34" s="88"/>
      <c r="H34" s="88"/>
      <c r="I34" s="89"/>
      <c r="J34" s="90">
        <f>0.13*G33*(9888.94/0.92)</f>
        <v>737.80091478260874</v>
      </c>
      <c r="K34" s="30"/>
      <c r="M34">
        <v>368.90045739130437</v>
      </c>
    </row>
    <row r="35" spans="1:13" ht="15" customHeight="1" x14ac:dyDescent="0.25">
      <c r="A35" s="25"/>
      <c r="B35" s="22"/>
      <c r="C35" s="26"/>
      <c r="D35" s="17"/>
      <c r="E35" s="17"/>
      <c r="F35" s="17"/>
      <c r="G35" s="45"/>
      <c r="H35" s="45"/>
      <c r="I35" s="45"/>
      <c r="J35" s="39"/>
      <c r="K35" s="30"/>
    </row>
    <row r="36" spans="1:13" ht="30.75" x14ac:dyDescent="0.25">
      <c r="A36" s="25">
        <v>14</v>
      </c>
      <c r="B36" s="99" t="s">
        <v>97</v>
      </c>
      <c r="C36" s="78"/>
      <c r="D36" s="79"/>
      <c r="E36" s="79"/>
      <c r="F36" s="79"/>
      <c r="G36" s="79"/>
      <c r="H36" s="79"/>
      <c r="I36" s="79"/>
      <c r="J36" s="80"/>
      <c r="K36" s="30"/>
    </row>
    <row r="37" spans="1:13" ht="15" customHeight="1" x14ac:dyDescent="0.25">
      <c r="A37" s="25"/>
      <c r="B37" s="87" t="s">
        <v>98</v>
      </c>
      <c r="C37" s="78">
        <v>0</v>
      </c>
      <c r="D37" s="79">
        <v>0.95</v>
      </c>
      <c r="E37" s="79"/>
      <c r="F37" s="79">
        <v>1.85</v>
      </c>
      <c r="G37" s="79">
        <f>PRODUCT(C37:F37)</f>
        <v>0</v>
      </c>
      <c r="H37" s="79"/>
      <c r="I37" s="79"/>
      <c r="J37" s="80"/>
      <c r="K37" s="30"/>
    </row>
    <row r="38" spans="1:13" ht="15" customHeight="1" x14ac:dyDescent="0.25">
      <c r="A38" s="25"/>
      <c r="B38" s="87" t="s">
        <v>25</v>
      </c>
      <c r="C38" s="78"/>
      <c r="D38" s="79"/>
      <c r="E38" s="79"/>
      <c r="F38" s="79"/>
      <c r="G38" s="88">
        <f>SUM(G37:G37)</f>
        <v>0</v>
      </c>
      <c r="H38" s="88" t="s">
        <v>26</v>
      </c>
      <c r="I38" s="89">
        <f>15859.11</f>
        <v>15859.11</v>
      </c>
      <c r="J38" s="90">
        <f>G38*I38</f>
        <v>0</v>
      </c>
      <c r="K38" s="30"/>
    </row>
    <row r="39" spans="1:13" ht="15" customHeight="1" x14ac:dyDescent="0.25">
      <c r="A39" s="25"/>
      <c r="B39" s="87" t="s">
        <v>142</v>
      </c>
      <c r="C39" s="78"/>
      <c r="D39" s="79"/>
      <c r="E39" s="79"/>
      <c r="F39" s="79"/>
      <c r="G39" s="88"/>
      <c r="H39" s="88"/>
      <c r="I39" s="89"/>
      <c r="J39" s="90">
        <f>0.13*G38*(20356.18/2.114)</f>
        <v>0</v>
      </c>
      <c r="K39" s="30"/>
    </row>
    <row r="40" spans="1:13" ht="15.75" x14ac:dyDescent="0.25">
      <c r="A40" s="25"/>
      <c r="B40" s="11"/>
      <c r="C40" s="26"/>
      <c r="D40" s="17"/>
      <c r="E40" s="17"/>
      <c r="F40" s="17"/>
      <c r="G40" s="45"/>
      <c r="H40" s="45"/>
      <c r="I40" s="45"/>
      <c r="J40" s="39"/>
      <c r="K40" s="30"/>
    </row>
    <row r="41" spans="1:13" ht="30" x14ac:dyDescent="0.25">
      <c r="A41" s="25">
        <v>9</v>
      </c>
      <c r="B41" s="97" t="s">
        <v>132</v>
      </c>
      <c r="C41" s="78"/>
      <c r="D41" s="79"/>
      <c r="E41" s="79"/>
      <c r="F41" s="79"/>
      <c r="G41" s="79"/>
      <c r="H41" s="79"/>
      <c r="I41" s="79"/>
      <c r="J41" s="80"/>
      <c r="K41" s="30"/>
    </row>
    <row r="42" spans="1:13" x14ac:dyDescent="0.25">
      <c r="A42" s="25"/>
      <c r="B42" s="87" t="s">
        <v>93</v>
      </c>
      <c r="C42" s="78">
        <v>2</v>
      </c>
      <c r="D42" s="79">
        <f>5/3.281</f>
        <v>1.5239256324291375</v>
      </c>
      <c r="E42" s="79">
        <f>0.1</f>
        <v>0.1</v>
      </c>
      <c r="F42" s="79">
        <f>3/12/3.281</f>
        <v>7.6196281621456863E-2</v>
      </c>
      <c r="G42" s="79">
        <f>PRODUCT(C42:F42)</f>
        <v>2.3223493331745462E-2</v>
      </c>
      <c r="H42" s="79"/>
      <c r="I42" s="79"/>
      <c r="J42" s="80"/>
      <c r="K42" s="30"/>
    </row>
    <row r="43" spans="1:13" x14ac:dyDescent="0.25">
      <c r="A43" s="25"/>
      <c r="B43" s="87"/>
      <c r="C43" s="78">
        <v>2</v>
      </c>
      <c r="D43" s="79">
        <f>4.5/3.281</f>
        <v>1.3715330691862238</v>
      </c>
      <c r="E43" s="79">
        <v>0.15</v>
      </c>
      <c r="F43" s="79">
        <f>3/12/3.281</f>
        <v>7.6196281621456863E-2</v>
      </c>
      <c r="G43" s="79">
        <f>PRODUCT(C43:F43)</f>
        <v>3.1351715997856376E-2</v>
      </c>
      <c r="H43" s="79"/>
      <c r="I43" s="79"/>
      <c r="J43" s="80"/>
      <c r="K43" s="30"/>
    </row>
    <row r="44" spans="1:13" ht="15" customHeight="1" x14ac:dyDescent="0.25">
      <c r="A44" s="25"/>
      <c r="B44" s="87" t="s">
        <v>25</v>
      </c>
      <c r="C44" s="78"/>
      <c r="D44" s="79"/>
      <c r="E44" s="79"/>
      <c r="F44" s="79"/>
      <c r="G44" s="88">
        <f>SUM(G42:G43)</f>
        <v>5.4575209329601838E-2</v>
      </c>
      <c r="H44" s="88" t="s">
        <v>29</v>
      </c>
      <c r="I44" s="89">
        <f>353723.98/1.15</f>
        <v>307586.06956521742</v>
      </c>
      <c r="J44" s="90">
        <f>G44*I44</f>
        <v>16786.574133391212</v>
      </c>
      <c r="K44" s="30"/>
      <c r="M44">
        <f>1.03*3.281</f>
        <v>3.3794300000000002</v>
      </c>
    </row>
    <row r="45" spans="1:13" ht="15" customHeight="1" x14ac:dyDescent="0.25">
      <c r="A45" s="25"/>
      <c r="B45" s="87" t="s">
        <v>142</v>
      </c>
      <c r="C45" s="78"/>
      <c r="D45" s="79"/>
      <c r="E45" s="79"/>
      <c r="F45" s="79"/>
      <c r="G45" s="88"/>
      <c r="H45" s="88"/>
      <c r="I45" s="89"/>
      <c r="J45" s="90">
        <f>0.13*G44*262808.07</f>
        <v>1864.5647063886249</v>
      </c>
      <c r="K45" s="30"/>
    </row>
    <row r="46" spans="1:13" x14ac:dyDescent="0.25">
      <c r="A46" s="25"/>
      <c r="B46" s="87"/>
      <c r="C46" s="78"/>
      <c r="D46" s="79"/>
      <c r="E46" s="79"/>
      <c r="F46" s="79"/>
      <c r="G46" s="79"/>
      <c r="H46" s="79"/>
      <c r="I46" s="79"/>
      <c r="J46" s="80"/>
      <c r="K46" s="30"/>
    </row>
    <row r="47" spans="1:13" ht="30.75" x14ac:dyDescent="0.25">
      <c r="A47" s="25">
        <v>10</v>
      </c>
      <c r="B47" s="11" t="s">
        <v>91</v>
      </c>
      <c r="C47" s="78"/>
      <c r="D47" s="79"/>
      <c r="E47" s="79"/>
      <c r="F47" s="79"/>
      <c r="G47" s="79"/>
      <c r="H47" s="79"/>
      <c r="I47" s="79"/>
      <c r="J47" s="80"/>
      <c r="K47" s="30"/>
    </row>
    <row r="48" spans="1:13" x14ac:dyDescent="0.25">
      <c r="A48" s="25"/>
      <c r="B48" s="87" t="s">
        <v>163</v>
      </c>
      <c r="C48" s="78">
        <v>2</v>
      </c>
      <c r="D48" s="79">
        <f>6/3.281</f>
        <v>1.8287107589149649</v>
      </c>
      <c r="E48" s="79">
        <v>0.1</v>
      </c>
      <c r="F48" s="79">
        <v>0.05</v>
      </c>
      <c r="G48" s="79">
        <f t="shared" ref="G48:G57" si="0">PRODUCT(C48:F48)</f>
        <v>1.8287107589149653E-2</v>
      </c>
      <c r="H48" s="79"/>
      <c r="I48" s="79"/>
      <c r="J48" s="80"/>
      <c r="K48" s="30"/>
    </row>
    <row r="49" spans="1:13" x14ac:dyDescent="0.25">
      <c r="A49" s="25"/>
      <c r="B49" s="87"/>
      <c r="C49" s="78">
        <v>2</v>
      </c>
      <c r="D49" s="79">
        <f>4.5/3.281</f>
        <v>1.3715330691862238</v>
      </c>
      <c r="E49" s="79">
        <v>0.1</v>
      </c>
      <c r="F49" s="79">
        <v>0.05</v>
      </c>
      <c r="G49" s="79">
        <f t="shared" si="0"/>
        <v>1.3715330691862239E-2</v>
      </c>
      <c r="H49" s="79"/>
      <c r="I49" s="79"/>
      <c r="J49" s="80"/>
      <c r="K49" s="30"/>
    </row>
    <row r="50" spans="1:13" x14ac:dyDescent="0.25">
      <c r="A50" s="25"/>
      <c r="B50" s="87" t="s">
        <v>164</v>
      </c>
      <c r="C50" s="78">
        <v>1</v>
      </c>
      <c r="D50" s="79">
        <f>1.5</f>
        <v>1.5</v>
      </c>
      <c r="E50" s="79">
        <v>0.1</v>
      </c>
      <c r="F50" s="79">
        <v>0.05</v>
      </c>
      <c r="G50" s="79">
        <f t="shared" si="0"/>
        <v>7.5000000000000015E-3</v>
      </c>
      <c r="H50" s="79"/>
      <c r="I50" s="79"/>
      <c r="J50" s="80"/>
      <c r="K50" s="30"/>
    </row>
    <row r="51" spans="1:13" x14ac:dyDescent="0.25">
      <c r="A51" s="25"/>
      <c r="B51" s="87" t="s">
        <v>165</v>
      </c>
      <c r="C51" s="78">
        <v>1</v>
      </c>
      <c r="D51" s="79">
        <v>0.9</v>
      </c>
      <c r="E51" s="79">
        <v>7.4999999999999997E-2</v>
      </c>
      <c r="F51" s="79">
        <v>0.125</v>
      </c>
      <c r="G51" s="79">
        <f t="shared" si="0"/>
        <v>8.4375000000000006E-3</v>
      </c>
      <c r="H51" s="79"/>
      <c r="I51" s="79"/>
      <c r="J51" s="80"/>
      <c r="K51" s="30"/>
    </row>
    <row r="52" spans="1:13" x14ac:dyDescent="0.25">
      <c r="A52" s="25"/>
      <c r="B52" s="87" t="s">
        <v>166</v>
      </c>
      <c r="C52" s="78">
        <v>1</v>
      </c>
      <c r="D52" s="79">
        <f>2.33/3.281</f>
        <v>0.71014934471197799</v>
      </c>
      <c r="E52" s="79">
        <v>2.5000000000000001E-2</v>
      </c>
      <c r="F52" s="79">
        <v>0.05</v>
      </c>
      <c r="G52" s="79">
        <f t="shared" si="0"/>
        <v>8.876866808899726E-4</v>
      </c>
      <c r="H52" s="79"/>
      <c r="I52" s="79"/>
      <c r="J52" s="80"/>
      <c r="K52" s="30"/>
    </row>
    <row r="53" spans="1:13" x14ac:dyDescent="0.25">
      <c r="A53" s="25"/>
      <c r="B53" s="87" t="s">
        <v>167</v>
      </c>
      <c r="C53" s="78">
        <v>2</v>
      </c>
      <c r="D53" s="79">
        <f>7/12/3.281</f>
        <v>0.17779132378339937</v>
      </c>
      <c r="E53" s="79">
        <f>1.5/12/3.281</f>
        <v>3.8098140810728431E-2</v>
      </c>
      <c r="F53" s="79">
        <f>1.5/12/3.281</f>
        <v>3.8098140810728431E-2</v>
      </c>
      <c r="G53" s="79">
        <f t="shared" si="0"/>
        <v>5.1611695279074664E-4</v>
      </c>
      <c r="H53" s="79"/>
      <c r="I53" s="79"/>
      <c r="J53" s="80"/>
      <c r="K53" s="30"/>
      <c r="M53" s="119">
        <f>G44+G58</f>
        <v>0.14318395124429445</v>
      </c>
    </row>
    <row r="54" spans="1:13" x14ac:dyDescent="0.25">
      <c r="A54" s="25"/>
      <c r="B54" s="87" t="s">
        <v>168</v>
      </c>
      <c r="C54" s="78">
        <v>1</v>
      </c>
      <c r="D54" s="79">
        <v>0.73</v>
      </c>
      <c r="E54" s="79">
        <v>0.05</v>
      </c>
      <c r="F54" s="79">
        <v>0.23</v>
      </c>
      <c r="G54" s="79">
        <f t="shared" si="0"/>
        <v>8.3949999999999997E-3</v>
      </c>
      <c r="H54" s="79"/>
      <c r="I54" s="79"/>
      <c r="J54" s="80"/>
      <c r="K54" s="30"/>
    </row>
    <row r="55" spans="1:13" x14ac:dyDescent="0.25">
      <c r="A55" s="25"/>
      <c r="B55" s="87" t="s">
        <v>169</v>
      </c>
      <c r="C55" s="78">
        <v>1</v>
      </c>
      <c r="D55" s="79">
        <v>0.32</v>
      </c>
      <c r="E55" s="79">
        <v>0.72</v>
      </c>
      <c r="F55" s="79">
        <v>0.05</v>
      </c>
      <c r="G55" s="79">
        <f t="shared" si="0"/>
        <v>1.1520000000000001E-2</v>
      </c>
      <c r="H55" s="79"/>
      <c r="I55" s="79"/>
      <c r="J55" s="80"/>
      <c r="K55" s="30"/>
    </row>
    <row r="56" spans="1:13" x14ac:dyDescent="0.25">
      <c r="A56" s="25"/>
      <c r="B56" s="87" t="s">
        <v>170</v>
      </c>
      <c r="C56" s="78">
        <v>4</v>
      </c>
      <c r="D56" s="79">
        <v>0.93</v>
      </c>
      <c r="E56" s="79">
        <v>0.05</v>
      </c>
      <c r="F56" s="79">
        <v>7.4999999999999997E-2</v>
      </c>
      <c r="G56" s="79">
        <f t="shared" si="0"/>
        <v>1.3950000000000002E-2</v>
      </c>
      <c r="H56" s="79"/>
      <c r="I56" s="79"/>
      <c r="J56" s="80"/>
      <c r="K56" s="30"/>
    </row>
    <row r="57" spans="1:13" x14ac:dyDescent="0.25">
      <c r="A57" s="25"/>
      <c r="B57" s="87"/>
      <c r="C57" s="78">
        <v>4</v>
      </c>
      <c r="D57" s="79">
        <v>0.36</v>
      </c>
      <c r="E57" s="79">
        <v>0.05</v>
      </c>
      <c r="F57" s="79">
        <v>7.4999999999999997E-2</v>
      </c>
      <c r="G57" s="79">
        <f t="shared" si="0"/>
        <v>5.3999999999999994E-3</v>
      </c>
      <c r="H57" s="79"/>
      <c r="I57" s="79"/>
      <c r="J57" s="80"/>
      <c r="K57" s="30"/>
    </row>
    <row r="58" spans="1:13" ht="15" customHeight="1" x14ac:dyDescent="0.25">
      <c r="A58" s="25"/>
      <c r="B58" s="87" t="s">
        <v>25</v>
      </c>
      <c r="C58" s="78"/>
      <c r="D58" s="79"/>
      <c r="E58" s="79"/>
      <c r="F58" s="79"/>
      <c r="G58" s="88">
        <f>SUM(G48:G57)</f>
        <v>8.8608741914692618E-2</v>
      </c>
      <c r="H58" s="88" t="s">
        <v>29</v>
      </c>
      <c r="I58" s="89">
        <v>284000.83</v>
      </c>
      <c r="J58" s="90">
        <f>G58*I58</f>
        <v>25164.956249028495</v>
      </c>
      <c r="K58" s="30"/>
      <c r="M58">
        <f>1.03*3.281</f>
        <v>3.3794300000000002</v>
      </c>
    </row>
    <row r="59" spans="1:13" ht="15" customHeight="1" x14ac:dyDescent="0.25">
      <c r="A59" s="25"/>
      <c r="B59" s="87" t="s">
        <v>142</v>
      </c>
      <c r="C59" s="78"/>
      <c r="D59" s="79"/>
      <c r="E59" s="79"/>
      <c r="F59" s="79"/>
      <c r="G59" s="88"/>
      <c r="H59" s="88"/>
      <c r="I59" s="89"/>
      <c r="J59" s="90">
        <f>0.13*G58*239222.83</f>
        <v>2755.64042046441</v>
      </c>
      <c r="K59" s="30"/>
    </row>
    <row r="60" spans="1:13" ht="15" customHeight="1" x14ac:dyDescent="0.25">
      <c r="A60" s="25"/>
      <c r="B60" s="22"/>
      <c r="C60" s="26"/>
      <c r="D60" s="17"/>
      <c r="E60" s="17"/>
      <c r="F60" s="17"/>
      <c r="G60" s="27"/>
      <c r="H60" s="27"/>
      <c r="I60" s="28"/>
      <c r="J60" s="29"/>
      <c r="K60" s="30"/>
    </row>
    <row r="61" spans="1:13" x14ac:dyDescent="0.25">
      <c r="A61" s="25"/>
      <c r="B61" s="62" t="s">
        <v>128</v>
      </c>
      <c r="C61" s="63"/>
      <c r="D61" s="64"/>
      <c r="E61" s="64"/>
      <c r="F61" s="64"/>
      <c r="G61" s="20"/>
      <c r="H61" s="20"/>
      <c r="I61" s="20"/>
      <c r="J61" s="20">
        <f>SUM(J24:J60)</f>
        <v>149468.7214264322</v>
      </c>
      <c r="K61" s="30"/>
    </row>
    <row r="63" spans="1:13" s="1" customFormat="1" hidden="1" x14ac:dyDescent="0.25">
      <c r="B63" s="34" t="s">
        <v>110</v>
      </c>
      <c r="C63" s="132">
        <f>J61</f>
        <v>149468.7214264322</v>
      </c>
      <c r="D63" s="132"/>
      <c r="E63" s="132"/>
      <c r="F63" s="65"/>
      <c r="G63" s="66"/>
      <c r="H63" s="65"/>
      <c r="I63" s="67"/>
      <c r="J63" s="68"/>
      <c r="K63" s="69"/>
      <c r="M63"/>
    </row>
    <row r="64" spans="1:13" hidden="1" x14ac:dyDescent="0.25">
      <c r="B64" s="74" t="s">
        <v>126</v>
      </c>
      <c r="C64" s="133">
        <f>C63*0.13</f>
        <v>19430.933785436187</v>
      </c>
      <c r="D64" s="133"/>
      <c r="E64" s="133"/>
    </row>
    <row r="65" spans="2:13" hidden="1" x14ac:dyDescent="0.25">
      <c r="B65" s="74" t="s">
        <v>127</v>
      </c>
      <c r="C65" s="133">
        <f>C63+C64</f>
        <v>168899.65521186838</v>
      </c>
      <c r="D65" s="133"/>
      <c r="E65" s="133"/>
    </row>
    <row r="67" spans="2:13" s="1" customFormat="1" x14ac:dyDescent="0.25">
      <c r="B67" s="34" t="s">
        <v>110</v>
      </c>
      <c r="C67" s="127">
        <f>J61</f>
        <v>149468.7214264322</v>
      </c>
      <c r="D67" s="128"/>
      <c r="E67" s="33">
        <v>100</v>
      </c>
      <c r="F67" s="65"/>
      <c r="G67" s="66"/>
      <c r="H67" s="65"/>
      <c r="I67" s="67"/>
      <c r="J67" s="68"/>
      <c r="K67" s="69"/>
      <c r="M67"/>
    </row>
    <row r="68" spans="2:13" x14ac:dyDescent="0.25">
      <c r="B68" s="34" t="s">
        <v>111</v>
      </c>
      <c r="C68" s="130">
        <v>1200000</v>
      </c>
      <c r="D68" s="131"/>
      <c r="E68" s="33"/>
    </row>
    <row r="69" spans="2:13" x14ac:dyDescent="0.25">
      <c r="B69" s="34" t="s">
        <v>112</v>
      </c>
      <c r="C69" s="130">
        <f>C68-C71-C72</f>
        <v>1140000</v>
      </c>
      <c r="D69" s="131"/>
      <c r="E69" s="33">
        <f>C69/C67*100</f>
        <v>762.70137933915669</v>
      </c>
    </row>
    <row r="70" spans="2:13" x14ac:dyDescent="0.25">
      <c r="B70" s="34" t="s">
        <v>113</v>
      </c>
      <c r="C70" s="132">
        <f>C67-C69</f>
        <v>-990531.27857356775</v>
      </c>
      <c r="D70" s="132"/>
      <c r="E70" s="33">
        <f>100-E69</f>
        <v>-662.70137933915669</v>
      </c>
    </row>
    <row r="71" spans="2:13" x14ac:dyDescent="0.25">
      <c r="B71" s="34" t="s">
        <v>114</v>
      </c>
      <c r="C71" s="127">
        <f>C68*0.03</f>
        <v>36000</v>
      </c>
      <c r="D71" s="128"/>
      <c r="E71" s="33">
        <v>3</v>
      </c>
    </row>
    <row r="72" spans="2:13" x14ac:dyDescent="0.25">
      <c r="B72" s="34" t="s">
        <v>115</v>
      </c>
      <c r="C72" s="127">
        <f>C68*0.02</f>
        <v>24000</v>
      </c>
      <c r="D72" s="128"/>
      <c r="E72" s="33">
        <v>2</v>
      </c>
    </row>
  </sheetData>
  <mergeCells count="18">
    <mergeCell ref="C68:D68"/>
    <mergeCell ref="C69:D69"/>
    <mergeCell ref="C70:D70"/>
    <mergeCell ref="C71:D71"/>
    <mergeCell ref="C72:D72"/>
    <mergeCell ref="C67:D67"/>
    <mergeCell ref="A1:K1"/>
    <mergeCell ref="A2:K2"/>
    <mergeCell ref="A3:K3"/>
    <mergeCell ref="A4:K4"/>
    <mergeCell ref="A5:K5"/>
    <mergeCell ref="A6:F6"/>
    <mergeCell ref="H6:K6"/>
    <mergeCell ref="A7:F7"/>
    <mergeCell ref="H7:K7"/>
    <mergeCell ref="C63:E63"/>
    <mergeCell ref="C64:E64"/>
    <mergeCell ref="C65:E65"/>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3" zoomScale="99" zoomScaleNormal="99" zoomScaleSheetLayoutView="80" workbookViewId="0">
      <selection activeCell="G33" sqref="G33:J34"/>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1" ht="15" hidden="1" customHeight="1" x14ac:dyDescent="0.25">
      <c r="A17" s="25"/>
      <c r="B17" s="22" t="s">
        <v>85</v>
      </c>
      <c r="C17" s="26"/>
      <c r="D17" s="17"/>
      <c r="E17" s="17"/>
      <c r="F17" s="17"/>
      <c r="G17" s="45"/>
      <c r="H17" s="45"/>
      <c r="I17" s="45"/>
      <c r="J17" s="39">
        <f>0.13*G16*((164000)/100)</f>
        <v>0</v>
      </c>
      <c r="K17" s="30"/>
    </row>
    <row r="18" spans="1:11" ht="15" hidden="1" customHeight="1" x14ac:dyDescent="0.25">
      <c r="A18" s="25"/>
      <c r="B18" s="22"/>
      <c r="C18" s="26"/>
      <c r="D18" s="17"/>
      <c r="E18" s="17"/>
      <c r="F18" s="17"/>
      <c r="G18" s="45"/>
      <c r="H18" s="45"/>
      <c r="I18" s="45"/>
      <c r="J18" s="39"/>
      <c r="K18" s="30"/>
    </row>
    <row r="19" spans="1:11" ht="30" hidden="1" x14ac:dyDescent="0.25">
      <c r="A19" s="25">
        <v>34</v>
      </c>
      <c r="B19" s="72" t="s">
        <v>103</v>
      </c>
      <c r="C19" s="26"/>
      <c r="D19" s="17"/>
      <c r="E19" s="17"/>
      <c r="F19" s="17"/>
      <c r="G19" s="45"/>
      <c r="H19" s="45"/>
      <c r="I19" s="45"/>
      <c r="J19" s="39"/>
      <c r="K19" s="30"/>
    </row>
    <row r="20" spans="1:11" hidden="1" x14ac:dyDescent="0.25">
      <c r="A20" s="25"/>
      <c r="B20" s="22" t="s">
        <v>104</v>
      </c>
      <c r="C20" s="26">
        <v>4</v>
      </c>
      <c r="D20" s="17"/>
      <c r="E20" s="17"/>
      <c r="F20" s="17"/>
      <c r="G20" s="17">
        <f>PRODUCT(C20:F20)</f>
        <v>4</v>
      </c>
      <c r="H20" s="45"/>
      <c r="I20" s="45"/>
      <c r="J20" s="39"/>
      <c r="K20" s="30"/>
    </row>
    <row r="21" spans="1:11" ht="15" hidden="1" customHeight="1" x14ac:dyDescent="0.25">
      <c r="A21" s="25"/>
      <c r="B21" s="22" t="s">
        <v>25</v>
      </c>
      <c r="C21" s="26"/>
      <c r="D21" s="17"/>
      <c r="E21" s="17"/>
      <c r="F21" s="17"/>
      <c r="G21" s="27">
        <f>0*SUM(G20)</f>
        <v>0</v>
      </c>
      <c r="H21" s="27" t="s">
        <v>90</v>
      </c>
      <c r="I21" s="28">
        <v>279</v>
      </c>
      <c r="J21" s="29">
        <f>G21*I21</f>
        <v>0</v>
      </c>
      <c r="K21" s="30"/>
    </row>
    <row r="22" spans="1:11" ht="15" hidden="1" customHeight="1" x14ac:dyDescent="0.25">
      <c r="A22" s="25"/>
      <c r="B22" s="22" t="s">
        <v>85</v>
      </c>
      <c r="C22" s="26"/>
      <c r="D22" s="17"/>
      <c r="E22" s="17"/>
      <c r="F22" s="17"/>
      <c r="G22" s="45"/>
      <c r="H22" s="45"/>
      <c r="I22" s="45"/>
      <c r="J22" s="39">
        <f>0.13*J21</f>
        <v>0</v>
      </c>
      <c r="K22" s="30"/>
    </row>
    <row r="23" spans="1:11" hidden="1" x14ac:dyDescent="0.25">
      <c r="A23" s="25"/>
      <c r="B23" s="24"/>
      <c r="C23" s="26"/>
      <c r="D23" s="17"/>
      <c r="E23" s="17"/>
      <c r="F23" s="17"/>
      <c r="G23" s="45"/>
      <c r="H23" s="45"/>
      <c r="I23" s="45"/>
      <c r="J23" s="39"/>
      <c r="K23" s="30"/>
    </row>
    <row r="24" spans="1:11" ht="30.75" x14ac:dyDescent="0.25">
      <c r="A24" s="25">
        <v>14</v>
      </c>
      <c r="B24" s="99" t="s">
        <v>97</v>
      </c>
      <c r="C24" s="78"/>
      <c r="D24" s="79"/>
      <c r="E24" s="79"/>
      <c r="F24" s="79"/>
      <c r="G24" s="79"/>
      <c r="H24" s="79"/>
      <c r="I24" s="79"/>
      <c r="J24" s="80"/>
      <c r="K24" s="30"/>
    </row>
    <row r="25" spans="1:11" ht="15" customHeight="1" x14ac:dyDescent="0.25">
      <c r="A25" s="25"/>
      <c r="B25" s="87" t="s">
        <v>98</v>
      </c>
      <c r="C25" s="78">
        <v>1</v>
      </c>
      <c r="D25" s="79">
        <v>0.95</v>
      </c>
      <c r="E25" s="79"/>
      <c r="F25" s="79">
        <v>1.85</v>
      </c>
      <c r="G25" s="79">
        <f>PRODUCT(C25:F25)</f>
        <v>1.7575000000000001</v>
      </c>
      <c r="H25" s="79"/>
      <c r="I25" s="79"/>
      <c r="J25" s="80"/>
      <c r="K25" s="30"/>
    </row>
    <row r="26" spans="1:11" ht="15" customHeight="1" x14ac:dyDescent="0.25">
      <c r="A26" s="25"/>
      <c r="B26" s="87" t="s">
        <v>25</v>
      </c>
      <c r="C26" s="78"/>
      <c r="D26" s="79"/>
      <c r="E26" s="79"/>
      <c r="F26" s="79"/>
      <c r="G26" s="88">
        <f>SUM(G25:G25)</f>
        <v>1.7575000000000001</v>
      </c>
      <c r="H26" s="88" t="s">
        <v>26</v>
      </c>
      <c r="I26" s="89">
        <f>15859.11</f>
        <v>15859.11</v>
      </c>
      <c r="J26" s="90">
        <f>G26*I26</f>
        <v>27872.385825000001</v>
      </c>
      <c r="K26" s="30"/>
    </row>
    <row r="27" spans="1:11" ht="15" customHeight="1" x14ac:dyDescent="0.25">
      <c r="A27" s="25"/>
      <c r="B27" s="87" t="s">
        <v>142</v>
      </c>
      <c r="C27" s="78"/>
      <c r="D27" s="79"/>
      <c r="E27" s="79"/>
      <c r="F27" s="79"/>
      <c r="G27" s="88"/>
      <c r="H27" s="88"/>
      <c r="I27" s="89"/>
      <c r="J27" s="90">
        <f>0.13*G26*(20356.18/2.114)</f>
        <v>2200.0370035477767</v>
      </c>
      <c r="K27" s="30"/>
    </row>
    <row r="28" spans="1:11" ht="15.75" x14ac:dyDescent="0.25">
      <c r="A28" s="25"/>
      <c r="B28" s="11"/>
      <c r="C28" s="26"/>
      <c r="D28" s="17"/>
      <c r="E28" s="17"/>
      <c r="F28" s="17"/>
      <c r="G28" s="45"/>
      <c r="H28" s="45"/>
      <c r="I28" s="45"/>
      <c r="J28" s="39"/>
      <c r="K28" s="30"/>
    </row>
    <row r="29" spans="1:11" ht="30" x14ac:dyDescent="0.25">
      <c r="A29" s="25">
        <v>9</v>
      </c>
      <c r="B29" s="97" t="s">
        <v>132</v>
      </c>
      <c r="C29" s="78"/>
      <c r="D29" s="79"/>
      <c r="E29" s="79"/>
      <c r="F29" s="79"/>
      <c r="G29" s="79"/>
      <c r="H29" s="79"/>
      <c r="I29" s="79"/>
      <c r="J29" s="80"/>
      <c r="K29" s="30"/>
    </row>
    <row r="30" spans="1:11" x14ac:dyDescent="0.25">
      <c r="A30" s="25"/>
      <c r="B30" s="87" t="s">
        <v>92</v>
      </c>
      <c r="C30" s="78">
        <v>2</v>
      </c>
      <c r="D30" s="79">
        <f>7/3.281</f>
        <v>2.1334958854007922</v>
      </c>
      <c r="E30" s="79">
        <f>0.1</f>
        <v>0.1</v>
      </c>
      <c r="F30" s="79">
        <v>0.125</v>
      </c>
      <c r="G30" s="79">
        <f>PRODUCT(C30:F30)</f>
        <v>5.333739713501981E-2</v>
      </c>
      <c r="H30" s="79"/>
      <c r="I30" s="79"/>
      <c r="J30" s="80"/>
      <c r="K30" s="30"/>
    </row>
    <row r="31" spans="1:11" x14ac:dyDescent="0.25">
      <c r="A31" s="25"/>
      <c r="B31" s="87"/>
      <c r="C31" s="78">
        <v>1</v>
      </c>
      <c r="D31" s="79">
        <f>4/3.281</f>
        <v>1.2191405059433098</v>
      </c>
      <c r="E31" s="79">
        <v>0.1</v>
      </c>
      <c r="F31" s="79">
        <v>0.125</v>
      </c>
      <c r="G31" s="79">
        <f>PRODUCT(C31:F31)</f>
        <v>1.5239256324291373E-2</v>
      </c>
      <c r="H31" s="79"/>
      <c r="I31" s="79"/>
      <c r="J31" s="80"/>
      <c r="K31" s="30"/>
    </row>
    <row r="32" spans="1:11" x14ac:dyDescent="0.25">
      <c r="A32" s="25"/>
      <c r="B32" s="87"/>
      <c r="C32" s="78">
        <v>1</v>
      </c>
      <c r="D32" s="79">
        <f>4/3.281</f>
        <v>1.2191405059433098</v>
      </c>
      <c r="E32" s="79">
        <f>3/12/3.281</f>
        <v>7.6196281621456863E-2</v>
      </c>
      <c r="F32" s="79">
        <f>7/12/3.281</f>
        <v>0.17779132378339937</v>
      </c>
      <c r="G32" s="79">
        <f>PRODUCT(C32:F32)</f>
        <v>1.6515742489303892E-2</v>
      </c>
      <c r="H32" s="79"/>
      <c r="I32" s="79"/>
      <c r="J32" s="80"/>
      <c r="K32" s="30"/>
    </row>
    <row r="33" spans="1:14" ht="15" customHeight="1" x14ac:dyDescent="0.25">
      <c r="A33" s="25"/>
      <c r="B33" s="87" t="s">
        <v>25</v>
      </c>
      <c r="C33" s="78"/>
      <c r="D33" s="79"/>
      <c r="E33" s="79"/>
      <c r="F33" s="79"/>
      <c r="G33" s="88">
        <f>SUM(G30:G32)</f>
        <v>8.5092395948615077E-2</v>
      </c>
      <c r="H33" s="88" t="s">
        <v>29</v>
      </c>
      <c r="I33" s="89">
        <f>353723.98/1.15</f>
        <v>307586.06956521742</v>
      </c>
      <c r="J33" s="90">
        <f>G33*I33</f>
        <v>26173.235619721741</v>
      </c>
      <c r="K33" s="30"/>
      <c r="M33">
        <f>1.03*3.281</f>
        <v>3.3794300000000002</v>
      </c>
    </row>
    <row r="34" spans="1:14" ht="15" customHeight="1" x14ac:dyDescent="0.25">
      <c r="A34" s="25"/>
      <c r="B34" s="87" t="s">
        <v>142</v>
      </c>
      <c r="C34" s="78"/>
      <c r="D34" s="79"/>
      <c r="E34" s="79"/>
      <c r="F34" s="79"/>
      <c r="G34" s="88"/>
      <c r="H34" s="88"/>
      <c r="I34" s="89"/>
      <c r="J34" s="90">
        <f>0.13*G33*262808.07</f>
        <v>2907.1858856210752</v>
      </c>
      <c r="K34" s="30"/>
    </row>
    <row r="35" spans="1:14" ht="15" customHeight="1" x14ac:dyDescent="0.25">
      <c r="A35" s="25"/>
      <c r="B35" s="22"/>
      <c r="C35" s="26"/>
      <c r="D35" s="17"/>
      <c r="E35" s="17"/>
      <c r="F35" s="17"/>
      <c r="G35" s="27"/>
      <c r="H35" s="27"/>
      <c r="I35" s="28"/>
      <c r="J35" s="29"/>
      <c r="K35" s="30"/>
    </row>
    <row r="36" spans="1:14" ht="30" x14ac:dyDescent="0.25">
      <c r="A36" s="96">
        <v>10</v>
      </c>
      <c r="B36" s="77" t="s">
        <v>146</v>
      </c>
      <c r="C36" s="78"/>
      <c r="D36" s="79"/>
      <c r="E36" s="79"/>
      <c r="F36" s="79"/>
      <c r="G36" s="79"/>
      <c r="H36" s="79"/>
      <c r="I36" s="79"/>
      <c r="J36" s="80"/>
      <c r="K36" s="30"/>
    </row>
    <row r="37" spans="1:14" ht="15" customHeight="1" x14ac:dyDescent="0.25">
      <c r="A37" s="96"/>
      <c r="B37" s="87" t="s">
        <v>98</v>
      </c>
      <c r="C37" s="78">
        <v>1</v>
      </c>
      <c r="D37" s="79">
        <f>1.2+(2.5/12/3.281)*2</f>
        <v>1.3269938027024282</v>
      </c>
      <c r="E37" s="79"/>
      <c r="F37" s="79">
        <f>2.07+(2.5/12/3.281)</f>
        <v>2.1334969013512137</v>
      </c>
      <c r="G37" s="79">
        <f>PRODUCT(C37:F37)</f>
        <v>2.8311371661778946</v>
      </c>
      <c r="H37" s="79"/>
      <c r="I37" s="79"/>
      <c r="J37" s="80"/>
      <c r="K37" s="30"/>
    </row>
    <row r="38" spans="1:14" ht="15" customHeight="1" x14ac:dyDescent="0.25">
      <c r="A38" s="96"/>
      <c r="B38" s="87" t="s">
        <v>25</v>
      </c>
      <c r="C38" s="78"/>
      <c r="D38" s="79"/>
      <c r="E38" s="79"/>
      <c r="F38" s="79"/>
      <c r="G38" s="88">
        <f>SUM(G37:G37)</f>
        <v>2.8311371661778946</v>
      </c>
      <c r="H38" s="88" t="s">
        <v>26</v>
      </c>
      <c r="I38" s="89">
        <f>46573/1.15</f>
        <v>40498.260869565223</v>
      </c>
      <c r="J38" s="90">
        <f>G38*I38</f>
        <v>114656.13151339401</v>
      </c>
      <c r="K38" s="30"/>
    </row>
    <row r="39" spans="1:14" x14ac:dyDescent="0.25">
      <c r="A39" s="25"/>
      <c r="B39" s="24"/>
      <c r="C39" s="26"/>
      <c r="D39" s="17"/>
      <c r="E39" s="17"/>
      <c r="F39" s="17"/>
      <c r="G39" s="45"/>
      <c r="H39" s="45"/>
      <c r="I39" s="45"/>
      <c r="J39" s="39"/>
      <c r="K39" s="30"/>
      <c r="N39" s="118">
        <f>G33+G44</f>
        <v>0.12244943253156436</v>
      </c>
    </row>
    <row r="40" spans="1:14" ht="30.75" x14ac:dyDescent="0.25">
      <c r="A40" s="25">
        <v>10</v>
      </c>
      <c r="B40" s="11" t="s">
        <v>91</v>
      </c>
      <c r="C40" s="78"/>
      <c r="D40" s="79"/>
      <c r="E40" s="79"/>
      <c r="F40" s="79"/>
      <c r="G40" s="79"/>
      <c r="H40" s="79"/>
      <c r="I40" s="79"/>
      <c r="J40" s="80"/>
      <c r="K40" s="30"/>
    </row>
    <row r="41" spans="1:14" x14ac:dyDescent="0.25">
      <c r="A41" s="25"/>
      <c r="B41" s="87"/>
      <c r="C41" s="78">
        <v>2</v>
      </c>
      <c r="D41" s="79">
        <f>6.75/3.281</f>
        <v>2.0572996037793354</v>
      </c>
      <c r="E41" s="79">
        <f>4/12/3.281</f>
        <v>0.10159504216194248</v>
      </c>
      <c r="F41" s="79">
        <f>2/12/3.281</f>
        <v>5.0797521080971242E-2</v>
      </c>
      <c r="G41" s="79">
        <f>PRODUCT(C41:F41)</f>
        <v>2.1234526057676433E-2</v>
      </c>
      <c r="H41" s="79"/>
      <c r="I41" s="79"/>
      <c r="J41" s="80"/>
      <c r="K41" s="30"/>
    </row>
    <row r="42" spans="1:14" x14ac:dyDescent="0.25">
      <c r="A42" s="25"/>
      <c r="B42" s="87"/>
      <c r="C42" s="78">
        <v>1</v>
      </c>
      <c r="D42" s="79">
        <f>4/3.281</f>
        <v>1.2191405059433098</v>
      </c>
      <c r="E42" s="79">
        <f>4/12/3.281</f>
        <v>0.10159504216194248</v>
      </c>
      <c r="F42" s="79">
        <f>2/12/3.281</f>
        <v>5.0797521080971242E-2</v>
      </c>
      <c r="G42" s="79">
        <f>PRODUCT(C42:F42)</f>
        <v>6.2917114244967201E-3</v>
      </c>
      <c r="H42" s="79"/>
      <c r="I42" s="79"/>
      <c r="J42" s="80"/>
      <c r="K42" s="30"/>
    </row>
    <row r="43" spans="1:14" x14ac:dyDescent="0.25">
      <c r="A43" s="25"/>
      <c r="B43" s="87"/>
      <c r="C43" s="78">
        <v>1</v>
      </c>
      <c r="D43" s="79">
        <f>5/3.281</f>
        <v>1.5239256324291375</v>
      </c>
      <c r="E43" s="79">
        <f>5/12/3.281</f>
        <v>0.12699380270242813</v>
      </c>
      <c r="F43" s="79">
        <f>2/12/3.281</f>
        <v>5.0797521080971242E-2</v>
      </c>
      <c r="G43" s="79">
        <f>PRODUCT(C43:F43)</f>
        <v>9.8307991007761299E-3</v>
      </c>
      <c r="H43" s="79"/>
      <c r="I43" s="79"/>
      <c r="J43" s="80"/>
      <c r="K43" s="30"/>
    </row>
    <row r="44" spans="1:14" ht="15" customHeight="1" x14ac:dyDescent="0.25">
      <c r="A44" s="25"/>
      <c r="B44" s="87" t="s">
        <v>25</v>
      </c>
      <c r="C44" s="78"/>
      <c r="D44" s="79"/>
      <c r="E44" s="79"/>
      <c r="F44" s="79"/>
      <c r="G44" s="88">
        <f>SUM(G41:G43)</f>
        <v>3.7357036582949282E-2</v>
      </c>
      <c r="H44" s="88" t="s">
        <v>29</v>
      </c>
      <c r="I44" s="89">
        <v>284000.83</v>
      </c>
      <c r="J44" s="90">
        <f>G44*I44</f>
        <v>10609.429395897962</v>
      </c>
      <c r="K44" s="30"/>
      <c r="M44">
        <f>1.03*3.281</f>
        <v>3.3794300000000002</v>
      </c>
    </row>
    <row r="45" spans="1:14" ht="15" customHeight="1" x14ac:dyDescent="0.25">
      <c r="A45" s="25"/>
      <c r="B45" s="87" t="s">
        <v>142</v>
      </c>
      <c r="C45" s="78"/>
      <c r="D45" s="79"/>
      <c r="E45" s="79"/>
      <c r="F45" s="79"/>
      <c r="G45" s="88"/>
      <c r="H45" s="88"/>
      <c r="I45" s="89"/>
      <c r="J45" s="90">
        <f>0.13*G44*239222.83</f>
        <v>1161.7652815322654</v>
      </c>
      <c r="K45" s="30"/>
    </row>
    <row r="46" spans="1:14" ht="15" customHeight="1" x14ac:dyDescent="0.25">
      <c r="A46" s="25"/>
      <c r="B46" s="22"/>
      <c r="C46" s="26"/>
      <c r="D46" s="17"/>
      <c r="E46" s="17"/>
      <c r="F46" s="17"/>
      <c r="G46" s="27"/>
      <c r="H46" s="27"/>
      <c r="I46" s="28"/>
      <c r="J46" s="29"/>
      <c r="K46" s="30"/>
    </row>
    <row r="47" spans="1:14" x14ac:dyDescent="0.25">
      <c r="A47" s="25"/>
      <c r="B47" s="62" t="s">
        <v>128</v>
      </c>
      <c r="C47" s="63"/>
      <c r="D47" s="64"/>
      <c r="E47" s="64"/>
      <c r="F47" s="64"/>
      <c r="G47" s="20"/>
      <c r="H47" s="20"/>
      <c r="I47" s="20"/>
      <c r="J47" s="20">
        <f>SUM(J24:J46)</f>
        <v>185580.17052471481</v>
      </c>
      <c r="K47" s="30"/>
    </row>
    <row r="49" spans="2:13" s="1" customFormat="1" hidden="1" x14ac:dyDescent="0.25">
      <c r="B49" s="34" t="s">
        <v>110</v>
      </c>
      <c r="C49" s="132">
        <f>J47</f>
        <v>185580.17052471481</v>
      </c>
      <c r="D49" s="132"/>
      <c r="E49" s="132"/>
      <c r="F49" s="65"/>
      <c r="G49" s="66"/>
      <c r="H49" s="65"/>
      <c r="I49" s="67"/>
      <c r="J49" s="68"/>
      <c r="K49" s="69"/>
      <c r="M49"/>
    </row>
    <row r="50" spans="2:13" hidden="1" x14ac:dyDescent="0.25">
      <c r="B50" s="74" t="s">
        <v>126</v>
      </c>
      <c r="C50" s="133">
        <f>C49*0.13</f>
        <v>24125.422168212925</v>
      </c>
      <c r="D50" s="133"/>
      <c r="E50" s="133"/>
    </row>
    <row r="51" spans="2:13" hidden="1" x14ac:dyDescent="0.25">
      <c r="B51" s="74" t="s">
        <v>127</v>
      </c>
      <c r="C51" s="133">
        <f>C49+C50</f>
        <v>209705.59269292772</v>
      </c>
      <c r="D51" s="133"/>
      <c r="E51" s="133"/>
    </row>
    <row r="53" spans="2:13" s="1" customFormat="1" x14ac:dyDescent="0.25">
      <c r="B53" s="34" t="s">
        <v>110</v>
      </c>
      <c r="C53" s="127">
        <f>J47</f>
        <v>185580.17052471481</v>
      </c>
      <c r="D53" s="128"/>
      <c r="E53" s="33">
        <v>100</v>
      </c>
      <c r="F53" s="65"/>
      <c r="G53" s="66"/>
      <c r="H53" s="65"/>
      <c r="I53" s="67"/>
      <c r="J53" s="68"/>
      <c r="K53" s="69"/>
      <c r="M53"/>
    </row>
    <row r="54" spans="2:13" x14ac:dyDescent="0.25">
      <c r="B54" s="34" t="s">
        <v>111</v>
      </c>
      <c r="C54" s="130">
        <v>1200000</v>
      </c>
      <c r="D54" s="131"/>
      <c r="E54" s="33"/>
    </row>
    <row r="55" spans="2:13" x14ac:dyDescent="0.25">
      <c r="B55" s="34" t="s">
        <v>112</v>
      </c>
      <c r="C55" s="130">
        <f>C54-C57-C58</f>
        <v>1140000</v>
      </c>
      <c r="D55" s="131"/>
      <c r="E55" s="33">
        <f>C55/C53*100</f>
        <v>614.28976855486803</v>
      </c>
    </row>
    <row r="56" spans="2:13" x14ac:dyDescent="0.25">
      <c r="B56" s="34" t="s">
        <v>113</v>
      </c>
      <c r="C56" s="132">
        <f>C53-C55</f>
        <v>-954419.82947528525</v>
      </c>
      <c r="D56" s="132"/>
      <c r="E56" s="33">
        <f>100-E55</f>
        <v>-514.28976855486803</v>
      </c>
    </row>
    <row r="57" spans="2:13" x14ac:dyDescent="0.25">
      <c r="B57" s="34" t="s">
        <v>114</v>
      </c>
      <c r="C57" s="127">
        <f>C54*0.03</f>
        <v>36000</v>
      </c>
      <c r="D57" s="128"/>
      <c r="E57" s="33">
        <v>3</v>
      </c>
    </row>
    <row r="58" spans="2:13" x14ac:dyDescent="0.25">
      <c r="B58" s="34" t="s">
        <v>115</v>
      </c>
      <c r="C58" s="127">
        <f>C54*0.02</f>
        <v>24000</v>
      </c>
      <c r="D58" s="128"/>
      <c r="E58" s="33">
        <v>2</v>
      </c>
    </row>
    <row r="60" spans="2:13" x14ac:dyDescent="0.25">
      <c r="J60" s="120">
        <f>J47+'Window only'!J61</f>
        <v>335048.891951147</v>
      </c>
    </row>
  </sheetData>
  <mergeCells count="18">
    <mergeCell ref="C54:D54"/>
    <mergeCell ref="C55:D55"/>
    <mergeCell ref="C56:D56"/>
    <mergeCell ref="C57:D57"/>
    <mergeCell ref="C58:D58"/>
    <mergeCell ref="C53:D53"/>
    <mergeCell ref="A1:K1"/>
    <mergeCell ref="A2:K2"/>
    <mergeCell ref="A3:K3"/>
    <mergeCell ref="A4:K4"/>
    <mergeCell ref="A5:K5"/>
    <mergeCell ref="A6:F6"/>
    <mergeCell ref="H6:K6"/>
    <mergeCell ref="A7:F7"/>
    <mergeCell ref="H7:K7"/>
    <mergeCell ref="C49:E49"/>
    <mergeCell ref="C50:E50"/>
    <mergeCell ref="C51:E51"/>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9"/>
  <sheetViews>
    <sheetView topLeftCell="A56" zoomScale="99" zoomScaleNormal="99" zoomScaleSheetLayoutView="80" workbookViewId="0">
      <selection activeCell="C25" sqref="C25:J64"/>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4" ht="15" hidden="1" customHeight="1" x14ac:dyDescent="0.25">
      <c r="A17" s="25"/>
      <c r="B17" s="22" t="s">
        <v>85</v>
      </c>
      <c r="C17" s="26"/>
      <c r="D17" s="17"/>
      <c r="E17" s="17"/>
      <c r="F17" s="17"/>
      <c r="G17" s="45"/>
      <c r="H17" s="45"/>
      <c r="I17" s="45"/>
      <c r="J17" s="39">
        <f>0.13*G16*((164000)/100)</f>
        <v>0</v>
      </c>
      <c r="K17" s="30"/>
    </row>
    <row r="18" spans="1:14" ht="15" hidden="1" customHeight="1" x14ac:dyDescent="0.25">
      <c r="A18" s="25"/>
      <c r="B18" s="22"/>
      <c r="C18" s="26"/>
      <c r="D18" s="17"/>
      <c r="E18" s="17"/>
      <c r="F18" s="17"/>
      <c r="G18" s="45"/>
      <c r="H18" s="45"/>
      <c r="I18" s="45"/>
      <c r="J18" s="39"/>
      <c r="K18" s="30"/>
    </row>
    <row r="19" spans="1:14" ht="30" hidden="1" x14ac:dyDescent="0.25">
      <c r="A19" s="25">
        <v>34</v>
      </c>
      <c r="B19" s="72" t="s">
        <v>103</v>
      </c>
      <c r="C19" s="26"/>
      <c r="D19" s="17"/>
      <c r="E19" s="17"/>
      <c r="F19" s="17"/>
      <c r="G19" s="45"/>
      <c r="H19" s="45"/>
      <c r="I19" s="45"/>
      <c r="J19" s="39"/>
      <c r="K19" s="30"/>
    </row>
    <row r="20" spans="1:14" hidden="1" x14ac:dyDescent="0.25">
      <c r="A20" s="25"/>
      <c r="B20" s="22" t="s">
        <v>104</v>
      </c>
      <c r="C20" s="26">
        <v>4</v>
      </c>
      <c r="D20" s="17"/>
      <c r="E20" s="17"/>
      <c r="F20" s="17"/>
      <c r="G20" s="17">
        <f>PRODUCT(C20:F20)</f>
        <v>4</v>
      </c>
      <c r="H20" s="45"/>
      <c r="I20" s="45"/>
      <c r="J20" s="39"/>
      <c r="K20" s="30"/>
    </row>
    <row r="21" spans="1:14" ht="15" hidden="1" customHeight="1" x14ac:dyDescent="0.25">
      <c r="A21" s="25"/>
      <c r="B21" s="22" t="s">
        <v>25</v>
      </c>
      <c r="C21" s="26"/>
      <c r="D21" s="17"/>
      <c r="E21" s="17"/>
      <c r="F21" s="17"/>
      <c r="G21" s="27">
        <f>0*SUM(G20)</f>
        <v>0</v>
      </c>
      <c r="H21" s="27" t="s">
        <v>90</v>
      </c>
      <c r="I21" s="28">
        <v>279</v>
      </c>
      <c r="J21" s="29">
        <f>G21*I21</f>
        <v>0</v>
      </c>
      <c r="K21" s="30"/>
    </row>
    <row r="22" spans="1:14" ht="15" hidden="1" customHeight="1" x14ac:dyDescent="0.25">
      <c r="A22" s="25"/>
      <c r="B22" s="22" t="s">
        <v>85</v>
      </c>
      <c r="C22" s="26"/>
      <c r="D22" s="17"/>
      <c r="E22" s="17"/>
      <c r="F22" s="17"/>
      <c r="G22" s="45"/>
      <c r="H22" s="45"/>
      <c r="I22" s="45"/>
      <c r="J22" s="39">
        <f>0.13*J21</f>
        <v>0</v>
      </c>
      <c r="K22" s="30"/>
    </row>
    <row r="23" spans="1:14" hidden="1" x14ac:dyDescent="0.25">
      <c r="A23" s="25"/>
      <c r="B23" s="24"/>
      <c r="C23" s="26"/>
      <c r="D23" s="17"/>
      <c r="E23" s="17"/>
      <c r="F23" s="17"/>
      <c r="G23" s="45"/>
      <c r="H23" s="45"/>
      <c r="I23" s="45"/>
      <c r="J23" s="39"/>
      <c r="K23" s="30"/>
    </row>
    <row r="24" spans="1:14" ht="47.25" x14ac:dyDescent="0.25">
      <c r="A24" s="102">
        <v>10</v>
      </c>
      <c r="B24" s="103" t="s">
        <v>53</v>
      </c>
      <c r="C24" s="104"/>
      <c r="D24" s="104"/>
      <c r="E24" s="104"/>
      <c r="F24" s="104"/>
      <c r="G24" s="105"/>
      <c r="H24" s="84"/>
      <c r="I24" s="85"/>
      <c r="J24" s="85"/>
      <c r="K24" s="16"/>
    </row>
    <row r="25" spans="1:14" ht="15" customHeight="1" x14ac:dyDescent="0.25">
      <c r="A25" s="102"/>
      <c r="B25" s="81" t="s">
        <v>54</v>
      </c>
      <c r="C25" s="82">
        <v>1</v>
      </c>
      <c r="D25" s="92"/>
      <c r="E25" s="83">
        <f>11.667/3.281</f>
        <v>3.555928070710149</v>
      </c>
      <c r="F25" s="83">
        <f>18.33/3.281</f>
        <v>5.5867113684852168</v>
      </c>
      <c r="G25" s="79">
        <f t="shared" ref="G25:G34" si="0">PRODUCT(C25:F25)</f>
        <v>19.865943778152094</v>
      </c>
      <c r="H25" s="84"/>
      <c r="I25" s="85"/>
      <c r="J25" s="86"/>
      <c r="K25" s="16"/>
      <c r="N25" s="21"/>
    </row>
    <row r="26" spans="1:14" ht="15" customHeight="1" x14ac:dyDescent="0.25">
      <c r="A26" s="102"/>
      <c r="B26" s="81" t="s">
        <v>161</v>
      </c>
      <c r="C26" s="82">
        <v>-1</v>
      </c>
      <c r="D26" s="92">
        <f>3/3.281</f>
        <v>0.91435537945748246</v>
      </c>
      <c r="E26" s="83"/>
      <c r="F26" s="83">
        <f>5/3.281</f>
        <v>1.5239256324291375</v>
      </c>
      <c r="G26" s="79">
        <f t="shared" si="0"/>
        <v>-1.393409599904728</v>
      </c>
      <c r="H26" s="84"/>
      <c r="I26" s="85"/>
      <c r="J26" s="86"/>
      <c r="K26" s="16"/>
      <c r="N26" s="21"/>
    </row>
    <row r="27" spans="1:14" ht="15" customHeight="1" x14ac:dyDescent="0.25">
      <c r="A27" s="102"/>
      <c r="B27" s="81" t="s">
        <v>23</v>
      </c>
      <c r="C27" s="82">
        <v>-1</v>
      </c>
      <c r="D27" s="92">
        <f>1.18</f>
        <v>1.18</v>
      </c>
      <c r="E27" s="83"/>
      <c r="F27" s="83">
        <f>2.07+0.127</f>
        <v>2.1970000000000001</v>
      </c>
      <c r="G27" s="79">
        <f t="shared" si="0"/>
        <v>-2.59246</v>
      </c>
      <c r="H27" s="84"/>
      <c r="I27" s="85"/>
      <c r="J27" s="86"/>
      <c r="K27" s="16"/>
      <c r="N27" s="21"/>
    </row>
    <row r="28" spans="1:14" ht="15" customHeight="1" x14ac:dyDescent="0.25">
      <c r="A28" s="102"/>
      <c r="B28" s="81" t="s">
        <v>56</v>
      </c>
      <c r="C28" s="82">
        <v>-1</v>
      </c>
      <c r="D28" s="92"/>
      <c r="E28" s="83">
        <f>E25</f>
        <v>3.555928070710149</v>
      </c>
      <c r="F28" s="83">
        <f>(2.5/12/3.281)*12</f>
        <v>0.76196281621456885</v>
      </c>
      <c r="G28" s="79">
        <f t="shared" si="0"/>
        <v>-2.7094849670147436</v>
      </c>
      <c r="H28" s="84"/>
      <c r="I28" s="85"/>
      <c r="J28" s="86"/>
      <c r="K28" s="16"/>
      <c r="N28" s="21"/>
    </row>
    <row r="29" spans="1:14" ht="15" customHeight="1" x14ac:dyDescent="0.25">
      <c r="A29" s="102"/>
      <c r="B29" s="81" t="s">
        <v>55</v>
      </c>
      <c r="C29" s="82">
        <v>1</v>
      </c>
      <c r="D29" s="92"/>
      <c r="E29" s="83">
        <f>78/12/3.281</f>
        <v>1.9811033221578787</v>
      </c>
      <c r="F29" s="83">
        <f>18.083/3.281</f>
        <v>5.5114294422432177</v>
      </c>
      <c r="G29" s="79">
        <f t="shared" si="0"/>
        <v>10.918711177866783</v>
      </c>
      <c r="H29" s="84"/>
      <c r="I29" s="85"/>
      <c r="J29" s="86"/>
      <c r="K29" s="16"/>
      <c r="N29" s="21"/>
    </row>
    <row r="30" spans="1:14" ht="15" customHeight="1" x14ac:dyDescent="0.25">
      <c r="A30" s="102"/>
      <c r="B30" s="81"/>
      <c r="C30" s="82">
        <v>0.5</v>
      </c>
      <c r="D30" s="92"/>
      <c r="E30" s="92">
        <f>92/12/3.281</f>
        <v>2.3366859697246776</v>
      </c>
      <c r="F30" s="83">
        <f>32/12/3.281</f>
        <v>0.81276033729553987</v>
      </c>
      <c r="G30" s="79">
        <f t="shared" si="0"/>
        <v>0.94958283845359226</v>
      </c>
      <c r="H30" s="84"/>
      <c r="I30" s="85"/>
      <c r="J30" s="86"/>
      <c r="K30" s="16"/>
      <c r="N30" s="21"/>
    </row>
    <row r="31" spans="1:14" ht="15" customHeight="1" x14ac:dyDescent="0.25">
      <c r="A31" s="102"/>
      <c r="B31" s="81"/>
      <c r="C31" s="82">
        <v>0.5</v>
      </c>
      <c r="D31" s="92"/>
      <c r="E31" s="83">
        <f>7.5/12/3.281</f>
        <v>0.19049070405364218</v>
      </c>
      <c r="F31" s="83">
        <v>0.9</v>
      </c>
      <c r="G31" s="79">
        <f t="shared" si="0"/>
        <v>8.5720816824138985E-2</v>
      </c>
      <c r="H31" s="84"/>
      <c r="I31" s="85"/>
      <c r="J31" s="86"/>
      <c r="K31" s="16"/>
      <c r="N31" s="21"/>
    </row>
    <row r="32" spans="1:14" ht="15" customHeight="1" x14ac:dyDescent="0.25">
      <c r="A32" s="102"/>
      <c r="B32" s="81" t="s">
        <v>162</v>
      </c>
      <c r="C32" s="82">
        <v>-1</v>
      </c>
      <c r="D32" s="92">
        <f>2/3.281</f>
        <v>0.6095702529716549</v>
      </c>
      <c r="E32" s="83"/>
      <c r="F32" s="83">
        <f>14/12/3.281</f>
        <v>0.35558264756679875</v>
      </c>
      <c r="G32" s="79">
        <f t="shared" si="0"/>
        <v>-0.21675260442962432</v>
      </c>
      <c r="H32" s="84"/>
      <c r="I32" s="85"/>
      <c r="J32" s="86"/>
      <c r="K32" s="16"/>
      <c r="N32" s="21"/>
    </row>
    <row r="33" spans="1:14" ht="15" customHeight="1" x14ac:dyDescent="0.25">
      <c r="A33" s="102"/>
      <c r="B33" s="81"/>
      <c r="C33" s="82">
        <v>-1</v>
      </c>
      <c r="D33" s="92">
        <f>11/12/3.281</f>
        <v>0.27938636594534183</v>
      </c>
      <c r="E33" s="83"/>
      <c r="F33" s="83">
        <f>5.42/3.281</f>
        <v>1.6519353855531849</v>
      </c>
      <c r="G33" s="79">
        <f t="shared" si="0"/>
        <v>-0.46152822414622147</v>
      </c>
      <c r="H33" s="84"/>
      <c r="I33" s="85"/>
      <c r="J33" s="86"/>
      <c r="K33" s="16"/>
      <c r="N33" s="21"/>
    </row>
    <row r="34" spans="1:14" ht="15" customHeight="1" x14ac:dyDescent="0.25">
      <c r="A34" s="102"/>
      <c r="B34" s="81" t="s">
        <v>56</v>
      </c>
      <c r="C34" s="82">
        <v>-1</v>
      </c>
      <c r="D34" s="92"/>
      <c r="E34" s="83">
        <f>E29</f>
        <v>1.9811033221578787</v>
      </c>
      <c r="F34" s="84">
        <f>(2.5/12/3.281)*9</f>
        <v>0.57147211216092664</v>
      </c>
      <c r="G34" s="79">
        <f t="shared" si="0"/>
        <v>-1.1321452999225916</v>
      </c>
      <c r="H34" s="84"/>
      <c r="I34" s="85"/>
      <c r="J34" s="86"/>
      <c r="K34" s="16"/>
      <c r="N34" s="21"/>
    </row>
    <row r="35" spans="1:14" ht="15" customHeight="1" x14ac:dyDescent="0.25">
      <c r="A35" s="102"/>
      <c r="B35" s="87" t="s">
        <v>25</v>
      </c>
      <c r="C35" s="82"/>
      <c r="D35" s="92"/>
      <c r="E35" s="83"/>
      <c r="F35" s="83"/>
      <c r="G35" s="85">
        <f>SUM(G25:G34)</f>
        <v>23.314177915878702</v>
      </c>
      <c r="H35" s="84" t="s">
        <v>26</v>
      </c>
      <c r="I35" s="85">
        <f>5810.57/1.15</f>
        <v>5052.6695652173912</v>
      </c>
      <c r="J35" s="86">
        <f>G35*I35</f>
        <v>117798.83719362374</v>
      </c>
      <c r="K35" s="16"/>
      <c r="N35" s="21"/>
    </row>
    <row r="36" spans="1:14" ht="15" customHeight="1" x14ac:dyDescent="0.25">
      <c r="A36" s="102"/>
      <c r="B36" s="87" t="s">
        <v>44</v>
      </c>
      <c r="C36" s="82"/>
      <c r="D36" s="92"/>
      <c r="E36" s="83"/>
      <c r="F36" s="83"/>
      <c r="G36" s="85"/>
      <c r="H36" s="84"/>
      <c r="I36" s="85"/>
      <c r="J36" s="86">
        <f>G35*0.13*(309557.25/100)</f>
        <v>9382.1946421451848</v>
      </c>
      <c r="K36" s="16"/>
      <c r="N36" s="21"/>
    </row>
    <row r="37" spans="1:14" ht="15" customHeight="1" x14ac:dyDescent="0.25">
      <c r="A37" s="102"/>
      <c r="B37" s="87"/>
      <c r="C37" s="82"/>
      <c r="D37" s="92"/>
      <c r="E37" s="83"/>
      <c r="F37" s="83"/>
      <c r="G37" s="85"/>
      <c r="H37" s="84"/>
      <c r="I37" s="85"/>
      <c r="J37" s="86"/>
      <c r="K37" s="16"/>
      <c r="N37" s="21"/>
    </row>
    <row r="38" spans="1:14" ht="47.25" x14ac:dyDescent="0.25">
      <c r="A38" s="102">
        <v>11</v>
      </c>
      <c r="B38" s="103" t="s">
        <v>67</v>
      </c>
      <c r="C38" s="82"/>
      <c r="D38" s="92"/>
      <c r="E38" s="83"/>
      <c r="F38" s="83"/>
      <c r="G38" s="85"/>
      <c r="H38" s="84"/>
      <c r="I38" s="85"/>
      <c r="J38" s="86"/>
      <c r="K38" s="16"/>
      <c r="N38" s="21"/>
    </row>
    <row r="39" spans="1:14" ht="15" customHeight="1" x14ac:dyDescent="0.25">
      <c r="A39" s="102"/>
      <c r="B39" s="87" t="s">
        <v>49</v>
      </c>
      <c r="C39" s="82">
        <v>2</v>
      </c>
      <c r="D39" s="92">
        <f>E25+E29</f>
        <v>5.5370313928680277</v>
      </c>
      <c r="E39" s="83"/>
      <c r="F39" s="83"/>
      <c r="G39" s="79">
        <f>PRODUCT(C39:F39)</f>
        <v>11.074062785736055</v>
      </c>
      <c r="H39" s="84"/>
      <c r="I39" s="85"/>
      <c r="J39" s="86"/>
      <c r="K39" s="16"/>
      <c r="N39" s="21"/>
    </row>
    <row r="40" spans="1:14" ht="15" customHeight="1" x14ac:dyDescent="0.25">
      <c r="A40" s="102"/>
      <c r="B40" s="87" t="s">
        <v>25</v>
      </c>
      <c r="C40" s="82"/>
      <c r="D40" s="92"/>
      <c r="E40" s="83"/>
      <c r="F40" s="83"/>
      <c r="G40" s="85">
        <f>SUM(G39:G39)</f>
        <v>11.074062785736055</v>
      </c>
      <c r="H40" s="84" t="s">
        <v>68</v>
      </c>
      <c r="I40" s="85">
        <f>396.86/1.15</f>
        <v>345.09565217391309</v>
      </c>
      <c r="J40" s="86">
        <f>G40*I40</f>
        <v>3821.6109192584449</v>
      </c>
      <c r="K40" s="16"/>
      <c r="N40" s="21"/>
    </row>
    <row r="41" spans="1:14" ht="15" customHeight="1" x14ac:dyDescent="0.25">
      <c r="A41" s="102"/>
      <c r="B41" s="87" t="s">
        <v>44</v>
      </c>
      <c r="C41" s="82"/>
      <c r="D41" s="92"/>
      <c r="E41" s="83"/>
      <c r="F41" s="83"/>
      <c r="G41" s="85"/>
      <c r="H41" s="84"/>
      <c r="I41" s="85"/>
      <c r="J41" s="86">
        <f>G40*0.13*(2182.61/10)</f>
        <v>314.21468229807988</v>
      </c>
      <c r="K41" s="16"/>
      <c r="N41" s="21"/>
    </row>
    <row r="42" spans="1:14" ht="15" customHeight="1" x14ac:dyDescent="0.25">
      <c r="A42" s="102"/>
      <c r="B42" s="87"/>
      <c r="C42" s="82"/>
      <c r="D42" s="92"/>
      <c r="E42" s="83"/>
      <c r="F42" s="83"/>
      <c r="G42" s="85"/>
      <c r="H42" s="84"/>
      <c r="I42" s="85"/>
      <c r="J42" s="86"/>
      <c r="K42" s="16"/>
      <c r="N42" s="21"/>
    </row>
    <row r="43" spans="1:14" ht="47.25" x14ac:dyDescent="0.25">
      <c r="A43" s="102">
        <v>12</v>
      </c>
      <c r="B43" s="103" t="s">
        <v>69</v>
      </c>
      <c r="C43" s="82"/>
      <c r="D43" s="92"/>
      <c r="E43" s="83"/>
      <c r="F43" s="83"/>
      <c r="G43" s="85"/>
      <c r="H43" s="84"/>
      <c r="I43" s="85"/>
      <c r="J43" s="86"/>
      <c r="K43" s="16"/>
      <c r="N43" s="21"/>
    </row>
    <row r="44" spans="1:14" ht="15" customHeight="1" x14ac:dyDescent="0.25">
      <c r="A44" s="102"/>
      <c r="B44" s="87" t="s">
        <v>49</v>
      </c>
      <c r="C44" s="82">
        <f>1</f>
        <v>1</v>
      </c>
      <c r="D44" s="92">
        <f>D39</f>
        <v>5.5370313928680277</v>
      </c>
      <c r="E44" s="83"/>
      <c r="F44" s="83"/>
      <c r="G44" s="79">
        <f>PRODUCT(C44:F44)</f>
        <v>5.5370313928680277</v>
      </c>
      <c r="H44" s="84"/>
      <c r="I44" s="85"/>
      <c r="J44" s="86"/>
      <c r="K44" s="16"/>
      <c r="N44" s="21"/>
    </row>
    <row r="45" spans="1:14" ht="15" customHeight="1" x14ac:dyDescent="0.25">
      <c r="A45" s="102"/>
      <c r="B45" s="87" t="s">
        <v>25</v>
      </c>
      <c r="C45" s="82"/>
      <c r="D45" s="92"/>
      <c r="E45" s="83"/>
      <c r="F45" s="83"/>
      <c r="G45" s="85">
        <f>SUM(G44:G44)</f>
        <v>5.5370313928680277</v>
      </c>
      <c r="H45" s="84" t="s">
        <v>68</v>
      </c>
      <c r="I45" s="85">
        <f>465.63/1.15</f>
        <v>404.89565217391305</v>
      </c>
      <c r="J45" s="86">
        <f>G45*I45</f>
        <v>2241.9199369227304</v>
      </c>
      <c r="K45" s="16"/>
      <c r="N45" s="21"/>
    </row>
    <row r="46" spans="1:14" ht="15" customHeight="1" x14ac:dyDescent="0.25">
      <c r="A46" s="102"/>
      <c r="B46" s="87" t="s">
        <v>44</v>
      </c>
      <c r="C46" s="82"/>
      <c r="D46" s="92"/>
      <c r="E46" s="83"/>
      <c r="F46" s="83"/>
      <c r="G46" s="85"/>
      <c r="H46" s="84"/>
      <c r="I46" s="85"/>
      <c r="J46" s="86">
        <f>G45*0.13*(2780.61/10)</f>
        <v>200.15222319719598</v>
      </c>
      <c r="K46" s="16"/>
      <c r="N46" s="21"/>
    </row>
    <row r="47" spans="1:14" ht="15" customHeight="1" x14ac:dyDescent="0.25">
      <c r="A47" s="12"/>
      <c r="B47" s="22"/>
      <c r="C47" s="14"/>
      <c r="D47" s="15"/>
      <c r="E47" s="16"/>
      <c r="F47" s="16"/>
      <c r="G47" s="19"/>
      <c r="H47" s="18"/>
      <c r="I47" s="19"/>
      <c r="J47" s="20"/>
      <c r="K47" s="16"/>
      <c r="N47" s="21"/>
    </row>
    <row r="48" spans="1:14" ht="47.25" x14ac:dyDescent="0.25">
      <c r="A48" s="102">
        <v>15</v>
      </c>
      <c r="B48" s="103" t="s">
        <v>72</v>
      </c>
      <c r="C48" s="82"/>
      <c r="D48" s="92"/>
      <c r="E48" s="83"/>
      <c r="F48" s="83"/>
      <c r="G48" s="85"/>
      <c r="H48" s="84"/>
      <c r="I48" s="85"/>
      <c r="J48" s="86"/>
      <c r="K48" s="16"/>
      <c r="N48" s="21"/>
    </row>
    <row r="49" spans="1:14" ht="15" customHeight="1" x14ac:dyDescent="0.25">
      <c r="A49" s="102"/>
      <c r="B49" s="87" t="s">
        <v>49</v>
      </c>
      <c r="C49" s="82">
        <f>1*2</f>
        <v>2</v>
      </c>
      <c r="D49" s="92">
        <f>E25</f>
        <v>3.555928070710149</v>
      </c>
      <c r="E49" s="83"/>
      <c r="F49" s="83"/>
      <c r="G49" s="79">
        <f>PRODUCT(C49:F49)</f>
        <v>7.1118561414202981</v>
      </c>
      <c r="H49" s="84"/>
      <c r="I49" s="85"/>
      <c r="J49" s="86"/>
      <c r="K49" s="16"/>
      <c r="N49" s="21"/>
    </row>
    <row r="50" spans="1:14" ht="15" customHeight="1" x14ac:dyDescent="0.25">
      <c r="A50" s="102"/>
      <c r="B50" s="87"/>
      <c r="C50" s="82">
        <v>2</v>
      </c>
      <c r="D50" s="92">
        <f>E29</f>
        <v>1.9811033221578787</v>
      </c>
      <c r="E50" s="83"/>
      <c r="F50" s="83"/>
      <c r="G50" s="79">
        <f>PRODUCT(C50:F50)</f>
        <v>3.9622066443157573</v>
      </c>
      <c r="H50" s="84"/>
      <c r="I50" s="85"/>
      <c r="J50" s="86"/>
      <c r="K50" s="16"/>
      <c r="N50" s="21"/>
    </row>
    <row r="51" spans="1:14" ht="15" customHeight="1" x14ac:dyDescent="0.25">
      <c r="A51" s="102"/>
      <c r="B51" s="87" t="s">
        <v>25</v>
      </c>
      <c r="C51" s="82"/>
      <c r="D51" s="92"/>
      <c r="E51" s="83"/>
      <c r="F51" s="83"/>
      <c r="G51" s="85">
        <f>SUM(G49:G50)</f>
        <v>11.074062785736055</v>
      </c>
      <c r="H51" s="84" t="s">
        <v>68</v>
      </c>
      <c r="I51" s="85">
        <f>469.79/1.15</f>
        <v>408.5130434782609</v>
      </c>
      <c r="J51" s="86">
        <f>G51*I51</f>
        <v>4523.8990922703842</v>
      </c>
      <c r="K51" s="16"/>
      <c r="N51" s="21"/>
    </row>
    <row r="52" spans="1:14" ht="15" customHeight="1" x14ac:dyDescent="0.25">
      <c r="A52" s="102"/>
      <c r="B52" s="87" t="s">
        <v>44</v>
      </c>
      <c r="C52" s="82"/>
      <c r="D52" s="92"/>
      <c r="E52" s="83"/>
      <c r="F52" s="83"/>
      <c r="G52" s="85"/>
      <c r="H52" s="84"/>
      <c r="I52" s="85"/>
      <c r="J52" s="86">
        <f>G51*0.13*(2140.61/10)</f>
        <v>308.16824401706799</v>
      </c>
      <c r="K52" s="16"/>
      <c r="N52" s="21"/>
    </row>
    <row r="53" spans="1:14" ht="15" customHeight="1" x14ac:dyDescent="0.25">
      <c r="A53" s="12"/>
      <c r="B53" s="30"/>
      <c r="C53" s="14"/>
      <c r="D53" s="15"/>
      <c r="E53" s="16"/>
      <c r="F53" s="16"/>
      <c r="G53" s="19"/>
      <c r="H53" s="18"/>
      <c r="I53" s="19"/>
      <c r="J53" s="20"/>
      <c r="K53" s="16"/>
      <c r="N53" s="21"/>
    </row>
    <row r="54" spans="1:14" ht="47.25" x14ac:dyDescent="0.25">
      <c r="A54" s="102">
        <v>18</v>
      </c>
      <c r="B54" s="103" t="s">
        <v>75</v>
      </c>
      <c r="C54" s="82"/>
      <c r="D54" s="92"/>
      <c r="E54" s="83"/>
      <c r="F54" s="83"/>
      <c r="G54" s="85"/>
      <c r="H54" s="84"/>
      <c r="I54" s="85"/>
      <c r="J54" s="86"/>
      <c r="K54" s="16"/>
      <c r="N54" s="21"/>
    </row>
    <row r="55" spans="1:14" ht="15" customHeight="1" x14ac:dyDescent="0.25">
      <c r="A55" s="102"/>
      <c r="B55" s="87" t="s">
        <v>49</v>
      </c>
      <c r="C55" s="82">
        <f>1*2</f>
        <v>2</v>
      </c>
      <c r="D55" s="92">
        <f>D49</f>
        <v>3.555928070710149</v>
      </c>
      <c r="E55" s="83"/>
      <c r="F55" s="83"/>
      <c r="G55" s="79">
        <f>PRODUCT(C55:F55)</f>
        <v>7.1118561414202981</v>
      </c>
      <c r="H55" s="84"/>
      <c r="I55" s="85"/>
      <c r="J55" s="86"/>
      <c r="K55" s="16"/>
      <c r="N55" s="21"/>
    </row>
    <row r="56" spans="1:14" ht="15" customHeight="1" x14ac:dyDescent="0.25">
      <c r="A56" s="102"/>
      <c r="B56" s="87"/>
      <c r="C56" s="82">
        <v>1</v>
      </c>
      <c r="D56" s="92">
        <f>E29</f>
        <v>1.9811033221578787</v>
      </c>
      <c r="E56" s="83"/>
      <c r="F56" s="83"/>
      <c r="G56" s="79">
        <f>PRODUCT(C56:F56)</f>
        <v>1.9811033221578787</v>
      </c>
      <c r="H56" s="84"/>
      <c r="I56" s="85"/>
      <c r="J56" s="86"/>
      <c r="K56" s="16"/>
      <c r="N56" s="21"/>
    </row>
    <row r="57" spans="1:14" ht="15" customHeight="1" x14ac:dyDescent="0.25">
      <c r="A57" s="102"/>
      <c r="B57" s="87" t="s">
        <v>25</v>
      </c>
      <c r="C57" s="82"/>
      <c r="D57" s="92"/>
      <c r="E57" s="83"/>
      <c r="F57" s="83"/>
      <c r="G57" s="85">
        <f>SUM(G55:G56)</f>
        <v>9.0929594635781772</v>
      </c>
      <c r="H57" s="84" t="s">
        <v>68</v>
      </c>
      <c r="I57" s="85">
        <f>487.71/1.15</f>
        <v>424.09565217391304</v>
      </c>
      <c r="J57" s="86">
        <f>G57*I57</f>
        <v>3856.2845738971414</v>
      </c>
      <c r="K57" s="16"/>
      <c r="N57" s="21"/>
    </row>
    <row r="58" spans="1:14" ht="15" customHeight="1" x14ac:dyDescent="0.25">
      <c r="A58" s="102"/>
      <c r="B58" s="87" t="s">
        <v>44</v>
      </c>
      <c r="C58" s="82"/>
      <c r="D58" s="92"/>
      <c r="E58" s="83"/>
      <c r="F58" s="83"/>
      <c r="G58" s="85"/>
      <c r="H58" s="84"/>
      <c r="I58" s="85"/>
      <c r="J58" s="86">
        <f>G57*0.13*(2972.61/10)</f>
        <v>351.3876890033527</v>
      </c>
      <c r="K58" s="16"/>
      <c r="N58" s="21"/>
    </row>
    <row r="59" spans="1:14" ht="15" customHeight="1" x14ac:dyDescent="0.25">
      <c r="A59" s="12"/>
      <c r="B59" s="22"/>
      <c r="C59" s="14"/>
      <c r="D59" s="15"/>
      <c r="E59" s="16"/>
      <c r="F59" s="16"/>
      <c r="G59" s="19"/>
      <c r="H59" s="18"/>
      <c r="I59" s="19"/>
      <c r="J59" s="20"/>
      <c r="K59" s="16"/>
      <c r="N59" s="21"/>
    </row>
    <row r="60" spans="1:14" ht="47.25" x14ac:dyDescent="0.25">
      <c r="A60" s="102">
        <v>20</v>
      </c>
      <c r="B60" s="103" t="s">
        <v>77</v>
      </c>
      <c r="C60" s="82"/>
      <c r="D60" s="92"/>
      <c r="E60" s="83"/>
      <c r="F60" s="83"/>
      <c r="G60" s="85"/>
      <c r="H60" s="84"/>
      <c r="I60" s="85"/>
      <c r="J60" s="86"/>
      <c r="K60" s="16"/>
      <c r="N60" s="21"/>
    </row>
    <row r="61" spans="1:14" ht="15" customHeight="1" x14ac:dyDescent="0.25">
      <c r="A61" s="102"/>
      <c r="B61" s="87" t="s">
        <v>49</v>
      </c>
      <c r="C61" s="82">
        <f>2</f>
        <v>2</v>
      </c>
      <c r="D61" s="92">
        <f>E25</f>
        <v>3.555928070710149</v>
      </c>
      <c r="E61" s="83"/>
      <c r="F61" s="83"/>
      <c r="G61" s="79">
        <f>PRODUCT(C61:F61)</f>
        <v>7.1118561414202981</v>
      </c>
      <c r="H61" s="84"/>
      <c r="I61" s="85"/>
      <c r="J61" s="86"/>
      <c r="K61" s="16"/>
      <c r="N61" s="21"/>
    </row>
    <row r="62" spans="1:14" ht="15" customHeight="1" x14ac:dyDescent="0.25">
      <c r="A62" s="102"/>
      <c r="B62" s="87"/>
      <c r="C62" s="82">
        <v>1</v>
      </c>
      <c r="D62" s="92">
        <f>D56</f>
        <v>1.9811033221578787</v>
      </c>
      <c r="E62" s="83"/>
      <c r="F62" s="83"/>
      <c r="G62" s="79">
        <f>PRODUCT(C62:F62)</f>
        <v>1.9811033221578787</v>
      </c>
      <c r="H62" s="84"/>
      <c r="I62" s="85"/>
      <c r="J62" s="86"/>
      <c r="K62" s="16"/>
      <c r="N62" s="21"/>
    </row>
    <row r="63" spans="1:14" ht="15" customHeight="1" x14ac:dyDescent="0.25">
      <c r="A63" s="102"/>
      <c r="B63" s="87" t="s">
        <v>25</v>
      </c>
      <c r="C63" s="82"/>
      <c r="D63" s="92"/>
      <c r="E63" s="83"/>
      <c r="F63" s="83"/>
      <c r="G63" s="85">
        <f>SUM(G61:G62)</f>
        <v>9.0929594635781772</v>
      </c>
      <c r="H63" s="84" t="s">
        <v>68</v>
      </c>
      <c r="I63" s="85">
        <f>465.63/1.15</f>
        <v>404.89565217391305</v>
      </c>
      <c r="J63" s="86">
        <f>G63*I63</f>
        <v>3681.6997521964408</v>
      </c>
      <c r="K63" s="16"/>
      <c r="N63" s="21"/>
    </row>
    <row r="64" spans="1:14" ht="15" customHeight="1" x14ac:dyDescent="0.25">
      <c r="A64" s="102"/>
      <c r="B64" s="87" t="s">
        <v>44</v>
      </c>
      <c r="C64" s="82"/>
      <c r="D64" s="92"/>
      <c r="E64" s="83"/>
      <c r="F64" s="83"/>
      <c r="G64" s="85"/>
      <c r="H64" s="84"/>
      <c r="I64" s="85"/>
      <c r="J64" s="86">
        <f>G63*0.13*(2780.61/10)</f>
        <v>328.69166218226155</v>
      </c>
      <c r="K64" s="16"/>
      <c r="N64" s="21"/>
    </row>
    <row r="65" spans="1:14" ht="15" customHeight="1" x14ac:dyDescent="0.25">
      <c r="A65" s="12"/>
      <c r="B65" s="22"/>
      <c r="C65" s="14"/>
      <c r="D65" s="15"/>
      <c r="E65" s="16"/>
      <c r="F65" s="16"/>
      <c r="G65" s="19"/>
      <c r="H65" s="18"/>
      <c r="I65" s="19"/>
      <c r="J65" s="20"/>
      <c r="K65" s="16"/>
      <c r="N65" s="21"/>
    </row>
    <row r="66" spans="1:14" ht="15" customHeight="1" x14ac:dyDescent="0.25">
      <c r="A66" s="12">
        <v>16</v>
      </c>
      <c r="B66" s="61" t="s">
        <v>108</v>
      </c>
      <c r="C66" s="14">
        <v>1</v>
      </c>
      <c r="D66" s="15"/>
      <c r="E66" s="16"/>
      <c r="F66" s="16"/>
      <c r="G66" s="37">
        <f>PRODUCT(C66:F66)</f>
        <v>1</v>
      </c>
      <c r="H66" s="18" t="s">
        <v>90</v>
      </c>
      <c r="I66" s="19">
        <v>1000</v>
      </c>
      <c r="J66" s="37">
        <f>G66*I66</f>
        <v>1000</v>
      </c>
      <c r="K66" s="16"/>
      <c r="N66" s="21"/>
    </row>
    <row r="67" spans="1:14" ht="15" customHeight="1" x14ac:dyDescent="0.25">
      <c r="A67" s="12"/>
      <c r="B67" s="59"/>
      <c r="C67" s="14"/>
      <c r="D67" s="15"/>
      <c r="E67" s="16"/>
      <c r="F67" s="16"/>
      <c r="G67" s="19"/>
      <c r="H67" s="18"/>
      <c r="I67" s="19"/>
      <c r="J67" s="20"/>
      <c r="K67" s="16"/>
      <c r="N67" s="21"/>
    </row>
    <row r="68" spans="1:14" x14ac:dyDescent="0.25">
      <c r="A68" s="25"/>
      <c r="B68" s="62" t="s">
        <v>128</v>
      </c>
      <c r="C68" s="63"/>
      <c r="D68" s="64"/>
      <c r="E68" s="64"/>
      <c r="F68" s="64"/>
      <c r="G68" s="20"/>
      <c r="H68" s="20"/>
      <c r="I68" s="20"/>
      <c r="J68" s="20">
        <f>SUM(J24:J66)</f>
        <v>147809.06061101198</v>
      </c>
      <c r="K68" s="30"/>
    </row>
    <row r="70" spans="1:14" s="1" customFormat="1" hidden="1" x14ac:dyDescent="0.25">
      <c r="B70" s="34" t="s">
        <v>110</v>
      </c>
      <c r="C70" s="132">
        <f>J68</f>
        <v>147809.06061101198</v>
      </c>
      <c r="D70" s="132"/>
      <c r="E70" s="132"/>
      <c r="F70" s="65"/>
      <c r="G70" s="66"/>
      <c r="H70" s="65"/>
      <c r="I70" s="67"/>
      <c r="J70" s="68"/>
      <c r="K70" s="69"/>
      <c r="M70"/>
    </row>
    <row r="71" spans="1:14" hidden="1" x14ac:dyDescent="0.25">
      <c r="B71" s="74" t="s">
        <v>126</v>
      </c>
      <c r="C71" s="133">
        <f>C70*0.13</f>
        <v>19215.177879431558</v>
      </c>
      <c r="D71" s="133"/>
      <c r="E71" s="133"/>
    </row>
    <row r="72" spans="1:14" hidden="1" x14ac:dyDescent="0.25">
      <c r="B72" s="74" t="s">
        <v>127</v>
      </c>
      <c r="C72" s="133">
        <f>C70+C71</f>
        <v>167024.23849044353</v>
      </c>
      <c r="D72" s="133"/>
      <c r="E72" s="133"/>
    </row>
    <row r="74" spans="1:14" s="1" customFormat="1" x14ac:dyDescent="0.25">
      <c r="B74" s="34" t="s">
        <v>110</v>
      </c>
      <c r="C74" s="127">
        <f>J68</f>
        <v>147809.06061101198</v>
      </c>
      <c r="D74" s="128"/>
      <c r="E74" s="33">
        <v>100</v>
      </c>
      <c r="F74" s="65"/>
      <c r="G74" s="66"/>
      <c r="H74" s="65"/>
      <c r="I74" s="67"/>
      <c r="J74" s="68"/>
      <c r="K74" s="69"/>
      <c r="M74"/>
    </row>
    <row r="75" spans="1:14" x14ac:dyDescent="0.25">
      <c r="B75" s="34" t="s">
        <v>111</v>
      </c>
      <c r="C75" s="130">
        <v>1200000</v>
      </c>
      <c r="D75" s="131"/>
      <c r="E75" s="33"/>
    </row>
    <row r="76" spans="1:14" x14ac:dyDescent="0.25">
      <c r="B76" s="34" t="s">
        <v>112</v>
      </c>
      <c r="C76" s="130">
        <f>C75-C78-C79</f>
        <v>1140000</v>
      </c>
      <c r="D76" s="131"/>
      <c r="E76" s="33">
        <f>C76/C74*100</f>
        <v>771.2653035527569</v>
      </c>
    </row>
    <row r="77" spans="1:14" x14ac:dyDescent="0.25">
      <c r="B77" s="34" t="s">
        <v>113</v>
      </c>
      <c r="C77" s="132">
        <f>C74-C76</f>
        <v>-992190.93938898807</v>
      </c>
      <c r="D77" s="132"/>
      <c r="E77" s="33">
        <f>100-E76</f>
        <v>-671.2653035527569</v>
      </c>
    </row>
    <row r="78" spans="1:14" x14ac:dyDescent="0.25">
      <c r="B78" s="34" t="s">
        <v>114</v>
      </c>
      <c r="C78" s="127">
        <f>C75*0.03</f>
        <v>36000</v>
      </c>
      <c r="D78" s="128"/>
      <c r="E78" s="33">
        <v>3</v>
      </c>
    </row>
    <row r="79" spans="1:14" x14ac:dyDescent="0.25">
      <c r="B79" s="34" t="s">
        <v>115</v>
      </c>
      <c r="C79" s="127">
        <f>C75*0.02</f>
        <v>24000</v>
      </c>
      <c r="D79" s="128"/>
      <c r="E79" s="33">
        <v>2</v>
      </c>
    </row>
  </sheetData>
  <mergeCells count="18">
    <mergeCell ref="C75:D75"/>
    <mergeCell ref="C76:D76"/>
    <mergeCell ref="C77:D77"/>
    <mergeCell ref="C78:D78"/>
    <mergeCell ref="C79:D79"/>
    <mergeCell ref="C74:D74"/>
    <mergeCell ref="A1:K1"/>
    <mergeCell ref="A2:K2"/>
    <mergeCell ref="A3:K3"/>
    <mergeCell ref="A4:K4"/>
    <mergeCell ref="A5:K5"/>
    <mergeCell ref="A6:F6"/>
    <mergeCell ref="H6:K6"/>
    <mergeCell ref="A7:F7"/>
    <mergeCell ref="H7:K7"/>
    <mergeCell ref="C70:E70"/>
    <mergeCell ref="C71:E71"/>
    <mergeCell ref="C72:E72"/>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6"/>
  <sheetViews>
    <sheetView topLeftCell="A16" zoomScaleNormal="100" zoomScaleSheetLayoutView="80" workbookViewId="0">
      <selection activeCell="F59" sqref="F5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4" s="1" customFormat="1" x14ac:dyDescent="0.25">
      <c r="A1" s="123" t="s">
        <v>0</v>
      </c>
      <c r="B1" s="123"/>
      <c r="C1" s="123"/>
      <c r="D1" s="123"/>
      <c r="E1" s="123"/>
      <c r="F1" s="123"/>
      <c r="G1" s="123"/>
      <c r="H1" s="123"/>
      <c r="I1" s="123"/>
      <c r="J1" s="123"/>
      <c r="K1" s="123"/>
    </row>
    <row r="2" spans="1:14" s="1" customFormat="1" ht="22.5" x14ac:dyDescent="0.25">
      <c r="A2" s="124" t="s">
        <v>1</v>
      </c>
      <c r="B2" s="124"/>
      <c r="C2" s="124"/>
      <c r="D2" s="124"/>
      <c r="E2" s="124"/>
      <c r="F2" s="124"/>
      <c r="G2" s="124"/>
      <c r="H2" s="124"/>
      <c r="I2" s="124"/>
      <c r="J2" s="124"/>
      <c r="K2" s="124"/>
    </row>
    <row r="3" spans="1:14" s="1" customFormat="1" x14ac:dyDescent="0.25">
      <c r="A3" s="125" t="s">
        <v>2</v>
      </c>
      <c r="B3" s="125"/>
      <c r="C3" s="125"/>
      <c r="D3" s="125"/>
      <c r="E3" s="125"/>
      <c r="F3" s="125"/>
      <c r="G3" s="125"/>
      <c r="H3" s="125"/>
      <c r="I3" s="125"/>
      <c r="J3" s="125"/>
      <c r="K3" s="125"/>
    </row>
    <row r="4" spans="1:14" s="1" customFormat="1" x14ac:dyDescent="0.25">
      <c r="A4" s="125" t="s">
        <v>3</v>
      </c>
      <c r="B4" s="125"/>
      <c r="C4" s="125"/>
      <c r="D4" s="125"/>
      <c r="E4" s="125"/>
      <c r="F4" s="125"/>
      <c r="G4" s="125"/>
      <c r="H4" s="125"/>
      <c r="I4" s="125"/>
      <c r="J4" s="125"/>
      <c r="K4" s="125"/>
    </row>
    <row r="5" spans="1:14" ht="18.75" x14ac:dyDescent="0.3">
      <c r="A5" s="126" t="s">
        <v>4</v>
      </c>
      <c r="B5" s="126"/>
      <c r="C5" s="126"/>
      <c r="D5" s="126"/>
      <c r="E5" s="126"/>
      <c r="F5" s="126"/>
      <c r="G5" s="126"/>
      <c r="H5" s="126"/>
      <c r="I5" s="126"/>
      <c r="J5" s="126"/>
      <c r="K5" s="126"/>
    </row>
    <row r="6" spans="1:14" ht="15.75" x14ac:dyDescent="0.25">
      <c r="A6" s="121" t="s">
        <v>5</v>
      </c>
      <c r="B6" s="121"/>
      <c r="C6" s="121"/>
      <c r="D6" s="121"/>
      <c r="E6" s="121"/>
      <c r="F6" s="121"/>
      <c r="G6" s="2"/>
      <c r="H6" s="122" t="s">
        <v>130</v>
      </c>
      <c r="I6" s="122"/>
      <c r="J6" s="122"/>
      <c r="K6" s="122"/>
    </row>
    <row r="7" spans="1:14" ht="15.75" x14ac:dyDescent="0.25">
      <c r="A7" s="129" t="s">
        <v>129</v>
      </c>
      <c r="B7" s="129"/>
      <c r="C7" s="129"/>
      <c r="D7" s="129"/>
      <c r="E7" s="129"/>
      <c r="F7" s="129"/>
      <c r="G7" s="3"/>
      <c r="H7" s="122" t="s">
        <v>8</v>
      </c>
      <c r="I7" s="122"/>
      <c r="J7" s="122"/>
      <c r="K7" s="122"/>
    </row>
    <row r="8" spans="1:14"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4" ht="30.75" x14ac:dyDescent="0.25">
      <c r="A9" s="10">
        <v>1</v>
      </c>
      <c r="B9" s="11" t="s">
        <v>20</v>
      </c>
      <c r="C9" s="6"/>
      <c r="D9" s="7"/>
      <c r="E9" s="7"/>
      <c r="F9" s="7"/>
      <c r="G9" s="7"/>
      <c r="H9" s="6"/>
      <c r="I9" s="7"/>
      <c r="J9" s="7"/>
      <c r="K9" s="8"/>
    </row>
    <row r="10" spans="1:14" ht="15" customHeight="1" x14ac:dyDescent="0.25">
      <c r="A10" s="12"/>
      <c r="B10" s="13" t="s">
        <v>21</v>
      </c>
      <c r="C10" s="14">
        <v>1</v>
      </c>
      <c r="D10" s="15"/>
      <c r="E10" s="16">
        <f>10.75/3.281</f>
        <v>3.2764401097226452</v>
      </c>
      <c r="F10" s="16">
        <f>(9.42+7.75)/3.281</f>
        <v>5.233160621761658</v>
      </c>
      <c r="G10" s="17">
        <f>PRODUCT(C10:F10)</f>
        <v>17.146137361760992</v>
      </c>
      <c r="H10" s="18"/>
      <c r="I10" s="19"/>
      <c r="J10" s="20"/>
      <c r="K10" s="16"/>
      <c r="M10" s="21"/>
      <c r="N10" s="21"/>
    </row>
    <row r="11" spans="1:14" ht="15" customHeight="1" x14ac:dyDescent="0.25">
      <c r="A11" s="12"/>
      <c r="B11" s="13" t="s">
        <v>22</v>
      </c>
      <c r="C11" s="14">
        <v>-1</v>
      </c>
      <c r="D11" s="15">
        <f>3.5/3.281</f>
        <v>1.0667479427003961</v>
      </c>
      <c r="E11" s="16"/>
      <c r="F11" s="16">
        <v>1.5</v>
      </c>
      <c r="G11" s="17">
        <f>PRODUCT(C11:F11)</f>
        <v>-1.600121914050594</v>
      </c>
      <c r="H11" s="18"/>
      <c r="I11" s="19"/>
      <c r="J11" s="20"/>
      <c r="K11" s="16"/>
      <c r="M11" s="21"/>
      <c r="N11" s="21"/>
    </row>
    <row r="12" spans="1:14" ht="15" customHeight="1" x14ac:dyDescent="0.25">
      <c r="A12" s="12"/>
      <c r="B12" s="13" t="s">
        <v>23</v>
      </c>
      <c r="C12" s="14">
        <v>-1</v>
      </c>
      <c r="D12" s="15">
        <f>3.833/3.281</f>
        <v>1.1682413898201769</v>
      </c>
      <c r="E12" s="16"/>
      <c r="F12" s="16">
        <f>7.75/3.281</f>
        <v>2.3620847302651629</v>
      </c>
      <c r="G12" s="17">
        <f>PRODUCT(C12:F12)</f>
        <v>-2.7594851481579914</v>
      </c>
      <c r="H12" s="18"/>
      <c r="I12" s="19"/>
      <c r="J12" s="20"/>
      <c r="K12" s="16"/>
      <c r="M12" s="21"/>
      <c r="N12" s="21"/>
    </row>
    <row r="13" spans="1:14" ht="15" customHeight="1" x14ac:dyDescent="0.25">
      <c r="A13" s="12"/>
      <c r="B13" s="13" t="s">
        <v>24</v>
      </c>
      <c r="C13" s="14">
        <v>1</v>
      </c>
      <c r="D13" s="15"/>
      <c r="E13" s="16">
        <f>(5.75)/3.281</f>
        <v>1.752514477293508</v>
      </c>
      <c r="F13" s="16">
        <f>(9.42+7.75)/3.281</f>
        <v>5.233160621761658</v>
      </c>
      <c r="G13" s="17">
        <f>PRODUCT(C13:F13)</f>
        <v>9.1711897516396004</v>
      </c>
      <c r="H13" s="18"/>
      <c r="I13" s="19"/>
      <c r="J13" s="20"/>
      <c r="K13" s="16"/>
      <c r="M13" s="21"/>
      <c r="N13" s="21"/>
    </row>
    <row r="14" spans="1:14" ht="15" customHeight="1" x14ac:dyDescent="0.25">
      <c r="A14" s="12"/>
      <c r="B14" s="22" t="s">
        <v>25</v>
      </c>
      <c r="C14" s="14"/>
      <c r="D14" s="15"/>
      <c r="E14" s="16"/>
      <c r="F14" s="16"/>
      <c r="G14" s="19">
        <f>SUM(G10:G13)</f>
        <v>21.957720051192005</v>
      </c>
      <c r="H14" s="18" t="s">
        <v>26</v>
      </c>
      <c r="I14" s="19">
        <f>99.36*1.15</f>
        <v>114.264</v>
      </c>
      <c r="J14" s="20">
        <f>G14*I14</f>
        <v>2508.9769239294033</v>
      </c>
      <c r="K14" s="16"/>
      <c r="M14" s="21"/>
      <c r="N14" s="21"/>
    </row>
    <row r="15" spans="1:14" ht="15" customHeight="1" x14ac:dyDescent="0.25">
      <c r="A15" s="12"/>
      <c r="B15" s="22"/>
      <c r="C15" s="14"/>
      <c r="D15" s="15"/>
      <c r="E15" s="16"/>
      <c r="F15" s="16"/>
      <c r="G15" s="19"/>
      <c r="H15" s="18"/>
      <c r="I15" s="19"/>
      <c r="J15" s="20"/>
      <c r="K15" s="16"/>
      <c r="M15" s="21"/>
      <c r="N15" s="21"/>
    </row>
    <row r="16" spans="1:14" ht="32.25" customHeight="1" x14ac:dyDescent="0.25">
      <c r="A16" s="12">
        <v>2</v>
      </c>
      <c r="B16" s="11" t="s">
        <v>27</v>
      </c>
      <c r="C16" s="14"/>
      <c r="D16" s="15"/>
      <c r="E16" s="16"/>
      <c r="F16" s="16"/>
      <c r="G16" s="19"/>
      <c r="H16" s="18"/>
      <c r="I16" s="19"/>
      <c r="J16" s="20"/>
      <c r="K16" s="16"/>
      <c r="M16" s="21"/>
      <c r="N16" s="21"/>
    </row>
    <row r="17" spans="1:14" ht="15" customHeight="1" x14ac:dyDescent="0.25">
      <c r="A17" s="12"/>
      <c r="B17" s="13" t="s">
        <v>28</v>
      </c>
      <c r="C17" s="14">
        <v>2</v>
      </c>
      <c r="D17" s="15">
        <f>0.833/3.281</f>
        <v>0.25388601036269426</v>
      </c>
      <c r="E17" s="15">
        <f>0.833/3.281</f>
        <v>0.25388601036269426</v>
      </c>
      <c r="F17" s="16">
        <f>6.25/3.281</f>
        <v>1.9049070405364217</v>
      </c>
      <c r="G17" s="17">
        <f>PRODUCT(C17:F17)</f>
        <v>0.24557340086058405</v>
      </c>
      <c r="H17" s="18"/>
      <c r="I17" s="19"/>
      <c r="J17" s="20"/>
      <c r="K17" s="16"/>
      <c r="M17" s="21"/>
      <c r="N17" s="21"/>
    </row>
    <row r="18" spans="1:14" ht="15" customHeight="1" x14ac:dyDescent="0.25">
      <c r="A18" s="12"/>
      <c r="B18" s="13"/>
      <c r="C18" s="14">
        <v>1</v>
      </c>
      <c r="D18" s="15">
        <f>0.833/3.281</f>
        <v>0.25388601036269426</v>
      </c>
      <c r="E18" s="15">
        <f>0.833/3.281</f>
        <v>0.25388601036269426</v>
      </c>
      <c r="F18" s="15">
        <f>0.833/3.281</f>
        <v>0.25388601036269426</v>
      </c>
      <c r="G18" s="17">
        <f>PRODUCT(C18:F18)</f>
        <v>1.6365011433349317E-2</v>
      </c>
      <c r="H18" s="18"/>
      <c r="I18" s="19"/>
      <c r="J18" s="20"/>
      <c r="K18" s="16"/>
      <c r="M18" s="21"/>
      <c r="N18" s="21"/>
    </row>
    <row r="19" spans="1:14" ht="15" customHeight="1" x14ac:dyDescent="0.25">
      <c r="A19" s="12"/>
      <c r="B19" s="22" t="s">
        <v>25</v>
      </c>
      <c r="C19" s="14"/>
      <c r="D19" s="15"/>
      <c r="E19" s="16"/>
      <c r="F19" s="16"/>
      <c r="G19" s="19">
        <f>SUM(G17:G18)</f>
        <v>0.26193841229393339</v>
      </c>
      <c r="H19" s="18" t="s">
        <v>29</v>
      </c>
      <c r="I19" s="19">
        <f>1950.4*1.15</f>
        <v>2242.96</v>
      </c>
      <c r="J19" s="20">
        <f>G19*I19</f>
        <v>587.51738123880079</v>
      </c>
      <c r="K19" s="16"/>
      <c r="M19" s="21"/>
      <c r="N19" s="21"/>
    </row>
    <row r="20" spans="1:14" ht="15" customHeight="1" x14ac:dyDescent="0.25">
      <c r="A20" s="12"/>
      <c r="B20" s="22"/>
      <c r="C20" s="14"/>
      <c r="D20" s="15"/>
      <c r="E20" s="16"/>
      <c r="F20" s="16"/>
      <c r="G20" s="19"/>
      <c r="H20" s="18"/>
      <c r="I20" s="19"/>
      <c r="J20" s="20"/>
      <c r="K20" s="16"/>
      <c r="M20" s="21"/>
      <c r="N20" s="21"/>
    </row>
    <row r="21" spans="1:14" ht="31.5" x14ac:dyDescent="0.25">
      <c r="A21" s="12">
        <v>3</v>
      </c>
      <c r="B21" s="31" t="s">
        <v>116</v>
      </c>
      <c r="C21" s="14"/>
      <c r="D21" s="15"/>
      <c r="E21" s="16"/>
      <c r="F21" s="16"/>
      <c r="G21" s="19"/>
      <c r="H21" s="18"/>
      <c r="I21" s="19"/>
      <c r="J21" s="20"/>
      <c r="K21" s="16"/>
      <c r="M21" s="21"/>
      <c r="N21" s="21"/>
    </row>
    <row r="22" spans="1:14" ht="15" customHeight="1" x14ac:dyDescent="0.25">
      <c r="A22" s="12"/>
      <c r="B22" s="22" t="s">
        <v>30</v>
      </c>
      <c r="C22" s="14">
        <v>2</v>
      </c>
      <c r="D22" s="15">
        <f>0.6</f>
        <v>0.6</v>
      </c>
      <c r="E22" s="16">
        <v>0.6</v>
      </c>
      <c r="F22" s="16">
        <v>0.9</v>
      </c>
      <c r="G22" s="17">
        <f>PRODUCT(C22:F22)</f>
        <v>0.64800000000000002</v>
      </c>
      <c r="H22" s="18"/>
      <c r="I22" s="19"/>
      <c r="J22" s="20"/>
      <c r="K22" s="16"/>
      <c r="M22" s="21"/>
      <c r="N22" s="21"/>
    </row>
    <row r="23" spans="1:14" ht="15" customHeight="1" x14ac:dyDescent="0.25">
      <c r="A23" s="25"/>
      <c r="B23" s="22" t="s">
        <v>25</v>
      </c>
      <c r="C23" s="26"/>
      <c r="D23" s="17"/>
      <c r="E23" s="17"/>
      <c r="F23" s="17"/>
      <c r="G23" s="27">
        <f>SUM(G22:G22)</f>
        <v>0.64800000000000002</v>
      </c>
      <c r="H23" s="27" t="s">
        <v>29</v>
      </c>
      <c r="I23" s="28">
        <f>1.15*663.31</f>
        <v>762.80649999999991</v>
      </c>
      <c r="J23" s="29">
        <f>G23*I23</f>
        <v>494.29861199999993</v>
      </c>
      <c r="K23" s="30"/>
    </row>
    <row r="24" spans="1:14" ht="15" customHeight="1" x14ac:dyDescent="0.25">
      <c r="A24" s="25"/>
      <c r="B24" s="22"/>
      <c r="C24" s="26"/>
      <c r="D24" s="17"/>
      <c r="E24" s="17"/>
      <c r="F24" s="17"/>
      <c r="G24" s="27"/>
      <c r="H24" s="27"/>
      <c r="I24" s="28"/>
      <c r="J24" s="29"/>
      <c r="K24" s="30"/>
    </row>
    <row r="25" spans="1:14" ht="15.75" x14ac:dyDescent="0.25">
      <c r="A25" s="25">
        <v>4</v>
      </c>
      <c r="B25" s="31" t="s">
        <v>31</v>
      </c>
      <c r="C25" s="32"/>
      <c r="D25" s="33"/>
      <c r="E25" s="33"/>
      <c r="F25" s="33"/>
      <c r="G25" s="33"/>
      <c r="H25" s="34"/>
      <c r="I25" s="33"/>
      <c r="J25" s="33"/>
      <c r="K25" s="34"/>
    </row>
    <row r="26" spans="1:14" x14ac:dyDescent="0.25">
      <c r="A26" s="25"/>
      <c r="B26" s="35" t="s">
        <v>32</v>
      </c>
      <c r="C26" s="32">
        <f>C22</f>
        <v>2</v>
      </c>
      <c r="D26" s="33">
        <f>D22</f>
        <v>0.6</v>
      </c>
      <c r="E26" s="33">
        <f>E22</f>
        <v>0.6</v>
      </c>
      <c r="F26" s="33"/>
      <c r="G26" s="33">
        <f>PRODUCT(C26:F26)</f>
        <v>0.72</v>
      </c>
      <c r="H26" s="34"/>
      <c r="I26" s="34"/>
      <c r="J26" s="33"/>
      <c r="K26" s="34"/>
    </row>
    <row r="27" spans="1:14" x14ac:dyDescent="0.25">
      <c r="A27" s="25"/>
      <c r="B27" s="36" t="s">
        <v>25</v>
      </c>
      <c r="C27" s="32"/>
      <c r="D27" s="33"/>
      <c r="E27" s="33"/>
      <c r="F27" s="33"/>
      <c r="G27" s="37">
        <f>SUM(G26)</f>
        <v>0.72</v>
      </c>
      <c r="H27" s="18" t="s">
        <v>26</v>
      </c>
      <c r="I27" s="38">
        <f>1014.97*1.15</f>
        <v>1167.2155</v>
      </c>
      <c r="J27" s="39">
        <f>G27*I27</f>
        <v>840.39516000000003</v>
      </c>
      <c r="K27" s="34"/>
    </row>
    <row r="28" spans="1:14" x14ac:dyDescent="0.25">
      <c r="A28" s="25"/>
      <c r="B28" s="34"/>
      <c r="C28" s="32"/>
      <c r="D28" s="33"/>
      <c r="E28" s="33"/>
      <c r="F28" s="33"/>
      <c r="G28" s="33"/>
      <c r="H28" s="34"/>
      <c r="I28" s="33"/>
      <c r="J28" s="33"/>
      <c r="K28" s="34"/>
    </row>
    <row r="29" spans="1:14" s="1" customFormat="1" ht="30" x14ac:dyDescent="0.25">
      <c r="A29" s="25">
        <v>5</v>
      </c>
      <c r="B29" s="41" t="s">
        <v>34</v>
      </c>
      <c r="C29" s="32"/>
      <c r="D29" s="33"/>
      <c r="E29" s="33"/>
      <c r="F29" s="33"/>
      <c r="G29" s="33"/>
      <c r="H29" s="34"/>
      <c r="I29" s="33"/>
      <c r="J29" s="33"/>
      <c r="K29" s="34"/>
    </row>
    <row r="30" spans="1:14" x14ac:dyDescent="0.25">
      <c r="A30" s="25"/>
      <c r="B30" s="35" t="s">
        <v>32</v>
      </c>
      <c r="C30" s="32">
        <f>C26</f>
        <v>2</v>
      </c>
      <c r="D30" s="33">
        <f>D26</f>
        <v>0.6</v>
      </c>
      <c r="E30" s="33">
        <f>E26</f>
        <v>0.6</v>
      </c>
      <c r="F30" s="33">
        <v>0.05</v>
      </c>
      <c r="G30" s="33">
        <f>PRODUCT(C30:F30)</f>
        <v>3.5999999999999997E-2</v>
      </c>
      <c r="H30" s="34"/>
      <c r="I30" s="34"/>
      <c r="J30" s="33"/>
      <c r="K30" s="34"/>
    </row>
    <row r="31" spans="1:14" x14ac:dyDescent="0.25">
      <c r="A31" s="25"/>
      <c r="B31" s="36" t="s">
        <v>25</v>
      </c>
      <c r="C31" s="32"/>
      <c r="D31" s="33"/>
      <c r="E31" s="33"/>
      <c r="F31" s="33"/>
      <c r="G31" s="37">
        <f>SUM(G30:G30)</f>
        <v>3.5999999999999997E-2</v>
      </c>
      <c r="H31" s="25" t="s">
        <v>29</v>
      </c>
      <c r="I31" s="38">
        <f>1.15*12983.1</f>
        <v>14930.564999999999</v>
      </c>
      <c r="J31" s="39">
        <f>G31*I31</f>
        <v>537.50033999999994</v>
      </c>
      <c r="K31" s="34"/>
    </row>
    <row r="32" spans="1:14" x14ac:dyDescent="0.25">
      <c r="A32" s="25"/>
      <c r="B32" s="36"/>
      <c r="C32" s="32"/>
      <c r="D32" s="33"/>
      <c r="E32" s="33"/>
      <c r="F32" s="33"/>
      <c r="G32" s="33"/>
      <c r="H32" s="34"/>
      <c r="I32" s="40"/>
      <c r="J32" s="39"/>
      <c r="K32" s="34"/>
    </row>
    <row r="33" spans="1:14" ht="45" x14ac:dyDescent="0.25">
      <c r="A33" s="12">
        <v>6</v>
      </c>
      <c r="B33" s="41" t="s">
        <v>35</v>
      </c>
      <c r="C33" s="32" t="s">
        <v>11</v>
      </c>
      <c r="D33" s="42" t="s">
        <v>36</v>
      </c>
      <c r="E33" s="42" t="s">
        <v>37</v>
      </c>
      <c r="F33" s="42" t="s">
        <v>38</v>
      </c>
      <c r="G33" s="42" t="s">
        <v>39</v>
      </c>
      <c r="H33" s="25"/>
      <c r="I33" s="37"/>
      <c r="J33" s="37"/>
      <c r="K33" s="16"/>
    </row>
    <row r="34" spans="1:14" ht="15" customHeight="1" x14ac:dyDescent="0.25">
      <c r="A34" s="12"/>
      <c r="B34" s="43" t="s">
        <v>32</v>
      </c>
      <c r="C34" s="14">
        <f>2*2*(TRUNC(22/6,0)+1)</f>
        <v>16</v>
      </c>
      <c r="D34" s="33">
        <f>24/12/3.281</f>
        <v>0.6095702529716549</v>
      </c>
      <c r="E34" s="33">
        <f>12*12/162</f>
        <v>0.88888888888888884</v>
      </c>
      <c r="F34" s="33">
        <f>PRODUCT(C34:E34)</f>
        <v>8.6694435978190914</v>
      </c>
      <c r="G34" s="44">
        <f>F34/1000</f>
        <v>8.6694435978190917E-3</v>
      </c>
      <c r="H34" s="18"/>
      <c r="I34" s="19"/>
      <c r="J34" s="37"/>
      <c r="K34" s="16"/>
    </row>
    <row r="35" spans="1:14" ht="15" customHeight="1" x14ac:dyDescent="0.25">
      <c r="A35" s="12"/>
      <c r="B35" s="43" t="s">
        <v>40</v>
      </c>
      <c r="C35" s="14">
        <f>4*2</f>
        <v>8</v>
      </c>
      <c r="D35" s="33">
        <f>(6.5+0.583)/3.281</f>
        <v>2.1587930508991162</v>
      </c>
      <c r="E35" s="33">
        <f>12*12/162</f>
        <v>0.88888888888888884</v>
      </c>
      <c r="F35" s="33">
        <f>PRODUCT(C35:E35)</f>
        <v>15.351417250838159</v>
      </c>
      <c r="G35" s="44">
        <f>F35/1000</f>
        <v>1.5351417250838158E-2</v>
      </c>
      <c r="H35" s="18"/>
      <c r="I35" s="19"/>
      <c r="J35" s="37"/>
      <c r="K35" s="16"/>
    </row>
    <row r="36" spans="1:14" ht="15" customHeight="1" x14ac:dyDescent="0.25">
      <c r="A36" s="12"/>
      <c r="B36" s="43" t="s">
        <v>41</v>
      </c>
      <c r="C36" s="14">
        <f>TRUNC((6.12/0.5),0)</f>
        <v>12</v>
      </c>
      <c r="D36" s="33">
        <f>(0.33+0.33+0.33+0.33+0.083*2)/3.281</f>
        <v>0.45291069795793965</v>
      </c>
      <c r="E36" s="33">
        <f>8*8/162</f>
        <v>0.39506172839506171</v>
      </c>
      <c r="F36" s="33">
        <f>PRODUCT(C36:E36)</f>
        <v>2.1471321977265285</v>
      </c>
      <c r="G36" s="44">
        <f>F36/1000</f>
        <v>2.1471321977265287E-3</v>
      </c>
      <c r="H36" s="18"/>
      <c r="I36" s="19"/>
      <c r="J36" s="37"/>
      <c r="K36" s="16"/>
    </row>
    <row r="37" spans="1:14" ht="15" customHeight="1" x14ac:dyDescent="0.25">
      <c r="A37" s="12"/>
      <c r="B37" s="43" t="s">
        <v>42</v>
      </c>
      <c r="C37" s="14">
        <f>(TRUNC(D38/0.15,0)+1)</f>
        <v>22</v>
      </c>
      <c r="D37" s="33">
        <f>(16.25-0.333+15.667-0.333)/3.281</f>
        <v>9.5248399878085941</v>
      </c>
      <c r="E37" s="33">
        <f>8*8/162</f>
        <v>0.39506172839506171</v>
      </c>
      <c r="F37" s="33">
        <f>PRODUCT(C37:E37)</f>
        <v>82.783794461941355</v>
      </c>
      <c r="G37" s="44">
        <f>F37/1000</f>
        <v>8.2783794461941354E-2</v>
      </c>
      <c r="H37" s="18"/>
      <c r="I37" s="19"/>
      <c r="J37" s="37"/>
      <c r="K37" s="16"/>
    </row>
    <row r="38" spans="1:14" ht="15" customHeight="1" x14ac:dyDescent="0.25">
      <c r="A38" s="12"/>
      <c r="B38" s="43"/>
      <c r="C38" s="14">
        <f>(TRUNC((D37)/0.15,0)+1)</f>
        <v>64</v>
      </c>
      <c r="D38" s="33">
        <f>10.583/3.281</f>
        <v>3.2255409935995121</v>
      </c>
      <c r="E38" s="33">
        <f>8*8/162</f>
        <v>0.39506172839506171</v>
      </c>
      <c r="F38" s="33">
        <f>PRODUCT(C38:E38)</f>
        <v>81.55441919619507</v>
      </c>
      <c r="G38" s="44">
        <f>F38/1000</f>
        <v>8.1554419196195077E-2</v>
      </c>
      <c r="H38" s="18"/>
      <c r="I38" s="19"/>
      <c r="J38" s="37"/>
      <c r="K38" s="16"/>
    </row>
    <row r="39" spans="1:14" ht="15" customHeight="1" x14ac:dyDescent="0.25">
      <c r="A39" s="25"/>
      <c r="B39" s="43" t="s">
        <v>25</v>
      </c>
      <c r="C39" s="32"/>
      <c r="D39" s="33"/>
      <c r="E39" s="33"/>
      <c r="F39" s="33"/>
      <c r="G39" s="37">
        <f>SUM(G34:G38)</f>
        <v>0.1905062067045202</v>
      </c>
      <c r="H39" s="37" t="s">
        <v>43</v>
      </c>
      <c r="I39" s="38">
        <f>1.15*131940</f>
        <v>151731</v>
      </c>
      <c r="J39" s="39">
        <f>G39*I39</f>
        <v>28905.697249483554</v>
      </c>
      <c r="K39" s="34"/>
    </row>
    <row r="40" spans="1:14" ht="15" customHeight="1" x14ac:dyDescent="0.25">
      <c r="A40" s="12"/>
      <c r="B40" s="43"/>
      <c r="C40" s="14"/>
      <c r="D40" s="15"/>
      <c r="E40" s="16"/>
      <c r="F40" s="16"/>
      <c r="G40" s="19"/>
      <c r="H40" s="18"/>
      <c r="I40" s="19"/>
      <c r="J40" s="37"/>
      <c r="K40" s="16"/>
    </row>
    <row r="41" spans="1:14" s="1" customFormat="1" ht="30" x14ac:dyDescent="0.25">
      <c r="A41" s="12">
        <v>7</v>
      </c>
      <c r="B41" s="41" t="s">
        <v>45</v>
      </c>
      <c r="C41" s="14"/>
      <c r="D41" s="15"/>
      <c r="E41" s="16"/>
      <c r="F41" s="16"/>
      <c r="G41" s="19"/>
      <c r="H41" s="18"/>
      <c r="I41" s="19"/>
      <c r="J41" s="37"/>
      <c r="K41" s="16"/>
    </row>
    <row r="42" spans="1:14" x14ac:dyDescent="0.25">
      <c r="A42" s="25"/>
      <c r="B42" s="35" t="s">
        <v>40</v>
      </c>
      <c r="C42" s="32">
        <v>2</v>
      </c>
      <c r="D42" s="33">
        <v>0.15</v>
      </c>
      <c r="E42" s="33">
        <v>0.15</v>
      </c>
      <c r="F42" s="33">
        <f>6.5/3.281</f>
        <v>1.9811033221578787</v>
      </c>
      <c r="G42" s="33">
        <f>PRODUCT(C42:F42)</f>
        <v>8.9149649497104536E-2</v>
      </c>
      <c r="H42" s="34"/>
      <c r="I42" s="34"/>
      <c r="J42" s="33"/>
      <c r="K42" s="34"/>
    </row>
    <row r="43" spans="1:14" x14ac:dyDescent="0.25">
      <c r="A43" s="25"/>
      <c r="B43" s="35" t="s">
        <v>46</v>
      </c>
      <c r="C43" s="32">
        <f>2</f>
        <v>2</v>
      </c>
      <c r="D43" s="33">
        <f>((15.667+16.25)/2)/3.281</f>
        <v>4.8639134410240779</v>
      </c>
      <c r="E43" s="33">
        <f>10.75/3.281</f>
        <v>3.2764401097226452</v>
      </c>
      <c r="F43" s="33">
        <v>7.4999999999999997E-2</v>
      </c>
      <c r="G43" s="33">
        <f>PRODUCT(C43:F43)</f>
        <v>2.3904481632585566</v>
      </c>
      <c r="H43" s="34"/>
      <c r="I43" s="34"/>
      <c r="J43" s="33"/>
      <c r="K43" s="34"/>
    </row>
    <row r="44" spans="1:14" ht="15" customHeight="1" x14ac:dyDescent="0.25">
      <c r="A44" s="25"/>
      <c r="B44" s="43" t="s">
        <v>25</v>
      </c>
      <c r="C44" s="32"/>
      <c r="D44" s="33"/>
      <c r="E44" s="33"/>
      <c r="F44" s="33"/>
      <c r="G44" s="37">
        <f>SUM(G42:G43)</f>
        <v>2.479597812755661</v>
      </c>
      <c r="H44" s="37" t="s">
        <v>29</v>
      </c>
      <c r="I44" s="38">
        <f>1.15*13568.9</f>
        <v>15604.234999999999</v>
      </c>
      <c r="J44" s="39">
        <f>G44*I44</f>
        <v>38692.226975725331</v>
      </c>
      <c r="K44" s="34"/>
    </row>
    <row r="45" spans="1:14" ht="15" customHeight="1" x14ac:dyDescent="0.25">
      <c r="A45" s="12"/>
      <c r="B45" s="43"/>
      <c r="C45" s="14"/>
      <c r="D45" s="15"/>
      <c r="E45" s="16"/>
      <c r="F45" s="16"/>
      <c r="G45" s="19"/>
      <c r="H45" s="18"/>
      <c r="I45" s="19"/>
      <c r="J45" s="37"/>
      <c r="K45" s="16"/>
    </row>
    <row r="46" spans="1:14" ht="30.75" x14ac:dyDescent="0.25">
      <c r="A46" s="25">
        <v>8</v>
      </c>
      <c r="B46" s="11" t="s">
        <v>48</v>
      </c>
      <c r="C46" s="26"/>
      <c r="D46" s="17"/>
      <c r="E46" s="17"/>
      <c r="F46" s="17"/>
      <c r="G46" s="27"/>
      <c r="H46" s="27"/>
      <c r="I46" s="28"/>
      <c r="J46" s="29"/>
      <c r="K46" s="30"/>
      <c r="N46">
        <f>6.2*3.281+0.23*2</f>
        <v>20.802200000000003</v>
      </c>
    </row>
    <row r="47" spans="1:14" ht="15" customHeight="1" x14ac:dyDescent="0.25">
      <c r="A47" s="25"/>
      <c r="B47" s="22" t="s">
        <v>49</v>
      </c>
      <c r="C47" s="26">
        <v>2</v>
      </c>
      <c r="D47" s="17">
        <f>(10.75/3.281)</f>
        <v>3.2764401097226452</v>
      </c>
      <c r="E47" s="17">
        <f>0.1</f>
        <v>0.1</v>
      </c>
      <c r="F47" s="17">
        <v>0.9</v>
      </c>
      <c r="G47" s="17">
        <f>PRODUCT(C47:F47)</f>
        <v>0.58975921975007617</v>
      </c>
      <c r="H47" s="45"/>
      <c r="I47" s="45"/>
      <c r="J47" s="39"/>
      <c r="K47" s="30"/>
    </row>
    <row r="48" spans="1:14" ht="15" customHeight="1" x14ac:dyDescent="0.25">
      <c r="A48" s="25"/>
      <c r="B48" s="22"/>
      <c r="C48" s="26">
        <v>2</v>
      </c>
      <c r="D48" s="17">
        <f>(6.2)</f>
        <v>6.2</v>
      </c>
      <c r="E48" s="17">
        <v>0.23</v>
      </c>
      <c r="F48" s="17">
        <v>0.9</v>
      </c>
      <c r="G48" s="17">
        <f>PRODUCT(C48:F48)</f>
        <v>2.5668000000000002</v>
      </c>
      <c r="H48" s="45"/>
      <c r="I48" s="45"/>
      <c r="J48" s="39"/>
      <c r="K48" s="30"/>
    </row>
    <row r="49" spans="1:14" ht="15" customHeight="1" x14ac:dyDescent="0.25">
      <c r="A49" s="25"/>
      <c r="B49" s="22" t="s">
        <v>25</v>
      </c>
      <c r="C49" s="26"/>
      <c r="D49" s="17"/>
      <c r="E49" s="17"/>
      <c r="F49" s="17"/>
      <c r="G49" s="27">
        <f>0*SUM(G47:G48)</f>
        <v>0</v>
      </c>
      <c r="H49" s="27" t="s">
        <v>29</v>
      </c>
      <c r="I49" s="28">
        <f>1.15*15145.32</f>
        <v>17417.117999999999</v>
      </c>
      <c r="J49" s="29">
        <f>G49*I49</f>
        <v>0</v>
      </c>
      <c r="K49" s="30"/>
    </row>
    <row r="50" spans="1:14" ht="15" customHeight="1" x14ac:dyDescent="0.25">
      <c r="A50" s="25"/>
      <c r="B50" s="22"/>
      <c r="C50" s="26"/>
      <c r="D50" s="17"/>
      <c r="E50" s="17"/>
      <c r="F50" s="17"/>
      <c r="G50" s="27"/>
      <c r="H50" s="27"/>
      <c r="I50" s="28"/>
      <c r="J50" s="29"/>
      <c r="K50" s="30"/>
    </row>
    <row r="51" spans="1:14" ht="30.75" x14ac:dyDescent="0.25">
      <c r="A51" s="25">
        <v>9</v>
      </c>
      <c r="B51" s="11" t="s">
        <v>50</v>
      </c>
      <c r="C51" s="26"/>
      <c r="D51" s="17"/>
      <c r="E51" s="17"/>
      <c r="F51" s="17"/>
      <c r="G51" s="27"/>
      <c r="H51" s="27"/>
      <c r="I51" s="28"/>
      <c r="J51" s="29"/>
      <c r="K51" s="30"/>
    </row>
    <row r="52" spans="1:14" ht="15" customHeight="1" x14ac:dyDescent="0.25">
      <c r="A52" s="25"/>
      <c r="B52" s="22" t="s">
        <v>117</v>
      </c>
      <c r="C52" s="26">
        <v>2</v>
      </c>
      <c r="D52" s="17">
        <f>24/12/3.281</f>
        <v>0.6095702529716549</v>
      </c>
      <c r="E52" s="17">
        <f>24/12/3.281</f>
        <v>0.6095702529716549</v>
      </c>
      <c r="F52" s="17">
        <f>24/12/3.281</f>
        <v>0.6095702529716549</v>
      </c>
      <c r="G52" s="17">
        <f>PRODUCT(C52:F52)</f>
        <v>0.45300322256376385</v>
      </c>
      <c r="H52" s="45"/>
      <c r="I52" s="45"/>
      <c r="J52" s="39"/>
      <c r="K52" s="30"/>
    </row>
    <row r="53" spans="1:14" ht="15" customHeight="1" x14ac:dyDescent="0.25">
      <c r="A53" s="25"/>
      <c r="B53" s="22" t="s">
        <v>52</v>
      </c>
      <c r="C53" s="26">
        <v>-2</v>
      </c>
      <c r="D53" s="17">
        <f>0.15</f>
        <v>0.15</v>
      </c>
      <c r="E53" s="17">
        <f>0.15</f>
        <v>0.15</v>
      </c>
      <c r="F53" s="17">
        <f>24/12/3.281</f>
        <v>0.6095702529716549</v>
      </c>
      <c r="G53" s="17">
        <f>PRODUCT(C53:F53)</f>
        <v>-2.7430661383724471E-2</v>
      </c>
      <c r="H53" s="45"/>
      <c r="I53" s="45"/>
      <c r="J53" s="39"/>
      <c r="K53" s="30"/>
    </row>
    <row r="54" spans="1:14" ht="15" customHeight="1" x14ac:dyDescent="0.25">
      <c r="A54" s="25"/>
      <c r="B54" s="22" t="s">
        <v>25</v>
      </c>
      <c r="C54" s="26"/>
      <c r="D54" s="17"/>
      <c r="E54" s="17"/>
      <c r="F54" s="17"/>
      <c r="G54" s="27">
        <f>SUM(G52:G53)</f>
        <v>0.42557256118003939</v>
      </c>
      <c r="H54" s="27" t="s">
        <v>29</v>
      </c>
      <c r="I54" s="28">
        <f>1.15*14362.76</f>
        <v>16517.173999999999</v>
      </c>
      <c r="J54" s="29">
        <f>G54*I54</f>
        <v>7029.2560426363552</v>
      </c>
      <c r="K54" s="30"/>
    </row>
    <row r="55" spans="1:14" ht="15" customHeight="1" x14ac:dyDescent="0.25">
      <c r="A55" s="25"/>
      <c r="B55" s="22"/>
      <c r="C55" s="26"/>
      <c r="D55" s="17"/>
      <c r="E55" s="17"/>
      <c r="F55" s="17"/>
      <c r="G55" s="27"/>
      <c r="H55" s="27"/>
      <c r="I55" s="28"/>
      <c r="J55" s="29"/>
      <c r="K55" s="30"/>
    </row>
    <row r="56" spans="1:14" ht="47.25" x14ac:dyDescent="0.25">
      <c r="A56" s="12">
        <v>10</v>
      </c>
      <c r="B56" s="23" t="s">
        <v>53</v>
      </c>
      <c r="C56" s="30"/>
      <c r="D56" s="30"/>
      <c r="E56" s="30"/>
      <c r="F56" s="30"/>
      <c r="G56" s="46"/>
      <c r="H56" s="18"/>
      <c r="I56" s="19"/>
      <c r="J56" s="19"/>
      <c r="K56" s="16"/>
      <c r="M56" s="21"/>
    </row>
    <row r="57" spans="1:14" ht="15" customHeight="1" x14ac:dyDescent="0.25">
      <c r="A57" s="12"/>
      <c r="B57" s="13" t="s">
        <v>54</v>
      </c>
      <c r="C57" s="14">
        <v>1</v>
      </c>
      <c r="D57" s="15"/>
      <c r="E57" s="16">
        <f>10.75/3.281</f>
        <v>3.2764401097226452</v>
      </c>
      <c r="F57" s="16">
        <f>(9.42+7.75)/3.281</f>
        <v>5.233160621761658</v>
      </c>
      <c r="G57" s="17">
        <f t="shared" ref="G57:G62" si="0">PRODUCT(C57:F57)</f>
        <v>17.146137361760992</v>
      </c>
      <c r="H57" s="18"/>
      <c r="I57" s="19"/>
      <c r="J57" s="20"/>
      <c r="K57" s="16"/>
      <c r="M57" s="21"/>
      <c r="N57" s="21"/>
    </row>
    <row r="58" spans="1:14" ht="15" customHeight="1" x14ac:dyDescent="0.25">
      <c r="A58" s="12"/>
      <c r="B58" s="13" t="s">
        <v>22</v>
      </c>
      <c r="C58" s="14">
        <v>-1</v>
      </c>
      <c r="D58" s="15">
        <f>3.5/3.281</f>
        <v>1.0667479427003961</v>
      </c>
      <c r="E58" s="16"/>
      <c r="F58" s="16">
        <f>4.5/3.281</f>
        <v>1.3715330691862238</v>
      </c>
      <c r="G58" s="17">
        <f t="shared" si="0"/>
        <v>-1.4630800798999641</v>
      </c>
      <c r="H58" s="18"/>
      <c r="I58" s="19"/>
      <c r="J58" s="20"/>
      <c r="K58" s="16"/>
      <c r="M58" s="21"/>
      <c r="N58" s="21"/>
    </row>
    <row r="59" spans="1:14" ht="15" customHeight="1" x14ac:dyDescent="0.25">
      <c r="A59" s="12"/>
      <c r="B59" s="13" t="s">
        <v>23</v>
      </c>
      <c r="C59" s="14">
        <v>-1</v>
      </c>
      <c r="D59" s="15">
        <f>3.833/3.281</f>
        <v>1.1682413898201769</v>
      </c>
      <c r="E59" s="16"/>
      <c r="F59" s="16">
        <f>6.5/3.281</f>
        <v>1.9811033221578787</v>
      </c>
      <c r="G59" s="17">
        <f t="shared" si="0"/>
        <v>-2.3144068984550898</v>
      </c>
      <c r="H59" s="18"/>
      <c r="I59" s="19"/>
      <c r="J59" s="20"/>
      <c r="K59" s="16"/>
      <c r="M59" s="21"/>
      <c r="N59" s="21"/>
    </row>
    <row r="60" spans="1:14" ht="15" customHeight="1" x14ac:dyDescent="0.25">
      <c r="A60" s="12"/>
      <c r="B60" s="13" t="s">
        <v>55</v>
      </c>
      <c r="C60" s="14">
        <v>1</v>
      </c>
      <c r="D60" s="15"/>
      <c r="E60" s="16">
        <f>(5.75)/3.281</f>
        <v>1.752514477293508</v>
      </c>
      <c r="F60" s="16">
        <f>(9.42+7.75)/3.281</f>
        <v>5.233160621761658</v>
      </c>
      <c r="G60" s="17">
        <f t="shared" si="0"/>
        <v>9.1711897516396004</v>
      </c>
      <c r="H60" s="18"/>
      <c r="I60" s="19"/>
      <c r="J60" s="20"/>
      <c r="K60" s="16"/>
      <c r="M60" s="21"/>
      <c r="N60" s="21"/>
    </row>
    <row r="61" spans="1:14" ht="15" customHeight="1" x14ac:dyDescent="0.25">
      <c r="A61" s="12"/>
      <c r="B61" s="13" t="s">
        <v>56</v>
      </c>
      <c r="C61" s="14">
        <v>-1</v>
      </c>
      <c r="D61" s="15">
        <f>E57+E60</f>
        <v>5.0289545870161536</v>
      </c>
      <c r="E61" s="16"/>
      <c r="F61" s="16">
        <f>13*0.15</f>
        <v>1.95</v>
      </c>
      <c r="G61" s="17">
        <f t="shared" si="0"/>
        <v>-9.8064614446814993</v>
      </c>
      <c r="H61" s="18"/>
      <c r="I61" s="19"/>
      <c r="J61" s="20"/>
      <c r="K61" s="16"/>
      <c r="M61" s="21"/>
      <c r="N61" s="21"/>
    </row>
    <row r="62" spans="1:14" ht="15" customHeight="1" x14ac:dyDescent="0.25">
      <c r="A62" s="12"/>
      <c r="B62" s="13"/>
      <c r="C62" s="14">
        <v>-1</v>
      </c>
      <c r="D62" s="15">
        <f>D61</f>
        <v>5.0289545870161536</v>
      </c>
      <c r="E62" s="16"/>
      <c r="F62" s="16">
        <f>8/12/3.281</f>
        <v>0.20319008432388497</v>
      </c>
      <c r="G62" s="17">
        <f t="shared" si="0"/>
        <v>-1.0218337065968004</v>
      </c>
      <c r="H62" s="18"/>
      <c r="I62" s="19"/>
      <c r="J62" s="20"/>
      <c r="K62" s="16"/>
      <c r="M62" s="21"/>
      <c r="N62" s="21"/>
    </row>
    <row r="63" spans="1:14" s="53" customFormat="1" ht="15" customHeight="1" x14ac:dyDescent="0.25">
      <c r="A63" s="47"/>
      <c r="B63" s="48" t="s">
        <v>57</v>
      </c>
      <c r="C63" s="49">
        <v>1</v>
      </c>
      <c r="D63" s="50">
        <f>2.75+6.2+6.2+2.6</f>
        <v>17.75</v>
      </c>
      <c r="E63" s="50"/>
      <c r="F63" s="50">
        <f>2.6</f>
        <v>2.6</v>
      </c>
      <c r="G63" s="50">
        <f>PRODUCT(C63:F63)</f>
        <v>46.15</v>
      </c>
      <c r="H63" s="50"/>
      <c r="I63" s="50"/>
      <c r="J63" s="51"/>
      <c r="K63" s="52"/>
    </row>
    <row r="64" spans="1:14" s="53" customFormat="1" ht="15" customHeight="1" x14ac:dyDescent="0.25">
      <c r="A64" s="47"/>
      <c r="B64" s="48" t="s">
        <v>58</v>
      </c>
      <c r="C64" s="49">
        <v>-1</v>
      </c>
      <c r="D64" s="50">
        <f>4/3.281</f>
        <v>1.2191405059433098</v>
      </c>
      <c r="E64" s="50"/>
      <c r="F64" s="50">
        <f>6.5/3.281</f>
        <v>1.9811033221578787</v>
      </c>
      <c r="G64" s="50">
        <f t="shared" ref="G64:G76" si="1">PRODUCT(C64:F64)</f>
        <v>-2.415243306501528</v>
      </c>
      <c r="H64" s="50"/>
      <c r="I64" s="50"/>
      <c r="J64" s="51"/>
      <c r="K64" s="52"/>
    </row>
    <row r="65" spans="1:14" s="53" customFormat="1" ht="15" customHeight="1" x14ac:dyDescent="0.25">
      <c r="A65" s="47"/>
      <c r="B65" s="48" t="s">
        <v>59</v>
      </c>
      <c r="C65" s="49">
        <f>-0.5*8</f>
        <v>-4</v>
      </c>
      <c r="D65" s="50">
        <f>0.667/3.281</f>
        <v>0.20329167936604695</v>
      </c>
      <c r="E65" s="50">
        <f>0.667/3.281</f>
        <v>0.20329167936604695</v>
      </c>
      <c r="F65" s="50"/>
      <c r="G65" s="50">
        <f t="shared" si="1"/>
        <v>-0.16531002759787056</v>
      </c>
      <c r="H65" s="50"/>
      <c r="I65" s="50"/>
      <c r="J65" s="51"/>
      <c r="K65" s="52"/>
    </row>
    <row r="66" spans="1:14" s="53" customFormat="1" ht="15" customHeight="1" x14ac:dyDescent="0.25">
      <c r="A66" s="47"/>
      <c r="B66" s="48" t="s">
        <v>60</v>
      </c>
      <c r="C66" s="49">
        <v>2</v>
      </c>
      <c r="D66" s="50">
        <f>2.6</f>
        <v>2.6</v>
      </c>
      <c r="E66" s="50"/>
      <c r="F66" s="50">
        <f>2.6</f>
        <v>2.6</v>
      </c>
      <c r="G66" s="50">
        <f t="shared" si="1"/>
        <v>13.520000000000001</v>
      </c>
      <c r="H66" s="50"/>
      <c r="I66" s="50"/>
      <c r="J66" s="51"/>
      <c r="K66" s="52"/>
    </row>
    <row r="67" spans="1:14" s="53" customFormat="1" ht="15" customHeight="1" x14ac:dyDescent="0.25">
      <c r="A67" s="47"/>
      <c r="B67" s="48"/>
      <c r="C67" s="49">
        <v>2</v>
      </c>
      <c r="D67" s="50">
        <f>6.2-D66</f>
        <v>3.6</v>
      </c>
      <c r="E67" s="50"/>
      <c r="F67" s="50">
        <f>2.6</f>
        <v>2.6</v>
      </c>
      <c r="G67" s="50">
        <f t="shared" si="1"/>
        <v>18.720000000000002</v>
      </c>
      <c r="H67" s="50"/>
      <c r="I67" s="50"/>
      <c r="J67" s="51"/>
      <c r="K67" s="52"/>
    </row>
    <row r="68" spans="1:14" s="53" customFormat="1" ht="15" customHeight="1" x14ac:dyDescent="0.25">
      <c r="A68" s="47"/>
      <c r="B68" s="48" t="s">
        <v>22</v>
      </c>
      <c r="C68" s="49">
        <v>-1</v>
      </c>
      <c r="D68" s="50">
        <f>3.5/3.281</f>
        <v>1.0667479427003961</v>
      </c>
      <c r="E68" s="50"/>
      <c r="F68" s="50">
        <f>4.5/3.281</f>
        <v>1.3715330691862238</v>
      </c>
      <c r="G68" s="50">
        <f t="shared" si="1"/>
        <v>-1.4630800798999641</v>
      </c>
      <c r="H68" s="50"/>
      <c r="I68" s="50"/>
      <c r="J68" s="51"/>
      <c r="K68" s="52"/>
    </row>
    <row r="69" spans="1:14" s="53" customFormat="1" ht="15" customHeight="1" x14ac:dyDescent="0.25">
      <c r="A69" s="47"/>
      <c r="B69" s="48" t="s">
        <v>61</v>
      </c>
      <c r="C69" s="49">
        <f>1</f>
        <v>1</v>
      </c>
      <c r="D69" s="50">
        <f>10.75/3.281</f>
        <v>3.2764401097226452</v>
      </c>
      <c r="E69" s="50"/>
      <c r="F69" s="50">
        <v>0.9</v>
      </c>
      <c r="G69" s="50">
        <f t="shared" si="1"/>
        <v>2.948796098750381</v>
      </c>
      <c r="H69" s="50"/>
      <c r="I69" s="50"/>
      <c r="J69" s="51"/>
      <c r="K69" s="52"/>
    </row>
    <row r="70" spans="1:14" s="53" customFormat="1" ht="15" customHeight="1" x14ac:dyDescent="0.25">
      <c r="A70" s="47"/>
      <c r="B70" s="48"/>
      <c r="C70" s="49">
        <f>1</f>
        <v>1</v>
      </c>
      <c r="D70" s="50"/>
      <c r="E70" s="50">
        <f>E60</f>
        <v>1.752514477293508</v>
      </c>
      <c r="F70" s="50">
        <v>0.9</v>
      </c>
      <c r="G70" s="50">
        <f t="shared" si="1"/>
        <v>1.5772630295641572</v>
      </c>
      <c r="H70" s="50"/>
      <c r="I70" s="50"/>
      <c r="J70" s="51"/>
      <c r="K70" s="52"/>
    </row>
    <row r="71" spans="1:14" s="53" customFormat="1" ht="15" customHeight="1" x14ac:dyDescent="0.25">
      <c r="A71" s="47"/>
      <c r="B71" s="48" t="s">
        <v>62</v>
      </c>
      <c r="C71" s="49">
        <v>2</v>
      </c>
      <c r="D71" s="50">
        <f>D66</f>
        <v>2.6</v>
      </c>
      <c r="E71" s="50"/>
      <c r="F71" s="50">
        <v>0.9</v>
      </c>
      <c r="G71" s="50">
        <f t="shared" si="1"/>
        <v>4.6800000000000006</v>
      </c>
      <c r="H71" s="50"/>
      <c r="I71" s="50"/>
      <c r="J71" s="51"/>
      <c r="K71" s="52"/>
    </row>
    <row r="72" spans="1:14" s="53" customFormat="1" ht="15" customHeight="1" x14ac:dyDescent="0.25">
      <c r="A72" s="47"/>
      <c r="B72" s="48"/>
      <c r="C72" s="49">
        <v>2</v>
      </c>
      <c r="D72" s="50"/>
      <c r="E72" s="50">
        <v>6.2</v>
      </c>
      <c r="F72" s="50">
        <v>0.9</v>
      </c>
      <c r="G72" s="50">
        <f t="shared" si="1"/>
        <v>11.16</v>
      </c>
      <c r="H72" s="50"/>
      <c r="I72" s="50"/>
      <c r="J72" s="51"/>
      <c r="K72" s="52"/>
    </row>
    <row r="73" spans="1:14" s="53" customFormat="1" ht="15" customHeight="1" x14ac:dyDescent="0.25">
      <c r="A73" s="47"/>
      <c r="B73" s="48" t="s">
        <v>63</v>
      </c>
      <c r="C73" s="49">
        <v>-2</v>
      </c>
      <c r="D73" s="50"/>
      <c r="E73" s="50">
        <f>3/3.281</f>
        <v>0.91435537945748246</v>
      </c>
      <c r="F73" s="50">
        <f>2/3.281</f>
        <v>0.6095702529716549</v>
      </c>
      <c r="G73" s="50">
        <f t="shared" si="1"/>
        <v>-1.1147276799237822</v>
      </c>
      <c r="H73" s="50"/>
      <c r="I73" s="50"/>
      <c r="J73" s="51"/>
      <c r="K73" s="52"/>
    </row>
    <row r="74" spans="1:14" s="53" customFormat="1" ht="15" customHeight="1" x14ac:dyDescent="0.25">
      <c r="A74" s="47"/>
      <c r="B74" s="48" t="s">
        <v>64</v>
      </c>
      <c r="C74" s="49">
        <f>2*4</f>
        <v>8</v>
      </c>
      <c r="D74" s="50">
        <f>24/12/3.281</f>
        <v>0.6095702529716549</v>
      </c>
      <c r="E74" s="50"/>
      <c r="F74" s="50">
        <f>5/3.281</f>
        <v>1.5239256324291375</v>
      </c>
      <c r="G74" s="50">
        <f t="shared" si="1"/>
        <v>7.4315178661585479</v>
      </c>
      <c r="H74" s="50"/>
      <c r="I74" s="50"/>
      <c r="J74" s="51"/>
      <c r="K74" s="52"/>
    </row>
    <row r="75" spans="1:14" s="53" customFormat="1" ht="15" customHeight="1" x14ac:dyDescent="0.25">
      <c r="A75" s="47"/>
      <c r="B75" s="48" t="s">
        <v>65</v>
      </c>
      <c r="C75" s="49">
        <f>-2*4</f>
        <v>-8</v>
      </c>
      <c r="D75" s="50">
        <f>24/12/3.281</f>
        <v>0.6095702529716549</v>
      </c>
      <c r="E75" s="50"/>
      <c r="F75" s="50">
        <f>8/12/3.281</f>
        <v>0.20319008432388497</v>
      </c>
      <c r="G75" s="50">
        <f t="shared" si="1"/>
        <v>-0.99086904882113958</v>
      </c>
      <c r="H75" s="50"/>
      <c r="I75" s="50"/>
      <c r="J75" s="51"/>
      <c r="K75" s="52"/>
    </row>
    <row r="76" spans="1:14" s="53" customFormat="1" ht="15" customHeight="1" x14ac:dyDescent="0.25">
      <c r="A76" s="47"/>
      <c r="B76" s="48" t="s">
        <v>66</v>
      </c>
      <c r="C76" s="49">
        <v>1</v>
      </c>
      <c r="D76" s="50">
        <f>10.75/3.281</f>
        <v>3.2764401097226452</v>
      </c>
      <c r="E76" s="50"/>
      <c r="F76" s="50">
        <f>F57+F69</f>
        <v>6.1331606217616583</v>
      </c>
      <c r="G76" s="50">
        <f t="shared" si="1"/>
        <v>20.094933460511374</v>
      </c>
      <c r="H76" s="50"/>
      <c r="I76" s="50"/>
      <c r="J76" s="51"/>
      <c r="K76" s="52"/>
    </row>
    <row r="77" spans="1:14" ht="15" customHeight="1" x14ac:dyDescent="0.25">
      <c r="A77" s="12"/>
      <c r="B77" s="22" t="s">
        <v>25</v>
      </c>
      <c r="C77" s="14"/>
      <c r="D77" s="15"/>
      <c r="E77" s="16"/>
      <c r="F77" s="16"/>
      <c r="G77" s="19">
        <f>SUM(G57:G76)</f>
        <v>131.8448252960074</v>
      </c>
      <c r="H77" s="18" t="s">
        <v>26</v>
      </c>
      <c r="I77" s="19">
        <f>5810.57</f>
        <v>5810.57</v>
      </c>
      <c r="J77" s="20">
        <f>G77*I77</f>
        <v>766093.58652022167</v>
      </c>
      <c r="K77" s="16"/>
      <c r="M77" s="21"/>
      <c r="N77" s="21"/>
    </row>
    <row r="78" spans="1:14" ht="15" customHeight="1" x14ac:dyDescent="0.25">
      <c r="A78" s="12"/>
      <c r="B78" s="22"/>
      <c r="C78" s="14"/>
      <c r="D78" s="15"/>
      <c r="E78" s="16"/>
      <c r="F78" s="16"/>
      <c r="G78" s="19"/>
      <c r="H78" s="18"/>
      <c r="I78" s="19"/>
      <c r="J78" s="20"/>
      <c r="K78" s="16"/>
      <c r="M78" s="21"/>
      <c r="N78" s="21"/>
    </row>
    <row r="79" spans="1:14" ht="47.25" x14ac:dyDescent="0.25">
      <c r="A79" s="12">
        <v>11</v>
      </c>
      <c r="B79" s="23" t="s">
        <v>67</v>
      </c>
      <c r="C79" s="14"/>
      <c r="D79" s="15"/>
      <c r="E79" s="16"/>
      <c r="F79" s="16"/>
      <c r="G79" s="19"/>
      <c r="H79" s="18"/>
      <c r="I79" s="19"/>
      <c r="J79" s="20"/>
      <c r="K79" s="16"/>
      <c r="M79" s="21"/>
      <c r="N79" s="21"/>
    </row>
    <row r="80" spans="1:14" ht="15" customHeight="1" x14ac:dyDescent="0.25">
      <c r="A80" s="12"/>
      <c r="B80" s="22" t="s">
        <v>49</v>
      </c>
      <c r="C80" s="14">
        <f>1+1*2</f>
        <v>3</v>
      </c>
      <c r="D80" s="15">
        <f>E57+E60</f>
        <v>5.0289545870161536</v>
      </c>
      <c r="E80" s="16"/>
      <c r="F80" s="16"/>
      <c r="G80" s="17">
        <f>PRODUCT(C80:F80)</f>
        <v>15.086863761048461</v>
      </c>
      <c r="H80" s="18"/>
      <c r="I80" s="19"/>
      <c r="J80" s="20"/>
      <c r="K80" s="16"/>
      <c r="M80" s="21"/>
      <c r="N80" s="21"/>
    </row>
    <row r="81" spans="1:14" ht="15" customHeight="1" x14ac:dyDescent="0.25">
      <c r="A81" s="12"/>
      <c r="B81" s="22" t="s">
        <v>51</v>
      </c>
      <c r="C81" s="14">
        <v>2</v>
      </c>
      <c r="D81" s="15">
        <f>(24/12/3.281)*4</f>
        <v>2.4382810118866196</v>
      </c>
      <c r="E81" s="16"/>
      <c r="F81" s="16"/>
      <c r="G81" s="17">
        <f>PRODUCT(C81:F81)</f>
        <v>4.8765620237732392</v>
      </c>
      <c r="H81" s="18"/>
      <c r="I81" s="19"/>
      <c r="J81" s="20"/>
      <c r="K81" s="16"/>
      <c r="M81" s="21"/>
      <c r="N81" s="21"/>
    </row>
    <row r="82" spans="1:14" ht="15" customHeight="1" x14ac:dyDescent="0.25">
      <c r="A82" s="12"/>
      <c r="B82" s="22" t="s">
        <v>25</v>
      </c>
      <c r="C82" s="14"/>
      <c r="D82" s="15"/>
      <c r="E82" s="16"/>
      <c r="F82" s="16"/>
      <c r="G82" s="19">
        <f>SUM(G80:G81)</f>
        <v>19.963425784821702</v>
      </c>
      <c r="H82" s="18" t="s">
        <v>68</v>
      </c>
      <c r="I82" s="19">
        <f>396.86</f>
        <v>396.86</v>
      </c>
      <c r="J82" s="20">
        <f>G82*I82</f>
        <v>7922.6851569643404</v>
      </c>
      <c r="K82" s="16"/>
      <c r="M82" s="21"/>
      <c r="N82" s="21"/>
    </row>
    <row r="83" spans="1:14" ht="15" customHeight="1" x14ac:dyDescent="0.25">
      <c r="A83" s="12"/>
      <c r="B83" s="22"/>
      <c r="C83" s="14"/>
      <c r="D83" s="15"/>
      <c r="E83" s="16"/>
      <c r="F83" s="16"/>
      <c r="G83" s="19"/>
      <c r="H83" s="18"/>
      <c r="I83" s="19"/>
      <c r="J83" s="20"/>
      <c r="K83" s="16"/>
      <c r="M83" s="21"/>
      <c r="N83" s="21"/>
    </row>
    <row r="84" spans="1:14" ht="30" x14ac:dyDescent="0.25">
      <c r="A84" s="12">
        <v>12</v>
      </c>
      <c r="B84" s="75" t="s">
        <v>69</v>
      </c>
      <c r="C84" s="14"/>
      <c r="D84" s="15"/>
      <c r="E84" s="16"/>
      <c r="F84" s="16"/>
      <c r="G84" s="17"/>
      <c r="H84" s="18"/>
      <c r="I84" s="19"/>
      <c r="J84" s="20"/>
      <c r="K84" s="16"/>
      <c r="M84" s="21"/>
      <c r="N84" s="21"/>
    </row>
    <row r="85" spans="1:14" ht="15" customHeight="1" x14ac:dyDescent="0.25">
      <c r="A85" s="12"/>
      <c r="B85" s="22" t="s">
        <v>49</v>
      </c>
      <c r="C85" s="14">
        <f>1</f>
        <v>1</v>
      </c>
      <c r="D85" s="15">
        <f>D80</f>
        <v>5.0289545870161536</v>
      </c>
      <c r="E85" s="16"/>
      <c r="F85" s="16"/>
      <c r="G85" s="17">
        <f>PRODUCT(C85:F85)</f>
        <v>5.0289545870161536</v>
      </c>
      <c r="H85" s="18"/>
      <c r="I85" s="19"/>
      <c r="J85" s="20"/>
      <c r="K85" s="16"/>
      <c r="M85" s="21"/>
      <c r="N85" s="21"/>
    </row>
    <row r="86" spans="1:14" ht="15" customHeight="1" x14ac:dyDescent="0.25">
      <c r="A86" s="12"/>
      <c r="B86" s="22" t="s">
        <v>51</v>
      </c>
      <c r="C86" s="14">
        <v>2</v>
      </c>
      <c r="D86" s="15">
        <f>(24/12/3.281)*4</f>
        <v>2.4382810118866196</v>
      </c>
      <c r="E86" s="16"/>
      <c r="F86" s="16"/>
      <c r="G86" s="17">
        <f>PRODUCT(C86:F86)</f>
        <v>4.8765620237732392</v>
      </c>
      <c r="H86" s="18"/>
      <c r="I86" s="19"/>
      <c r="J86" s="20"/>
      <c r="K86" s="16"/>
      <c r="M86" s="21"/>
      <c r="N86" s="21"/>
    </row>
    <row r="87" spans="1:14" ht="15" customHeight="1" x14ac:dyDescent="0.25">
      <c r="A87" s="12"/>
      <c r="B87" s="22" t="s">
        <v>25</v>
      </c>
      <c r="C87" s="14"/>
      <c r="D87" s="15"/>
      <c r="E87" s="16"/>
      <c r="F87" s="16"/>
      <c r="G87" s="19">
        <f>SUM(G85:G86)</f>
        <v>9.9055166107893928</v>
      </c>
      <c r="H87" s="18" t="s">
        <v>68</v>
      </c>
      <c r="I87" s="19">
        <f>465.63</f>
        <v>465.63</v>
      </c>
      <c r="J87" s="20">
        <f>G87*I87</f>
        <v>4612.3056994818653</v>
      </c>
      <c r="K87" s="16"/>
      <c r="M87" s="21"/>
      <c r="N87" s="21"/>
    </row>
    <row r="88" spans="1:14" ht="15" customHeight="1" x14ac:dyDescent="0.25">
      <c r="A88" s="12"/>
      <c r="B88" s="22"/>
      <c r="C88" s="14"/>
      <c r="D88" s="15"/>
      <c r="E88" s="16"/>
      <c r="F88" s="16"/>
      <c r="G88" s="19"/>
      <c r="H88" s="18"/>
      <c r="I88" s="19"/>
      <c r="J88" s="20"/>
      <c r="K88" s="16"/>
      <c r="M88" s="21"/>
      <c r="N88" s="21"/>
    </row>
    <row r="89" spans="1:14" ht="47.25" x14ac:dyDescent="0.25">
      <c r="A89" s="12">
        <v>13</v>
      </c>
      <c r="B89" s="23" t="s">
        <v>70</v>
      </c>
      <c r="C89" s="14"/>
      <c r="D89" s="15"/>
      <c r="E89" s="16"/>
      <c r="F89" s="16"/>
      <c r="G89" s="19"/>
      <c r="H89" s="18"/>
      <c r="I89" s="19"/>
      <c r="J89" s="20"/>
      <c r="K89" s="16"/>
      <c r="M89" s="21"/>
      <c r="N89" s="21"/>
    </row>
    <row r="90" spans="1:14" ht="15" customHeight="1" x14ac:dyDescent="0.25">
      <c r="A90" s="12"/>
      <c r="B90" s="22" t="s">
        <v>49</v>
      </c>
      <c r="C90" s="14">
        <f>2*2</f>
        <v>4</v>
      </c>
      <c r="D90" s="15">
        <f>D85</f>
        <v>5.0289545870161536</v>
      </c>
      <c r="E90" s="16"/>
      <c r="F90" s="16"/>
      <c r="G90" s="17">
        <f>PRODUCT(C90:F90)</f>
        <v>20.115818348064614</v>
      </c>
      <c r="H90" s="18"/>
      <c r="I90" s="19"/>
      <c r="J90" s="20"/>
      <c r="K90" s="16"/>
      <c r="M90" s="21"/>
      <c r="N90" s="21"/>
    </row>
    <row r="91" spans="1:14" ht="15" customHeight="1" x14ac:dyDescent="0.25">
      <c r="A91" s="12"/>
      <c r="B91" s="13" t="s">
        <v>22</v>
      </c>
      <c r="C91" s="14">
        <v>-1</v>
      </c>
      <c r="D91" s="15">
        <f>3.5/3.281</f>
        <v>1.0667479427003961</v>
      </c>
      <c r="E91" s="16"/>
      <c r="F91" s="16"/>
      <c r="G91" s="17">
        <f>PRODUCT(C91:F91)</f>
        <v>-1.0667479427003961</v>
      </c>
      <c r="H91" s="18"/>
      <c r="I91" s="19"/>
      <c r="J91" s="20"/>
      <c r="K91" s="16"/>
      <c r="M91" s="21"/>
      <c r="N91" s="21"/>
    </row>
    <row r="92" spans="1:14" ht="15" customHeight="1" x14ac:dyDescent="0.25">
      <c r="A92" s="12"/>
      <c r="B92" s="13" t="s">
        <v>23</v>
      </c>
      <c r="C92" s="14">
        <v>-1</v>
      </c>
      <c r="D92" s="15">
        <f>3.833/3.281</f>
        <v>1.1682413898201769</v>
      </c>
      <c r="E92" s="16"/>
      <c r="F92" s="16"/>
      <c r="G92" s="17">
        <f>PRODUCT(C92:F92)</f>
        <v>-1.1682413898201769</v>
      </c>
      <c r="H92" s="18"/>
      <c r="I92" s="19"/>
      <c r="J92" s="20"/>
      <c r="K92" s="16"/>
      <c r="M92" s="21"/>
      <c r="N92" s="21"/>
    </row>
    <row r="93" spans="1:14" ht="15" customHeight="1" x14ac:dyDescent="0.25">
      <c r="A93" s="12"/>
      <c r="B93" s="22" t="s">
        <v>51</v>
      </c>
      <c r="C93" s="14">
        <f>2*2</f>
        <v>4</v>
      </c>
      <c r="D93" s="15">
        <f>(24/12/3.281)*4</f>
        <v>2.4382810118866196</v>
      </c>
      <c r="E93" s="16"/>
      <c r="F93" s="16"/>
      <c r="G93" s="17">
        <f>PRODUCT(C93:F93)</f>
        <v>9.7531240475464784</v>
      </c>
      <c r="H93" s="18"/>
      <c r="I93" s="19"/>
      <c r="J93" s="20"/>
      <c r="K93" s="16"/>
      <c r="M93" s="21"/>
      <c r="N93" s="21"/>
    </row>
    <row r="94" spans="1:14" ht="15" customHeight="1" x14ac:dyDescent="0.25">
      <c r="A94" s="12"/>
      <c r="B94" s="22" t="s">
        <v>25</v>
      </c>
      <c r="C94" s="14"/>
      <c r="D94" s="15"/>
      <c r="E94" s="16"/>
      <c r="F94" s="16"/>
      <c r="G94" s="19">
        <f>SUM(G90:G93)</f>
        <v>27.633953063090519</v>
      </c>
      <c r="H94" s="18" t="s">
        <v>68</v>
      </c>
      <c r="I94" s="19">
        <f>406.75</f>
        <v>406.75</v>
      </c>
      <c r="J94" s="20">
        <f>G94*I94</f>
        <v>11240.110408412069</v>
      </c>
      <c r="K94" s="16"/>
      <c r="M94" s="21"/>
      <c r="N94" s="21"/>
    </row>
    <row r="95" spans="1:14" ht="15" customHeight="1" x14ac:dyDescent="0.25">
      <c r="A95" s="12"/>
      <c r="B95" s="22"/>
      <c r="C95" s="14"/>
      <c r="D95" s="15"/>
      <c r="E95" s="16"/>
      <c r="F95" s="16"/>
      <c r="G95" s="19"/>
      <c r="H95" s="18"/>
      <c r="I95" s="19"/>
      <c r="J95" s="20"/>
      <c r="K95" s="16"/>
      <c r="M95" s="21"/>
      <c r="N95" s="21"/>
    </row>
    <row r="96" spans="1:14" ht="47.25" x14ac:dyDescent="0.25">
      <c r="A96" s="12">
        <v>14</v>
      </c>
      <c r="B96" s="23" t="s">
        <v>71</v>
      </c>
      <c r="C96" s="14"/>
      <c r="D96" s="15"/>
      <c r="E96" s="16"/>
      <c r="F96" s="16"/>
      <c r="G96" s="19"/>
      <c r="H96" s="18"/>
      <c r="I96" s="19"/>
      <c r="J96" s="20"/>
      <c r="K96" s="16"/>
      <c r="M96" s="21"/>
      <c r="N96" s="21"/>
    </row>
    <row r="97" spans="1:14" ht="15" customHeight="1" x14ac:dyDescent="0.25">
      <c r="A97" s="12"/>
      <c r="B97" s="22" t="s">
        <v>49</v>
      </c>
      <c r="C97" s="14">
        <v>2</v>
      </c>
      <c r="D97" s="15">
        <f>D90</f>
        <v>5.0289545870161536</v>
      </c>
      <c r="E97" s="16"/>
      <c r="F97" s="16"/>
      <c r="G97" s="17">
        <f>PRODUCT(C97:F97)</f>
        <v>10.057909174032307</v>
      </c>
      <c r="H97" s="18"/>
      <c r="I97" s="19"/>
      <c r="J97" s="20"/>
      <c r="K97" s="16"/>
      <c r="M97" s="21"/>
      <c r="N97" s="21"/>
    </row>
    <row r="98" spans="1:14" ht="15" customHeight="1" x14ac:dyDescent="0.25">
      <c r="A98" s="12"/>
      <c r="B98" s="13" t="s">
        <v>22</v>
      </c>
      <c r="C98" s="14">
        <v>-1</v>
      </c>
      <c r="D98" s="15">
        <f>3.5/3.281</f>
        <v>1.0667479427003961</v>
      </c>
      <c r="E98" s="16"/>
      <c r="F98" s="16"/>
      <c r="G98" s="17">
        <f>PRODUCT(C98:F98)</f>
        <v>-1.0667479427003961</v>
      </c>
      <c r="H98" s="18"/>
      <c r="I98" s="19"/>
      <c r="J98" s="20"/>
      <c r="K98" s="16"/>
      <c r="M98" s="21"/>
      <c r="N98" s="21"/>
    </row>
    <row r="99" spans="1:14" ht="15" customHeight="1" x14ac:dyDescent="0.25">
      <c r="A99" s="12"/>
      <c r="B99" s="13" t="s">
        <v>23</v>
      </c>
      <c r="C99" s="14">
        <v>-1</v>
      </c>
      <c r="D99" s="15">
        <f>3.833/3.281</f>
        <v>1.1682413898201769</v>
      </c>
      <c r="E99" s="16"/>
      <c r="F99" s="16"/>
      <c r="G99" s="17">
        <f>PRODUCT(C99:F99)</f>
        <v>-1.1682413898201769</v>
      </c>
      <c r="H99" s="18"/>
      <c r="I99" s="19"/>
      <c r="J99" s="20"/>
      <c r="K99" s="16"/>
      <c r="M99" s="21"/>
      <c r="N99" s="21"/>
    </row>
    <row r="100" spans="1:14" ht="15" customHeight="1" x14ac:dyDescent="0.25">
      <c r="A100" s="12"/>
      <c r="B100" s="22" t="s">
        <v>51</v>
      </c>
      <c r="C100" s="14">
        <f>2</f>
        <v>2</v>
      </c>
      <c r="D100" s="15">
        <f>(24/12/3.281)*4</f>
        <v>2.4382810118866196</v>
      </c>
      <c r="E100" s="16"/>
      <c r="F100" s="16"/>
      <c r="G100" s="17">
        <f>PRODUCT(C100:F100)</f>
        <v>4.8765620237732392</v>
      </c>
      <c r="H100" s="18"/>
      <c r="I100" s="19"/>
      <c r="J100" s="20"/>
      <c r="K100" s="16"/>
      <c r="M100" s="21"/>
      <c r="N100" s="21"/>
    </row>
    <row r="101" spans="1:14" ht="15" customHeight="1" x14ac:dyDescent="0.25">
      <c r="A101" s="12"/>
      <c r="B101" s="22" t="s">
        <v>25</v>
      </c>
      <c r="C101" s="14"/>
      <c r="D101" s="15"/>
      <c r="E101" s="16"/>
      <c r="F101" s="16"/>
      <c r="G101" s="19">
        <f>SUM(G97:G100)</f>
        <v>12.699481865284973</v>
      </c>
      <c r="H101" s="18" t="s">
        <v>68</v>
      </c>
      <c r="I101" s="19">
        <f>447.23</f>
        <v>447.23</v>
      </c>
      <c r="J101" s="20">
        <f>G101*I101</f>
        <v>5679.5892746113987</v>
      </c>
      <c r="K101" s="16"/>
      <c r="M101" s="21"/>
      <c r="N101" s="21"/>
    </row>
    <row r="102" spans="1:14" ht="15" customHeight="1" x14ac:dyDescent="0.25">
      <c r="A102" s="12"/>
      <c r="B102" s="22"/>
      <c r="C102" s="14"/>
      <c r="D102" s="15"/>
      <c r="E102" s="16"/>
      <c r="F102" s="16"/>
      <c r="G102" s="19"/>
      <c r="H102" s="18"/>
      <c r="I102" s="19"/>
      <c r="J102" s="20"/>
      <c r="K102" s="16"/>
      <c r="M102" s="21"/>
      <c r="N102" s="21"/>
    </row>
    <row r="103" spans="1:14" ht="30" x14ac:dyDescent="0.25">
      <c r="A103" s="12">
        <v>15</v>
      </c>
      <c r="B103" s="75" t="s">
        <v>72</v>
      </c>
      <c r="C103" s="14"/>
      <c r="D103" s="15"/>
      <c r="E103" s="16"/>
      <c r="F103" s="16"/>
      <c r="G103" s="17"/>
      <c r="H103" s="18"/>
      <c r="I103" s="19"/>
      <c r="J103" s="20"/>
      <c r="K103" s="16"/>
      <c r="M103" s="21"/>
      <c r="N103" s="21"/>
    </row>
    <row r="104" spans="1:14" ht="15" customHeight="1" x14ac:dyDescent="0.25">
      <c r="A104" s="12"/>
      <c r="B104" s="22" t="s">
        <v>49</v>
      </c>
      <c r="C104" s="14">
        <f>1*2</f>
        <v>2</v>
      </c>
      <c r="D104" s="15">
        <f>D97</f>
        <v>5.0289545870161536</v>
      </c>
      <c r="E104" s="16"/>
      <c r="F104" s="16"/>
      <c r="G104" s="17">
        <f>PRODUCT(C104:F104)</f>
        <v>10.057909174032307</v>
      </c>
      <c r="H104" s="18"/>
      <c r="I104" s="19"/>
      <c r="J104" s="20"/>
      <c r="K104" s="16"/>
      <c r="M104" s="21"/>
      <c r="N104" s="21"/>
    </row>
    <row r="105" spans="1:14" ht="15" customHeight="1" x14ac:dyDescent="0.25">
      <c r="A105" s="12"/>
      <c r="B105" s="22" t="s">
        <v>51</v>
      </c>
      <c r="C105" s="14">
        <f>2</f>
        <v>2</v>
      </c>
      <c r="D105" s="15">
        <f>(24/12/3.281)*4</f>
        <v>2.4382810118866196</v>
      </c>
      <c r="E105" s="16"/>
      <c r="F105" s="16"/>
      <c r="G105" s="17">
        <f>PRODUCT(C105:F105)</f>
        <v>4.8765620237732392</v>
      </c>
      <c r="H105" s="18"/>
      <c r="I105" s="19"/>
      <c r="J105" s="20"/>
      <c r="K105" s="16"/>
      <c r="M105" s="21"/>
      <c r="N105" s="21"/>
    </row>
    <row r="106" spans="1:14" ht="15" customHeight="1" x14ac:dyDescent="0.25">
      <c r="A106" s="12"/>
      <c r="B106" s="22" t="s">
        <v>25</v>
      </c>
      <c r="C106" s="14"/>
      <c r="D106" s="15"/>
      <c r="E106" s="16"/>
      <c r="F106" s="16"/>
      <c r="G106" s="19">
        <f>SUM(G104:G105)</f>
        <v>14.934471197805546</v>
      </c>
      <c r="H106" s="18" t="s">
        <v>68</v>
      </c>
      <c r="I106" s="19">
        <f>469.79</f>
        <v>469.79</v>
      </c>
      <c r="J106" s="20">
        <f>G106*I106</f>
        <v>7016.0652240170675</v>
      </c>
      <c r="K106" s="16"/>
      <c r="M106" s="21"/>
      <c r="N106" s="21"/>
    </row>
    <row r="107" spans="1:14" ht="15" customHeight="1" x14ac:dyDescent="0.25">
      <c r="A107" s="12"/>
      <c r="B107" s="30"/>
      <c r="C107" s="14"/>
      <c r="D107" s="15"/>
      <c r="E107" s="16"/>
      <c r="F107" s="16"/>
      <c r="G107" s="19"/>
      <c r="H107" s="18"/>
      <c r="I107" s="19"/>
      <c r="J107" s="20"/>
      <c r="K107" s="16"/>
      <c r="M107" s="21"/>
      <c r="N107" s="21"/>
    </row>
    <row r="108" spans="1:14" ht="47.25" x14ac:dyDescent="0.25">
      <c r="A108" s="12">
        <v>16</v>
      </c>
      <c r="B108" s="23" t="s">
        <v>73</v>
      </c>
      <c r="C108" s="14"/>
      <c r="D108" s="15"/>
      <c r="E108" s="16"/>
      <c r="F108" s="16"/>
      <c r="G108" s="19"/>
      <c r="H108" s="18"/>
      <c r="I108" s="19"/>
      <c r="J108" s="20"/>
      <c r="K108" s="16"/>
      <c r="M108" s="21"/>
      <c r="N108" s="21"/>
    </row>
    <row r="109" spans="1:14" ht="15" customHeight="1" x14ac:dyDescent="0.25">
      <c r="A109" s="12"/>
      <c r="B109" s="22" t="s">
        <v>49</v>
      </c>
      <c r="C109" s="14">
        <f>1*2</f>
        <v>2</v>
      </c>
      <c r="D109" s="15">
        <f>D129</f>
        <v>5.0289545870161536</v>
      </c>
      <c r="E109" s="16"/>
      <c r="F109" s="16"/>
      <c r="G109" s="17">
        <f>PRODUCT(C109:F109)</f>
        <v>10.057909174032307</v>
      </c>
      <c r="H109" s="18"/>
      <c r="I109" s="19"/>
      <c r="J109" s="20"/>
      <c r="K109" s="16"/>
      <c r="M109" s="21"/>
      <c r="N109" s="21"/>
    </row>
    <row r="110" spans="1:14" ht="15" customHeight="1" x14ac:dyDescent="0.25">
      <c r="A110" s="12"/>
      <c r="B110" s="22" t="s">
        <v>51</v>
      </c>
      <c r="C110" s="14">
        <f>2</f>
        <v>2</v>
      </c>
      <c r="D110" s="15">
        <f>(24/12/3.281)*4</f>
        <v>2.4382810118866196</v>
      </c>
      <c r="E110" s="16"/>
      <c r="F110" s="16"/>
      <c r="G110" s="17">
        <f>PRODUCT(C110:F110)</f>
        <v>4.8765620237732392</v>
      </c>
      <c r="H110" s="18"/>
      <c r="I110" s="19"/>
      <c r="J110" s="20"/>
      <c r="K110" s="16"/>
      <c r="M110" s="21"/>
      <c r="N110" s="21"/>
    </row>
    <row r="111" spans="1:14" ht="15" customHeight="1" x14ac:dyDescent="0.25">
      <c r="A111" s="12"/>
      <c r="B111" s="22" t="s">
        <v>25</v>
      </c>
      <c r="C111" s="14"/>
      <c r="D111" s="15"/>
      <c r="E111" s="16"/>
      <c r="F111" s="16"/>
      <c r="G111" s="19">
        <f>SUM(G109:G110)</f>
        <v>14.934471197805546</v>
      </c>
      <c r="H111" s="18" t="s">
        <v>68</v>
      </c>
      <c r="I111" s="19">
        <f>476.67</f>
        <v>476.67</v>
      </c>
      <c r="J111" s="20">
        <f>G111*I111</f>
        <v>7118.8143858579697</v>
      </c>
      <c r="K111" s="16"/>
      <c r="M111" s="21"/>
      <c r="N111" s="21"/>
    </row>
    <row r="112" spans="1:14" ht="15" customHeight="1" x14ac:dyDescent="0.25">
      <c r="A112" s="12"/>
      <c r="B112" s="22"/>
      <c r="C112" s="14"/>
      <c r="D112" s="15"/>
      <c r="E112" s="16"/>
      <c r="F112" s="16"/>
      <c r="G112" s="19"/>
      <c r="H112" s="18"/>
      <c r="I112" s="19"/>
      <c r="J112" s="20"/>
      <c r="K112" s="16"/>
      <c r="M112" s="21"/>
      <c r="N112" s="21"/>
    </row>
    <row r="113" spans="1:14" ht="47.25" x14ac:dyDescent="0.25">
      <c r="A113" s="12">
        <v>17</v>
      </c>
      <c r="B113" s="23" t="s">
        <v>74</v>
      </c>
      <c r="C113" s="14"/>
      <c r="D113" s="15"/>
      <c r="E113" s="16"/>
      <c r="F113" s="16"/>
      <c r="G113" s="19"/>
      <c r="H113" s="18"/>
      <c r="I113" s="19"/>
      <c r="J113" s="20"/>
      <c r="K113" s="16"/>
      <c r="M113" s="21"/>
      <c r="N113" s="21"/>
    </row>
    <row r="114" spans="1:14" ht="15" customHeight="1" x14ac:dyDescent="0.25">
      <c r="A114" s="12"/>
      <c r="B114" s="22" t="s">
        <v>49</v>
      </c>
      <c r="C114" s="14">
        <f>1*2</f>
        <v>2</v>
      </c>
      <c r="D114" s="15">
        <f>D109</f>
        <v>5.0289545870161536</v>
      </c>
      <c r="E114" s="16"/>
      <c r="F114" s="16"/>
      <c r="G114" s="17">
        <f>PRODUCT(C114:F114)</f>
        <v>10.057909174032307</v>
      </c>
      <c r="H114" s="18"/>
      <c r="I114" s="19"/>
      <c r="J114" s="20"/>
      <c r="K114" s="16"/>
      <c r="M114" s="21"/>
      <c r="N114" s="21"/>
    </row>
    <row r="115" spans="1:14" ht="15" customHeight="1" x14ac:dyDescent="0.25">
      <c r="A115" s="12"/>
      <c r="B115" s="22" t="s">
        <v>51</v>
      </c>
      <c r="C115" s="14">
        <f>2</f>
        <v>2</v>
      </c>
      <c r="D115" s="15">
        <f>(24/12/3.281)*4</f>
        <v>2.4382810118866196</v>
      </c>
      <c r="E115" s="16"/>
      <c r="F115" s="16"/>
      <c r="G115" s="17">
        <f>PRODUCT(C115:F115)</f>
        <v>4.8765620237732392</v>
      </c>
      <c r="H115" s="18"/>
      <c r="I115" s="19"/>
      <c r="J115" s="20"/>
      <c r="K115" s="16"/>
      <c r="M115" s="21"/>
      <c r="N115" s="21"/>
    </row>
    <row r="116" spans="1:14" ht="15" customHeight="1" x14ac:dyDescent="0.25">
      <c r="A116" s="12"/>
      <c r="B116" s="22" t="s">
        <v>25</v>
      </c>
      <c r="C116" s="14"/>
      <c r="D116" s="15"/>
      <c r="E116" s="16"/>
      <c r="F116" s="16"/>
      <c r="G116" s="19">
        <f>SUM(G114:G115)</f>
        <v>14.934471197805546</v>
      </c>
      <c r="H116" s="18" t="s">
        <v>68</v>
      </c>
      <c r="I116" s="19">
        <f>593.85</f>
        <v>593.85</v>
      </c>
      <c r="J116" s="20">
        <f>G116*I116</f>
        <v>8868.8357208168236</v>
      </c>
      <c r="K116" s="16"/>
      <c r="M116" s="21"/>
      <c r="N116" s="21"/>
    </row>
    <row r="117" spans="1:14" ht="15" customHeight="1" x14ac:dyDescent="0.25">
      <c r="A117" s="12"/>
      <c r="B117" s="22"/>
      <c r="C117" s="14"/>
      <c r="D117" s="15"/>
      <c r="E117" s="16"/>
      <c r="F117" s="16"/>
      <c r="G117" s="19"/>
      <c r="H117" s="18"/>
      <c r="I117" s="19"/>
      <c r="J117" s="20"/>
      <c r="K117" s="16"/>
      <c r="M117" s="21"/>
      <c r="N117" s="21"/>
    </row>
    <row r="118" spans="1:14" ht="47.25" x14ac:dyDescent="0.25">
      <c r="A118" s="12">
        <v>18</v>
      </c>
      <c r="B118" s="23" t="s">
        <v>75</v>
      </c>
      <c r="C118" s="14"/>
      <c r="D118" s="15"/>
      <c r="E118" s="16"/>
      <c r="F118" s="16"/>
      <c r="G118" s="19"/>
      <c r="H118" s="18"/>
      <c r="I118" s="19"/>
      <c r="J118" s="20"/>
      <c r="K118" s="16"/>
      <c r="M118" s="21"/>
      <c r="N118" s="21"/>
    </row>
    <row r="119" spans="1:14" ht="15" customHeight="1" x14ac:dyDescent="0.25">
      <c r="A119" s="12"/>
      <c r="B119" s="22" t="s">
        <v>49</v>
      </c>
      <c r="C119" s="14">
        <f>1*2</f>
        <v>2</v>
      </c>
      <c r="D119" s="15">
        <f>D114</f>
        <v>5.0289545870161536</v>
      </c>
      <c r="E119" s="16"/>
      <c r="F119" s="16"/>
      <c r="G119" s="17">
        <f>PRODUCT(C119:F119)</f>
        <v>10.057909174032307</v>
      </c>
      <c r="H119" s="18"/>
      <c r="I119" s="19"/>
      <c r="J119" s="20"/>
      <c r="K119" s="16"/>
      <c r="M119" s="21"/>
      <c r="N119" s="21"/>
    </row>
    <row r="120" spans="1:14" ht="15" customHeight="1" x14ac:dyDescent="0.25">
      <c r="A120" s="12"/>
      <c r="B120" s="22" t="s">
        <v>51</v>
      </c>
      <c r="C120" s="14">
        <f>2</f>
        <v>2</v>
      </c>
      <c r="D120" s="15">
        <f>(24/12/3.281)*4</f>
        <v>2.4382810118866196</v>
      </c>
      <c r="E120" s="16"/>
      <c r="F120" s="16"/>
      <c r="G120" s="17">
        <f>PRODUCT(C120:F120)</f>
        <v>4.8765620237732392</v>
      </c>
      <c r="H120" s="18"/>
      <c r="I120" s="19"/>
      <c r="J120" s="20"/>
      <c r="K120" s="16"/>
      <c r="M120" s="21"/>
      <c r="N120" s="21"/>
    </row>
    <row r="121" spans="1:14" ht="15" customHeight="1" x14ac:dyDescent="0.25">
      <c r="A121" s="12"/>
      <c r="B121" s="22" t="s">
        <v>25</v>
      </c>
      <c r="C121" s="14"/>
      <c r="D121" s="15"/>
      <c r="E121" s="16"/>
      <c r="F121" s="16"/>
      <c r="G121" s="19">
        <f>SUM(G119:G120)</f>
        <v>14.934471197805546</v>
      </c>
      <c r="H121" s="18" t="s">
        <v>68</v>
      </c>
      <c r="I121" s="19">
        <f>487.71</f>
        <v>487.71</v>
      </c>
      <c r="J121" s="20">
        <f>G121*I121</f>
        <v>7283.6909478817424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19</v>
      </c>
      <c r="B123" s="23" t="s">
        <v>76</v>
      </c>
      <c r="C123" s="14"/>
      <c r="D123" s="15"/>
      <c r="E123" s="16"/>
      <c r="F123" s="16"/>
      <c r="G123" s="19"/>
      <c r="H123" s="18"/>
      <c r="I123" s="19"/>
      <c r="J123" s="20"/>
      <c r="K123" s="16"/>
      <c r="M123" s="21"/>
      <c r="N123" s="21"/>
    </row>
    <row r="124" spans="1:14" ht="15" customHeight="1" x14ac:dyDescent="0.25">
      <c r="A124" s="12"/>
      <c r="B124" s="22" t="s">
        <v>49</v>
      </c>
      <c r="C124" s="14">
        <f>1*2</f>
        <v>2</v>
      </c>
      <c r="D124" s="15">
        <f>D119</f>
        <v>5.0289545870161536</v>
      </c>
      <c r="E124" s="16"/>
      <c r="F124" s="16"/>
      <c r="G124" s="17">
        <f>PRODUCT(C124:F124)</f>
        <v>10.057909174032307</v>
      </c>
      <c r="H124" s="18"/>
      <c r="I124" s="19"/>
      <c r="J124" s="20"/>
      <c r="K124" s="16"/>
      <c r="M124" s="21"/>
      <c r="N124" s="21"/>
    </row>
    <row r="125" spans="1:14" ht="15" customHeight="1" x14ac:dyDescent="0.25">
      <c r="A125" s="12"/>
      <c r="B125" s="22" t="s">
        <v>51</v>
      </c>
      <c r="C125" s="14">
        <f>2</f>
        <v>2</v>
      </c>
      <c r="D125" s="15">
        <f>(24/12/3.281)*4</f>
        <v>2.4382810118866196</v>
      </c>
      <c r="E125" s="16"/>
      <c r="F125" s="16"/>
      <c r="G125" s="17">
        <f>PRODUCT(C125:F125)</f>
        <v>4.8765620237732392</v>
      </c>
      <c r="H125" s="18"/>
      <c r="I125" s="19"/>
      <c r="J125" s="20"/>
      <c r="K125" s="16"/>
      <c r="M125" s="21"/>
      <c r="N125" s="21"/>
    </row>
    <row r="126" spans="1:14" ht="15" customHeight="1" x14ac:dyDescent="0.25">
      <c r="A126" s="12"/>
      <c r="B126" s="22" t="s">
        <v>25</v>
      </c>
      <c r="C126" s="14"/>
      <c r="D126" s="15"/>
      <c r="E126" s="16"/>
      <c r="F126" s="16"/>
      <c r="G126" s="19">
        <f>SUM(G124:G125)</f>
        <v>14.934471197805546</v>
      </c>
      <c r="H126" s="18" t="s">
        <v>68</v>
      </c>
      <c r="I126" s="19">
        <f>776.13</f>
        <v>776.13</v>
      </c>
      <c r="J126" s="20">
        <f>G126*I126</f>
        <v>11591.091130752819</v>
      </c>
      <c r="K126" s="16"/>
      <c r="M126" s="21"/>
      <c r="N126" s="21"/>
    </row>
    <row r="127" spans="1:14" ht="15" customHeight="1" x14ac:dyDescent="0.25">
      <c r="A127" s="12"/>
      <c r="B127" s="22"/>
      <c r="C127" s="14"/>
      <c r="D127" s="15"/>
      <c r="E127" s="16"/>
      <c r="F127" s="16"/>
      <c r="G127" s="19"/>
      <c r="H127" s="18"/>
      <c r="I127" s="19"/>
      <c r="J127" s="20"/>
      <c r="K127" s="16"/>
      <c r="M127" s="21"/>
      <c r="N127" s="21"/>
    </row>
    <row r="128" spans="1:14" ht="30" x14ac:dyDescent="0.25">
      <c r="A128" s="12">
        <v>20</v>
      </c>
      <c r="B128" s="75" t="s">
        <v>77</v>
      </c>
      <c r="C128" s="14"/>
      <c r="D128" s="15"/>
      <c r="E128" s="16"/>
      <c r="F128" s="16"/>
      <c r="G128" s="17"/>
      <c r="H128" s="18"/>
      <c r="I128" s="19"/>
      <c r="J128" s="20"/>
      <c r="K128" s="16"/>
      <c r="M128" s="21"/>
      <c r="N128" s="21"/>
    </row>
    <row r="129" spans="1:14" ht="15" customHeight="1" x14ac:dyDescent="0.25">
      <c r="A129" s="12"/>
      <c r="B129" s="22" t="s">
        <v>49</v>
      </c>
      <c r="C129" s="14">
        <f>2*2</f>
        <v>4</v>
      </c>
      <c r="D129" s="15">
        <f>D97</f>
        <v>5.0289545870161536</v>
      </c>
      <c r="E129" s="16"/>
      <c r="F129" s="16"/>
      <c r="G129" s="17">
        <f>PRODUCT(C129:F129)</f>
        <v>20.115818348064614</v>
      </c>
      <c r="H129" s="18"/>
      <c r="I129" s="19"/>
      <c r="J129" s="20"/>
      <c r="K129" s="16"/>
      <c r="M129" s="21"/>
      <c r="N129" s="21"/>
    </row>
    <row r="130" spans="1:14" ht="15" customHeight="1" x14ac:dyDescent="0.25">
      <c r="A130" s="12"/>
      <c r="B130" s="22" t="s">
        <v>51</v>
      </c>
      <c r="C130" s="14">
        <f>2</f>
        <v>2</v>
      </c>
      <c r="D130" s="15">
        <f>(24/12/3.281)*4</f>
        <v>2.4382810118866196</v>
      </c>
      <c r="E130" s="16"/>
      <c r="F130" s="16"/>
      <c r="G130" s="17">
        <f>PRODUCT(C130:F130)</f>
        <v>4.8765620237732392</v>
      </c>
      <c r="H130" s="18"/>
      <c r="I130" s="19"/>
      <c r="J130" s="20"/>
      <c r="K130" s="16"/>
      <c r="M130" s="21"/>
      <c r="N130" s="21"/>
    </row>
    <row r="131" spans="1:14" ht="15" customHeight="1" x14ac:dyDescent="0.25">
      <c r="A131" s="12"/>
      <c r="B131" s="22" t="s">
        <v>25</v>
      </c>
      <c r="C131" s="14"/>
      <c r="D131" s="15"/>
      <c r="E131" s="16"/>
      <c r="F131" s="16"/>
      <c r="G131" s="19">
        <f>SUM(G129:G130)</f>
        <v>24.992380371837854</v>
      </c>
      <c r="H131" s="18" t="s">
        <v>68</v>
      </c>
      <c r="I131" s="19">
        <f>465.63</f>
        <v>465.63</v>
      </c>
      <c r="J131" s="20">
        <f>G131*I131</f>
        <v>11637.202072538859</v>
      </c>
      <c r="K131" s="16"/>
      <c r="M131" s="21"/>
      <c r="N131" s="21"/>
    </row>
    <row r="132" spans="1:14" ht="15" customHeight="1" x14ac:dyDescent="0.25">
      <c r="A132" s="12"/>
      <c r="B132" s="22"/>
      <c r="C132" s="14"/>
      <c r="D132" s="15"/>
      <c r="E132" s="16"/>
      <c r="F132" s="16"/>
      <c r="G132" s="19"/>
      <c r="H132" s="18"/>
      <c r="I132" s="19"/>
      <c r="J132" s="20"/>
      <c r="K132" s="16"/>
      <c r="M132" s="21"/>
      <c r="N132" s="21"/>
    </row>
    <row r="133" spans="1:14" ht="45" customHeight="1" x14ac:dyDescent="0.25">
      <c r="A133" s="25">
        <v>21</v>
      </c>
      <c r="B133" s="54" t="s">
        <v>78</v>
      </c>
      <c r="C133" s="26"/>
      <c r="D133" s="17"/>
      <c r="E133" s="17"/>
      <c r="F133" s="17"/>
      <c r="G133" s="45"/>
      <c r="H133" s="45"/>
      <c r="I133" s="45"/>
      <c r="J133" s="39"/>
      <c r="K133" s="30"/>
    </row>
    <row r="134" spans="1:14" ht="15" customHeight="1" x14ac:dyDescent="0.25">
      <c r="A134" s="25"/>
      <c r="B134" s="22" t="s">
        <v>79</v>
      </c>
      <c r="C134" s="26">
        <f>1*2</f>
        <v>2</v>
      </c>
      <c r="D134" s="17">
        <f>(2.75+2.6)/2</f>
        <v>2.6749999999999998</v>
      </c>
      <c r="E134" s="17">
        <v>6.2</v>
      </c>
      <c r="F134" s="17"/>
      <c r="G134" s="17">
        <f>PRODUCT(C134:F134)</f>
        <v>33.17</v>
      </c>
      <c r="H134" s="45"/>
      <c r="I134" s="45"/>
      <c r="J134" s="39"/>
      <c r="K134" s="30"/>
    </row>
    <row r="135" spans="1:14" ht="15" customHeight="1" x14ac:dyDescent="0.25">
      <c r="A135" s="25"/>
      <c r="B135" s="22"/>
      <c r="C135" s="26">
        <f>1*0</f>
        <v>0</v>
      </c>
      <c r="D135" s="17">
        <v>2.5</v>
      </c>
      <c r="E135" s="17">
        <f>3+0.675</f>
        <v>3.6749999999999998</v>
      </c>
      <c r="F135" s="17"/>
      <c r="G135" s="17">
        <f>PRODUCT(C135:F135)</f>
        <v>0</v>
      </c>
      <c r="H135" s="45"/>
      <c r="I135" s="45"/>
      <c r="J135" s="39"/>
      <c r="K135" s="30"/>
    </row>
    <row r="136" spans="1:14" ht="15" customHeight="1" x14ac:dyDescent="0.25">
      <c r="A136" s="25"/>
      <c r="B136" s="22" t="s">
        <v>25</v>
      </c>
      <c r="C136" s="26"/>
      <c r="D136" s="17"/>
      <c r="E136" s="17"/>
      <c r="F136" s="17"/>
      <c r="G136" s="27">
        <f>SUM(G134:G135)</f>
        <v>33.17</v>
      </c>
      <c r="H136" s="27" t="s">
        <v>26</v>
      </c>
      <c r="I136" s="28">
        <f>3626.64</f>
        <v>3626.64</v>
      </c>
      <c r="J136" s="29">
        <f>G136*I136</f>
        <v>120295.6488</v>
      </c>
      <c r="K136" s="30"/>
    </row>
    <row r="137" spans="1:14" ht="15" customHeight="1" x14ac:dyDescent="0.25">
      <c r="A137" s="25"/>
      <c r="B137" s="22"/>
      <c r="C137" s="26"/>
      <c r="D137" s="17"/>
      <c r="E137" s="17"/>
      <c r="F137" s="17"/>
      <c r="G137" s="27"/>
      <c r="H137" s="27"/>
      <c r="I137" s="28"/>
      <c r="J137" s="29"/>
      <c r="K137" s="30"/>
    </row>
    <row r="138" spans="1:14" ht="31.5" x14ac:dyDescent="0.25">
      <c r="A138" s="47">
        <v>22</v>
      </c>
      <c r="B138" s="23" t="s">
        <v>80</v>
      </c>
      <c r="C138" s="49"/>
      <c r="D138" s="50"/>
      <c r="E138" s="50"/>
      <c r="F138" s="50"/>
      <c r="G138" s="50"/>
      <c r="H138" s="50"/>
      <c r="I138" s="50"/>
      <c r="J138" s="51"/>
      <c r="K138" s="52"/>
    </row>
    <row r="139" spans="1:14" ht="15" customHeight="1" x14ac:dyDescent="0.25">
      <c r="A139" s="47"/>
      <c r="B139" s="48" t="s">
        <v>81</v>
      </c>
      <c r="C139" s="49">
        <v>1</v>
      </c>
      <c r="D139" s="50">
        <f>(2.75+2.6)/2</f>
        <v>2.6749999999999998</v>
      </c>
      <c r="E139" s="50">
        <v>6.2</v>
      </c>
      <c r="F139" s="50"/>
      <c r="G139" s="50">
        <f>PRODUCT(C139:F139)</f>
        <v>16.585000000000001</v>
      </c>
      <c r="H139" s="50"/>
      <c r="I139" s="50"/>
      <c r="J139" s="51"/>
      <c r="K139" s="52"/>
    </row>
    <row r="140" spans="1:14" ht="15" customHeight="1" x14ac:dyDescent="0.25">
      <c r="A140" s="47"/>
      <c r="B140" s="48" t="s">
        <v>82</v>
      </c>
      <c r="C140" s="49">
        <v>1</v>
      </c>
      <c r="D140" s="50">
        <v>5</v>
      </c>
      <c r="E140" s="50">
        <v>5</v>
      </c>
      <c r="F140" s="50"/>
      <c r="G140" s="50">
        <f>PRODUCT(C140:F140)</f>
        <v>25</v>
      </c>
      <c r="H140" s="50"/>
      <c r="I140" s="50"/>
      <c r="J140" s="51"/>
      <c r="K140" s="52"/>
    </row>
    <row r="141" spans="1:14" ht="15" customHeight="1" x14ac:dyDescent="0.25">
      <c r="A141" s="47"/>
      <c r="B141" s="48" t="s">
        <v>25</v>
      </c>
      <c r="C141" s="49"/>
      <c r="D141" s="50"/>
      <c r="E141" s="50"/>
      <c r="F141" s="50"/>
      <c r="G141" s="55">
        <f>SUM(G139:G140)</f>
        <v>41.585000000000001</v>
      </c>
      <c r="H141" s="55" t="s">
        <v>26</v>
      </c>
      <c r="I141" s="56">
        <f>646.8</f>
        <v>646.79999999999995</v>
      </c>
      <c r="J141" s="57">
        <f>G141*I141</f>
        <v>26897.178</v>
      </c>
      <c r="K141" s="52"/>
    </row>
    <row r="142" spans="1:14" ht="15" customHeight="1" x14ac:dyDescent="0.25">
      <c r="A142" s="12"/>
      <c r="B142" s="22"/>
      <c r="C142" s="14"/>
      <c r="D142" s="15"/>
      <c r="E142" s="16"/>
      <c r="F142" s="16"/>
      <c r="G142" s="19"/>
      <c r="H142" s="18"/>
      <c r="I142" s="19"/>
      <c r="J142" s="20"/>
      <c r="K142" s="16"/>
      <c r="M142" s="21"/>
      <c r="N142" s="21"/>
    </row>
    <row r="143" spans="1:14" ht="45" hidden="1" x14ac:dyDescent="0.25">
      <c r="A143" s="25">
        <v>23</v>
      </c>
      <c r="B143" s="54" t="s">
        <v>83</v>
      </c>
      <c r="C143" s="26"/>
      <c r="D143" s="17"/>
      <c r="E143" s="17"/>
      <c r="F143" s="17"/>
      <c r="G143" s="45"/>
      <c r="H143" s="45"/>
      <c r="I143" s="45"/>
      <c r="J143" s="39"/>
      <c r="K143" s="30"/>
    </row>
    <row r="144" spans="1:14" ht="15" hidden="1" customHeight="1" x14ac:dyDescent="0.25">
      <c r="A144" s="25"/>
      <c r="B144" s="22" t="s">
        <v>84</v>
      </c>
      <c r="C144" s="26">
        <f>1</f>
        <v>1</v>
      </c>
      <c r="D144" s="17">
        <f>11/3.281</f>
        <v>3.3526363913441024</v>
      </c>
      <c r="E144" s="17">
        <f>5/12/3.281</f>
        <v>0.12699380270242813</v>
      </c>
      <c r="F144" s="17">
        <f>8/12/3.281</f>
        <v>0.20319008432388497</v>
      </c>
      <c r="G144" s="17">
        <f t="shared" ref="G144:G150" si="2">PRODUCT(C144:F144)</f>
        <v>8.6511032086829934E-2</v>
      </c>
      <c r="H144" s="45"/>
      <c r="I144" s="45"/>
      <c r="J144" s="39"/>
      <c r="K144" s="30"/>
    </row>
    <row r="145" spans="1:13" ht="15" hidden="1" customHeight="1" x14ac:dyDescent="0.25">
      <c r="A145" s="25"/>
      <c r="B145" s="30"/>
      <c r="C145" s="26">
        <f>(8)</f>
        <v>8</v>
      </c>
      <c r="D145" s="17">
        <f>12/3.281</f>
        <v>3.6574215178299299</v>
      </c>
      <c r="E145" s="17">
        <f>3/12/3.281</f>
        <v>7.6196281621456863E-2</v>
      </c>
      <c r="F145" s="17">
        <f>4/12/3.281</f>
        <v>0.10159504216194248</v>
      </c>
      <c r="G145" s="17">
        <f t="shared" si="2"/>
        <v>0.22650161128188195</v>
      </c>
      <c r="H145" s="45"/>
      <c r="I145" s="45"/>
      <c r="J145" s="39"/>
      <c r="K145" s="30"/>
    </row>
    <row r="146" spans="1:13" ht="15" hidden="1" customHeight="1" x14ac:dyDescent="0.25">
      <c r="A146" s="25"/>
      <c r="B146" s="22"/>
      <c r="C146" s="26">
        <f>(3)</f>
        <v>3</v>
      </c>
      <c r="D146" s="17">
        <f>8/3.281</f>
        <v>2.4382810118866196</v>
      </c>
      <c r="E146" s="17">
        <f>7/12/3.281</f>
        <v>0.17779132378339937</v>
      </c>
      <c r="F146" s="17">
        <f>7/12/3.281</f>
        <v>0.17779132378339937</v>
      </c>
      <c r="G146" s="17">
        <f t="shared" si="2"/>
        <v>0.23122039485025456</v>
      </c>
      <c r="H146" s="45"/>
      <c r="I146" s="45"/>
      <c r="J146" s="39"/>
      <c r="K146" s="30"/>
    </row>
    <row r="147" spans="1:13" ht="15" hidden="1" customHeight="1" x14ac:dyDescent="0.25">
      <c r="A147" s="25"/>
      <c r="B147" s="22"/>
      <c r="C147" s="26">
        <f>22</f>
        <v>22</v>
      </c>
      <c r="D147" s="17">
        <f>12/3.281</f>
        <v>3.6574215178299299</v>
      </c>
      <c r="E147" s="17">
        <f>3/12/3.281</f>
        <v>7.6196281621456863E-2</v>
      </c>
      <c r="F147" s="17">
        <f>4/12/3.281</f>
        <v>0.10159504216194248</v>
      </c>
      <c r="G147" s="17">
        <f t="shared" si="2"/>
        <v>0.6228794310251754</v>
      </c>
      <c r="H147" s="45"/>
      <c r="I147" s="45"/>
      <c r="J147" s="39"/>
      <c r="K147" s="30"/>
    </row>
    <row r="148" spans="1:13" ht="15" hidden="1" customHeight="1" x14ac:dyDescent="0.25">
      <c r="A148" s="25"/>
      <c r="B148" s="22"/>
      <c r="C148" s="26">
        <f>(2)</f>
        <v>2</v>
      </c>
      <c r="D148" s="17">
        <f>12/3.281</f>
        <v>3.6574215178299299</v>
      </c>
      <c r="E148" s="17">
        <f>3/12/3.281</f>
        <v>7.6196281621456863E-2</v>
      </c>
      <c r="F148" s="17">
        <f>4/12/3.281</f>
        <v>0.10159504216194248</v>
      </c>
      <c r="G148" s="17">
        <f t="shared" si="2"/>
        <v>5.6625402820470488E-2</v>
      </c>
      <c r="H148" s="45"/>
      <c r="I148" s="45"/>
      <c r="J148" s="39"/>
      <c r="K148" s="30"/>
    </row>
    <row r="149" spans="1:13" ht="15" hidden="1" customHeight="1" x14ac:dyDescent="0.25">
      <c r="A149" s="25"/>
      <c r="B149" s="22"/>
      <c r="C149" s="26">
        <f>(1)</f>
        <v>1</v>
      </c>
      <c r="D149" s="17">
        <f>12/3.281</f>
        <v>3.6574215178299299</v>
      </c>
      <c r="E149" s="17">
        <f>6/12/3.281</f>
        <v>0.15239256324291373</v>
      </c>
      <c r="F149" s="17">
        <f>4/12/3.281</f>
        <v>0.10159504216194248</v>
      </c>
      <c r="G149" s="17">
        <f t="shared" si="2"/>
        <v>5.6625402820470488E-2</v>
      </c>
      <c r="H149" s="45"/>
      <c r="I149" s="45"/>
      <c r="J149" s="39"/>
      <c r="K149" s="30"/>
    </row>
    <row r="150" spans="1:13" ht="15" hidden="1" customHeight="1" x14ac:dyDescent="0.25">
      <c r="A150" s="25"/>
      <c r="B150" s="22"/>
      <c r="C150" s="26">
        <f>36</f>
        <v>36</v>
      </c>
      <c r="D150" s="17">
        <f>12/3.281</f>
        <v>3.6574215178299299</v>
      </c>
      <c r="E150" s="17">
        <f>3/12/3.281</f>
        <v>7.6196281621456863E-2</v>
      </c>
      <c r="F150" s="17">
        <f>4/12/3.281</f>
        <v>0.10159504216194248</v>
      </c>
      <c r="G150" s="17">
        <f t="shared" si="2"/>
        <v>1.0192572507684687</v>
      </c>
      <c r="H150" s="45"/>
      <c r="I150" s="45"/>
      <c r="J150" s="39"/>
      <c r="K150" s="30"/>
    </row>
    <row r="151" spans="1:13" ht="15" hidden="1" customHeight="1" x14ac:dyDescent="0.25">
      <c r="A151" s="25"/>
      <c r="B151" s="22" t="s">
        <v>25</v>
      </c>
      <c r="C151" s="26"/>
      <c r="D151" s="17"/>
      <c r="E151" s="17"/>
      <c r="F151" s="17"/>
      <c r="G151" s="27">
        <f>0*SUM(G144:G150)</f>
        <v>0</v>
      </c>
      <c r="H151" s="27" t="s">
        <v>29</v>
      </c>
      <c r="I151" s="28">
        <f>369833.1/1.15</f>
        <v>321594</v>
      </c>
      <c r="J151" s="29">
        <f>G151*I151</f>
        <v>0</v>
      </c>
      <c r="K151" s="30"/>
    </row>
    <row r="152" spans="1:13" ht="15" hidden="1" customHeight="1" x14ac:dyDescent="0.25">
      <c r="A152" s="25"/>
      <c r="B152" s="22" t="s">
        <v>85</v>
      </c>
      <c r="C152" s="26"/>
      <c r="D152" s="17"/>
      <c r="E152" s="17"/>
      <c r="F152" s="17"/>
      <c r="G152" s="45"/>
      <c r="H152" s="45"/>
      <c r="I152" s="45"/>
      <c r="J152" s="39">
        <f>0.13*G151*(296712)</f>
        <v>0</v>
      </c>
      <c r="K152" s="30"/>
      <c r="M152" s="58"/>
    </row>
    <row r="153" spans="1:13" ht="15" hidden="1" customHeight="1" x14ac:dyDescent="0.25">
      <c r="A153" s="25"/>
      <c r="B153" s="22"/>
      <c r="C153" s="26"/>
      <c r="D153" s="17"/>
      <c r="E153" s="17"/>
      <c r="F153" s="17"/>
      <c r="G153" s="45"/>
      <c r="H153" s="45"/>
      <c r="I153" s="45"/>
      <c r="J153" s="39"/>
      <c r="K153" s="30"/>
      <c r="M153" s="58"/>
    </row>
    <row r="154" spans="1:13" ht="45" x14ac:dyDescent="0.25">
      <c r="A154" s="47">
        <v>23</v>
      </c>
      <c r="B154" s="54" t="s">
        <v>86</v>
      </c>
      <c r="C154" s="49"/>
      <c r="D154" s="50"/>
      <c r="E154" s="50"/>
      <c r="F154" s="50"/>
      <c r="G154" s="55"/>
      <c r="H154" s="55"/>
      <c r="I154" s="56"/>
      <c r="J154" s="57"/>
      <c r="K154" s="52"/>
    </row>
    <row r="155" spans="1:13" ht="15" hidden="1" customHeight="1" x14ac:dyDescent="0.25">
      <c r="A155" s="25"/>
      <c r="B155" s="22" t="s">
        <v>84</v>
      </c>
      <c r="C155" s="26">
        <f>(3)</f>
        <v>3</v>
      </c>
      <c r="D155" s="17">
        <f>3/3.281</f>
        <v>0.91435537945748246</v>
      </c>
      <c r="E155" s="17">
        <f>6/12/3.281</f>
        <v>0.15239256324291373</v>
      </c>
      <c r="F155" s="17">
        <f>6/12/3.281</f>
        <v>0.15239256324291373</v>
      </c>
      <c r="G155" s="17">
        <f>PRODUCT(C155:F155)</f>
        <v>6.370357817302931E-2</v>
      </c>
      <c r="H155" s="45"/>
      <c r="I155" s="45"/>
      <c r="J155" s="39"/>
      <c r="K155" s="30"/>
    </row>
    <row r="156" spans="1:13" ht="15" hidden="1" customHeight="1" x14ac:dyDescent="0.25">
      <c r="A156" s="25"/>
      <c r="B156" s="22"/>
      <c r="C156" s="26">
        <f>(12)</f>
        <v>12</v>
      </c>
      <c r="D156" s="17">
        <f>5/3.281</f>
        <v>1.5239256324291375</v>
      </c>
      <c r="E156" s="17">
        <f>3/12/3.281</f>
        <v>7.6196281621456863E-2</v>
      </c>
      <c r="F156" s="17">
        <f>4/12/3.281</f>
        <v>0.10159504216194248</v>
      </c>
      <c r="G156" s="17">
        <f>PRODUCT(C156:F156)</f>
        <v>0.14156350705117624</v>
      </c>
      <c r="H156" s="45"/>
      <c r="I156" s="45"/>
      <c r="J156" s="39"/>
      <c r="K156" s="30"/>
    </row>
    <row r="157" spans="1:13" ht="15" hidden="1" customHeight="1" x14ac:dyDescent="0.25">
      <c r="A157" s="25"/>
      <c r="B157" s="22"/>
      <c r="C157" s="26">
        <f>(10)</f>
        <v>10</v>
      </c>
      <c r="D157" s="17">
        <f>1/3.281</f>
        <v>0.30478512648582745</v>
      </c>
      <c r="E157" s="17">
        <f>3/12/3.281</f>
        <v>7.6196281621456863E-2</v>
      </c>
      <c r="F157" s="17">
        <f>4/12/3.281</f>
        <v>0.10159504216194248</v>
      </c>
      <c r="G157" s="17">
        <f>PRODUCT(C157:F157)</f>
        <v>2.35939178418627E-2</v>
      </c>
      <c r="H157" s="45"/>
      <c r="I157" s="45"/>
      <c r="J157" s="39"/>
      <c r="K157" s="30"/>
    </row>
    <row r="158" spans="1:13" ht="15" customHeight="1" x14ac:dyDescent="0.25">
      <c r="A158" s="25"/>
      <c r="B158" s="22" t="s">
        <v>30</v>
      </c>
      <c r="C158" s="26">
        <v>2</v>
      </c>
      <c r="D158" s="17">
        <f>8/3.281</f>
        <v>2.4382810118866196</v>
      </c>
      <c r="E158" s="17">
        <v>0.15</v>
      </c>
      <c r="F158" s="17">
        <v>0.15</v>
      </c>
      <c r="G158" s="17">
        <f>PRODUCT(C158:F158)</f>
        <v>0.10972264553489787</v>
      </c>
      <c r="H158" s="45"/>
      <c r="I158" s="45"/>
      <c r="J158" s="39"/>
      <c r="K158" s="30"/>
    </row>
    <row r="159" spans="1:13" ht="15" customHeight="1" x14ac:dyDescent="0.25">
      <c r="A159" s="25"/>
      <c r="B159" s="22" t="s">
        <v>25</v>
      </c>
      <c r="C159" s="26"/>
      <c r="D159" s="17"/>
      <c r="E159" s="17"/>
      <c r="F159" s="17"/>
      <c r="G159" s="27">
        <f>SUM(G158)</f>
        <v>0.10972264553489787</v>
      </c>
      <c r="H159" s="27" t="s">
        <v>29</v>
      </c>
      <c r="I159" s="28">
        <f>286497.45</f>
        <v>286497.45</v>
      </c>
      <c r="J159" s="29">
        <f>G159*I159</f>
        <v>31435.258153002127</v>
      </c>
      <c r="K159" s="30"/>
    </row>
    <row r="160" spans="1:13" ht="15" customHeight="1" x14ac:dyDescent="0.25">
      <c r="A160" s="25"/>
      <c r="B160" s="22"/>
      <c r="C160" s="26"/>
      <c r="D160" s="17"/>
      <c r="E160" s="17"/>
      <c r="F160" s="17"/>
      <c r="G160" s="45"/>
      <c r="H160" s="45"/>
      <c r="I160" s="45"/>
      <c r="J160" s="39"/>
      <c r="K160" s="30"/>
      <c r="M160" s="58"/>
    </row>
    <row r="161" spans="1:19" ht="30" hidden="1" x14ac:dyDescent="0.25">
      <c r="A161" s="12">
        <v>25</v>
      </c>
      <c r="B161" s="72" t="s">
        <v>87</v>
      </c>
      <c r="C161" s="14"/>
      <c r="D161" s="15"/>
      <c r="E161" s="16"/>
      <c r="F161" s="16"/>
      <c r="G161" s="19"/>
      <c r="H161" s="18"/>
      <c r="I161" s="19"/>
      <c r="J161" s="20"/>
      <c r="K161" s="16"/>
      <c r="M161" s="21"/>
      <c r="N161" s="1"/>
      <c r="O161" s="1"/>
      <c r="P161" s="1"/>
      <c r="Q161" s="1"/>
      <c r="R161" s="21"/>
      <c r="S161" s="21"/>
    </row>
    <row r="162" spans="1:19" ht="15" hidden="1" customHeight="1" x14ac:dyDescent="0.25">
      <c r="A162" s="12"/>
      <c r="B162" s="13" t="str">
        <f>B43</f>
        <v>-at new roof</v>
      </c>
      <c r="C162" s="26">
        <f>C43</f>
        <v>2</v>
      </c>
      <c r="D162" s="17">
        <f>D43</f>
        <v>4.8639134410240779</v>
      </c>
      <c r="E162" s="17">
        <f>E43</f>
        <v>3.2764401097226452</v>
      </c>
      <c r="F162" s="17"/>
      <c r="G162" s="17">
        <f>PRODUCT(C162:F162)</f>
        <v>31.872642176780758</v>
      </c>
      <c r="H162" s="18"/>
      <c r="I162" s="19"/>
      <c r="J162" s="20"/>
      <c r="K162" s="16"/>
      <c r="M162" s="21"/>
      <c r="N162" s="73"/>
      <c r="O162" s="1">
        <v>173798.37571991887</v>
      </c>
      <c r="P162" s="1"/>
      <c r="Q162" s="1"/>
      <c r="R162" s="21"/>
      <c r="S162" s="21"/>
    </row>
    <row r="163" spans="1:19" ht="15" hidden="1" customHeight="1" x14ac:dyDescent="0.25">
      <c r="A163" s="25"/>
      <c r="B163" s="22" t="s">
        <v>25</v>
      </c>
      <c r="C163" s="26"/>
      <c r="D163" s="17"/>
      <c r="E163" s="17"/>
      <c r="F163" s="17"/>
      <c r="G163" s="27">
        <f>0*SUM(G162:G162)</f>
        <v>0</v>
      </c>
      <c r="H163" s="27" t="s">
        <v>26</v>
      </c>
      <c r="I163" s="28">
        <f>5999.55/10</f>
        <v>599.95500000000004</v>
      </c>
      <c r="J163" s="29">
        <f>G163*I163</f>
        <v>0</v>
      </c>
      <c r="K163" s="30"/>
    </row>
    <row r="164" spans="1:19" ht="15" hidden="1" customHeight="1" x14ac:dyDescent="0.25">
      <c r="A164" s="25"/>
      <c r="B164" s="22" t="s">
        <v>85</v>
      </c>
      <c r="C164" s="26"/>
      <c r="D164" s="17"/>
      <c r="E164" s="17"/>
      <c r="F164" s="17"/>
      <c r="G164" s="45"/>
      <c r="H164" s="45"/>
      <c r="I164" s="45"/>
      <c r="J164" s="39">
        <f>0.13*G163*((1397.55)/10)</f>
        <v>0</v>
      </c>
      <c r="K164" s="30"/>
    </row>
    <row r="165" spans="1:19" ht="15" hidden="1" customHeight="1" x14ac:dyDescent="0.25">
      <c r="A165" s="12"/>
      <c r="B165" s="59"/>
      <c r="C165" s="14"/>
      <c r="D165" s="15"/>
      <c r="E165" s="16"/>
      <c r="F165" s="16"/>
      <c r="G165" s="19"/>
      <c r="H165" s="18"/>
      <c r="I165" s="19"/>
      <c r="J165" s="20"/>
      <c r="K165" s="16"/>
      <c r="M165" s="21"/>
      <c r="N165" s="1"/>
      <c r="O165" s="1"/>
      <c r="P165" s="1"/>
      <c r="Q165" s="1"/>
      <c r="R165" s="21"/>
      <c r="S165" s="21"/>
    </row>
    <row r="166" spans="1:19" x14ac:dyDescent="0.25">
      <c r="A166" s="12">
        <v>24</v>
      </c>
      <c r="B166" s="24" t="s">
        <v>88</v>
      </c>
      <c r="C166" s="26"/>
      <c r="D166" s="17"/>
      <c r="E166" s="17"/>
      <c r="F166" s="17"/>
      <c r="G166" s="45"/>
      <c r="H166" s="45"/>
      <c r="I166" s="45"/>
      <c r="J166" s="39"/>
      <c r="K166" s="30"/>
    </row>
    <row r="167" spans="1:19" ht="15" customHeight="1" x14ac:dyDescent="0.25">
      <c r="A167" s="25"/>
      <c r="B167" s="22" t="s">
        <v>89</v>
      </c>
      <c r="C167" s="26">
        <v>2</v>
      </c>
      <c r="D167" s="17"/>
      <c r="E167" s="17"/>
      <c r="F167" s="17"/>
      <c r="G167" s="17">
        <f>PRODUCT(C167:F167)</f>
        <v>2</v>
      </c>
      <c r="H167" s="45"/>
      <c r="I167" s="45"/>
      <c r="J167" s="39"/>
      <c r="K167" s="30"/>
    </row>
    <row r="168" spans="1:19" ht="15" customHeight="1" x14ac:dyDescent="0.25">
      <c r="A168" s="25"/>
      <c r="B168" s="22" t="s">
        <v>25</v>
      </c>
      <c r="C168" s="26"/>
      <c r="D168" s="17"/>
      <c r="E168" s="17"/>
      <c r="F168" s="17"/>
      <c r="G168" s="27">
        <f>SUM(G167:G167)</f>
        <v>2</v>
      </c>
      <c r="H168" s="27" t="s">
        <v>90</v>
      </c>
      <c r="I168" s="28">
        <f>2365</f>
        <v>2365</v>
      </c>
      <c r="J168" s="29">
        <f>G168*I168</f>
        <v>4730</v>
      </c>
      <c r="K168" s="30"/>
    </row>
    <row r="169" spans="1:19" ht="15" customHeight="1" x14ac:dyDescent="0.25">
      <c r="A169" s="25"/>
      <c r="B169" s="22"/>
      <c r="C169" s="26"/>
      <c r="D169" s="17"/>
      <c r="E169" s="17"/>
      <c r="F169" s="17"/>
      <c r="G169" s="27"/>
      <c r="H169" s="27"/>
      <c r="I169" s="28"/>
      <c r="J169" s="29"/>
      <c r="K169" s="30"/>
    </row>
    <row r="170" spans="1:19" ht="30.75" x14ac:dyDescent="0.25">
      <c r="A170" s="25">
        <v>25</v>
      </c>
      <c r="B170" s="11" t="s">
        <v>91</v>
      </c>
      <c r="C170" s="26"/>
      <c r="D170" s="17"/>
      <c r="E170" s="17"/>
      <c r="F170" s="17"/>
      <c r="G170" s="45"/>
      <c r="H170" s="45"/>
      <c r="I170" s="45"/>
      <c r="J170" s="39"/>
      <c r="K170" s="30"/>
    </row>
    <row r="171" spans="1:19" x14ac:dyDescent="0.25">
      <c r="A171" s="25"/>
      <c r="B171" s="22" t="s">
        <v>92</v>
      </c>
      <c r="C171" s="26">
        <v>2</v>
      </c>
      <c r="D171" s="17">
        <f>3.833/3.281</f>
        <v>1.1682413898201769</v>
      </c>
      <c r="E171" s="17">
        <v>7.4999999999999997E-2</v>
      </c>
      <c r="F171" s="17">
        <v>0.125</v>
      </c>
      <c r="G171" s="17">
        <f t="shared" ref="G171:G176" si="3">PRODUCT(C171:F171)</f>
        <v>2.1904526059128317E-2</v>
      </c>
      <c r="H171" s="45"/>
      <c r="I171" s="45"/>
      <c r="J171" s="39"/>
      <c r="K171" s="30"/>
    </row>
    <row r="172" spans="1:19" x14ac:dyDescent="0.25">
      <c r="A172" s="25"/>
      <c r="B172" s="22"/>
      <c r="C172" s="26">
        <v>2</v>
      </c>
      <c r="D172" s="17">
        <f>6/3.281</f>
        <v>1.8287107589149649</v>
      </c>
      <c r="E172" s="17">
        <v>7.4999999999999997E-2</v>
      </c>
      <c r="F172" s="17">
        <v>0.125</v>
      </c>
      <c r="G172" s="17">
        <f t="shared" si="3"/>
        <v>3.4288326729655594E-2</v>
      </c>
      <c r="H172" s="45"/>
      <c r="I172" s="45"/>
      <c r="J172" s="39"/>
      <c r="K172" s="30"/>
    </row>
    <row r="173" spans="1:19" x14ac:dyDescent="0.25">
      <c r="A173" s="25"/>
      <c r="B173" s="22"/>
      <c r="C173" s="26">
        <v>2</v>
      </c>
      <c r="D173" s="17">
        <f>6/3.281</f>
        <v>1.8287107589149649</v>
      </c>
      <c r="E173" s="17">
        <v>7.4999999999999997E-2</v>
      </c>
      <c r="F173" s="17">
        <v>7.4999999999999997E-2</v>
      </c>
      <c r="G173" s="17">
        <f t="shared" si="3"/>
        <v>2.0572996037793355E-2</v>
      </c>
      <c r="H173" s="45"/>
      <c r="I173" s="45"/>
      <c r="J173" s="39"/>
      <c r="K173" s="30"/>
    </row>
    <row r="174" spans="1:19" x14ac:dyDescent="0.25">
      <c r="A174" s="25"/>
      <c r="B174" s="22" t="s">
        <v>93</v>
      </c>
      <c r="C174" s="26">
        <v>2</v>
      </c>
      <c r="D174" s="17">
        <f>3.5/3.281</f>
        <v>1.0667479427003961</v>
      </c>
      <c r="E174" s="17">
        <v>7.4999999999999997E-2</v>
      </c>
      <c r="F174" s="17">
        <v>0.125</v>
      </c>
      <c r="G174" s="17">
        <f t="shared" si="3"/>
        <v>2.0001523925632425E-2</v>
      </c>
      <c r="H174" s="45"/>
      <c r="I174" s="45"/>
      <c r="J174" s="39"/>
      <c r="K174" s="30"/>
    </row>
    <row r="175" spans="1:19" x14ac:dyDescent="0.25">
      <c r="A175" s="25"/>
      <c r="B175" s="22"/>
      <c r="C175" s="26">
        <v>2</v>
      </c>
      <c r="D175" s="17">
        <f>4.5/3.281</f>
        <v>1.3715330691862238</v>
      </c>
      <c r="E175" s="17">
        <v>7.4999999999999997E-2</v>
      </c>
      <c r="F175" s="17">
        <v>0.125</v>
      </c>
      <c r="G175" s="17">
        <f t="shared" si="3"/>
        <v>2.5716245047241695E-2</v>
      </c>
      <c r="H175" s="45"/>
      <c r="I175" s="45"/>
      <c r="J175" s="39"/>
      <c r="K175" s="30"/>
    </row>
    <row r="176" spans="1:19" hidden="1" x14ac:dyDescent="0.25">
      <c r="A176" s="25"/>
      <c r="B176" s="22" t="s">
        <v>94</v>
      </c>
      <c r="C176" s="26">
        <f>0*2</f>
        <v>0</v>
      </c>
      <c r="D176" s="17">
        <f>(2*2+2.5*2)/3.281</f>
        <v>2.7430661383724475</v>
      </c>
      <c r="E176" s="17">
        <v>7.4999999999999997E-2</v>
      </c>
      <c r="F176" s="17">
        <v>0.125</v>
      </c>
      <c r="G176" s="17">
        <f t="shared" si="3"/>
        <v>0</v>
      </c>
      <c r="H176" s="45"/>
      <c r="I176" s="45"/>
      <c r="J176" s="39"/>
      <c r="K176" s="30"/>
    </row>
    <row r="177" spans="1:13" ht="15" customHeight="1" x14ac:dyDescent="0.25">
      <c r="A177" s="25"/>
      <c r="B177" s="22" t="s">
        <v>25</v>
      </c>
      <c r="C177" s="26"/>
      <c r="D177" s="17"/>
      <c r="E177" s="17"/>
      <c r="F177" s="17"/>
      <c r="G177" s="27">
        <f>SUM(G171:G176)</f>
        <v>0.1224836177994514</v>
      </c>
      <c r="H177" s="27" t="s">
        <v>90</v>
      </c>
      <c r="I177" s="28">
        <f>284000.83*1.15</f>
        <v>326600.95449999999</v>
      </c>
      <c r="J177" s="29">
        <f>G177*I177</f>
        <v>40003.266483914012</v>
      </c>
      <c r="K177" s="30"/>
    </row>
    <row r="178" spans="1:13" ht="15" customHeight="1" x14ac:dyDescent="0.25">
      <c r="A178" s="25"/>
      <c r="B178" s="22"/>
      <c r="C178" s="26"/>
      <c r="D178" s="17"/>
      <c r="E178" s="17"/>
      <c r="F178" s="17"/>
      <c r="G178" s="45"/>
      <c r="H178" s="45"/>
      <c r="I178" s="45"/>
      <c r="J178" s="39"/>
      <c r="K178" s="30"/>
    </row>
    <row r="179" spans="1:13" ht="30" x14ac:dyDescent="0.25">
      <c r="A179" s="12">
        <v>26</v>
      </c>
      <c r="B179" s="54" t="s">
        <v>124</v>
      </c>
      <c r="C179" s="14"/>
      <c r="D179" s="15"/>
      <c r="E179" s="16"/>
      <c r="F179" s="16"/>
      <c r="G179" s="19"/>
      <c r="H179" s="18"/>
      <c r="I179" s="19"/>
      <c r="J179" s="37"/>
      <c r="K179" s="16"/>
    </row>
    <row r="180" spans="1:13" x14ac:dyDescent="0.25">
      <c r="A180" s="12"/>
      <c r="B180" s="43" t="s">
        <v>95</v>
      </c>
      <c r="C180" s="14">
        <v>1</v>
      </c>
      <c r="D180" s="15">
        <f>15/3.281</f>
        <v>4.5717768972874122</v>
      </c>
      <c r="E180" s="16">
        <v>7.4999999999999997E-2</v>
      </c>
      <c r="F180" s="30"/>
      <c r="G180" s="33">
        <f>PRODUCT(C180:E180)</f>
        <v>0.34288326729655588</v>
      </c>
      <c r="H180" s="18"/>
      <c r="I180" s="19"/>
      <c r="J180" s="37"/>
      <c r="K180" s="16"/>
    </row>
    <row r="181" spans="1:13" x14ac:dyDescent="0.25">
      <c r="A181" s="12"/>
      <c r="B181" s="43" t="str">
        <f>B171</f>
        <v>-For Door</v>
      </c>
      <c r="C181" s="14">
        <v>2</v>
      </c>
      <c r="D181" s="15">
        <f>0.3</f>
        <v>0.3</v>
      </c>
      <c r="E181" s="16"/>
      <c r="F181" s="16">
        <f>D172</f>
        <v>1.8287107589149649</v>
      </c>
      <c r="G181" s="33">
        <f>PRODUCT(C181:F181)</f>
        <v>1.097226455348979</v>
      </c>
      <c r="H181" s="18"/>
      <c r="I181" s="19"/>
      <c r="J181" s="37"/>
      <c r="K181" s="16"/>
    </row>
    <row r="182" spans="1:13" x14ac:dyDescent="0.25">
      <c r="A182" s="12"/>
      <c r="B182" s="43"/>
      <c r="C182" s="14">
        <v>1</v>
      </c>
      <c r="D182" s="15">
        <f>(6*2+4*2)/3.281</f>
        <v>6.0957025297165499</v>
      </c>
      <c r="E182" s="16">
        <v>7.4999999999999997E-2</v>
      </c>
      <c r="F182" s="16"/>
      <c r="G182" s="33">
        <f>PRODUCT(C182:F182)</f>
        <v>0.45717768972874123</v>
      </c>
      <c r="H182" s="18"/>
      <c r="I182" s="19"/>
      <c r="J182" s="37"/>
      <c r="K182" s="16"/>
    </row>
    <row r="183" spans="1:13" hidden="1" x14ac:dyDescent="0.25">
      <c r="A183" s="12"/>
      <c r="B183" s="43" t="s">
        <v>94</v>
      </c>
      <c r="C183" s="14">
        <f>0*2</f>
        <v>0</v>
      </c>
      <c r="D183" s="15">
        <f>D176</f>
        <v>2.7430661383724475</v>
      </c>
      <c r="E183" s="16">
        <f>E176</f>
        <v>7.4999999999999997E-2</v>
      </c>
      <c r="F183" s="16"/>
      <c r="G183" s="33">
        <f>PRODUCT(C183:F183)</f>
        <v>0</v>
      </c>
      <c r="H183" s="18"/>
      <c r="I183" s="19"/>
      <c r="J183" s="37"/>
      <c r="K183" s="16"/>
    </row>
    <row r="184" spans="1:13" ht="15" customHeight="1" x14ac:dyDescent="0.25">
      <c r="A184" s="25"/>
      <c r="B184" s="43" t="s">
        <v>25</v>
      </c>
      <c r="C184" s="32"/>
      <c r="D184" s="33"/>
      <c r="E184" s="33"/>
      <c r="F184" s="33"/>
      <c r="G184" s="37">
        <f>SUM(G180:G183)</f>
        <v>1.897287412374276</v>
      </c>
      <c r="H184" s="37" t="s">
        <v>26</v>
      </c>
      <c r="I184" s="38">
        <f>55091.51</f>
        <v>55091.51</v>
      </c>
      <c r="J184" s="39">
        <f>G184*I184</f>
        <v>104524.42845169155</v>
      </c>
      <c r="K184" s="34"/>
    </row>
    <row r="185" spans="1:13" x14ac:dyDescent="0.25">
      <c r="A185" s="12"/>
      <c r="B185" s="54"/>
      <c r="C185" s="14"/>
      <c r="D185" s="15"/>
      <c r="E185" s="16"/>
      <c r="F185" s="16"/>
      <c r="G185" s="19"/>
      <c r="H185" s="18"/>
      <c r="I185" s="19"/>
      <c r="J185" s="37"/>
      <c r="K185" s="16"/>
    </row>
    <row r="186" spans="1:13" ht="45" x14ac:dyDescent="0.25">
      <c r="A186" s="25">
        <v>27</v>
      </c>
      <c r="B186" s="24" t="s">
        <v>125</v>
      </c>
      <c r="C186" s="26"/>
      <c r="D186" s="17"/>
      <c r="E186" s="17"/>
      <c r="F186" s="17"/>
      <c r="G186" s="45"/>
      <c r="H186" s="45"/>
      <c r="I186" s="45"/>
      <c r="J186" s="39"/>
      <c r="K186" s="30"/>
    </row>
    <row r="187" spans="1:13" ht="15" customHeight="1" x14ac:dyDescent="0.25">
      <c r="A187" s="25"/>
      <c r="B187" s="22" t="s">
        <v>96</v>
      </c>
      <c r="C187" s="26">
        <v>1</v>
      </c>
      <c r="D187" s="17">
        <f>3/3.281</f>
        <v>0.91435537945748246</v>
      </c>
      <c r="E187" s="17">
        <f>4/3.281</f>
        <v>1.2191405059433098</v>
      </c>
      <c r="F187" s="17"/>
      <c r="G187" s="17">
        <f>PRODUCT(C187:F187)</f>
        <v>1.1147276799237822</v>
      </c>
      <c r="H187" s="45"/>
      <c r="I187" s="45"/>
      <c r="J187" s="39"/>
      <c r="K187" s="30"/>
    </row>
    <row r="188" spans="1:13" ht="15" customHeight="1" x14ac:dyDescent="0.25">
      <c r="A188" s="25"/>
      <c r="B188" s="22" t="s">
        <v>94</v>
      </c>
      <c r="C188" s="26">
        <f>0*2</f>
        <v>0</v>
      </c>
      <c r="D188" s="17"/>
      <c r="E188" s="17">
        <f>2.5/3.281</f>
        <v>0.76196281621456874</v>
      </c>
      <c r="F188" s="17">
        <f>1.5/3.281</f>
        <v>0.45717768972874123</v>
      </c>
      <c r="G188" s="17">
        <f>PRODUCT(C188:F188)</f>
        <v>0</v>
      </c>
      <c r="H188" s="45"/>
      <c r="I188" s="45"/>
      <c r="J188" s="39"/>
      <c r="K188" s="30"/>
    </row>
    <row r="189" spans="1:13" ht="15" customHeight="1" x14ac:dyDescent="0.25">
      <c r="A189" s="25"/>
      <c r="B189" s="22" t="s">
        <v>25</v>
      </c>
      <c r="C189" s="26"/>
      <c r="D189" s="17"/>
      <c r="E189" s="17"/>
      <c r="F189" s="17"/>
      <c r="G189" s="27">
        <f>SUM(G187:G188)</f>
        <v>1.1147276799237822</v>
      </c>
      <c r="H189" s="27" t="s">
        <v>26</v>
      </c>
      <c r="I189" s="28">
        <f>69579.92</f>
        <v>69579.92</v>
      </c>
      <c r="J189" s="29">
        <f>G189*I189</f>
        <v>77562.662790882372</v>
      </c>
      <c r="K189" s="30"/>
    </row>
    <row r="190" spans="1:13" ht="15" customHeight="1" x14ac:dyDescent="0.25">
      <c r="A190" s="25"/>
      <c r="B190" s="22"/>
      <c r="C190" s="26"/>
      <c r="D190" s="17"/>
      <c r="E190" s="17"/>
      <c r="F190" s="17"/>
      <c r="G190" s="45"/>
      <c r="H190" s="45"/>
      <c r="I190" s="45"/>
      <c r="J190" s="39"/>
      <c r="K190" s="30"/>
      <c r="M190" s="58"/>
    </row>
    <row r="191" spans="1:13" ht="30.75" x14ac:dyDescent="0.25">
      <c r="A191" s="25">
        <v>28</v>
      </c>
      <c r="B191" s="11" t="s">
        <v>97</v>
      </c>
      <c r="C191" s="26"/>
      <c r="D191" s="17"/>
      <c r="E191" s="17"/>
      <c r="F191" s="17"/>
      <c r="G191" s="45"/>
      <c r="H191" s="45"/>
      <c r="I191" s="45"/>
      <c r="J191" s="39"/>
      <c r="K191" s="30"/>
      <c r="M191" s="58"/>
    </row>
    <row r="192" spans="1:13" ht="15" customHeight="1" x14ac:dyDescent="0.25">
      <c r="A192" s="25"/>
      <c r="B192" s="22" t="s">
        <v>98</v>
      </c>
      <c r="C192" s="26">
        <v>1</v>
      </c>
      <c r="D192" s="17"/>
      <c r="E192" s="17">
        <f>3.5/3.281</f>
        <v>1.0667479427003961</v>
      </c>
      <c r="F192" s="17">
        <f>6/3.281</f>
        <v>1.8287107589149649</v>
      </c>
      <c r="G192" s="17">
        <f>PRODUCT(C192:F192)</f>
        <v>1.9507734398666188</v>
      </c>
      <c r="H192" s="45"/>
      <c r="I192" s="45"/>
      <c r="J192" s="39"/>
      <c r="K192" s="30"/>
    </row>
    <row r="193" spans="1:19" ht="15" customHeight="1" x14ac:dyDescent="0.25">
      <c r="A193" s="25"/>
      <c r="B193" s="22" t="s">
        <v>25</v>
      </c>
      <c r="C193" s="26"/>
      <c r="D193" s="17"/>
      <c r="E193" s="17"/>
      <c r="F193" s="17"/>
      <c r="G193" s="27">
        <f>SUM(G192:G192)</f>
        <v>1.9507734398666188</v>
      </c>
      <c r="H193" s="27" t="s">
        <v>26</v>
      </c>
      <c r="I193" s="28">
        <f>15859.11*1.15</f>
        <v>18237.976500000001</v>
      </c>
      <c r="J193" s="29">
        <f>G193*I193</f>
        <v>35578.160153111559</v>
      </c>
      <c r="K193" s="30"/>
    </row>
    <row r="194" spans="1:19" ht="15.75" x14ac:dyDescent="0.25">
      <c r="A194" s="25"/>
      <c r="B194" s="11"/>
      <c r="C194" s="26"/>
      <c r="D194" s="17"/>
      <c r="E194" s="17"/>
      <c r="F194" s="17"/>
      <c r="G194" s="45"/>
      <c r="H194" s="45"/>
      <c r="I194" s="45"/>
      <c r="J194" s="39"/>
      <c r="K194" s="30"/>
      <c r="M194" s="58"/>
    </row>
    <row r="195" spans="1:19" ht="30" x14ac:dyDescent="0.25">
      <c r="A195" s="25">
        <v>29</v>
      </c>
      <c r="B195" s="24" t="s">
        <v>99</v>
      </c>
      <c r="C195" s="26"/>
      <c r="D195" s="17"/>
      <c r="E195" s="17"/>
      <c r="F195" s="17"/>
      <c r="G195" s="45"/>
      <c r="H195" s="45"/>
      <c r="I195" s="45"/>
      <c r="J195" s="39"/>
      <c r="K195" s="30"/>
    </row>
    <row r="196" spans="1:19" ht="15" customHeight="1" x14ac:dyDescent="0.25">
      <c r="A196" s="25"/>
      <c r="B196" s="22" t="s">
        <v>98</v>
      </c>
      <c r="C196" s="26">
        <v>1</v>
      </c>
      <c r="D196" s="17"/>
      <c r="E196" s="17">
        <f>3.5/3.281</f>
        <v>1.0667479427003961</v>
      </c>
      <c r="F196" s="17">
        <f>6/3.281</f>
        <v>1.8287107589149649</v>
      </c>
      <c r="G196" s="17">
        <f>PRODUCT(C196:F196)</f>
        <v>1.9507734398666188</v>
      </c>
      <c r="H196" s="45"/>
      <c r="I196" s="45"/>
      <c r="J196" s="39"/>
      <c r="K196" s="30"/>
    </row>
    <row r="197" spans="1:19" ht="15" customHeight="1" x14ac:dyDescent="0.25">
      <c r="A197" s="25"/>
      <c r="B197" s="22" t="s">
        <v>25</v>
      </c>
      <c r="C197" s="26"/>
      <c r="D197" s="17"/>
      <c r="E197" s="17"/>
      <c r="F197" s="17"/>
      <c r="G197" s="27">
        <f>SUM(G196:G196)</f>
        <v>1.9507734398666188</v>
      </c>
      <c r="H197" s="27" t="s">
        <v>26</v>
      </c>
      <c r="I197" s="28">
        <f>46573</f>
        <v>46573</v>
      </c>
      <c r="J197" s="29">
        <f>G197*I197</f>
        <v>90853.371414908033</v>
      </c>
      <c r="K197" s="30"/>
    </row>
    <row r="198" spans="1:19" x14ac:dyDescent="0.25">
      <c r="A198" s="25"/>
      <c r="B198" s="24"/>
      <c r="C198" s="26"/>
      <c r="D198" s="17"/>
      <c r="E198" s="17"/>
      <c r="F198" s="17"/>
      <c r="G198" s="45"/>
      <c r="H198" s="45"/>
      <c r="I198" s="45"/>
      <c r="J198" s="39"/>
      <c r="K198" s="30"/>
    </row>
    <row r="199" spans="1:19" ht="30" hidden="1" x14ac:dyDescent="0.25">
      <c r="A199" s="12">
        <v>32</v>
      </c>
      <c r="B199" s="72" t="s">
        <v>100</v>
      </c>
      <c r="C199" s="14"/>
      <c r="D199" s="15"/>
      <c r="E199" s="16"/>
      <c r="F199" s="16"/>
      <c r="G199" s="19"/>
      <c r="H199" s="18"/>
      <c r="I199" s="19"/>
      <c r="J199" s="20"/>
      <c r="K199" s="16"/>
      <c r="M199" s="21"/>
      <c r="N199" s="1"/>
      <c r="O199" s="1"/>
      <c r="P199" s="1"/>
      <c r="Q199" s="1"/>
      <c r="R199" s="21"/>
      <c r="S199" s="21"/>
    </row>
    <row r="200" spans="1:19" ht="15" hidden="1" customHeight="1" x14ac:dyDescent="0.25">
      <c r="A200" s="12"/>
      <c r="B200" s="13" t="s">
        <v>101</v>
      </c>
      <c r="C200" s="14">
        <v>2</v>
      </c>
      <c r="D200" s="15">
        <f>((15.667+16.25)/2)/3.281</f>
        <v>4.8639134410240779</v>
      </c>
      <c r="E200" s="16">
        <f>((10.75)/3.281)</f>
        <v>3.2764401097226452</v>
      </c>
      <c r="F200" s="16"/>
      <c r="G200" s="17">
        <f>PRODUCT(C200:F200)</f>
        <v>31.872642176780758</v>
      </c>
      <c r="H200" s="18"/>
      <c r="I200" s="19"/>
      <c r="J200" s="20"/>
      <c r="K200" s="16"/>
      <c r="M200" s="21"/>
      <c r="N200" s="1"/>
      <c r="O200" s="1"/>
      <c r="P200" s="1"/>
      <c r="Q200" s="1"/>
      <c r="R200" s="21"/>
      <c r="S200" s="21"/>
    </row>
    <row r="201" spans="1:19" ht="15" hidden="1" customHeight="1" x14ac:dyDescent="0.25">
      <c r="A201" s="25"/>
      <c r="B201" s="22" t="s">
        <v>25</v>
      </c>
      <c r="C201" s="26"/>
      <c r="D201" s="17"/>
      <c r="E201" s="17"/>
      <c r="F201" s="17"/>
      <c r="G201" s="27">
        <f>0*SUM(G200:G200)</f>
        <v>0</v>
      </c>
      <c r="H201" s="27" t="s">
        <v>26</v>
      </c>
      <c r="I201" s="28">
        <f>(325188.75/100)</f>
        <v>3251.8874999999998</v>
      </c>
      <c r="J201" s="29">
        <f>G201*I201</f>
        <v>0</v>
      </c>
      <c r="K201" s="30"/>
    </row>
    <row r="202" spans="1:19" ht="15" hidden="1" customHeight="1" x14ac:dyDescent="0.25">
      <c r="A202" s="25"/>
      <c r="B202" s="22" t="s">
        <v>85</v>
      </c>
      <c r="C202" s="26"/>
      <c r="D202" s="17"/>
      <c r="E202" s="17"/>
      <c r="F202" s="17"/>
      <c r="G202" s="45"/>
      <c r="H202" s="45"/>
      <c r="I202" s="45"/>
      <c r="J202" s="39">
        <f>0.13*G201*((221748.75)/100)</f>
        <v>0</v>
      </c>
      <c r="K202" s="30"/>
    </row>
    <row r="203" spans="1:19" ht="15" hidden="1" customHeight="1" x14ac:dyDescent="0.25">
      <c r="A203" s="25"/>
      <c r="B203" s="22"/>
      <c r="C203" s="26"/>
      <c r="D203" s="17"/>
      <c r="E203" s="17"/>
      <c r="F203" s="17"/>
      <c r="G203" s="45"/>
      <c r="H203" s="45"/>
      <c r="I203" s="45"/>
      <c r="J203" s="39"/>
      <c r="K203" s="30"/>
    </row>
    <row r="204" spans="1:19" ht="30" hidden="1" x14ac:dyDescent="0.25">
      <c r="A204" s="12">
        <v>33</v>
      </c>
      <c r="B204" s="72" t="s">
        <v>102</v>
      </c>
      <c r="C204" s="26"/>
      <c r="D204" s="17"/>
      <c r="E204" s="17"/>
      <c r="F204" s="17"/>
      <c r="G204" s="45"/>
      <c r="H204" s="45"/>
      <c r="I204" s="45"/>
      <c r="J204" s="39"/>
      <c r="K204" s="30"/>
    </row>
    <row r="205" spans="1:19" ht="15" hidden="1" customHeight="1" x14ac:dyDescent="0.25">
      <c r="A205" s="12"/>
      <c r="B205" s="13" t="s">
        <v>101</v>
      </c>
      <c r="C205" s="14">
        <f>2*2</f>
        <v>4</v>
      </c>
      <c r="D205" s="15">
        <f>D200</f>
        <v>4.8639134410240779</v>
      </c>
      <c r="E205" s="16"/>
      <c r="F205" s="16"/>
      <c r="G205" s="17">
        <f>PRODUCT(C205:F205)</f>
        <v>19.455653764096311</v>
      </c>
      <c r="H205" s="18"/>
      <c r="I205" s="19"/>
      <c r="J205" s="20"/>
      <c r="K205" s="16"/>
      <c r="M205" s="21"/>
      <c r="N205" s="1"/>
      <c r="O205" s="1"/>
      <c r="P205" s="1"/>
      <c r="Q205" s="1"/>
      <c r="R205" s="21"/>
      <c r="S205" s="21"/>
    </row>
    <row r="206" spans="1:19" ht="15" hidden="1" customHeight="1" x14ac:dyDescent="0.25">
      <c r="A206" s="25"/>
      <c r="B206" s="22" t="s">
        <v>25</v>
      </c>
      <c r="C206" s="26"/>
      <c r="D206" s="17"/>
      <c r="E206" s="17"/>
      <c r="F206" s="17"/>
      <c r="G206" s="27">
        <f>0*SUM(G205:G205)</f>
        <v>0</v>
      </c>
      <c r="H206" s="27" t="s">
        <v>68</v>
      </c>
      <c r="I206" s="28">
        <v>1842.85</v>
      </c>
      <c r="J206" s="29">
        <f>G206*I206</f>
        <v>0</v>
      </c>
      <c r="K206" s="30"/>
    </row>
    <row r="207" spans="1:19" ht="15" hidden="1" customHeight="1" x14ac:dyDescent="0.25">
      <c r="A207" s="25"/>
      <c r="B207" s="22" t="s">
        <v>85</v>
      </c>
      <c r="C207" s="26"/>
      <c r="D207" s="17"/>
      <c r="E207" s="17"/>
      <c r="F207" s="17"/>
      <c r="G207" s="45"/>
      <c r="H207" s="45"/>
      <c r="I207" s="45"/>
      <c r="J207" s="39">
        <f>0.13*G206*((164000)/100)</f>
        <v>0</v>
      </c>
      <c r="K207" s="30"/>
    </row>
    <row r="208" spans="1:19" ht="15" hidden="1" customHeight="1" x14ac:dyDescent="0.25">
      <c r="A208" s="25"/>
      <c r="B208" s="22"/>
      <c r="C208" s="26"/>
      <c r="D208" s="17"/>
      <c r="E208" s="17"/>
      <c r="F208" s="17"/>
      <c r="G208" s="45"/>
      <c r="H208" s="45"/>
      <c r="I208" s="45"/>
      <c r="J208" s="39"/>
      <c r="K208" s="30"/>
    </row>
    <row r="209" spans="1:19" ht="30" hidden="1" x14ac:dyDescent="0.25">
      <c r="A209" s="25">
        <v>34</v>
      </c>
      <c r="B209" s="72" t="s">
        <v>103</v>
      </c>
      <c r="C209" s="26"/>
      <c r="D209" s="17"/>
      <c r="E209" s="17"/>
      <c r="F209" s="17"/>
      <c r="G209" s="45"/>
      <c r="H209" s="45"/>
      <c r="I209" s="45"/>
      <c r="J209" s="39"/>
      <c r="K209" s="30"/>
    </row>
    <row r="210" spans="1:19" hidden="1" x14ac:dyDescent="0.25">
      <c r="A210" s="25"/>
      <c r="B210" s="22" t="s">
        <v>104</v>
      </c>
      <c r="C210" s="26">
        <v>4</v>
      </c>
      <c r="D210" s="17"/>
      <c r="E210" s="17"/>
      <c r="F210" s="17"/>
      <c r="G210" s="17">
        <f>PRODUCT(C210:F210)</f>
        <v>4</v>
      </c>
      <c r="H210" s="45"/>
      <c r="I210" s="45"/>
      <c r="J210" s="39"/>
      <c r="K210" s="30"/>
    </row>
    <row r="211" spans="1:19" ht="15" hidden="1" customHeight="1" x14ac:dyDescent="0.25">
      <c r="A211" s="25"/>
      <c r="B211" s="22" t="s">
        <v>25</v>
      </c>
      <c r="C211" s="26"/>
      <c r="D211" s="17"/>
      <c r="E211" s="17"/>
      <c r="F211" s="17"/>
      <c r="G211" s="27">
        <f>0*SUM(G210)</f>
        <v>0</v>
      </c>
      <c r="H211" s="27" t="s">
        <v>90</v>
      </c>
      <c r="I211" s="28">
        <v>279</v>
      </c>
      <c r="J211" s="29">
        <f>G211*I211</f>
        <v>0</v>
      </c>
      <c r="K211" s="30"/>
    </row>
    <row r="212" spans="1:19" ht="15" hidden="1" customHeight="1" x14ac:dyDescent="0.25">
      <c r="A212" s="25"/>
      <c r="B212" s="22" t="s">
        <v>85</v>
      </c>
      <c r="C212" s="26"/>
      <c r="D212" s="17"/>
      <c r="E212" s="17"/>
      <c r="F212" s="17"/>
      <c r="G212" s="45"/>
      <c r="H212" s="45"/>
      <c r="I212" s="45"/>
      <c r="J212" s="39">
        <f>0.13*J211</f>
        <v>0</v>
      </c>
      <c r="K212" s="30"/>
    </row>
    <row r="213" spans="1:19" hidden="1" x14ac:dyDescent="0.25">
      <c r="A213" s="25"/>
      <c r="B213" s="24"/>
      <c r="C213" s="26"/>
      <c r="D213" s="17"/>
      <c r="E213" s="17"/>
      <c r="F213" s="17"/>
      <c r="G213" s="45"/>
      <c r="H213" s="45"/>
      <c r="I213" s="45"/>
      <c r="J213" s="39"/>
      <c r="K213" s="30"/>
    </row>
    <row r="214" spans="1:19" ht="30" x14ac:dyDescent="0.25">
      <c r="A214" s="12">
        <v>30</v>
      </c>
      <c r="B214" s="72" t="s">
        <v>118</v>
      </c>
      <c r="C214" s="14"/>
      <c r="D214" s="15"/>
      <c r="E214" s="16"/>
      <c r="F214" s="16"/>
      <c r="G214" s="19"/>
      <c r="H214" s="18"/>
      <c r="I214" s="19"/>
      <c r="J214" s="20"/>
      <c r="K214" s="16"/>
      <c r="M214" s="21"/>
      <c r="N214" s="1"/>
      <c r="O214" s="1"/>
      <c r="P214" s="1"/>
      <c r="Q214" s="1"/>
      <c r="R214" s="21"/>
      <c r="S214" s="21"/>
    </row>
    <row r="215" spans="1:19" ht="15" customHeight="1" x14ac:dyDescent="0.25">
      <c r="A215" s="12"/>
      <c r="B215" s="13" t="s">
        <v>101</v>
      </c>
      <c r="C215" s="14">
        <v>2</v>
      </c>
      <c r="D215" s="15">
        <f>(((15.667+16.25)/2)/3.281)+0.2</f>
        <v>5.063913441024078</v>
      </c>
      <c r="E215" s="16">
        <f>((10.75)/3.281)</f>
        <v>3.2764401097226452</v>
      </c>
      <c r="F215" s="16"/>
      <c r="G215" s="17">
        <f>PRODUCT(C215:F215)</f>
        <v>33.183218220669815</v>
      </c>
      <c r="H215" s="18"/>
      <c r="I215" s="19"/>
      <c r="J215" s="20"/>
      <c r="K215" s="16"/>
      <c r="M215" s="21"/>
      <c r="N215" s="1"/>
      <c r="O215" s="1"/>
      <c r="P215" s="1"/>
      <c r="Q215" s="1"/>
      <c r="R215" s="21"/>
      <c r="S215" s="21"/>
    </row>
    <row r="216" spans="1:19" ht="15" customHeight="1" x14ac:dyDescent="0.25">
      <c r="A216" s="25"/>
      <c r="B216" s="22" t="s">
        <v>25</v>
      </c>
      <c r="C216" s="26"/>
      <c r="D216" s="17"/>
      <c r="E216" s="17"/>
      <c r="F216" s="17"/>
      <c r="G216" s="27">
        <f>SUM(G215:G215)</f>
        <v>33.183218220669815</v>
      </c>
      <c r="H216" s="27" t="s">
        <v>26</v>
      </c>
      <c r="I216" s="28">
        <f>12179.38</f>
        <v>12179.38</v>
      </c>
      <c r="J216" s="29">
        <f>G216*I216</f>
        <v>404151.02433246153</v>
      </c>
      <c r="K216" s="30"/>
    </row>
    <row r="217" spans="1:19" ht="15" customHeight="1" x14ac:dyDescent="0.25">
      <c r="A217" s="25"/>
      <c r="B217" s="22"/>
      <c r="C217" s="26"/>
      <c r="D217" s="17"/>
      <c r="E217" s="17"/>
      <c r="F217" s="17"/>
      <c r="G217" s="45"/>
      <c r="H217" s="45"/>
      <c r="I217" s="45"/>
      <c r="J217" s="39"/>
      <c r="K217" s="30"/>
    </row>
    <row r="218" spans="1:19" ht="45" x14ac:dyDescent="0.25">
      <c r="A218" s="25">
        <v>31</v>
      </c>
      <c r="B218" s="24" t="s">
        <v>120</v>
      </c>
      <c r="C218" s="26"/>
      <c r="D218" s="17"/>
      <c r="E218" s="17"/>
      <c r="F218" s="17"/>
      <c r="G218" s="45"/>
      <c r="H218" s="45"/>
      <c r="I218" s="45"/>
      <c r="J218" s="39"/>
      <c r="K218" s="30"/>
    </row>
    <row r="219" spans="1:19" ht="15" customHeight="1" x14ac:dyDescent="0.25">
      <c r="A219" s="12"/>
      <c r="B219" s="13" t="s">
        <v>101</v>
      </c>
      <c r="C219" s="14">
        <v>2</v>
      </c>
      <c r="D219" s="16">
        <f>((10.75)/3.281)</f>
        <v>3.2764401097226452</v>
      </c>
      <c r="E219" s="16"/>
      <c r="F219" s="16"/>
      <c r="G219" s="17">
        <f>PRODUCT(C219:F219)</f>
        <v>6.5528802194452904</v>
      </c>
      <c r="H219" s="18"/>
      <c r="I219" s="19"/>
      <c r="J219" s="20"/>
      <c r="K219" s="16"/>
      <c r="M219" s="21"/>
      <c r="N219" s="1"/>
      <c r="O219" s="1"/>
      <c r="P219" s="1"/>
      <c r="Q219" s="1"/>
      <c r="R219" s="21"/>
      <c r="S219" s="21"/>
    </row>
    <row r="220" spans="1:19" ht="15" customHeight="1" x14ac:dyDescent="0.25">
      <c r="A220" s="25"/>
      <c r="B220" s="22" t="s">
        <v>25</v>
      </c>
      <c r="C220" s="26"/>
      <c r="D220" s="17"/>
      <c r="E220" s="17"/>
      <c r="F220" s="17"/>
      <c r="G220" s="27">
        <f>SUM(G219:G219)</f>
        <v>6.5528802194452904</v>
      </c>
      <c r="H220" s="27" t="s">
        <v>68</v>
      </c>
      <c r="I220" s="28">
        <f>1.15*2563.07</f>
        <v>2947.5304999999998</v>
      </c>
      <c r="J220" s="29">
        <f>G220*I220</f>
        <v>19314.814309661684</v>
      </c>
      <c r="K220" s="30"/>
    </row>
    <row r="221" spans="1:19" ht="15" customHeight="1" x14ac:dyDescent="0.25">
      <c r="A221" s="25"/>
      <c r="B221" s="22"/>
      <c r="C221" s="26"/>
      <c r="D221" s="17"/>
      <c r="E221" s="17"/>
      <c r="F221" s="17"/>
      <c r="G221" s="45"/>
      <c r="H221" s="45"/>
      <c r="I221" s="45"/>
      <c r="J221" s="39"/>
      <c r="K221" s="30"/>
    </row>
    <row r="222" spans="1:19" ht="45" x14ac:dyDescent="0.25">
      <c r="A222" s="25">
        <v>32</v>
      </c>
      <c r="B222" s="24" t="s">
        <v>121</v>
      </c>
      <c r="C222" s="26"/>
      <c r="D222" s="17"/>
      <c r="E222" s="17"/>
      <c r="F222" s="17"/>
      <c r="G222" s="45"/>
      <c r="H222" s="45"/>
      <c r="I222" s="45"/>
      <c r="J222" s="39"/>
      <c r="K222" s="30"/>
    </row>
    <row r="223" spans="1:19" ht="15" customHeight="1" x14ac:dyDescent="0.25">
      <c r="A223" s="12"/>
      <c r="B223" s="13" t="s">
        <v>101</v>
      </c>
      <c r="C223" s="14">
        <v>4</v>
      </c>
      <c r="D223" s="16"/>
      <c r="E223" s="16"/>
      <c r="F223" s="16"/>
      <c r="G223" s="17">
        <f>PRODUCT(C223:F223)</f>
        <v>4</v>
      </c>
      <c r="H223" s="18"/>
      <c r="I223" s="19"/>
      <c r="J223" s="20"/>
      <c r="K223" s="16"/>
      <c r="M223" s="21"/>
      <c r="N223" s="1"/>
      <c r="O223" s="1"/>
      <c r="P223" s="1"/>
      <c r="Q223" s="1"/>
      <c r="R223" s="21"/>
      <c r="S223" s="21"/>
    </row>
    <row r="224" spans="1:19" ht="15" customHeight="1" x14ac:dyDescent="0.25">
      <c r="A224" s="25"/>
      <c r="B224" s="22" t="s">
        <v>25</v>
      </c>
      <c r="C224" s="26"/>
      <c r="D224" s="17"/>
      <c r="E224" s="17"/>
      <c r="F224" s="17"/>
      <c r="G224" s="27">
        <f>SUM(G223:G223)</f>
        <v>4</v>
      </c>
      <c r="H224" s="27" t="s">
        <v>90</v>
      </c>
      <c r="I224" s="28">
        <f>6970.73</f>
        <v>6970.73</v>
      </c>
      <c r="J224" s="29">
        <f>G224*I224</f>
        <v>27882.92</v>
      </c>
      <c r="K224" s="30"/>
    </row>
    <row r="225" spans="1:19" ht="15" customHeight="1" x14ac:dyDescent="0.25">
      <c r="A225" s="25"/>
      <c r="B225" s="22"/>
      <c r="C225" s="26"/>
      <c r="D225" s="17"/>
      <c r="E225" s="17"/>
      <c r="F225" s="17"/>
      <c r="G225" s="45"/>
      <c r="H225" s="45"/>
      <c r="I225" s="45"/>
      <c r="J225" s="39"/>
      <c r="K225" s="30"/>
    </row>
    <row r="226" spans="1:19" ht="15" customHeight="1" x14ac:dyDescent="0.25">
      <c r="A226" s="25">
        <v>33</v>
      </c>
      <c r="B226" s="24" t="s">
        <v>122</v>
      </c>
      <c r="C226" s="26"/>
      <c r="D226" s="17"/>
      <c r="E226" s="17"/>
      <c r="F226" s="17"/>
      <c r="G226" s="45"/>
      <c r="H226" s="45"/>
      <c r="I226" s="45"/>
      <c r="J226" s="39"/>
      <c r="K226" s="30"/>
    </row>
    <row r="227" spans="1:19" ht="15" customHeight="1" x14ac:dyDescent="0.25">
      <c r="A227" s="12"/>
      <c r="B227" s="13" t="s">
        <v>123</v>
      </c>
      <c r="C227" s="14">
        <v>1</v>
      </c>
      <c r="D227" s="16"/>
      <c r="E227" s="16"/>
      <c r="F227" s="16"/>
      <c r="G227" s="17">
        <f>PRODUCT(C227:F227)</f>
        <v>1</v>
      </c>
      <c r="H227" s="18"/>
      <c r="I227" s="19"/>
      <c r="J227" s="20"/>
      <c r="K227" s="16"/>
      <c r="M227" s="21"/>
      <c r="N227" s="1"/>
      <c r="O227" s="1"/>
      <c r="P227" s="1"/>
      <c r="Q227" s="1"/>
      <c r="R227" s="21"/>
      <c r="S227" s="21"/>
    </row>
    <row r="228" spans="1:19" ht="15" customHeight="1" x14ac:dyDescent="0.25">
      <c r="A228" s="25"/>
      <c r="B228" s="22" t="s">
        <v>25</v>
      </c>
      <c r="C228" s="26"/>
      <c r="D228" s="17"/>
      <c r="E228" s="17"/>
      <c r="F228" s="17"/>
      <c r="G228" s="27">
        <f>SUM(G227:G227)</f>
        <v>1</v>
      </c>
      <c r="H228" s="27" t="s">
        <v>26</v>
      </c>
      <c r="I228" s="28">
        <f>139.736</f>
        <v>139.73599999999999</v>
      </c>
      <c r="J228" s="29">
        <f>G228*I228</f>
        <v>139.73599999999999</v>
      </c>
      <c r="K228" s="30"/>
    </row>
    <row r="229" spans="1:19" ht="15" customHeight="1" x14ac:dyDescent="0.25">
      <c r="A229" s="25"/>
      <c r="B229" s="22"/>
      <c r="C229" s="26"/>
      <c r="D229" s="17"/>
      <c r="E229" s="17"/>
      <c r="F229" s="17"/>
      <c r="G229" s="45"/>
      <c r="H229" s="45"/>
      <c r="I229" s="45"/>
      <c r="J229" s="39"/>
      <c r="K229" s="30"/>
    </row>
    <row r="230" spans="1:19" s="1" customFormat="1" ht="60" x14ac:dyDescent="0.25">
      <c r="A230" s="25">
        <v>34</v>
      </c>
      <c r="B230" s="60" t="s">
        <v>119</v>
      </c>
      <c r="C230" s="32">
        <f>3</f>
        <v>3</v>
      </c>
      <c r="D230" s="33">
        <v>3.5</v>
      </c>
      <c r="E230" s="33"/>
      <c r="F230" s="33"/>
      <c r="G230" s="33">
        <f>PRODUCT(C230:F230)</f>
        <v>10.5</v>
      </c>
      <c r="H230" s="25"/>
      <c r="I230" s="25"/>
      <c r="J230" s="25"/>
      <c r="K230" s="34"/>
    </row>
    <row r="231" spans="1:19" ht="15" customHeight="1" x14ac:dyDescent="0.25">
      <c r="A231" s="25"/>
      <c r="B231" s="22" t="s">
        <v>25</v>
      </c>
      <c r="C231" s="26"/>
      <c r="D231" s="17"/>
      <c r="E231" s="17"/>
      <c r="F231" s="17"/>
      <c r="G231" s="27">
        <f>SUM(G230:G230)</f>
        <v>10.5</v>
      </c>
      <c r="H231" s="27" t="s">
        <v>105</v>
      </c>
      <c r="I231" s="27">
        <f>4289.73</f>
        <v>4289.7299999999996</v>
      </c>
      <c r="J231" s="29">
        <f>G230*I231</f>
        <v>45042.164999999994</v>
      </c>
      <c r="K231" s="30"/>
    </row>
    <row r="232" spans="1:19" ht="15" customHeight="1" x14ac:dyDescent="0.25">
      <c r="A232" s="25"/>
      <c r="B232" s="22"/>
      <c r="C232" s="26"/>
      <c r="D232" s="17"/>
      <c r="E232" s="17"/>
      <c r="F232" s="17"/>
      <c r="G232" s="45"/>
      <c r="H232" s="45"/>
      <c r="I232" s="45"/>
      <c r="J232" s="39"/>
      <c r="K232" s="30"/>
    </row>
    <row r="233" spans="1:19" s="1" customFormat="1" ht="30" x14ac:dyDescent="0.25">
      <c r="A233" s="12">
        <v>35</v>
      </c>
      <c r="B233" s="54" t="s">
        <v>106</v>
      </c>
      <c r="C233" s="32">
        <v>1</v>
      </c>
      <c r="D233" s="33"/>
      <c r="E233" s="33"/>
      <c r="F233" s="33"/>
      <c r="G233" s="37">
        <f>PRODUCT(C233:F233)</f>
        <v>1</v>
      </c>
      <c r="H233" s="37" t="s">
        <v>107</v>
      </c>
      <c r="I233" s="37">
        <v>150000</v>
      </c>
      <c r="J233" s="39">
        <f>G233*I233</f>
        <v>150000</v>
      </c>
      <c r="K233" s="34"/>
    </row>
    <row r="234" spans="1:19" ht="15" customHeight="1" x14ac:dyDescent="0.25">
      <c r="A234" s="25"/>
      <c r="B234" s="41"/>
      <c r="C234" s="26"/>
      <c r="D234" s="17"/>
      <c r="E234" s="17"/>
      <c r="F234" s="17"/>
      <c r="G234" s="45"/>
      <c r="H234" s="45"/>
      <c r="I234" s="45"/>
      <c r="J234" s="39"/>
      <c r="K234" s="30"/>
    </row>
    <row r="235" spans="1:19" ht="15" customHeight="1" x14ac:dyDescent="0.25">
      <c r="A235" s="12">
        <v>36</v>
      </c>
      <c r="B235" s="61" t="s">
        <v>108</v>
      </c>
      <c r="C235" s="14">
        <v>1</v>
      </c>
      <c r="D235" s="15"/>
      <c r="E235" s="16"/>
      <c r="F235" s="16"/>
      <c r="G235" s="37">
        <f>PRODUCT(C235:F235)</f>
        <v>1</v>
      </c>
      <c r="H235" s="18" t="s">
        <v>90</v>
      </c>
      <c r="I235" s="19">
        <v>1000</v>
      </c>
      <c r="J235" s="37">
        <f>G235*I235</f>
        <v>1000</v>
      </c>
      <c r="K235" s="16"/>
      <c r="M235" s="21"/>
      <c r="N235" s="21"/>
    </row>
    <row r="236" spans="1:19" ht="15" customHeight="1" x14ac:dyDescent="0.25">
      <c r="A236" s="12"/>
      <c r="B236" s="59"/>
      <c r="C236" s="14"/>
      <c r="D236" s="15"/>
      <c r="E236" s="16"/>
      <c r="F236" s="16"/>
      <c r="G236" s="19"/>
      <c r="H236" s="18"/>
      <c r="I236" s="19"/>
      <c r="J236" s="20"/>
      <c r="K236" s="16"/>
      <c r="M236" s="21"/>
      <c r="N236" s="21"/>
    </row>
    <row r="237" spans="1:19" x14ac:dyDescent="0.25">
      <c r="A237" s="25"/>
      <c r="B237" s="62" t="s">
        <v>128</v>
      </c>
      <c r="C237" s="63"/>
      <c r="D237" s="64"/>
      <c r="E237" s="64"/>
      <c r="F237" s="64"/>
      <c r="G237" s="20"/>
      <c r="H237" s="20"/>
      <c r="I237" s="20"/>
      <c r="J237" s="20">
        <f>SUM(J14:J235)</f>
        <v>2108070.4791162037</v>
      </c>
      <c r="K237" s="30"/>
    </row>
    <row r="239" spans="1:19" s="1" customFormat="1" x14ac:dyDescent="0.25">
      <c r="B239" s="34" t="s">
        <v>110</v>
      </c>
      <c r="C239" s="132">
        <f>J237</f>
        <v>2108070.4791162037</v>
      </c>
      <c r="D239" s="132"/>
      <c r="E239" s="132"/>
      <c r="F239" s="65"/>
      <c r="G239" s="66"/>
      <c r="H239" s="65"/>
      <c r="I239" s="67"/>
      <c r="J239" s="68"/>
      <c r="K239" s="69"/>
    </row>
    <row r="240" spans="1:19" hidden="1" x14ac:dyDescent="0.25">
      <c r="B240" s="34" t="s">
        <v>111</v>
      </c>
      <c r="C240" s="134">
        <v>2250000</v>
      </c>
      <c r="D240" s="134"/>
      <c r="E240" s="33"/>
    </row>
    <row r="241" spans="2:5" hidden="1" x14ac:dyDescent="0.25">
      <c r="B241" s="34" t="s">
        <v>112</v>
      </c>
      <c r="C241" s="134">
        <f>C240-C243-C244</f>
        <v>2137500</v>
      </c>
      <c r="D241" s="134"/>
      <c r="E241" s="33">
        <f>C241/C239*100</f>
        <v>101.39604065306843</v>
      </c>
    </row>
    <row r="242" spans="2:5" hidden="1" x14ac:dyDescent="0.25">
      <c r="B242" s="34" t="s">
        <v>113</v>
      </c>
      <c r="C242" s="132">
        <f>C239-C241</f>
        <v>-29429.520883796271</v>
      </c>
      <c r="D242" s="132"/>
      <c r="E242" s="33">
        <f>100-E241</f>
        <v>-1.3960406530684253</v>
      </c>
    </row>
    <row r="243" spans="2:5" hidden="1" x14ac:dyDescent="0.25">
      <c r="B243" s="34" t="s">
        <v>114</v>
      </c>
      <c r="C243" s="132">
        <f>C240*0.03</f>
        <v>67500</v>
      </c>
      <c r="D243" s="132"/>
      <c r="E243" s="33">
        <v>3</v>
      </c>
    </row>
    <row r="244" spans="2:5" hidden="1" x14ac:dyDescent="0.25">
      <c r="B244" s="34" t="s">
        <v>115</v>
      </c>
      <c r="C244" s="132">
        <f>C240*0.02</f>
        <v>45000</v>
      </c>
      <c r="D244" s="132"/>
      <c r="E244" s="33">
        <v>2</v>
      </c>
    </row>
    <row r="245" spans="2:5" x14ac:dyDescent="0.25">
      <c r="B245" s="74" t="s">
        <v>126</v>
      </c>
      <c r="C245" s="133">
        <f>C239*0.13</f>
        <v>274049.16228510649</v>
      </c>
      <c r="D245" s="133"/>
      <c r="E245" s="133"/>
    </row>
    <row r="246" spans="2:5" x14ac:dyDescent="0.25">
      <c r="B246" s="74" t="s">
        <v>127</v>
      </c>
      <c r="C246" s="133">
        <f>C239+C245</f>
        <v>2382119.6414013105</v>
      </c>
      <c r="D246" s="133"/>
      <c r="E246" s="133"/>
    </row>
  </sheetData>
  <mergeCells count="17">
    <mergeCell ref="A6:F6"/>
    <mergeCell ref="H6:K6"/>
    <mergeCell ref="A1:K1"/>
    <mergeCell ref="A2:K2"/>
    <mergeCell ref="A3:K3"/>
    <mergeCell ref="A4:K4"/>
    <mergeCell ref="A5:K5"/>
    <mergeCell ref="A7:F7"/>
    <mergeCell ref="H7:K7"/>
    <mergeCell ref="C240:D240"/>
    <mergeCell ref="C241:D241"/>
    <mergeCell ref="C242:D242"/>
    <mergeCell ref="C243:D243"/>
    <mergeCell ref="C244:D244"/>
    <mergeCell ref="C245:E245"/>
    <mergeCell ref="C246:E246"/>
    <mergeCell ref="C239:E239"/>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4" zoomScaleNormal="100" zoomScaleSheetLayoutView="80" workbookViewId="0">
      <selection activeCell="D29" sqref="D29"/>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10.42578125" style="71" customWidth="1"/>
    <col min="10" max="10" width="10.5703125" style="71" bestFit="1" customWidth="1"/>
    <col min="11" max="11" width="8.85546875" customWidth="1"/>
    <col min="14" max="14" width="9.5703125" bestFit="1" customWidth="1"/>
  </cols>
  <sheetData>
    <row r="1" spans="1:19" s="1" customFormat="1" x14ac:dyDescent="0.25">
      <c r="A1" s="123" t="s">
        <v>0</v>
      </c>
      <c r="B1" s="123"/>
      <c r="C1" s="123"/>
      <c r="D1" s="123"/>
      <c r="E1" s="123"/>
      <c r="F1" s="123"/>
      <c r="G1" s="123"/>
      <c r="H1" s="123"/>
      <c r="I1" s="123"/>
      <c r="J1" s="123"/>
      <c r="K1" s="123"/>
    </row>
    <row r="2" spans="1:19" s="1" customFormat="1" ht="22.5" x14ac:dyDescent="0.25">
      <c r="A2" s="124" t="s">
        <v>1</v>
      </c>
      <c r="B2" s="124"/>
      <c r="C2" s="124"/>
      <c r="D2" s="124"/>
      <c r="E2" s="124"/>
      <c r="F2" s="124"/>
      <c r="G2" s="124"/>
      <c r="H2" s="124"/>
      <c r="I2" s="124"/>
      <c r="J2" s="124"/>
      <c r="K2" s="124"/>
    </row>
    <row r="3" spans="1:19" s="1" customFormat="1" x14ac:dyDescent="0.25">
      <c r="A3" s="125" t="s">
        <v>2</v>
      </c>
      <c r="B3" s="125"/>
      <c r="C3" s="125"/>
      <c r="D3" s="125"/>
      <c r="E3" s="125"/>
      <c r="F3" s="125"/>
      <c r="G3" s="125"/>
      <c r="H3" s="125"/>
      <c r="I3" s="125"/>
      <c r="J3" s="125"/>
      <c r="K3" s="125"/>
    </row>
    <row r="4" spans="1:19" s="1" customFormat="1" x14ac:dyDescent="0.25">
      <c r="A4" s="125" t="s">
        <v>3</v>
      </c>
      <c r="B4" s="125"/>
      <c r="C4" s="125"/>
      <c r="D4" s="125"/>
      <c r="E4" s="125"/>
      <c r="F4" s="125"/>
      <c r="G4" s="125"/>
      <c r="H4" s="125"/>
      <c r="I4" s="125"/>
      <c r="J4" s="125"/>
      <c r="K4" s="125"/>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129</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s="1" customFormat="1" ht="30" x14ac:dyDescent="0.25">
      <c r="A39" s="12">
        <v>5</v>
      </c>
      <c r="B39" s="54" t="s">
        <v>106</v>
      </c>
      <c r="C39" s="32">
        <v>1</v>
      </c>
      <c r="D39" s="33"/>
      <c r="E39" s="33"/>
      <c r="F39" s="33"/>
      <c r="G39" s="37">
        <f>PRODUCT(C39:F39)</f>
        <v>1</v>
      </c>
      <c r="H39" s="37" t="s">
        <v>107</v>
      </c>
      <c r="I39" s="37">
        <v>150000</v>
      </c>
      <c r="J39" s="39">
        <f>G39*I39</f>
        <v>150000</v>
      </c>
      <c r="K39" s="34"/>
    </row>
    <row r="40" spans="1:19" ht="15" customHeight="1" x14ac:dyDescent="0.25">
      <c r="A40" s="25"/>
      <c r="B40" s="41"/>
      <c r="C40" s="26"/>
      <c r="D40" s="17"/>
      <c r="E40" s="17"/>
      <c r="F40" s="17"/>
      <c r="G40" s="45"/>
      <c r="H40" s="45"/>
      <c r="I40" s="45"/>
      <c r="J40" s="39"/>
      <c r="K40" s="30"/>
    </row>
    <row r="41" spans="1:19" ht="15" customHeight="1" x14ac:dyDescent="0.25">
      <c r="A41" s="12">
        <v>6</v>
      </c>
      <c r="B41" s="61" t="s">
        <v>108</v>
      </c>
      <c r="C41" s="14">
        <v>1</v>
      </c>
      <c r="D41" s="15"/>
      <c r="E41" s="16"/>
      <c r="F41" s="16"/>
      <c r="G41" s="37">
        <f>PRODUCT(C41:F41)</f>
        <v>1</v>
      </c>
      <c r="H41" s="18" t="s">
        <v>90</v>
      </c>
      <c r="I41" s="19">
        <v>1000</v>
      </c>
      <c r="J41" s="37">
        <f>G41*I41</f>
        <v>1000</v>
      </c>
      <c r="K41" s="16"/>
      <c r="M41" s="21"/>
      <c r="N41" s="21"/>
    </row>
    <row r="42" spans="1:19" ht="15" customHeight="1" x14ac:dyDescent="0.25">
      <c r="A42" s="12"/>
      <c r="B42" s="59"/>
      <c r="C42" s="14"/>
      <c r="D42" s="15"/>
      <c r="E42" s="16"/>
      <c r="F42" s="16"/>
      <c r="G42" s="19"/>
      <c r="H42" s="18"/>
      <c r="I42" s="19"/>
      <c r="J42" s="20"/>
      <c r="K42" s="16"/>
      <c r="M42" s="21"/>
      <c r="N42" s="21"/>
    </row>
    <row r="43" spans="1:19" x14ac:dyDescent="0.25">
      <c r="A43" s="25"/>
      <c r="B43" s="62" t="s">
        <v>128</v>
      </c>
      <c r="C43" s="63"/>
      <c r="D43" s="64"/>
      <c r="E43" s="64"/>
      <c r="F43" s="64"/>
      <c r="G43" s="20"/>
      <c r="H43" s="20"/>
      <c r="I43" s="20"/>
      <c r="J43" s="20">
        <f>SUM(J9:J41)</f>
        <v>735603.14628856385</v>
      </c>
      <c r="K43" s="30"/>
    </row>
    <row r="45" spans="1:19" s="1" customFormat="1" x14ac:dyDescent="0.25">
      <c r="B45" s="34" t="s">
        <v>110</v>
      </c>
      <c r="C45" s="132">
        <f>J43</f>
        <v>735603.14628856385</v>
      </c>
      <c r="D45" s="132"/>
      <c r="E45" s="132"/>
      <c r="F45" s="65"/>
      <c r="G45" s="66"/>
      <c r="H45" s="65"/>
      <c r="I45" s="67"/>
      <c r="J45" s="68"/>
      <c r="K45" s="69"/>
    </row>
    <row r="46" spans="1:19" hidden="1" x14ac:dyDescent="0.25">
      <c r="B46" s="34" t="s">
        <v>111</v>
      </c>
      <c r="C46" s="134">
        <v>2250000</v>
      </c>
      <c r="D46" s="134"/>
      <c r="E46" s="33"/>
    </row>
    <row r="47" spans="1:19" hidden="1" x14ac:dyDescent="0.25">
      <c r="B47" s="34" t="s">
        <v>112</v>
      </c>
      <c r="C47" s="134">
        <f>C46-C49-C50</f>
        <v>2137500</v>
      </c>
      <c r="D47" s="134"/>
      <c r="E47" s="33">
        <f>C47/C45*100</f>
        <v>290.57787623457193</v>
      </c>
    </row>
    <row r="48" spans="1:19" hidden="1" x14ac:dyDescent="0.25">
      <c r="B48" s="34" t="s">
        <v>113</v>
      </c>
      <c r="C48" s="132">
        <f>C45-C47</f>
        <v>-1401896.853711436</v>
      </c>
      <c r="D48" s="132"/>
      <c r="E48" s="33">
        <f>100-E47</f>
        <v>-190.57787623457193</v>
      </c>
    </row>
    <row r="49" spans="2:5" hidden="1" x14ac:dyDescent="0.25">
      <c r="B49" s="34" t="s">
        <v>114</v>
      </c>
      <c r="C49" s="132">
        <f>C46*0.03</f>
        <v>67500</v>
      </c>
      <c r="D49" s="132"/>
      <c r="E49" s="33">
        <v>3</v>
      </c>
    </row>
    <row r="50" spans="2:5" hidden="1" x14ac:dyDescent="0.25">
      <c r="B50" s="34" t="s">
        <v>115</v>
      </c>
      <c r="C50" s="132">
        <f>C46*0.02</f>
        <v>45000</v>
      </c>
      <c r="D50" s="132"/>
      <c r="E50" s="33">
        <v>2</v>
      </c>
    </row>
    <row r="51" spans="2:5" x14ac:dyDescent="0.25">
      <c r="B51" s="74" t="s">
        <v>126</v>
      </c>
      <c r="C51" s="133">
        <f>C45*0.13</f>
        <v>95628.409017513302</v>
      </c>
      <c r="D51" s="133"/>
      <c r="E51" s="133"/>
    </row>
    <row r="52" spans="2:5" x14ac:dyDescent="0.25">
      <c r="B52" s="74" t="s">
        <v>127</v>
      </c>
      <c r="C52" s="133">
        <f>C45+C51</f>
        <v>831231.55530607712</v>
      </c>
      <c r="D52" s="133"/>
      <c r="E52" s="133"/>
    </row>
  </sheetData>
  <mergeCells count="17">
    <mergeCell ref="C49:D49"/>
    <mergeCell ref="C50:D50"/>
    <mergeCell ref="C51:E51"/>
    <mergeCell ref="C52:E52"/>
    <mergeCell ref="A7:F7"/>
    <mergeCell ref="H7:K7"/>
    <mergeCell ref="C45:E45"/>
    <mergeCell ref="C46:D46"/>
    <mergeCell ref="C47:D47"/>
    <mergeCell ref="C48:D4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view="pageBreakPreview" topLeftCell="A54" zoomScale="80" zoomScaleNormal="100" zoomScaleSheetLayoutView="80" workbookViewId="0">
      <selection activeCell="K65" sqref="K65"/>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23" t="s">
        <v>0</v>
      </c>
      <c r="B1" s="123"/>
      <c r="C1" s="123"/>
      <c r="D1" s="123"/>
      <c r="E1" s="123"/>
      <c r="F1" s="123"/>
      <c r="G1" s="123"/>
      <c r="H1" s="123"/>
      <c r="I1" s="123"/>
      <c r="J1" s="123"/>
      <c r="K1" s="123"/>
    </row>
    <row r="2" spans="1:19" s="1" customFormat="1" ht="22.5" x14ac:dyDescent="0.25">
      <c r="A2" s="124" t="s">
        <v>1</v>
      </c>
      <c r="B2" s="124"/>
      <c r="C2" s="124"/>
      <c r="D2" s="124"/>
      <c r="E2" s="124"/>
      <c r="F2" s="124"/>
      <c r="G2" s="124"/>
      <c r="H2" s="124"/>
      <c r="I2" s="124"/>
      <c r="J2" s="124"/>
      <c r="K2" s="124"/>
    </row>
    <row r="3" spans="1:19" s="1" customFormat="1" x14ac:dyDescent="0.25">
      <c r="A3" s="125" t="s">
        <v>2</v>
      </c>
      <c r="B3" s="125"/>
      <c r="C3" s="125"/>
      <c r="D3" s="125"/>
      <c r="E3" s="125"/>
      <c r="F3" s="125"/>
      <c r="G3" s="125"/>
      <c r="H3" s="125"/>
      <c r="I3" s="125"/>
      <c r="J3" s="125"/>
      <c r="K3" s="125"/>
    </row>
    <row r="4" spans="1:19" s="1" customFormat="1" x14ac:dyDescent="0.25">
      <c r="A4" s="125" t="s">
        <v>3</v>
      </c>
      <c r="B4" s="125"/>
      <c r="C4" s="125"/>
      <c r="D4" s="125"/>
      <c r="E4" s="125"/>
      <c r="F4" s="125"/>
      <c r="G4" s="125"/>
      <c r="H4" s="125"/>
      <c r="I4" s="125"/>
      <c r="J4" s="125"/>
      <c r="K4" s="125"/>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129</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ht="30" x14ac:dyDescent="0.25">
      <c r="A39" s="25">
        <v>5</v>
      </c>
      <c r="B39" s="54" t="s">
        <v>87</v>
      </c>
      <c r="C39" s="26"/>
      <c r="D39" s="17"/>
      <c r="E39" s="17"/>
      <c r="F39" s="17"/>
      <c r="G39" s="45"/>
      <c r="H39" s="45"/>
      <c r="I39" s="45"/>
      <c r="J39" s="39"/>
      <c r="K39" s="30"/>
    </row>
    <row r="40" spans="1:19" ht="15" customHeight="1" x14ac:dyDescent="0.25">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25">
      <c r="A41" s="25"/>
      <c r="B41" s="22" t="s">
        <v>25</v>
      </c>
      <c r="C41" s="26"/>
      <c r="D41" s="17"/>
      <c r="E41" s="17"/>
      <c r="F41" s="17"/>
      <c r="G41" s="27">
        <f>SUM(G40:G40)</f>
        <v>33.183218220669815</v>
      </c>
      <c r="H41" s="27" t="s">
        <v>26</v>
      </c>
      <c r="I41" s="28">
        <v>685.98</v>
      </c>
      <c r="J41" s="29">
        <f>G41*I41</f>
        <v>22763.024035015082</v>
      </c>
      <c r="K41" s="30"/>
    </row>
    <row r="42" spans="1:19" ht="15" customHeight="1" x14ac:dyDescent="0.25">
      <c r="A42" s="25"/>
      <c r="B42" s="22"/>
      <c r="C42" s="26"/>
      <c r="D42" s="17"/>
      <c r="E42" s="17"/>
      <c r="F42" s="17"/>
      <c r="G42" s="27"/>
      <c r="H42" s="27"/>
      <c r="I42" s="28"/>
      <c r="J42" s="29"/>
      <c r="K42" s="30"/>
    </row>
    <row r="43" spans="1:19" ht="30.75" x14ac:dyDescent="0.25">
      <c r="A43" s="25">
        <v>25</v>
      </c>
      <c r="B43" s="11" t="s">
        <v>91</v>
      </c>
      <c r="C43" s="26"/>
      <c r="D43" s="17"/>
      <c r="E43" s="17"/>
      <c r="F43" s="17"/>
      <c r="G43" s="45"/>
      <c r="H43" s="45"/>
      <c r="I43" s="45"/>
      <c r="J43" s="39"/>
      <c r="K43" s="30"/>
    </row>
    <row r="44" spans="1:19" x14ac:dyDescent="0.25">
      <c r="A44" s="25"/>
      <c r="B44" s="22" t="s">
        <v>92</v>
      </c>
      <c r="C44" s="26">
        <v>2</v>
      </c>
      <c r="D44" s="17">
        <f>3.5/3.281</f>
        <v>1.0667479427003961</v>
      </c>
      <c r="E44" s="17">
        <f>0.1</f>
        <v>0.1</v>
      </c>
      <c r="F44" s="17">
        <v>0.125</v>
      </c>
      <c r="G44" s="17">
        <f>PRODUCT(C44:F44)</f>
        <v>2.6668698567509905E-2</v>
      </c>
      <c r="H44" s="45"/>
      <c r="I44" s="45"/>
      <c r="J44" s="39"/>
      <c r="K44" s="30"/>
    </row>
    <row r="45" spans="1:19" x14ac:dyDescent="0.25">
      <c r="A45" s="25"/>
      <c r="B45" s="22"/>
      <c r="C45" s="26">
        <v>2</v>
      </c>
      <c r="D45" s="17">
        <f>6.5/3.281</f>
        <v>1.9811033221578787</v>
      </c>
      <c r="E45" s="17">
        <v>0.1</v>
      </c>
      <c r="F45" s="17">
        <v>0.125</v>
      </c>
      <c r="G45" s="17">
        <f>PRODUCT(C45:F45)</f>
        <v>4.9527583053946972E-2</v>
      </c>
      <c r="H45" s="45"/>
      <c r="I45" s="45"/>
      <c r="J45" s="39"/>
      <c r="K45" s="30"/>
    </row>
    <row r="46" spans="1:19" x14ac:dyDescent="0.25">
      <c r="A46" s="25"/>
      <c r="B46" s="22" t="s">
        <v>93</v>
      </c>
      <c r="C46" s="26">
        <v>2</v>
      </c>
      <c r="D46" s="17">
        <f>3/3.281</f>
        <v>0.91435537945748246</v>
      </c>
      <c r="E46" s="17">
        <v>7.4999999999999997E-2</v>
      </c>
      <c r="F46" s="17">
        <v>0.125</v>
      </c>
      <c r="G46" s="17">
        <f>PRODUCT(C46:F46)</f>
        <v>1.7144163364827797E-2</v>
      </c>
      <c r="H46" s="45"/>
      <c r="I46" s="45"/>
      <c r="J46" s="39"/>
      <c r="K46" s="30"/>
    </row>
    <row r="47" spans="1:19" x14ac:dyDescent="0.25">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25">
      <c r="A48" s="25"/>
      <c r="B48" s="22" t="s">
        <v>25</v>
      </c>
      <c r="C48" s="26"/>
      <c r="D48" s="17"/>
      <c r="E48" s="17"/>
      <c r="F48" s="17"/>
      <c r="G48" s="27">
        <f>SUM(G44:G47)</f>
        <v>0.11905669003352637</v>
      </c>
      <c r="H48" s="27" t="s">
        <v>29</v>
      </c>
      <c r="I48" s="28">
        <f>284000.83*1.15</f>
        <v>326600.95449999999</v>
      </c>
      <c r="J48" s="29">
        <f>G48*I48</f>
        <v>38884.02860456035</v>
      </c>
      <c r="K48" s="30"/>
    </row>
    <row r="49" spans="1:13" ht="15" customHeight="1" x14ac:dyDescent="0.25">
      <c r="A49" s="25"/>
      <c r="B49" s="22"/>
      <c r="C49" s="26"/>
      <c r="D49" s="17"/>
      <c r="E49" s="17"/>
      <c r="F49" s="17"/>
      <c r="G49" s="45"/>
      <c r="H49" s="45"/>
      <c r="I49" s="45"/>
      <c r="J49" s="39"/>
      <c r="K49" s="30"/>
    </row>
    <row r="50" spans="1:13" ht="30" x14ac:dyDescent="0.25">
      <c r="A50" s="12">
        <v>26</v>
      </c>
      <c r="B50" s="54" t="s">
        <v>124</v>
      </c>
      <c r="C50" s="14"/>
      <c r="D50" s="15"/>
      <c r="E50" s="16"/>
      <c r="F50" s="16"/>
      <c r="G50" s="19"/>
      <c r="H50" s="18"/>
      <c r="I50" s="19"/>
      <c r="J50" s="37"/>
      <c r="K50" s="16"/>
    </row>
    <row r="51" spans="1:13" x14ac:dyDescent="0.25">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25">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25">
      <c r="A53" s="25"/>
      <c r="B53" s="43" t="s">
        <v>25</v>
      </c>
      <c r="C53" s="32"/>
      <c r="D53" s="33"/>
      <c r="E53" s="33"/>
      <c r="F53" s="33"/>
      <c r="G53" s="37">
        <f>SUM(G51:G52)</f>
        <v>1.8641877476379154</v>
      </c>
      <c r="H53" s="37" t="s">
        <v>26</v>
      </c>
      <c r="I53" s="38">
        <f>55091.51</f>
        <v>55091.51</v>
      </c>
      <c r="J53" s="39">
        <f>G53*I53</f>
        <v>102700.9179408717</v>
      </c>
      <c r="K53" s="34"/>
    </row>
    <row r="54" spans="1:13" x14ac:dyDescent="0.25">
      <c r="A54" s="12"/>
      <c r="B54" s="54"/>
      <c r="C54" s="14"/>
      <c r="D54" s="15"/>
      <c r="E54" s="16"/>
      <c r="F54" s="16"/>
      <c r="G54" s="19"/>
      <c r="H54" s="18"/>
      <c r="I54" s="19"/>
      <c r="J54" s="37"/>
      <c r="K54" s="16"/>
    </row>
    <row r="55" spans="1:13" ht="45" x14ac:dyDescent="0.25">
      <c r="A55" s="25">
        <v>27</v>
      </c>
      <c r="B55" s="24" t="s">
        <v>125</v>
      </c>
      <c r="C55" s="26"/>
      <c r="D55" s="17"/>
      <c r="E55" s="17"/>
      <c r="F55" s="17"/>
      <c r="G55" s="45"/>
      <c r="H55" s="45"/>
      <c r="I55" s="45"/>
      <c r="J55" s="39"/>
      <c r="K55" s="30"/>
    </row>
    <row r="56" spans="1:13" ht="15" customHeight="1" x14ac:dyDescent="0.25">
      <c r="A56" s="25"/>
      <c r="B56" s="22" t="s">
        <v>96</v>
      </c>
      <c r="C56" s="26">
        <v>1</v>
      </c>
      <c r="D56" s="17">
        <f>3/3.281</f>
        <v>0.91435537945748246</v>
      </c>
      <c r="E56" s="17">
        <f>4/3.281</f>
        <v>1.2191405059433098</v>
      </c>
      <c r="F56" s="17"/>
      <c r="G56" s="17">
        <f>PRODUCT(C56:F56)</f>
        <v>1.1147276799237822</v>
      </c>
      <c r="H56" s="45"/>
      <c r="I56" s="45"/>
      <c r="J56" s="39"/>
      <c r="K56" s="30"/>
    </row>
    <row r="57" spans="1:13" ht="15" customHeight="1" x14ac:dyDescent="0.25">
      <c r="A57" s="25"/>
      <c r="B57" s="22" t="s">
        <v>25</v>
      </c>
      <c r="C57" s="26"/>
      <c r="D57" s="17"/>
      <c r="E57" s="17"/>
      <c r="F57" s="17"/>
      <c r="G57" s="27">
        <f>SUM(G56:G56)</f>
        <v>1.1147276799237822</v>
      </c>
      <c r="H57" s="27" t="s">
        <v>26</v>
      </c>
      <c r="I57" s="28">
        <f>69579.92</f>
        <v>69579.92</v>
      </c>
      <c r="J57" s="29">
        <f>G57*I57</f>
        <v>77562.662790882372</v>
      </c>
      <c r="K57" s="30"/>
    </row>
    <row r="58" spans="1:13" ht="15" customHeight="1" x14ac:dyDescent="0.25">
      <c r="A58" s="25"/>
      <c r="B58" s="22"/>
      <c r="C58" s="26"/>
      <c r="D58" s="17"/>
      <c r="E58" s="17"/>
      <c r="F58" s="17"/>
      <c r="G58" s="45"/>
      <c r="H58" s="45"/>
      <c r="I58" s="45"/>
      <c r="J58" s="39"/>
      <c r="K58" s="30"/>
      <c r="M58" s="58"/>
    </row>
    <row r="59" spans="1:13" ht="30.75" x14ac:dyDescent="0.25">
      <c r="A59" s="25">
        <v>28</v>
      </c>
      <c r="B59" s="11" t="s">
        <v>97</v>
      </c>
      <c r="C59" s="26"/>
      <c r="D59" s="17"/>
      <c r="E59" s="17"/>
      <c r="F59" s="17"/>
      <c r="G59" s="45"/>
      <c r="H59" s="45"/>
      <c r="I59" s="45"/>
      <c r="J59" s="39"/>
      <c r="K59" s="30"/>
      <c r="M59" s="58"/>
    </row>
    <row r="60" spans="1:13" ht="15" customHeight="1" x14ac:dyDescent="0.25">
      <c r="A60" s="25"/>
      <c r="B60" s="22" t="s">
        <v>98</v>
      </c>
      <c r="C60" s="26">
        <v>1</v>
      </c>
      <c r="D60" s="17"/>
      <c r="E60" s="17">
        <f>3.5/3.281</f>
        <v>1.0667479427003961</v>
      </c>
      <c r="F60" s="17">
        <f>6/3.281</f>
        <v>1.8287107589149649</v>
      </c>
      <c r="G60" s="17">
        <f>PRODUCT(C60:F60)</f>
        <v>1.9507734398666188</v>
      </c>
      <c r="H60" s="45"/>
      <c r="I60" s="45"/>
      <c r="J60" s="39"/>
      <c r="K60" s="30"/>
    </row>
    <row r="61" spans="1:13" ht="15" customHeight="1" x14ac:dyDescent="0.25">
      <c r="A61" s="25"/>
      <c r="B61" s="22" t="s">
        <v>25</v>
      </c>
      <c r="C61" s="26"/>
      <c r="D61" s="17"/>
      <c r="E61" s="17"/>
      <c r="F61" s="17"/>
      <c r="G61" s="27">
        <f>SUM(G60:G60)</f>
        <v>1.9507734398666188</v>
      </c>
      <c r="H61" s="27" t="s">
        <v>26</v>
      </c>
      <c r="I61" s="28">
        <f>15859.11*1.15</f>
        <v>18237.976500000001</v>
      </c>
      <c r="J61" s="29">
        <f>G61*I61</f>
        <v>35578.160153111559</v>
      </c>
      <c r="K61" s="30"/>
    </row>
    <row r="62" spans="1:13" ht="15.75" x14ac:dyDescent="0.25">
      <c r="A62" s="25"/>
      <c r="B62" s="11"/>
      <c r="C62" s="26"/>
      <c r="D62" s="17"/>
      <c r="E62" s="17"/>
      <c r="F62" s="17"/>
      <c r="G62" s="45"/>
      <c r="H62" s="45"/>
      <c r="I62" s="45"/>
      <c r="J62" s="39"/>
      <c r="K62" s="30"/>
      <c r="M62" s="58"/>
    </row>
    <row r="63" spans="1:13" ht="30" x14ac:dyDescent="0.25">
      <c r="A63" s="25">
        <v>29</v>
      </c>
      <c r="B63" s="24" t="s">
        <v>99</v>
      </c>
      <c r="C63" s="26"/>
      <c r="D63" s="17"/>
      <c r="E63" s="17"/>
      <c r="F63" s="17"/>
      <c r="G63" s="45"/>
      <c r="H63" s="45"/>
      <c r="I63" s="45"/>
      <c r="J63" s="39"/>
      <c r="K63" s="30"/>
    </row>
    <row r="64" spans="1:13" ht="15" customHeight="1" x14ac:dyDescent="0.25">
      <c r="A64" s="25"/>
      <c r="B64" s="22" t="s">
        <v>98</v>
      </c>
      <c r="C64" s="26">
        <v>1</v>
      </c>
      <c r="D64" s="17"/>
      <c r="E64" s="17">
        <f>3.5/3.281</f>
        <v>1.0667479427003961</v>
      </c>
      <c r="F64" s="17">
        <f>6/3.281</f>
        <v>1.8287107589149649</v>
      </c>
      <c r="G64" s="17">
        <f>PRODUCT(C64:F64)</f>
        <v>1.9507734398666188</v>
      </c>
      <c r="H64" s="45"/>
      <c r="I64" s="45"/>
      <c r="J64" s="39"/>
      <c r="K64" s="30"/>
    </row>
    <row r="65" spans="1:14" ht="15" customHeight="1" x14ac:dyDescent="0.25">
      <c r="A65" s="25"/>
      <c r="B65" s="22" t="s">
        <v>25</v>
      </c>
      <c r="C65" s="26"/>
      <c r="D65" s="17"/>
      <c r="E65" s="17"/>
      <c r="F65" s="17"/>
      <c r="G65" s="27">
        <f>SUM(G64:G64)</f>
        <v>1.9507734398666188</v>
      </c>
      <c r="H65" s="27" t="s">
        <v>26</v>
      </c>
      <c r="I65" s="28">
        <f>46573</f>
        <v>46573</v>
      </c>
      <c r="J65" s="29">
        <f>G65*I65</f>
        <v>90853.371414908033</v>
      </c>
      <c r="K65" s="30"/>
    </row>
    <row r="66" spans="1:14" x14ac:dyDescent="0.25">
      <c r="A66" s="25"/>
      <c r="B66" s="24"/>
      <c r="C66" s="26"/>
      <c r="D66" s="17"/>
      <c r="E66" s="17"/>
      <c r="F66" s="17"/>
      <c r="G66" s="45"/>
      <c r="H66" s="45"/>
      <c r="I66" s="45"/>
      <c r="J66" s="39"/>
      <c r="K66" s="30"/>
    </row>
    <row r="67" spans="1:14" s="1" customFormat="1" ht="30" x14ac:dyDescent="0.25">
      <c r="A67" s="12">
        <v>6</v>
      </c>
      <c r="B67" s="54" t="s">
        <v>106</v>
      </c>
      <c r="C67" s="32">
        <v>1</v>
      </c>
      <c r="D67" s="33"/>
      <c r="E67" s="33"/>
      <c r="F67" s="33"/>
      <c r="G67" s="37">
        <f>PRODUCT(C67:F67)</f>
        <v>1</v>
      </c>
      <c r="H67" s="37" t="s">
        <v>107</v>
      </c>
      <c r="I67" s="37">
        <v>150000</v>
      </c>
      <c r="J67" s="39">
        <f>G67*I67</f>
        <v>150000</v>
      </c>
      <c r="K67" s="34"/>
    </row>
    <row r="68" spans="1:14" ht="15" customHeight="1" x14ac:dyDescent="0.25">
      <c r="A68" s="25"/>
      <c r="B68" s="41"/>
      <c r="C68" s="26"/>
      <c r="D68" s="17"/>
      <c r="E68" s="17"/>
      <c r="F68" s="17"/>
      <c r="G68" s="45"/>
      <c r="H68" s="45"/>
      <c r="I68" s="45"/>
      <c r="J68" s="39"/>
      <c r="K68" s="30"/>
    </row>
    <row r="69" spans="1:14" ht="15" customHeight="1" x14ac:dyDescent="0.25">
      <c r="A69" s="12">
        <v>7</v>
      </c>
      <c r="B69" s="61" t="s">
        <v>108</v>
      </c>
      <c r="C69" s="14">
        <v>1</v>
      </c>
      <c r="D69" s="15"/>
      <c r="E69" s="16"/>
      <c r="F69" s="16"/>
      <c r="G69" s="37">
        <f>PRODUCT(C69:F69)</f>
        <v>1</v>
      </c>
      <c r="H69" s="18" t="s">
        <v>90</v>
      </c>
      <c r="I69" s="19">
        <v>1000</v>
      </c>
      <c r="J69" s="37">
        <f>G69*I69</f>
        <v>1000</v>
      </c>
      <c r="K69" s="16"/>
      <c r="M69" s="21"/>
      <c r="N69" s="21"/>
    </row>
    <row r="70" spans="1:14" ht="15" customHeight="1" x14ac:dyDescent="0.25">
      <c r="A70" s="12"/>
      <c r="B70" s="59"/>
      <c r="C70" s="14"/>
      <c r="D70" s="15"/>
      <c r="E70" s="16"/>
      <c r="F70" s="16"/>
      <c r="G70" s="19"/>
      <c r="H70" s="18"/>
      <c r="I70" s="19"/>
      <c r="J70" s="20"/>
      <c r="K70" s="16"/>
      <c r="M70" s="21"/>
      <c r="N70" s="21"/>
    </row>
    <row r="71" spans="1:14" x14ac:dyDescent="0.25">
      <c r="A71" s="25"/>
      <c r="B71" s="62" t="s">
        <v>128</v>
      </c>
      <c r="C71" s="63"/>
      <c r="D71" s="64"/>
      <c r="E71" s="64"/>
      <c r="F71" s="64"/>
      <c r="G71" s="20"/>
      <c r="H71" s="20"/>
      <c r="I71" s="20"/>
      <c r="J71" s="20">
        <f>SUM(J26:J69)</f>
        <v>1103945.3112279128</v>
      </c>
      <c r="K71" s="30"/>
    </row>
    <row r="73" spans="1:14" s="1" customFormat="1" x14ac:dyDescent="0.25">
      <c r="B73" s="34" t="s">
        <v>110</v>
      </c>
      <c r="C73" s="132">
        <f>J71</f>
        <v>1103945.3112279128</v>
      </c>
      <c r="D73" s="132"/>
      <c r="E73" s="132"/>
      <c r="F73" s="65"/>
      <c r="G73" s="66"/>
      <c r="H73" s="65"/>
      <c r="I73" s="67"/>
      <c r="J73" s="68"/>
      <c r="K73" s="69"/>
    </row>
    <row r="74" spans="1:14" hidden="1" x14ac:dyDescent="0.25">
      <c r="B74" s="34" t="s">
        <v>111</v>
      </c>
      <c r="C74" s="134">
        <v>2250000</v>
      </c>
      <c r="D74" s="134"/>
      <c r="E74" s="33"/>
    </row>
    <row r="75" spans="1:14" hidden="1" x14ac:dyDescent="0.25">
      <c r="B75" s="34" t="s">
        <v>112</v>
      </c>
      <c r="C75" s="134">
        <f>C74-C77-C78</f>
        <v>2137500</v>
      </c>
      <c r="D75" s="134"/>
      <c r="E75" s="33">
        <f>C75/C73*100</f>
        <v>193.62372195978347</v>
      </c>
    </row>
    <row r="76" spans="1:14" hidden="1" x14ac:dyDescent="0.25">
      <c r="B76" s="34" t="s">
        <v>113</v>
      </c>
      <c r="C76" s="132">
        <f>C73-C75</f>
        <v>-1033554.6887720872</v>
      </c>
      <c r="D76" s="132"/>
      <c r="E76" s="33">
        <f>100-E75</f>
        <v>-93.623721959783467</v>
      </c>
    </row>
    <row r="77" spans="1:14" hidden="1" x14ac:dyDescent="0.25">
      <c r="B77" s="34" t="s">
        <v>114</v>
      </c>
      <c r="C77" s="132">
        <f>C74*0.03</f>
        <v>67500</v>
      </c>
      <c r="D77" s="132"/>
      <c r="E77" s="33">
        <v>3</v>
      </c>
    </row>
    <row r="78" spans="1:14" hidden="1" x14ac:dyDescent="0.25">
      <c r="B78" s="34" t="s">
        <v>115</v>
      </c>
      <c r="C78" s="132">
        <f>C74*0.02</f>
        <v>45000</v>
      </c>
      <c r="D78" s="132"/>
      <c r="E78" s="33">
        <v>2</v>
      </c>
    </row>
    <row r="79" spans="1:14" x14ac:dyDescent="0.25">
      <c r="B79" s="74" t="s">
        <v>126</v>
      </c>
      <c r="C79" s="133">
        <f>C73*0.13</f>
        <v>143512.89045962866</v>
      </c>
      <c r="D79" s="133"/>
      <c r="E79" s="133"/>
    </row>
    <row r="80" spans="1:14" x14ac:dyDescent="0.25">
      <c r="B80" s="74" t="s">
        <v>127</v>
      </c>
      <c r="C80" s="133">
        <f>C73+C79</f>
        <v>1247458.2016875413</v>
      </c>
      <c r="D80" s="133"/>
      <c r="E80" s="133"/>
    </row>
  </sheetData>
  <mergeCells count="17">
    <mergeCell ref="A6:F6"/>
    <mergeCell ref="H6:K6"/>
    <mergeCell ref="A1:K1"/>
    <mergeCell ref="A2:K2"/>
    <mergeCell ref="A3:K3"/>
    <mergeCell ref="A4:K4"/>
    <mergeCell ref="A5:K5"/>
    <mergeCell ref="H7:K7"/>
    <mergeCell ref="C73:E73"/>
    <mergeCell ref="C74:D74"/>
    <mergeCell ref="C75:D75"/>
    <mergeCell ref="C76:D76"/>
    <mergeCell ref="C77:D77"/>
    <mergeCell ref="C78:D78"/>
    <mergeCell ref="C79:E79"/>
    <mergeCell ref="C80:E80"/>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topLeftCell="A30" zoomScaleNormal="100" zoomScaleSheetLayoutView="80" workbookViewId="0">
      <selection activeCell="G36" sqref="G36"/>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23" t="s">
        <v>0</v>
      </c>
      <c r="B1" s="123"/>
      <c r="C1" s="123"/>
      <c r="D1" s="123"/>
      <c r="E1" s="123"/>
      <c r="F1" s="123"/>
      <c r="G1" s="123"/>
      <c r="H1" s="123"/>
      <c r="I1" s="123"/>
      <c r="J1" s="123"/>
      <c r="K1" s="123"/>
    </row>
    <row r="2" spans="1:19" s="1" customFormat="1" ht="22.5" x14ac:dyDescent="0.25">
      <c r="A2" s="124" t="s">
        <v>1</v>
      </c>
      <c r="B2" s="124"/>
      <c r="C2" s="124"/>
      <c r="D2" s="124"/>
      <c r="E2" s="124"/>
      <c r="F2" s="124"/>
      <c r="G2" s="124"/>
      <c r="H2" s="124"/>
      <c r="I2" s="124"/>
      <c r="J2" s="124"/>
      <c r="K2" s="124"/>
    </row>
    <row r="3" spans="1:19" s="1" customFormat="1" x14ac:dyDescent="0.25">
      <c r="A3" s="125" t="s">
        <v>2</v>
      </c>
      <c r="B3" s="125"/>
      <c r="C3" s="125"/>
      <c r="D3" s="125"/>
      <c r="E3" s="125"/>
      <c r="F3" s="125"/>
      <c r="G3" s="125"/>
      <c r="H3" s="125"/>
      <c r="I3" s="125"/>
      <c r="J3" s="125"/>
      <c r="K3" s="125"/>
    </row>
    <row r="4" spans="1:19" s="1" customFormat="1" x14ac:dyDescent="0.25">
      <c r="A4" s="125" t="s">
        <v>3</v>
      </c>
      <c r="B4" s="125"/>
      <c r="C4" s="125"/>
      <c r="D4" s="125"/>
      <c r="E4" s="125"/>
      <c r="F4" s="125"/>
      <c r="G4" s="125"/>
      <c r="H4" s="125"/>
      <c r="I4" s="125"/>
      <c r="J4" s="125"/>
      <c r="K4" s="125"/>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129</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131</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25"/>
      <c r="B26" s="22" t="s">
        <v>25</v>
      </c>
      <c r="C26" s="26"/>
      <c r="D26" s="17"/>
      <c r="E26" s="17"/>
      <c r="F26" s="17"/>
      <c r="G26" s="27">
        <f>SUM(G25:G25)</f>
        <v>33.183218220669815</v>
      </c>
      <c r="H26" s="27" t="s">
        <v>26</v>
      </c>
      <c r="I26" s="28">
        <v>14913.64</v>
      </c>
      <c r="J26" s="29">
        <f>G26*I26</f>
        <v>494882.57058451016</v>
      </c>
      <c r="K26" s="30"/>
    </row>
    <row r="27" spans="1:19" ht="15" customHeight="1" x14ac:dyDescent="0.25">
      <c r="A27" s="25"/>
      <c r="B27" s="22"/>
      <c r="C27" s="26"/>
      <c r="D27" s="17"/>
      <c r="E27" s="17"/>
      <c r="F27" s="17"/>
      <c r="G27" s="45"/>
      <c r="H27" s="45"/>
      <c r="I27" s="45"/>
      <c r="J27" s="39"/>
      <c r="K27" s="30"/>
    </row>
    <row r="28" spans="1:19" ht="45" x14ac:dyDescent="0.25">
      <c r="A28" s="25">
        <v>2</v>
      </c>
      <c r="B28" s="24" t="s">
        <v>120</v>
      </c>
      <c r="C28" s="26"/>
      <c r="D28" s="17"/>
      <c r="E28" s="17"/>
      <c r="F28" s="17"/>
      <c r="G28" s="45"/>
      <c r="H28" s="45"/>
      <c r="I28" s="45"/>
      <c r="J28" s="39"/>
      <c r="K28" s="30"/>
    </row>
    <row r="29" spans="1:19" ht="15" customHeight="1" x14ac:dyDescent="0.25">
      <c r="A29" s="12"/>
      <c r="B29" s="13" t="s">
        <v>101</v>
      </c>
      <c r="C29" s="14">
        <v>2</v>
      </c>
      <c r="D29" s="16">
        <f>((10.75)/3.281)</f>
        <v>3.2764401097226452</v>
      </c>
      <c r="E29" s="16"/>
      <c r="F29" s="16"/>
      <c r="G29" s="17">
        <f>PRODUCT(C29:F29)</f>
        <v>6.5528802194452904</v>
      </c>
      <c r="H29" s="18"/>
      <c r="I29" s="19"/>
      <c r="J29" s="20"/>
      <c r="K29" s="16"/>
      <c r="M29" s="21"/>
      <c r="N29" s="1"/>
      <c r="O29" s="1"/>
      <c r="P29" s="1"/>
      <c r="Q29" s="1"/>
      <c r="R29" s="21"/>
      <c r="S29" s="21"/>
    </row>
    <row r="30" spans="1:19" ht="15" customHeight="1" x14ac:dyDescent="0.25">
      <c r="A30" s="25"/>
      <c r="B30" s="22" t="s">
        <v>25</v>
      </c>
      <c r="C30" s="26"/>
      <c r="D30" s="17"/>
      <c r="E30" s="17"/>
      <c r="F30" s="17"/>
      <c r="G30" s="27">
        <f>SUM(G29:G29)</f>
        <v>6.5528802194452904</v>
      </c>
      <c r="H30" s="27" t="s">
        <v>68</v>
      </c>
      <c r="I30" s="28">
        <f>2563.07</f>
        <v>2563.0700000000002</v>
      </c>
      <c r="J30" s="29">
        <f>G30*I30</f>
        <v>16795.490704053642</v>
      </c>
      <c r="K30" s="30"/>
    </row>
    <row r="31" spans="1:19" ht="15" customHeight="1" x14ac:dyDescent="0.25">
      <c r="A31" s="25"/>
      <c r="B31" s="22"/>
      <c r="C31" s="26"/>
      <c r="D31" s="17"/>
      <c r="E31" s="17"/>
      <c r="F31" s="17"/>
      <c r="G31" s="45"/>
      <c r="H31" s="45"/>
      <c r="I31" s="45"/>
      <c r="J31" s="39"/>
      <c r="K31" s="30"/>
    </row>
    <row r="32" spans="1:19" ht="45" x14ac:dyDescent="0.25">
      <c r="A32" s="25">
        <v>3</v>
      </c>
      <c r="B32" s="24" t="s">
        <v>121</v>
      </c>
      <c r="C32" s="26"/>
      <c r="D32" s="17"/>
      <c r="E32" s="17"/>
      <c r="F32" s="17"/>
      <c r="G32" s="45"/>
      <c r="H32" s="45"/>
      <c r="I32" s="45"/>
      <c r="J32" s="39"/>
      <c r="K32" s="30"/>
    </row>
    <row r="33" spans="1:19" ht="15" customHeight="1" x14ac:dyDescent="0.25">
      <c r="A33" s="12"/>
      <c r="B33" s="13" t="s">
        <v>101</v>
      </c>
      <c r="C33" s="14">
        <v>4</v>
      </c>
      <c r="D33" s="16"/>
      <c r="E33" s="16"/>
      <c r="F33" s="16"/>
      <c r="G33" s="17">
        <f>PRODUCT(C33:F33)</f>
        <v>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4</v>
      </c>
      <c r="H34" s="27" t="s">
        <v>90</v>
      </c>
      <c r="I34" s="28">
        <f>6970.73</f>
        <v>6970.73</v>
      </c>
      <c r="J34" s="29">
        <f>G34*I34</f>
        <v>27882.92</v>
      </c>
      <c r="K34" s="30"/>
    </row>
    <row r="35" spans="1:19" ht="15" customHeight="1" x14ac:dyDescent="0.25">
      <c r="A35" s="25"/>
      <c r="B35" s="22"/>
      <c r="C35" s="26"/>
      <c r="D35" s="17"/>
      <c r="E35" s="17"/>
      <c r="F35" s="17"/>
      <c r="G35" s="45"/>
      <c r="H35" s="45"/>
      <c r="I35" s="45"/>
      <c r="J35" s="39"/>
      <c r="K35" s="30"/>
    </row>
    <row r="36" spans="1:19" s="1" customFormat="1" ht="60" x14ac:dyDescent="0.25">
      <c r="A36" s="25">
        <v>4</v>
      </c>
      <c r="B36" s="60" t="s">
        <v>119</v>
      </c>
      <c r="C36" s="32">
        <f>3</f>
        <v>3</v>
      </c>
      <c r="D36" s="33">
        <v>3.5</v>
      </c>
      <c r="E36" s="33"/>
      <c r="F36" s="33"/>
      <c r="G36" s="33">
        <f>PRODUCT(C36:F36)</f>
        <v>10.5</v>
      </c>
      <c r="H36" s="25"/>
      <c r="I36" s="25"/>
      <c r="J36" s="25"/>
      <c r="K36" s="34"/>
    </row>
    <row r="37" spans="1:19" ht="15" customHeight="1" x14ac:dyDescent="0.25">
      <c r="A37" s="25"/>
      <c r="B37" s="22" t="s">
        <v>25</v>
      </c>
      <c r="C37" s="26"/>
      <c r="D37" s="17"/>
      <c r="E37" s="17"/>
      <c r="F37" s="17"/>
      <c r="G37" s="27">
        <f>SUM(G36:G36)</f>
        <v>10.5</v>
      </c>
      <c r="H37" s="27" t="s">
        <v>105</v>
      </c>
      <c r="I37" s="27">
        <f>4289.73</f>
        <v>4289.7299999999996</v>
      </c>
      <c r="J37" s="29">
        <f>G36*I37</f>
        <v>45042.164999999994</v>
      </c>
      <c r="K37" s="30"/>
    </row>
    <row r="38" spans="1:19" ht="15" customHeight="1" x14ac:dyDescent="0.25">
      <c r="A38" s="25"/>
      <c r="B38" s="22"/>
      <c r="C38" s="26"/>
      <c r="D38" s="17"/>
      <c r="E38" s="17"/>
      <c r="F38" s="17"/>
      <c r="G38" s="45"/>
      <c r="H38" s="45"/>
      <c r="I38" s="45"/>
      <c r="J38" s="39"/>
      <c r="K38" s="30"/>
    </row>
    <row r="39" spans="1:19" ht="30" x14ac:dyDescent="0.25">
      <c r="A39" s="25">
        <v>5</v>
      </c>
      <c r="B39" s="54" t="s">
        <v>87</v>
      </c>
      <c r="C39" s="26"/>
      <c r="D39" s="17"/>
      <c r="E39" s="17"/>
      <c r="F39" s="17"/>
      <c r="G39" s="45"/>
      <c r="H39" s="45"/>
      <c r="I39" s="45"/>
      <c r="J39" s="39"/>
      <c r="K39" s="30"/>
    </row>
    <row r="40" spans="1:19" ht="15" customHeight="1" x14ac:dyDescent="0.25">
      <c r="A40" s="12"/>
      <c r="B40" s="13" t="s">
        <v>101</v>
      </c>
      <c r="C40" s="14">
        <v>2</v>
      </c>
      <c r="D40" s="15">
        <f>(((15.667+16.25)/2)/3.281)+0.2</f>
        <v>5.063913441024078</v>
      </c>
      <c r="E40" s="16">
        <f>((10.75)/3.281)</f>
        <v>3.2764401097226452</v>
      </c>
      <c r="F40" s="16"/>
      <c r="G40" s="17">
        <f>PRODUCT(C40:F40)</f>
        <v>33.183218220669815</v>
      </c>
      <c r="H40" s="18"/>
      <c r="I40" s="19"/>
      <c r="J40" s="20"/>
      <c r="K40" s="16"/>
      <c r="M40" s="21"/>
      <c r="N40" s="1"/>
      <c r="O40" s="1"/>
      <c r="P40" s="1"/>
      <c r="Q40" s="1"/>
      <c r="R40" s="21"/>
      <c r="S40" s="21"/>
    </row>
    <row r="41" spans="1:19" ht="15" customHeight="1" x14ac:dyDescent="0.25">
      <c r="A41" s="25"/>
      <c r="B41" s="22" t="s">
        <v>25</v>
      </c>
      <c r="C41" s="26"/>
      <c r="D41" s="17"/>
      <c r="E41" s="17"/>
      <c r="F41" s="17"/>
      <c r="G41" s="27">
        <f>SUM(G40:G40)</f>
        <v>33.183218220669815</v>
      </c>
      <c r="H41" s="27" t="s">
        <v>26</v>
      </c>
      <c r="I41" s="28">
        <v>685.98</v>
      </c>
      <c r="J41" s="29">
        <f>G41*I41</f>
        <v>22763.024035015082</v>
      </c>
      <c r="K41" s="30"/>
    </row>
    <row r="42" spans="1:19" ht="15" customHeight="1" x14ac:dyDescent="0.25">
      <c r="A42" s="25"/>
      <c r="B42" s="22"/>
      <c r="C42" s="26"/>
      <c r="D42" s="17"/>
      <c r="E42" s="17"/>
      <c r="F42" s="17"/>
      <c r="G42" s="27"/>
      <c r="H42" s="27"/>
      <c r="I42" s="28"/>
      <c r="J42" s="29"/>
      <c r="K42" s="30"/>
    </row>
    <row r="43" spans="1:19" ht="30" x14ac:dyDescent="0.25">
      <c r="A43" s="25">
        <v>25</v>
      </c>
      <c r="B43" s="54" t="s">
        <v>132</v>
      </c>
      <c r="C43" s="26"/>
      <c r="D43" s="17"/>
      <c r="E43" s="17"/>
      <c r="F43" s="17"/>
      <c r="G43" s="45"/>
      <c r="H43" s="45"/>
      <c r="I43" s="45"/>
      <c r="J43" s="39"/>
      <c r="K43" s="30"/>
    </row>
    <row r="44" spans="1:19" x14ac:dyDescent="0.25">
      <c r="A44" s="25"/>
      <c r="B44" s="22" t="s">
        <v>92</v>
      </c>
      <c r="C44" s="26">
        <v>2</v>
      </c>
      <c r="D44" s="17">
        <f>3.5/3.281</f>
        <v>1.0667479427003961</v>
      </c>
      <c r="E44" s="17">
        <f>0.1</f>
        <v>0.1</v>
      </c>
      <c r="F44" s="17">
        <v>0.125</v>
      </c>
      <c r="G44" s="17">
        <f>PRODUCT(C44:F44)</f>
        <v>2.6668698567509905E-2</v>
      </c>
      <c r="H44" s="45"/>
      <c r="I44" s="45"/>
      <c r="J44" s="39"/>
      <c r="K44" s="30"/>
    </row>
    <row r="45" spans="1:19" x14ac:dyDescent="0.25">
      <c r="A45" s="25"/>
      <c r="B45" s="22"/>
      <c r="C45" s="26">
        <v>2</v>
      </c>
      <c r="D45" s="17">
        <f>6.5/3.281</f>
        <v>1.9811033221578787</v>
      </c>
      <c r="E45" s="17">
        <v>0.1</v>
      </c>
      <c r="F45" s="17">
        <v>0.125</v>
      </c>
      <c r="G45" s="17">
        <f>PRODUCT(C45:F45)</f>
        <v>4.9527583053946972E-2</v>
      </c>
      <c r="H45" s="45"/>
      <c r="I45" s="45"/>
      <c r="J45" s="39"/>
      <c r="K45" s="30"/>
    </row>
    <row r="46" spans="1:19" x14ac:dyDescent="0.25">
      <c r="A46" s="25"/>
      <c r="B46" s="22" t="s">
        <v>93</v>
      </c>
      <c r="C46" s="26">
        <v>2</v>
      </c>
      <c r="D46" s="17">
        <f>3/3.281</f>
        <v>0.91435537945748246</v>
      </c>
      <c r="E46" s="17">
        <v>7.4999999999999997E-2</v>
      </c>
      <c r="F46" s="17">
        <v>0.125</v>
      </c>
      <c r="G46" s="17">
        <f>PRODUCT(C46:F46)</f>
        <v>1.7144163364827797E-2</v>
      </c>
      <c r="H46" s="45"/>
      <c r="I46" s="45"/>
      <c r="J46" s="39"/>
      <c r="K46" s="30"/>
    </row>
    <row r="47" spans="1:19" x14ac:dyDescent="0.25">
      <c r="A47" s="25"/>
      <c r="B47" s="22"/>
      <c r="C47" s="26">
        <v>2</v>
      </c>
      <c r="D47" s="17">
        <f>4.5/3.281</f>
        <v>1.3715330691862238</v>
      </c>
      <c r="E47" s="17">
        <v>7.4999999999999997E-2</v>
      </c>
      <c r="F47" s="17">
        <v>0.125</v>
      </c>
      <c r="G47" s="17">
        <f>PRODUCT(C47:F47)</f>
        <v>2.5716245047241695E-2</v>
      </c>
      <c r="H47" s="45"/>
      <c r="I47" s="45"/>
      <c r="J47" s="39"/>
      <c r="K47" s="30"/>
    </row>
    <row r="48" spans="1:19" ht="15" customHeight="1" x14ac:dyDescent="0.25">
      <c r="A48" s="25"/>
      <c r="B48" s="22" t="s">
        <v>25</v>
      </c>
      <c r="C48" s="26"/>
      <c r="D48" s="17"/>
      <c r="E48" s="17"/>
      <c r="F48" s="17"/>
      <c r="G48" s="27">
        <f>SUM(G44:G47)</f>
        <v>0.11905669003352637</v>
      </c>
      <c r="H48" s="27" t="s">
        <v>29</v>
      </c>
      <c r="I48" s="28">
        <v>353723.98</v>
      </c>
      <c r="J48" s="29">
        <f>G48*I48</f>
        <v>42113.206244285277</v>
      </c>
      <c r="K48" s="30"/>
    </row>
    <row r="49" spans="1:13" ht="15" customHeight="1" x14ac:dyDescent="0.25">
      <c r="A49" s="25"/>
      <c r="B49" s="22"/>
      <c r="C49" s="26"/>
      <c r="D49" s="17"/>
      <c r="E49" s="17"/>
      <c r="F49" s="17"/>
      <c r="G49" s="45"/>
      <c r="H49" s="45"/>
      <c r="I49" s="45"/>
      <c r="J49" s="39"/>
      <c r="K49" s="30"/>
    </row>
    <row r="50" spans="1:13" ht="30" x14ac:dyDescent="0.25">
      <c r="A50" s="12">
        <v>26</v>
      </c>
      <c r="B50" s="54" t="s">
        <v>124</v>
      </c>
      <c r="C50" s="14"/>
      <c r="D50" s="15"/>
      <c r="E50" s="16"/>
      <c r="F50" s="16"/>
      <c r="G50" s="19"/>
      <c r="H50" s="18"/>
      <c r="I50" s="19"/>
      <c r="J50" s="37"/>
      <c r="K50" s="16"/>
    </row>
    <row r="51" spans="1:13" x14ac:dyDescent="0.25">
      <c r="A51" s="12"/>
      <c r="B51" s="43" t="s">
        <v>95</v>
      </c>
      <c r="C51" s="14">
        <v>2</v>
      </c>
      <c r="D51" s="15">
        <f>15/3.281</f>
        <v>4.5717768972874122</v>
      </c>
      <c r="E51" s="16">
        <v>7.4999999999999997E-2</v>
      </c>
      <c r="F51" s="30"/>
      <c r="G51" s="33">
        <f>PRODUCT(C51:E51)</f>
        <v>0.68576653459311177</v>
      </c>
      <c r="H51" s="18"/>
      <c r="I51" s="19"/>
      <c r="J51" s="37"/>
      <c r="K51" s="16"/>
      <c r="M51">
        <f>4+4+3.5+3.5</f>
        <v>15</v>
      </c>
    </row>
    <row r="52" spans="1:13" x14ac:dyDescent="0.25">
      <c r="A52" s="12"/>
      <c r="B52" s="43" t="str">
        <f>B44</f>
        <v>-For Door</v>
      </c>
      <c r="C52" s="14">
        <v>2</v>
      </c>
      <c r="D52" s="15">
        <f>(5.833*2+3.833*2)/3.281</f>
        <v>5.8921060652240174</v>
      </c>
      <c r="E52" s="16">
        <v>0.1</v>
      </c>
      <c r="F52" s="16"/>
      <c r="G52" s="33">
        <f>PRODUCT(C52:F52)</f>
        <v>1.1784212130448035</v>
      </c>
      <c r="H52" s="18"/>
      <c r="I52" s="19"/>
      <c r="J52" s="37"/>
      <c r="K52" s="16"/>
    </row>
    <row r="53" spans="1:13" ht="15" customHeight="1" x14ac:dyDescent="0.25">
      <c r="A53" s="25"/>
      <c r="B53" s="43" t="s">
        <v>25</v>
      </c>
      <c r="C53" s="32"/>
      <c r="D53" s="33"/>
      <c r="E53" s="33"/>
      <c r="F53" s="33"/>
      <c r="G53" s="37">
        <f>SUM(G51:G52)</f>
        <v>1.8641877476379154</v>
      </c>
      <c r="H53" s="37" t="s">
        <v>26</v>
      </c>
      <c r="I53" s="38">
        <f>55091.51</f>
        <v>55091.51</v>
      </c>
      <c r="J53" s="39">
        <f>G53*I53</f>
        <v>102700.9179408717</v>
      </c>
      <c r="K53" s="34"/>
    </row>
    <row r="54" spans="1:13" x14ac:dyDescent="0.25">
      <c r="A54" s="12"/>
      <c r="B54" s="54"/>
      <c r="C54" s="14"/>
      <c r="D54" s="15"/>
      <c r="E54" s="16"/>
      <c r="F54" s="16"/>
      <c r="G54" s="19"/>
      <c r="H54" s="18"/>
      <c r="I54" s="19"/>
      <c r="J54" s="37"/>
      <c r="K54" s="16"/>
    </row>
    <row r="55" spans="1:13" ht="30" x14ac:dyDescent="0.25">
      <c r="A55" s="25">
        <v>29</v>
      </c>
      <c r="B55" s="24" t="s">
        <v>99</v>
      </c>
      <c r="C55" s="26"/>
      <c r="D55" s="17"/>
      <c r="E55" s="17"/>
      <c r="F55" s="17"/>
      <c r="G55" s="45"/>
      <c r="H55" s="45"/>
      <c r="I55" s="45"/>
      <c r="J55" s="39"/>
      <c r="K55" s="30"/>
    </row>
    <row r="56" spans="1:13" ht="15" customHeight="1" x14ac:dyDescent="0.25">
      <c r="A56" s="25"/>
      <c r="B56" s="22" t="s">
        <v>98</v>
      </c>
      <c r="C56" s="26">
        <v>1</v>
      </c>
      <c r="D56" s="17"/>
      <c r="E56" s="17">
        <f>3.833/3.281</f>
        <v>1.1682413898201769</v>
      </c>
      <c r="F56" s="17">
        <f>6.5/3.281</f>
        <v>1.9811033221578787</v>
      </c>
      <c r="G56" s="17">
        <f>PRODUCT(C56:F56)</f>
        <v>2.3144068984550898</v>
      </c>
      <c r="H56" s="45"/>
      <c r="I56" s="45"/>
      <c r="J56" s="39"/>
      <c r="K56" s="30"/>
    </row>
    <row r="57" spans="1:13" ht="15" customHeight="1" x14ac:dyDescent="0.25">
      <c r="A57" s="25"/>
      <c r="B57" s="22" t="s">
        <v>133</v>
      </c>
      <c r="C57" s="26">
        <v>1</v>
      </c>
      <c r="D57" s="17"/>
      <c r="E57" s="17">
        <f>3.5/3.281</f>
        <v>1.0667479427003961</v>
      </c>
      <c r="F57" s="17">
        <f>4.5/3.281</f>
        <v>1.3715330691862238</v>
      </c>
      <c r="G57" s="17">
        <f>PRODUCT(C57:F57)</f>
        <v>1.4630800798999641</v>
      </c>
      <c r="H57" s="45"/>
      <c r="I57" s="45"/>
      <c r="J57" s="39"/>
      <c r="K57" s="30"/>
    </row>
    <row r="58" spans="1:13" ht="15" customHeight="1" x14ac:dyDescent="0.25">
      <c r="A58" s="25"/>
      <c r="B58" s="22" t="s">
        <v>25</v>
      </c>
      <c r="C58" s="26"/>
      <c r="D58" s="17"/>
      <c r="E58" s="17"/>
      <c r="F58" s="17"/>
      <c r="G58" s="27">
        <f>SUM(G56:G57)</f>
        <v>3.777486978355054</v>
      </c>
      <c r="H58" s="27" t="s">
        <v>26</v>
      </c>
      <c r="I58" s="28">
        <f>46573</f>
        <v>46573</v>
      </c>
      <c r="J58" s="29">
        <f>G58*I58</f>
        <v>175928.90104292994</v>
      </c>
      <c r="K58" s="30"/>
    </row>
    <row r="59" spans="1:13" x14ac:dyDescent="0.25">
      <c r="A59" s="25"/>
      <c r="B59" s="24"/>
      <c r="C59" s="26"/>
      <c r="D59" s="17"/>
      <c r="E59" s="17"/>
      <c r="F59" s="17"/>
      <c r="G59" s="45"/>
      <c r="H59" s="45"/>
      <c r="I59" s="45"/>
      <c r="J59" s="39"/>
      <c r="K59" s="30"/>
    </row>
    <row r="60" spans="1:13" ht="45" x14ac:dyDescent="0.25">
      <c r="A60" s="25">
        <v>27</v>
      </c>
      <c r="B60" s="24" t="s">
        <v>125</v>
      </c>
      <c r="C60" s="26"/>
      <c r="D60" s="17"/>
      <c r="E60" s="17"/>
      <c r="F60" s="17"/>
      <c r="G60" s="45"/>
      <c r="H60" s="45"/>
      <c r="I60" s="45"/>
      <c r="J60" s="39"/>
      <c r="K60" s="30"/>
    </row>
    <row r="61" spans="1:13" ht="15" customHeight="1" x14ac:dyDescent="0.25">
      <c r="A61" s="25"/>
      <c r="B61" s="22" t="s">
        <v>96</v>
      </c>
      <c r="C61" s="26">
        <v>1</v>
      </c>
      <c r="D61" s="17">
        <f>3/3.281</f>
        <v>0.91435537945748246</v>
      </c>
      <c r="E61" s="17">
        <f>4/3.281</f>
        <v>1.2191405059433098</v>
      </c>
      <c r="F61" s="17"/>
      <c r="G61" s="17">
        <f>PRODUCT(C61:F61)</f>
        <v>1.1147276799237822</v>
      </c>
      <c r="H61" s="45"/>
      <c r="I61" s="45"/>
      <c r="J61" s="39"/>
      <c r="K61" s="30"/>
    </row>
    <row r="62" spans="1:13" ht="15" customHeight="1" x14ac:dyDescent="0.25">
      <c r="A62" s="25"/>
      <c r="B62" s="22" t="s">
        <v>25</v>
      </c>
      <c r="C62" s="26"/>
      <c r="D62" s="17"/>
      <c r="E62" s="17"/>
      <c r="F62" s="17"/>
      <c r="G62" s="27">
        <f>SUM(G61:G61)</f>
        <v>1.1147276799237822</v>
      </c>
      <c r="H62" s="27" t="s">
        <v>26</v>
      </c>
      <c r="I62" s="28">
        <f>69579.92</f>
        <v>69579.92</v>
      </c>
      <c r="J62" s="29">
        <f>G62*I62</f>
        <v>77562.662790882372</v>
      </c>
      <c r="K62" s="30"/>
    </row>
    <row r="63" spans="1:13" ht="15" customHeight="1" x14ac:dyDescent="0.25">
      <c r="A63" s="25"/>
      <c r="B63" s="22"/>
      <c r="C63" s="26"/>
      <c r="D63" s="17"/>
      <c r="E63" s="17"/>
      <c r="F63" s="17"/>
      <c r="G63" s="45"/>
      <c r="H63" s="45"/>
      <c r="I63" s="45"/>
      <c r="J63" s="39"/>
      <c r="K63" s="30"/>
      <c r="M63" s="58"/>
    </row>
    <row r="64" spans="1:13" ht="30.75" x14ac:dyDescent="0.25">
      <c r="A64" s="25">
        <v>28</v>
      </c>
      <c r="B64" s="11" t="s">
        <v>97</v>
      </c>
      <c r="C64" s="26"/>
      <c r="D64" s="17"/>
      <c r="E64" s="17"/>
      <c r="F64" s="17"/>
      <c r="G64" s="45"/>
      <c r="H64" s="45"/>
      <c r="I64" s="45"/>
      <c r="J64" s="39"/>
      <c r="K64" s="30"/>
      <c r="M64" s="58"/>
    </row>
    <row r="65" spans="1:14" ht="15" customHeight="1" x14ac:dyDescent="0.25">
      <c r="A65" s="25"/>
      <c r="B65" s="22" t="s">
        <v>98</v>
      </c>
      <c r="C65" s="26">
        <v>1</v>
      </c>
      <c r="D65" s="17"/>
      <c r="E65" s="17">
        <f>3.5/3.281</f>
        <v>1.0667479427003961</v>
      </c>
      <c r="F65" s="17">
        <f>6/3.281</f>
        <v>1.8287107589149649</v>
      </c>
      <c r="G65" s="17">
        <f>PRODUCT(C65:F65)</f>
        <v>1.9507734398666188</v>
      </c>
      <c r="H65" s="45"/>
      <c r="I65" s="45"/>
      <c r="J65" s="39"/>
      <c r="K65" s="30"/>
    </row>
    <row r="66" spans="1:14" ht="15" customHeight="1" x14ac:dyDescent="0.25">
      <c r="A66" s="25"/>
      <c r="B66" s="22" t="s">
        <v>25</v>
      </c>
      <c r="C66" s="26"/>
      <c r="D66" s="17"/>
      <c r="E66" s="17"/>
      <c r="F66" s="17"/>
      <c r="G66" s="27">
        <f>SUM(G65:G65)</f>
        <v>1.9507734398666188</v>
      </c>
      <c r="H66" s="27" t="s">
        <v>26</v>
      </c>
      <c r="I66" s="28">
        <f>15859.11*1.15</f>
        <v>18237.976500000001</v>
      </c>
      <c r="J66" s="29">
        <f>G66*I66</f>
        <v>35578.160153111559</v>
      </c>
      <c r="K66" s="30"/>
    </row>
    <row r="67" spans="1:14" ht="15.75" x14ac:dyDescent="0.25">
      <c r="A67" s="25"/>
      <c r="B67" s="11"/>
      <c r="C67" s="26"/>
      <c r="D67" s="17"/>
      <c r="E67" s="17"/>
      <c r="F67" s="17"/>
      <c r="G67" s="45"/>
      <c r="H67" s="45"/>
      <c r="I67" s="45"/>
      <c r="J67" s="39"/>
      <c r="K67" s="30"/>
      <c r="M67" s="58"/>
    </row>
    <row r="68" spans="1:14" s="1" customFormat="1" ht="30" x14ac:dyDescent="0.25">
      <c r="A68" s="12">
        <v>6</v>
      </c>
      <c r="B68" s="54" t="s">
        <v>106</v>
      </c>
      <c r="C68" s="32">
        <v>1</v>
      </c>
      <c r="D68" s="33"/>
      <c r="E68" s="33"/>
      <c r="F68" s="33"/>
      <c r="G68" s="37">
        <f>PRODUCT(C68:F68)</f>
        <v>1</v>
      </c>
      <c r="H68" s="37" t="s">
        <v>107</v>
      </c>
      <c r="I68" s="37">
        <v>150000</v>
      </c>
      <c r="J68" s="39">
        <f>G68*I68</f>
        <v>150000</v>
      </c>
      <c r="K68" s="34"/>
    </row>
    <row r="69" spans="1:14" ht="15" customHeight="1" x14ac:dyDescent="0.25">
      <c r="A69" s="25"/>
      <c r="B69" s="41"/>
      <c r="C69" s="26"/>
      <c r="D69" s="17"/>
      <c r="E69" s="17"/>
      <c r="F69" s="17"/>
      <c r="G69" s="45"/>
      <c r="H69" s="45"/>
      <c r="I69" s="45"/>
      <c r="J69" s="39"/>
      <c r="K69" s="30"/>
    </row>
    <row r="70" spans="1:14" ht="15" customHeight="1" x14ac:dyDescent="0.25">
      <c r="A70" s="12">
        <v>7</v>
      </c>
      <c r="B70" s="61" t="s">
        <v>108</v>
      </c>
      <c r="C70" s="14">
        <v>1</v>
      </c>
      <c r="D70" s="15"/>
      <c r="E70" s="16"/>
      <c r="F70" s="16"/>
      <c r="G70" s="37">
        <f>PRODUCT(C70:F70)</f>
        <v>1</v>
      </c>
      <c r="H70" s="18" t="s">
        <v>90</v>
      </c>
      <c r="I70" s="19">
        <v>1000</v>
      </c>
      <c r="J70" s="37">
        <f>G70*I70</f>
        <v>1000</v>
      </c>
      <c r="K70" s="16"/>
      <c r="M70" s="21"/>
      <c r="N70" s="21"/>
    </row>
    <row r="71" spans="1:14" ht="15" customHeight="1" x14ac:dyDescent="0.25">
      <c r="A71" s="12"/>
      <c r="B71" s="59"/>
      <c r="C71" s="14"/>
      <c r="D71" s="15"/>
      <c r="E71" s="16"/>
      <c r="F71" s="16"/>
      <c r="G71" s="19"/>
      <c r="H71" s="18"/>
      <c r="I71" s="19"/>
      <c r="J71" s="20"/>
      <c r="K71" s="16"/>
      <c r="M71" s="21"/>
      <c r="N71" s="21"/>
    </row>
    <row r="72" spans="1:14" x14ac:dyDescent="0.25">
      <c r="A72" s="25"/>
      <c r="B72" s="62" t="s">
        <v>128</v>
      </c>
      <c r="C72" s="63"/>
      <c r="D72" s="64"/>
      <c r="E72" s="64"/>
      <c r="F72" s="64"/>
      <c r="G72" s="20"/>
      <c r="H72" s="20"/>
      <c r="I72" s="20"/>
      <c r="J72" s="20">
        <f>SUM(J26:J70)</f>
        <v>1192250.0184956598</v>
      </c>
      <c r="K72" s="30"/>
    </row>
    <row r="74" spans="1:14" s="1" customFormat="1" x14ac:dyDescent="0.25">
      <c r="B74" s="34" t="s">
        <v>110</v>
      </c>
      <c r="C74" s="132">
        <f>J72</f>
        <v>1192250.0184956598</v>
      </c>
      <c r="D74" s="132"/>
      <c r="E74" s="132"/>
      <c r="F74" s="65"/>
      <c r="G74" s="66"/>
      <c r="H74" s="65"/>
      <c r="I74" s="67"/>
      <c r="J74" s="68"/>
      <c r="K74" s="69"/>
    </row>
    <row r="75" spans="1:14" hidden="1" x14ac:dyDescent="0.25">
      <c r="B75" s="34" t="s">
        <v>111</v>
      </c>
      <c r="C75" s="134">
        <v>2250000</v>
      </c>
      <c r="D75" s="134"/>
      <c r="E75" s="33"/>
    </row>
    <row r="76" spans="1:14" hidden="1" x14ac:dyDescent="0.25">
      <c r="B76" s="34" t="s">
        <v>112</v>
      </c>
      <c r="C76" s="134">
        <f>C75-C78-C79</f>
        <v>2137500</v>
      </c>
      <c r="D76" s="134"/>
      <c r="E76" s="33">
        <f>C76/C74*100</f>
        <v>179.2828657446384</v>
      </c>
    </row>
    <row r="77" spans="1:14" hidden="1" x14ac:dyDescent="0.25">
      <c r="B77" s="34" t="s">
        <v>113</v>
      </c>
      <c r="C77" s="132">
        <f>C74-C76</f>
        <v>-945249.98150434019</v>
      </c>
      <c r="D77" s="132"/>
      <c r="E77" s="33">
        <f>100-E76</f>
        <v>-79.2828657446384</v>
      </c>
    </row>
    <row r="78" spans="1:14" hidden="1" x14ac:dyDescent="0.25">
      <c r="B78" s="34" t="s">
        <v>114</v>
      </c>
      <c r="C78" s="132">
        <f>C75*0.03</f>
        <v>67500</v>
      </c>
      <c r="D78" s="132"/>
      <c r="E78" s="33">
        <v>3</v>
      </c>
    </row>
    <row r="79" spans="1:14" hidden="1" x14ac:dyDescent="0.25">
      <c r="B79" s="34" t="s">
        <v>115</v>
      </c>
      <c r="C79" s="132">
        <f>C75*0.02</f>
        <v>45000</v>
      </c>
      <c r="D79" s="132"/>
      <c r="E79" s="33">
        <v>2</v>
      </c>
    </row>
    <row r="80" spans="1:14" x14ac:dyDescent="0.25">
      <c r="B80" s="74" t="s">
        <v>126</v>
      </c>
      <c r="C80" s="133">
        <f>C74*0.13</f>
        <v>154992.50240443577</v>
      </c>
      <c r="D80" s="133"/>
      <c r="E80" s="133"/>
    </row>
    <row r="81" spans="2:5" x14ac:dyDescent="0.25">
      <c r="B81" s="74" t="s">
        <v>127</v>
      </c>
      <c r="C81" s="133">
        <f>C74+C80</f>
        <v>1347242.5209000956</v>
      </c>
      <c r="D81" s="133"/>
      <c r="E81" s="133"/>
    </row>
  </sheetData>
  <mergeCells count="17">
    <mergeCell ref="A6:F6"/>
    <mergeCell ref="H6:K6"/>
    <mergeCell ref="A1:K1"/>
    <mergeCell ref="A2:K2"/>
    <mergeCell ref="A3:K3"/>
    <mergeCell ref="A4:K4"/>
    <mergeCell ref="A5:K5"/>
    <mergeCell ref="H7:K7"/>
    <mergeCell ref="C74:E74"/>
    <mergeCell ref="C75:D75"/>
    <mergeCell ref="C76:D76"/>
    <mergeCell ref="C77:D77"/>
    <mergeCell ref="C78:D78"/>
    <mergeCell ref="C79:D79"/>
    <mergeCell ref="C80:E80"/>
    <mergeCell ref="C81:E81"/>
    <mergeCell ref="A7:F7"/>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1"/>
  <sheetViews>
    <sheetView topLeftCell="A81" zoomScale="99" zoomScaleNormal="99" zoomScaleSheetLayoutView="80" workbookViewId="0">
      <selection activeCell="B28" sqref="B28"/>
    </sheetView>
  </sheetViews>
  <sheetFormatPr defaultRowHeight="15" x14ac:dyDescent="0.25"/>
  <cols>
    <col min="1" max="1" width="4.42578125" style="70" customWidth="1"/>
    <col min="2" max="2" width="31.28515625" customWidth="1"/>
    <col min="3" max="3" width="4.57031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23" t="s">
        <v>0</v>
      </c>
      <c r="B1" s="123"/>
      <c r="C1" s="123"/>
      <c r="D1" s="123"/>
      <c r="E1" s="123"/>
      <c r="F1" s="123"/>
      <c r="G1" s="123"/>
      <c r="H1" s="123"/>
      <c r="I1" s="123"/>
      <c r="J1" s="123"/>
      <c r="K1" s="123"/>
    </row>
    <row r="2" spans="1:19" s="1" customFormat="1" ht="22.5" x14ac:dyDescent="0.25">
      <c r="A2" s="124" t="s">
        <v>1</v>
      </c>
      <c r="B2" s="124"/>
      <c r="C2" s="124"/>
      <c r="D2" s="124"/>
      <c r="E2" s="124"/>
      <c r="F2" s="124"/>
      <c r="G2" s="124"/>
      <c r="H2" s="124"/>
      <c r="I2" s="124"/>
      <c r="J2" s="124"/>
      <c r="K2" s="124"/>
    </row>
    <row r="3" spans="1:19" s="1" customFormat="1" x14ac:dyDescent="0.25">
      <c r="A3" s="125" t="s">
        <v>2</v>
      </c>
      <c r="B3" s="125"/>
      <c r="C3" s="125"/>
      <c r="D3" s="125"/>
      <c r="E3" s="125"/>
      <c r="F3" s="125"/>
      <c r="G3" s="125"/>
      <c r="H3" s="125"/>
      <c r="I3" s="125"/>
      <c r="J3" s="125"/>
      <c r="K3" s="125"/>
    </row>
    <row r="4" spans="1:19" s="1" customFormat="1" x14ac:dyDescent="0.25">
      <c r="A4" s="125" t="s">
        <v>3</v>
      </c>
      <c r="B4" s="125"/>
      <c r="C4" s="125"/>
      <c r="D4" s="125"/>
      <c r="E4" s="125"/>
      <c r="F4" s="125"/>
      <c r="G4" s="125"/>
      <c r="H4" s="125"/>
      <c r="I4" s="125"/>
      <c r="J4" s="125"/>
      <c r="K4" s="125"/>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134</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25">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25">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25">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25">
      <c r="A30" s="25"/>
      <c r="B30" s="22" t="s">
        <v>135</v>
      </c>
      <c r="C30" s="26"/>
      <c r="D30" s="17"/>
      <c r="E30" s="17"/>
      <c r="F30" s="17"/>
      <c r="G30" s="27"/>
      <c r="H30" s="27"/>
      <c r="I30" s="28"/>
      <c r="J30" s="29">
        <f>0.13*G29*(138385.2)/10</f>
        <v>81630.963297682159</v>
      </c>
      <c r="K30" s="30"/>
    </row>
    <row r="31" spans="1:19" ht="15" customHeight="1" x14ac:dyDescent="0.25">
      <c r="A31" s="25"/>
      <c r="B31" s="22"/>
      <c r="C31" s="26"/>
      <c r="D31" s="17"/>
      <c r="E31" s="17"/>
      <c r="F31" s="17"/>
      <c r="G31" s="45"/>
      <c r="H31" s="45"/>
      <c r="I31" s="45"/>
      <c r="J31" s="39"/>
      <c r="K31" s="30"/>
    </row>
    <row r="32" spans="1:19" ht="45" x14ac:dyDescent="0.25">
      <c r="A32" s="25">
        <v>2</v>
      </c>
      <c r="B32" s="24" t="s">
        <v>120</v>
      </c>
      <c r="C32" s="26"/>
      <c r="D32" s="17"/>
      <c r="E32" s="17"/>
      <c r="F32" s="17"/>
      <c r="G32" s="45"/>
      <c r="H32" s="45"/>
      <c r="I32" s="45"/>
      <c r="J32" s="39"/>
      <c r="K32" s="30"/>
    </row>
    <row r="33" spans="1:19" ht="15" customHeight="1" x14ac:dyDescent="0.25">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25">
      <c r="A35" s="25"/>
      <c r="B35" s="22"/>
      <c r="C35" s="26"/>
      <c r="D35" s="17"/>
      <c r="E35" s="17"/>
      <c r="F35" s="17"/>
      <c r="G35" s="45"/>
      <c r="H35" s="45"/>
      <c r="I35" s="45"/>
      <c r="J35" s="39"/>
      <c r="K35" s="30"/>
    </row>
    <row r="36" spans="1:19" ht="45" x14ac:dyDescent="0.25">
      <c r="A36" s="25">
        <v>3</v>
      </c>
      <c r="B36" s="24" t="s">
        <v>136</v>
      </c>
      <c r="C36" s="26"/>
      <c r="D36" s="17"/>
      <c r="E36" s="17"/>
      <c r="F36" s="17"/>
      <c r="G36" s="45"/>
      <c r="H36" s="45"/>
      <c r="I36" s="45"/>
      <c r="J36" s="39"/>
      <c r="K36" s="30"/>
    </row>
    <row r="37" spans="1:19" ht="15" customHeight="1" x14ac:dyDescent="0.25">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25">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25">
      <c r="A39" s="25"/>
      <c r="B39" s="22" t="s">
        <v>135</v>
      </c>
      <c r="C39" s="26"/>
      <c r="D39" s="17"/>
      <c r="E39" s="17"/>
      <c r="F39" s="17"/>
      <c r="G39" s="27"/>
      <c r="H39" s="27"/>
      <c r="I39" s="28"/>
      <c r="J39" s="29">
        <f>0.13*G38*(3024)</f>
        <v>1572.48</v>
      </c>
      <c r="K39" s="30"/>
    </row>
    <row r="40" spans="1:19" ht="15" customHeight="1" x14ac:dyDescent="0.25">
      <c r="A40" s="25"/>
      <c r="B40" s="22"/>
      <c r="C40" s="26"/>
      <c r="D40" s="17"/>
      <c r="E40" s="17"/>
      <c r="F40" s="17"/>
      <c r="G40" s="45"/>
      <c r="H40" s="45"/>
      <c r="I40" s="45"/>
      <c r="J40" s="39"/>
      <c r="K40" s="30"/>
    </row>
    <row r="41" spans="1:19" ht="45" x14ac:dyDescent="0.25">
      <c r="A41" s="25">
        <v>4</v>
      </c>
      <c r="B41" s="24" t="s">
        <v>137</v>
      </c>
      <c r="C41" s="26"/>
      <c r="D41" s="17"/>
      <c r="E41" s="17"/>
      <c r="F41" s="17"/>
      <c r="G41" s="45"/>
      <c r="H41" s="45"/>
      <c r="I41" s="45"/>
      <c r="J41" s="39"/>
      <c r="K41" s="30"/>
    </row>
    <row r="42" spans="1:19" ht="15" customHeight="1" x14ac:dyDescent="0.25">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25">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25">
      <c r="A44" s="25"/>
      <c r="B44" s="22" t="s">
        <v>135</v>
      </c>
      <c r="C44" s="26"/>
      <c r="D44" s="17"/>
      <c r="E44" s="17"/>
      <c r="F44" s="17"/>
      <c r="G44" s="27"/>
      <c r="H44" s="27"/>
      <c r="I44" s="28"/>
      <c r="J44" s="29">
        <f>0.13*G43*(567)</f>
        <v>1031.94</v>
      </c>
      <c r="K44" s="30"/>
    </row>
    <row r="45" spans="1:19" ht="15" customHeight="1" x14ac:dyDescent="0.25">
      <c r="A45" s="25"/>
      <c r="B45" s="22"/>
      <c r="C45" s="26"/>
      <c r="D45" s="17"/>
      <c r="E45" s="17"/>
      <c r="F45" s="17"/>
      <c r="G45" s="45"/>
      <c r="H45" s="45"/>
      <c r="I45" s="45"/>
      <c r="J45" s="39"/>
      <c r="K45" s="30"/>
    </row>
    <row r="46" spans="1:19" s="1" customFormat="1" ht="60" x14ac:dyDescent="0.25">
      <c r="A46" s="25">
        <v>5</v>
      </c>
      <c r="B46" s="60" t="s">
        <v>138</v>
      </c>
      <c r="C46" s="32">
        <v>1</v>
      </c>
      <c r="D46" s="33">
        <v>3.5</v>
      </c>
      <c r="E46" s="33"/>
      <c r="F46" s="33"/>
      <c r="G46" s="33">
        <f>PRODUCT(C46:F46)</f>
        <v>3.5</v>
      </c>
      <c r="H46" s="25"/>
      <c r="I46" s="25"/>
      <c r="J46" s="25"/>
      <c r="K46" s="34"/>
    </row>
    <row r="47" spans="1:19" ht="15" customHeight="1" x14ac:dyDescent="0.25">
      <c r="A47" s="25"/>
      <c r="B47" s="22" t="s">
        <v>25</v>
      </c>
      <c r="C47" s="26"/>
      <c r="D47" s="17"/>
      <c r="E47" s="17"/>
      <c r="F47" s="17"/>
      <c r="G47" s="27">
        <f>SUM(G46:G46)</f>
        <v>3.5</v>
      </c>
      <c r="H47" s="27" t="s">
        <v>105</v>
      </c>
      <c r="I47" s="27">
        <f>4289.73/1.15</f>
        <v>3730.2</v>
      </c>
      <c r="J47" s="29">
        <f>G46*I47</f>
        <v>13055.699999999999</v>
      </c>
      <c r="K47" s="30"/>
    </row>
    <row r="48" spans="1:19" ht="15" customHeight="1" x14ac:dyDescent="0.25">
      <c r="A48" s="25"/>
      <c r="B48" s="22" t="s">
        <v>135</v>
      </c>
      <c r="C48" s="26"/>
      <c r="D48" s="17"/>
      <c r="E48" s="17"/>
      <c r="F48" s="17"/>
      <c r="G48" s="27"/>
      <c r="H48" s="27"/>
      <c r="I48" s="28"/>
      <c r="J48" s="29">
        <f>0.13*G47*(7326/5)</f>
        <v>666.66600000000005</v>
      </c>
      <c r="K48" s="30"/>
    </row>
    <row r="49" spans="1:19" ht="15" customHeight="1" x14ac:dyDescent="0.25">
      <c r="A49" s="25"/>
      <c r="B49" s="22"/>
      <c r="C49" s="26"/>
      <c r="D49" s="17"/>
      <c r="E49" s="17"/>
      <c r="F49" s="17"/>
      <c r="G49" s="45"/>
      <c r="H49" s="45"/>
      <c r="I49" s="45"/>
      <c r="J49" s="39"/>
      <c r="K49" s="30"/>
    </row>
    <row r="50" spans="1:19" s="1" customFormat="1" ht="60" x14ac:dyDescent="0.25">
      <c r="A50" s="25">
        <v>6</v>
      </c>
      <c r="B50" s="60" t="s">
        <v>139</v>
      </c>
      <c r="C50" s="32">
        <v>2</v>
      </c>
      <c r="D50" s="33">
        <v>3.5</v>
      </c>
      <c r="E50" s="33"/>
      <c r="F50" s="33"/>
      <c r="G50" s="33">
        <f>PRODUCT(C50:F50)</f>
        <v>7</v>
      </c>
      <c r="H50" s="25"/>
      <c r="I50" s="25"/>
      <c r="J50" s="25"/>
      <c r="K50" s="34"/>
    </row>
    <row r="51" spans="1:19" ht="15" customHeight="1" x14ac:dyDescent="0.25">
      <c r="A51" s="25"/>
      <c r="B51" s="22" t="s">
        <v>25</v>
      </c>
      <c r="C51" s="26"/>
      <c r="D51" s="17"/>
      <c r="E51" s="17"/>
      <c r="F51" s="17"/>
      <c r="G51" s="27">
        <f>SUM(G50:G50)</f>
        <v>7</v>
      </c>
      <c r="H51" s="27" t="s">
        <v>105</v>
      </c>
      <c r="I51" s="27">
        <f>4289.73/1.15</f>
        <v>3730.2</v>
      </c>
      <c r="J51" s="29">
        <f>G50*I51</f>
        <v>26111.399999999998</v>
      </c>
      <c r="K51" s="30"/>
    </row>
    <row r="52" spans="1:19" ht="15" customHeight="1" x14ac:dyDescent="0.25">
      <c r="A52" s="25"/>
      <c r="B52" s="22" t="s">
        <v>135</v>
      </c>
      <c r="C52" s="26"/>
      <c r="D52" s="17"/>
      <c r="E52" s="17"/>
      <c r="F52" s="17"/>
      <c r="G52" s="27"/>
      <c r="H52" s="27"/>
      <c r="I52" s="28"/>
      <c r="J52" s="29">
        <f>0.13*G51*(7326/5)</f>
        <v>1333.3320000000001</v>
      </c>
      <c r="K52" s="30"/>
    </row>
    <row r="53" spans="1:19" ht="15" customHeight="1" x14ac:dyDescent="0.25">
      <c r="A53" s="25"/>
      <c r="B53" s="22"/>
      <c r="C53" s="26"/>
      <c r="D53" s="17"/>
      <c r="E53" s="17"/>
      <c r="F53" s="17"/>
      <c r="G53" s="45"/>
      <c r="H53" s="45"/>
      <c r="I53" s="45"/>
      <c r="J53" s="39"/>
      <c r="K53" s="30"/>
    </row>
    <row r="54" spans="1:19" ht="30" x14ac:dyDescent="0.25">
      <c r="A54" s="25">
        <v>7</v>
      </c>
      <c r="B54" s="54" t="s">
        <v>87</v>
      </c>
      <c r="C54" s="26"/>
      <c r="D54" s="17"/>
      <c r="E54" s="17"/>
      <c r="F54" s="17"/>
      <c r="G54" s="45"/>
      <c r="H54" s="45"/>
      <c r="I54" s="45"/>
      <c r="J54" s="39"/>
      <c r="K54" s="30"/>
    </row>
    <row r="55" spans="1:19" ht="15" customHeight="1" x14ac:dyDescent="0.25">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25">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25">
      <c r="A57" s="25"/>
      <c r="B57" s="22" t="s">
        <v>135</v>
      </c>
      <c r="C57" s="26"/>
      <c r="D57" s="17"/>
      <c r="E57" s="17"/>
      <c r="F57" s="17"/>
      <c r="G57" s="27"/>
      <c r="H57" s="27"/>
      <c r="I57" s="28"/>
      <c r="J57" s="29">
        <f>0.13*G56*(1397.55/10)</f>
        <v>602.87768611586228</v>
      </c>
      <c r="K57" s="30"/>
    </row>
    <row r="58" spans="1:19" ht="15" customHeight="1" x14ac:dyDescent="0.25">
      <c r="A58" s="25"/>
      <c r="B58" s="22"/>
      <c r="C58" s="26"/>
      <c r="D58" s="17"/>
      <c r="E58" s="17"/>
      <c r="F58" s="17"/>
      <c r="G58" s="27"/>
      <c r="H58" s="27"/>
      <c r="I58" s="28"/>
      <c r="J58" s="29"/>
      <c r="K58" s="30"/>
    </row>
    <row r="59" spans="1:19" ht="30" x14ac:dyDescent="0.25">
      <c r="A59" s="25">
        <v>8</v>
      </c>
      <c r="B59" s="54" t="s">
        <v>140</v>
      </c>
      <c r="C59" s="26"/>
      <c r="D59" s="17"/>
      <c r="E59" s="17"/>
      <c r="F59" s="17"/>
      <c r="G59" s="45"/>
      <c r="H59" s="45"/>
      <c r="I59" s="45"/>
      <c r="J59" s="39"/>
      <c r="K59" s="30"/>
    </row>
    <row r="60" spans="1:19" ht="15" customHeight="1" x14ac:dyDescent="0.25">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25">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25">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25">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25">
      <c r="A64" s="25"/>
      <c r="B64" s="22" t="s">
        <v>142</v>
      </c>
      <c r="C64" s="26"/>
      <c r="D64" s="17"/>
      <c r="E64" s="17"/>
      <c r="F64" s="17"/>
      <c r="G64" s="27"/>
      <c r="H64" s="27"/>
      <c r="I64" s="28"/>
      <c r="J64" s="29">
        <f>0.13*G63*225887.77</f>
        <v>8002.3605965226598</v>
      </c>
      <c r="K64" s="30"/>
    </row>
    <row r="65" spans="1:11" ht="15" customHeight="1" x14ac:dyDescent="0.25">
      <c r="A65" s="25"/>
      <c r="B65" s="22"/>
      <c r="C65" s="26"/>
      <c r="D65" s="17"/>
      <c r="E65" s="17"/>
      <c r="F65" s="17"/>
      <c r="G65" s="27"/>
      <c r="H65" s="27"/>
      <c r="I65" s="28"/>
      <c r="J65" s="29"/>
      <c r="K65" s="30"/>
    </row>
    <row r="66" spans="1:11" ht="30" x14ac:dyDescent="0.25">
      <c r="A66" s="25">
        <v>9</v>
      </c>
      <c r="B66" s="54" t="s">
        <v>132</v>
      </c>
      <c r="C66" s="26"/>
      <c r="D66" s="17"/>
      <c r="E66" s="17"/>
      <c r="F66" s="17"/>
      <c r="G66" s="45"/>
      <c r="H66" s="45"/>
      <c r="I66" s="45"/>
      <c r="J66" s="39"/>
      <c r="K66" s="30"/>
    </row>
    <row r="67" spans="1:11" x14ac:dyDescent="0.25">
      <c r="A67" s="25"/>
      <c r="B67" s="22" t="s">
        <v>92</v>
      </c>
      <c r="C67" s="26">
        <v>2</v>
      </c>
      <c r="D67" s="17">
        <f>3.5/3.281</f>
        <v>1.0667479427003961</v>
      </c>
      <c r="E67" s="17">
        <f>0.1</f>
        <v>0.1</v>
      </c>
      <c r="F67" s="17">
        <v>0.125</v>
      </c>
      <c r="G67" s="17">
        <f>PRODUCT(C67:F67)</f>
        <v>2.6668698567509905E-2</v>
      </c>
      <c r="H67" s="45"/>
      <c r="I67" s="45"/>
      <c r="J67" s="39"/>
      <c r="K67" s="30"/>
    </row>
    <row r="68" spans="1:11" x14ac:dyDescent="0.25">
      <c r="A68" s="25"/>
      <c r="B68" s="22"/>
      <c r="C68" s="26">
        <v>2</v>
      </c>
      <c r="D68" s="17">
        <f>6.5/3.281</f>
        <v>1.9811033221578787</v>
      </c>
      <c r="E68" s="17">
        <v>0.1</v>
      </c>
      <c r="F68" s="17">
        <v>0.125</v>
      </c>
      <c r="G68" s="17">
        <f>PRODUCT(C68:F68)</f>
        <v>4.9527583053946972E-2</v>
      </c>
      <c r="H68" s="45"/>
      <c r="I68" s="45"/>
      <c r="J68" s="39"/>
      <c r="K68" s="30"/>
    </row>
    <row r="69" spans="1:11" x14ac:dyDescent="0.25">
      <c r="A69" s="25"/>
      <c r="B69" s="22" t="s">
        <v>93</v>
      </c>
      <c r="C69" s="26">
        <v>2</v>
      </c>
      <c r="D69" s="17">
        <f>3/3.281</f>
        <v>0.91435537945748246</v>
      </c>
      <c r="E69" s="17">
        <v>7.4999999999999997E-2</v>
      </c>
      <c r="F69" s="17">
        <v>0.125</v>
      </c>
      <c r="G69" s="17">
        <f>PRODUCT(C69:F69)</f>
        <v>1.7144163364827797E-2</v>
      </c>
      <c r="H69" s="45"/>
      <c r="I69" s="45"/>
      <c r="J69" s="39"/>
      <c r="K69" s="30"/>
    </row>
    <row r="70" spans="1:11" x14ac:dyDescent="0.25">
      <c r="A70" s="25"/>
      <c r="B70" s="22"/>
      <c r="C70" s="26">
        <v>2</v>
      </c>
      <c r="D70" s="17">
        <f>4.5/3.281</f>
        <v>1.3715330691862238</v>
      </c>
      <c r="E70" s="17">
        <v>7.4999999999999997E-2</v>
      </c>
      <c r="F70" s="17">
        <v>0.125</v>
      </c>
      <c r="G70" s="17">
        <f>PRODUCT(C70:F70)</f>
        <v>2.5716245047241695E-2</v>
      </c>
      <c r="H70" s="45"/>
      <c r="I70" s="45"/>
      <c r="J70" s="39"/>
      <c r="K70" s="30"/>
    </row>
    <row r="71" spans="1:11" ht="15" customHeight="1" x14ac:dyDescent="0.25">
      <c r="A71" s="25"/>
      <c r="B71" s="22" t="s">
        <v>25</v>
      </c>
      <c r="C71" s="26"/>
      <c r="D71" s="17"/>
      <c r="E71" s="17"/>
      <c r="F71" s="17"/>
      <c r="G71" s="27">
        <f>SUM(G67:G70)</f>
        <v>0.11905669003352637</v>
      </c>
      <c r="H71" s="27" t="s">
        <v>29</v>
      </c>
      <c r="I71" s="28">
        <f>353723.98/1.15</f>
        <v>307586.06956521742</v>
      </c>
      <c r="J71" s="29">
        <f>G71*I71</f>
        <v>36620.179342856769</v>
      </c>
      <c r="K71" s="30"/>
    </row>
    <row r="72" spans="1:11" ht="15" customHeight="1" x14ac:dyDescent="0.25">
      <c r="A72" s="25"/>
      <c r="B72" s="22" t="s">
        <v>142</v>
      </c>
      <c r="C72" s="26"/>
      <c r="D72" s="17"/>
      <c r="E72" s="17"/>
      <c r="F72" s="17"/>
      <c r="G72" s="27"/>
      <c r="H72" s="27"/>
      <c r="I72" s="28"/>
      <c r="J72" s="29">
        <f>0.13*G71*262808.07</f>
        <v>4067.5776606789095</v>
      </c>
      <c r="K72" s="30"/>
    </row>
    <row r="73" spans="1:11" ht="15" customHeight="1" x14ac:dyDescent="0.25">
      <c r="A73" s="25"/>
      <c r="B73" s="22"/>
      <c r="C73" s="26"/>
      <c r="D73" s="17"/>
      <c r="E73" s="17"/>
      <c r="F73" s="17"/>
      <c r="G73" s="27"/>
      <c r="H73" s="27"/>
      <c r="I73" s="28"/>
      <c r="J73" s="29"/>
      <c r="K73" s="30"/>
    </row>
    <row r="74" spans="1:11" ht="30" x14ac:dyDescent="0.25">
      <c r="A74" s="25">
        <v>10</v>
      </c>
      <c r="B74" s="24" t="s">
        <v>146</v>
      </c>
      <c r="C74" s="26"/>
      <c r="D74" s="17"/>
      <c r="E74" s="17"/>
      <c r="F74" s="17"/>
      <c r="G74" s="45"/>
      <c r="H74" s="45"/>
      <c r="I74" s="45"/>
      <c r="J74" s="39"/>
      <c r="K74" s="30"/>
    </row>
    <row r="75" spans="1:11" ht="15" customHeight="1" x14ac:dyDescent="0.25">
      <c r="A75" s="25"/>
      <c r="B75" s="22" t="s">
        <v>98</v>
      </c>
      <c r="C75" s="26">
        <v>1</v>
      </c>
      <c r="D75" s="17"/>
      <c r="E75" s="17">
        <f>3.833/3.281</f>
        <v>1.1682413898201769</v>
      </c>
      <c r="F75" s="17">
        <f>6.5/3.281</f>
        <v>1.9811033221578787</v>
      </c>
      <c r="G75" s="17">
        <f>PRODUCT(C75:F75)</f>
        <v>2.3144068984550898</v>
      </c>
      <c r="H75" s="45"/>
      <c r="I75" s="45"/>
      <c r="J75" s="39"/>
      <c r="K75" s="30"/>
    </row>
    <row r="76" spans="1:11" ht="15" customHeight="1" x14ac:dyDescent="0.25">
      <c r="A76" s="25"/>
      <c r="B76" s="22" t="s">
        <v>25</v>
      </c>
      <c r="C76" s="26"/>
      <c r="D76" s="17"/>
      <c r="E76" s="17"/>
      <c r="F76" s="17"/>
      <c r="G76" s="27">
        <f>SUM(G75:G75)</f>
        <v>2.3144068984550898</v>
      </c>
      <c r="H76" s="27" t="s">
        <v>26</v>
      </c>
      <c r="I76" s="28">
        <f>46573/1.15</f>
        <v>40498.260869565223</v>
      </c>
      <c r="J76" s="29">
        <f>G76*I76</f>
        <v>93729.454331955581</v>
      </c>
      <c r="K76" s="30"/>
    </row>
    <row r="77" spans="1:11" x14ac:dyDescent="0.25">
      <c r="A77" s="25"/>
      <c r="B77" s="24"/>
      <c r="C77" s="26"/>
      <c r="D77" s="17"/>
      <c r="E77" s="17"/>
      <c r="F77" s="17"/>
      <c r="G77" s="45"/>
      <c r="H77" s="45"/>
      <c r="I77" s="45"/>
      <c r="J77" s="39"/>
      <c r="K77" s="30"/>
    </row>
    <row r="78" spans="1:11" ht="30" x14ac:dyDescent="0.25">
      <c r="A78" s="25">
        <v>11</v>
      </c>
      <c r="B78" s="24" t="s">
        <v>143</v>
      </c>
      <c r="C78" s="26"/>
      <c r="D78" s="17"/>
      <c r="E78" s="17"/>
      <c r="F78" s="17"/>
      <c r="G78" s="45"/>
      <c r="H78" s="45"/>
      <c r="I78" s="45"/>
      <c r="J78" s="39"/>
      <c r="K78" s="30"/>
    </row>
    <row r="79" spans="1:11" ht="15" customHeight="1" x14ac:dyDescent="0.25">
      <c r="A79" s="25"/>
      <c r="B79" s="22" t="s">
        <v>133</v>
      </c>
      <c r="C79" s="26">
        <v>1</v>
      </c>
      <c r="D79" s="17"/>
      <c r="E79" s="17">
        <f>3.5/3.281</f>
        <v>1.0667479427003961</v>
      </c>
      <c r="F79" s="17">
        <f>4.5/3.281</f>
        <v>1.3715330691862238</v>
      </c>
      <c r="G79" s="17">
        <f>PRODUCT(C79:F79)</f>
        <v>1.4630800798999641</v>
      </c>
      <c r="H79" s="45"/>
      <c r="I79" s="45"/>
      <c r="J79" s="39"/>
      <c r="K79" s="30"/>
    </row>
    <row r="80" spans="1:11" ht="15" customHeight="1" x14ac:dyDescent="0.25">
      <c r="A80" s="25"/>
      <c r="B80" s="22" t="s">
        <v>25</v>
      </c>
      <c r="C80" s="26"/>
      <c r="D80" s="17"/>
      <c r="E80" s="17"/>
      <c r="F80" s="17"/>
      <c r="G80" s="27">
        <f>SUM(G79:G79)</f>
        <v>1.4630800798999641</v>
      </c>
      <c r="H80" s="27" t="s">
        <v>26</v>
      </c>
      <c r="I80" s="28">
        <f>50828.44/1.15</f>
        <v>44198.643478260878</v>
      </c>
      <c r="J80" s="29">
        <f>G80*I80</f>
        <v>64666.154831643951</v>
      </c>
      <c r="K80" s="30"/>
    </row>
    <row r="81" spans="1:13" x14ac:dyDescent="0.25">
      <c r="A81" s="25"/>
      <c r="B81" s="24"/>
      <c r="C81" s="26"/>
      <c r="D81" s="17"/>
      <c r="E81" s="17"/>
      <c r="F81" s="17"/>
      <c r="G81" s="45"/>
      <c r="H81" s="45"/>
      <c r="I81" s="45"/>
      <c r="J81" s="39"/>
      <c r="K81" s="30"/>
    </row>
    <row r="82" spans="1:13" ht="30" x14ac:dyDescent="0.25">
      <c r="A82" s="12">
        <v>12</v>
      </c>
      <c r="B82" s="54" t="s">
        <v>145</v>
      </c>
      <c r="C82" s="14"/>
      <c r="D82" s="15"/>
      <c r="E82" s="16"/>
      <c r="F82" s="16"/>
      <c r="G82" s="19"/>
      <c r="H82" s="18"/>
      <c r="I82" s="19"/>
      <c r="J82" s="37"/>
      <c r="K82" s="16"/>
    </row>
    <row r="83" spans="1:13" x14ac:dyDescent="0.25">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25">
      <c r="A84" s="25"/>
      <c r="B84" s="43" t="s">
        <v>25</v>
      </c>
      <c r="C84" s="32"/>
      <c r="D84" s="33"/>
      <c r="E84" s="33"/>
      <c r="F84" s="33"/>
      <c r="G84" s="37">
        <f>SUM(G83:G83)</f>
        <v>0.50289545870161534</v>
      </c>
      <c r="H84" s="37" t="s">
        <v>26</v>
      </c>
      <c r="I84" s="38">
        <f>15743.5/1.15</f>
        <v>13690.000000000002</v>
      </c>
      <c r="J84" s="39">
        <f>G84*I84</f>
        <v>6884.6388296251152</v>
      </c>
      <c r="K84" s="34"/>
    </row>
    <row r="85" spans="1:13" x14ac:dyDescent="0.25">
      <c r="A85" s="12"/>
      <c r="B85" s="54"/>
      <c r="C85" s="14"/>
      <c r="D85" s="15"/>
      <c r="E85" s="16"/>
      <c r="F85" s="16"/>
      <c r="G85" s="19"/>
      <c r="H85" s="18"/>
      <c r="I85" s="19"/>
      <c r="J85" s="37"/>
      <c r="K85" s="16"/>
    </row>
    <row r="86" spans="1:13" ht="45" x14ac:dyDescent="0.25">
      <c r="A86" s="25">
        <v>13</v>
      </c>
      <c r="B86" s="24" t="s">
        <v>125</v>
      </c>
      <c r="C86" s="26"/>
      <c r="D86" s="17"/>
      <c r="E86" s="17"/>
      <c r="F86" s="17"/>
      <c r="G86" s="45"/>
      <c r="H86" s="45"/>
      <c r="I86" s="45"/>
      <c r="J86" s="39"/>
      <c r="K86" s="30"/>
    </row>
    <row r="87" spans="1:13" ht="15" customHeight="1" x14ac:dyDescent="0.25">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25">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25">
      <c r="A89" s="25"/>
      <c r="B89" s="22" t="s">
        <v>142</v>
      </c>
      <c r="C89" s="26"/>
      <c r="D89" s="17"/>
      <c r="E89" s="17"/>
      <c r="F89" s="17"/>
      <c r="G89" s="27"/>
      <c r="H89" s="27"/>
      <c r="I89" s="28"/>
      <c r="J89" s="29">
        <f>0.13*G88*(9888.94/0.92)</f>
        <v>1557.6649658736014</v>
      </c>
      <c r="K89" s="30"/>
    </row>
    <row r="90" spans="1:13" ht="15" customHeight="1" x14ac:dyDescent="0.25">
      <c r="A90" s="25"/>
      <c r="B90" s="22"/>
      <c r="C90" s="26"/>
      <c r="D90" s="17"/>
      <c r="E90" s="17"/>
      <c r="F90" s="17"/>
      <c r="G90" s="45"/>
      <c r="H90" s="45"/>
      <c r="I90" s="45"/>
      <c r="J90" s="39"/>
      <c r="K90" s="30"/>
      <c r="M90" s="58"/>
    </row>
    <row r="91" spans="1:13" ht="30.75" x14ac:dyDescent="0.25">
      <c r="A91" s="25">
        <v>14</v>
      </c>
      <c r="B91" s="11" t="s">
        <v>97</v>
      </c>
      <c r="C91" s="26"/>
      <c r="D91" s="17"/>
      <c r="E91" s="17"/>
      <c r="F91" s="17"/>
      <c r="G91" s="45"/>
      <c r="H91" s="45"/>
      <c r="I91" s="45"/>
      <c r="J91" s="39"/>
      <c r="K91" s="30"/>
      <c r="M91" s="58"/>
    </row>
    <row r="92" spans="1:13" ht="15" customHeight="1" x14ac:dyDescent="0.25">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25">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25">
      <c r="A94" s="25"/>
      <c r="B94" s="22" t="s">
        <v>142</v>
      </c>
      <c r="C94" s="26"/>
      <c r="D94" s="17"/>
      <c r="E94" s="17"/>
      <c r="F94" s="17"/>
      <c r="G94" s="27"/>
      <c r="H94" s="27"/>
      <c r="I94" s="28"/>
      <c r="J94" s="29">
        <f>0.13*G93*(20356.18/2.114)</f>
        <v>2325.4593650989209</v>
      </c>
      <c r="K94" s="30"/>
    </row>
    <row r="95" spans="1:13" ht="15.75" x14ac:dyDescent="0.25">
      <c r="A95" s="25"/>
      <c r="B95" s="11"/>
      <c r="C95" s="26"/>
      <c r="D95" s="17"/>
      <c r="E95" s="17"/>
      <c r="F95" s="17"/>
      <c r="G95" s="45"/>
      <c r="H95" s="45"/>
      <c r="I95" s="45"/>
      <c r="J95" s="39"/>
      <c r="K95" s="30"/>
      <c r="M95" s="58"/>
    </row>
    <row r="96" spans="1:13" s="1" customFormat="1" ht="30" x14ac:dyDescent="0.25">
      <c r="A96" s="12">
        <v>15</v>
      </c>
      <c r="B96" s="54" t="s">
        <v>106</v>
      </c>
      <c r="C96" s="32">
        <v>1</v>
      </c>
      <c r="D96" s="33"/>
      <c r="E96" s="33"/>
      <c r="F96" s="33"/>
      <c r="G96" s="37">
        <f>PRODUCT(C96:F96)</f>
        <v>1</v>
      </c>
      <c r="H96" s="37" t="s">
        <v>107</v>
      </c>
      <c r="I96" s="37">
        <v>80000</v>
      </c>
      <c r="J96" s="39">
        <f>G96*I96</f>
        <v>80000</v>
      </c>
      <c r="K96" s="34"/>
    </row>
    <row r="97" spans="1:14" ht="15" customHeight="1" x14ac:dyDescent="0.25">
      <c r="A97" s="25"/>
      <c r="B97" s="41"/>
      <c r="C97" s="26"/>
      <c r="D97" s="17"/>
      <c r="E97" s="17"/>
      <c r="F97" s="17"/>
      <c r="G97" s="45"/>
      <c r="H97" s="45"/>
      <c r="I97" s="45"/>
      <c r="J97" s="39"/>
      <c r="K97" s="30"/>
    </row>
    <row r="98" spans="1:14" ht="15" customHeight="1" x14ac:dyDescent="0.25">
      <c r="A98" s="12">
        <v>16</v>
      </c>
      <c r="B98" s="61" t="s">
        <v>108</v>
      </c>
      <c r="C98" s="14">
        <v>1</v>
      </c>
      <c r="D98" s="15"/>
      <c r="E98" s="16"/>
      <c r="F98" s="16"/>
      <c r="G98" s="37">
        <f>PRODUCT(C98:F98)</f>
        <v>1</v>
      </c>
      <c r="H98" s="18" t="s">
        <v>90</v>
      </c>
      <c r="I98" s="19">
        <v>1000</v>
      </c>
      <c r="J98" s="37">
        <f>G98*I98</f>
        <v>1000</v>
      </c>
      <c r="K98" s="16"/>
      <c r="M98" s="21"/>
      <c r="N98" s="21"/>
    </row>
    <row r="99" spans="1:14" ht="15" customHeight="1" x14ac:dyDescent="0.25">
      <c r="A99" s="12"/>
      <c r="B99" s="59"/>
      <c r="C99" s="14"/>
      <c r="D99" s="15"/>
      <c r="E99" s="16"/>
      <c r="F99" s="16"/>
      <c r="G99" s="19"/>
      <c r="H99" s="18"/>
      <c r="I99" s="19"/>
      <c r="J99" s="20"/>
      <c r="K99" s="16"/>
      <c r="M99" s="21"/>
      <c r="N99" s="21"/>
    </row>
    <row r="100" spans="1:14" x14ac:dyDescent="0.25">
      <c r="A100" s="25"/>
      <c r="B100" s="62" t="s">
        <v>128</v>
      </c>
      <c r="C100" s="63"/>
      <c r="D100" s="64"/>
      <c r="E100" s="64"/>
      <c r="F100" s="64"/>
      <c r="G100" s="20"/>
      <c r="H100" s="20"/>
      <c r="I100" s="20"/>
      <c r="J100" s="20">
        <f>SUM(J29:J98)</f>
        <v>1344202.2278966988</v>
      </c>
      <c r="K100" s="30"/>
    </row>
    <row r="102" spans="1:14" s="1" customFormat="1" hidden="1" x14ac:dyDescent="0.25">
      <c r="B102" s="34" t="s">
        <v>110</v>
      </c>
      <c r="C102" s="132">
        <f>J100</f>
        <v>1344202.2278966988</v>
      </c>
      <c r="D102" s="132"/>
      <c r="E102" s="132"/>
      <c r="F102" s="65"/>
      <c r="G102" s="66"/>
      <c r="H102" s="65"/>
      <c r="I102" s="67"/>
      <c r="J102" s="68"/>
      <c r="K102" s="69"/>
    </row>
    <row r="103" spans="1:14" hidden="1" x14ac:dyDescent="0.25">
      <c r="B103" s="74" t="s">
        <v>126</v>
      </c>
      <c r="C103" s="133">
        <f>C102*0.13</f>
        <v>174746.28962657086</v>
      </c>
      <c r="D103" s="133"/>
      <c r="E103" s="133"/>
    </row>
    <row r="104" spans="1:14" hidden="1" x14ac:dyDescent="0.25">
      <c r="B104" s="74" t="s">
        <v>127</v>
      </c>
      <c r="C104" s="133">
        <f>C102+C103</f>
        <v>1518948.5175232696</v>
      </c>
      <c r="D104" s="133"/>
      <c r="E104" s="133"/>
    </row>
    <row r="106" spans="1:14" s="1" customFormat="1" x14ac:dyDescent="0.25">
      <c r="B106" s="34" t="s">
        <v>110</v>
      </c>
      <c r="C106" s="127">
        <f>J100</f>
        <v>1344202.2278966988</v>
      </c>
      <c r="D106" s="128"/>
      <c r="E106" s="33">
        <v>100</v>
      </c>
      <c r="F106" s="65"/>
      <c r="G106" s="66"/>
      <c r="H106" s="65"/>
      <c r="I106" s="67"/>
      <c r="J106" s="68"/>
      <c r="K106" s="69"/>
    </row>
    <row r="107" spans="1:14" x14ac:dyDescent="0.25">
      <c r="B107" s="34" t="s">
        <v>111</v>
      </c>
      <c r="C107" s="130">
        <v>1200000</v>
      </c>
      <c r="D107" s="131"/>
      <c r="E107" s="33"/>
    </row>
    <row r="108" spans="1:14" x14ac:dyDescent="0.25">
      <c r="B108" s="34" t="s">
        <v>112</v>
      </c>
      <c r="C108" s="130">
        <f>C107-C110-C111</f>
        <v>1140000</v>
      </c>
      <c r="D108" s="131"/>
      <c r="E108" s="33">
        <f>C108/C106*100</f>
        <v>84.808667649939977</v>
      </c>
    </row>
    <row r="109" spans="1:14" x14ac:dyDescent="0.25">
      <c r="B109" s="34" t="s">
        <v>113</v>
      </c>
      <c r="C109" s="132">
        <f>C106-C108</f>
        <v>204202.22789669875</v>
      </c>
      <c r="D109" s="132"/>
      <c r="E109" s="33">
        <f>100-E108</f>
        <v>15.191332350060023</v>
      </c>
    </row>
    <row r="110" spans="1:14" x14ac:dyDescent="0.25">
      <c r="B110" s="34" t="s">
        <v>114</v>
      </c>
      <c r="C110" s="127">
        <f>C107*0.03</f>
        <v>36000</v>
      </c>
      <c r="D110" s="128"/>
      <c r="E110" s="33">
        <v>3</v>
      </c>
    </row>
    <row r="111" spans="1:14" x14ac:dyDescent="0.25">
      <c r="B111" s="34" t="s">
        <v>115</v>
      </c>
      <c r="C111" s="127">
        <f>C107*0.02</f>
        <v>24000</v>
      </c>
      <c r="D111" s="128"/>
      <c r="E111" s="33">
        <v>2</v>
      </c>
    </row>
  </sheetData>
  <mergeCells count="18">
    <mergeCell ref="A6:F6"/>
    <mergeCell ref="H6:K6"/>
    <mergeCell ref="A1:K1"/>
    <mergeCell ref="A2:K2"/>
    <mergeCell ref="A3:K3"/>
    <mergeCell ref="A4:K4"/>
    <mergeCell ref="A5:K5"/>
    <mergeCell ref="A7:F7"/>
    <mergeCell ref="H7:K7"/>
    <mergeCell ref="C102:E102"/>
    <mergeCell ref="C106:D106"/>
    <mergeCell ref="C107:D107"/>
    <mergeCell ref="C109:D109"/>
    <mergeCell ref="C110:D110"/>
    <mergeCell ref="C103:E103"/>
    <mergeCell ref="C104:E104"/>
    <mergeCell ref="C111:D111"/>
    <mergeCell ref="C108:D10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4"/>
  <sheetViews>
    <sheetView topLeftCell="A141" zoomScale="99" zoomScaleNormal="99" zoomScaleSheetLayoutView="80" workbookViewId="0">
      <selection activeCell="D87" sqref="D87"/>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4" max="14" width="9.5703125" bestFit="1" customWidth="1"/>
  </cols>
  <sheetData>
    <row r="1" spans="1:19" s="1" customFormat="1" x14ac:dyDescent="0.25">
      <c r="A1" s="123" t="s">
        <v>0</v>
      </c>
      <c r="B1" s="123"/>
      <c r="C1" s="123"/>
      <c r="D1" s="123"/>
      <c r="E1" s="123"/>
      <c r="F1" s="123"/>
      <c r="G1" s="123"/>
      <c r="H1" s="123"/>
      <c r="I1" s="123"/>
      <c r="J1" s="123"/>
      <c r="K1" s="123"/>
    </row>
    <row r="2" spans="1:19" s="1" customFormat="1" ht="22.5" x14ac:dyDescent="0.25">
      <c r="A2" s="124" t="s">
        <v>1</v>
      </c>
      <c r="B2" s="124"/>
      <c r="C2" s="124"/>
      <c r="D2" s="124"/>
      <c r="E2" s="124"/>
      <c r="F2" s="124"/>
      <c r="G2" s="124"/>
      <c r="H2" s="124"/>
      <c r="I2" s="124"/>
      <c r="J2" s="124"/>
      <c r="K2" s="124"/>
    </row>
    <row r="3" spans="1:19" s="1" customFormat="1" x14ac:dyDescent="0.25">
      <c r="A3" s="125" t="s">
        <v>2</v>
      </c>
      <c r="B3" s="125"/>
      <c r="C3" s="125"/>
      <c r="D3" s="125"/>
      <c r="E3" s="125"/>
      <c r="F3" s="125"/>
      <c r="G3" s="125"/>
      <c r="H3" s="125"/>
      <c r="I3" s="125"/>
      <c r="J3" s="125"/>
      <c r="K3" s="125"/>
    </row>
    <row r="4" spans="1:19" s="1" customFormat="1" x14ac:dyDescent="0.25">
      <c r="A4" s="125" t="s">
        <v>3</v>
      </c>
      <c r="B4" s="125"/>
      <c r="C4" s="125"/>
      <c r="D4" s="125"/>
      <c r="E4" s="125"/>
      <c r="F4" s="125"/>
      <c r="G4" s="125"/>
      <c r="H4" s="125"/>
      <c r="I4" s="125"/>
      <c r="J4" s="125"/>
      <c r="K4" s="125"/>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row>
    <row r="9" spans="1:19" ht="30" hidden="1" x14ac:dyDescent="0.25">
      <c r="A9" s="12">
        <v>32</v>
      </c>
      <c r="B9" s="72" t="s">
        <v>100</v>
      </c>
      <c r="C9" s="14"/>
      <c r="D9" s="15"/>
      <c r="E9" s="16"/>
      <c r="F9" s="16"/>
      <c r="G9" s="19"/>
      <c r="H9" s="18"/>
      <c r="I9" s="19"/>
      <c r="J9" s="20"/>
      <c r="K9" s="16"/>
      <c r="M9" s="21"/>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M10" s="21"/>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M15" s="21"/>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72" t="s">
        <v>134</v>
      </c>
      <c r="C24" s="14"/>
      <c r="D24" s="15"/>
      <c r="E24" s="16"/>
      <c r="F24" s="16"/>
      <c r="G24" s="19"/>
      <c r="H24" s="18"/>
      <c r="I24" s="19"/>
      <c r="J24" s="20"/>
      <c r="K24" s="16"/>
      <c r="M24" s="21"/>
      <c r="N24" s="1"/>
      <c r="O24" s="1"/>
      <c r="P24" s="1"/>
      <c r="Q24" s="1"/>
      <c r="R24" s="21"/>
      <c r="S24" s="21"/>
    </row>
    <row r="25" spans="1:19" ht="15" customHeight="1" x14ac:dyDescent="0.25">
      <c r="A25" s="12"/>
      <c r="B25" s="13" t="s">
        <v>101</v>
      </c>
      <c r="C25" s="14">
        <v>2</v>
      </c>
      <c r="D25" s="15">
        <f>(((15.667+16.25)/2)/3.281)+0.2</f>
        <v>5.063913441024078</v>
      </c>
      <c r="E25" s="16">
        <f>((10.75)/3.281)</f>
        <v>3.2764401097226452</v>
      </c>
      <c r="F25" s="16"/>
      <c r="G25" s="17">
        <f>PRODUCT(C25:F25)</f>
        <v>33.183218220669815</v>
      </c>
      <c r="H25" s="18"/>
      <c r="I25" s="19"/>
      <c r="J25" s="20"/>
      <c r="K25" s="16"/>
      <c r="M25" s="21"/>
      <c r="N25" s="1"/>
      <c r="O25" s="1"/>
      <c r="P25" s="1"/>
      <c r="Q25" s="1"/>
      <c r="R25" s="21"/>
      <c r="S25" s="21"/>
    </row>
    <row r="26" spans="1:19" ht="15" customHeight="1" x14ac:dyDescent="0.25">
      <c r="A26" s="12"/>
      <c r="B26" s="13" t="s">
        <v>141</v>
      </c>
      <c r="C26" s="14">
        <f t="shared" ref="C26:D28" si="0">C60</f>
        <v>5</v>
      </c>
      <c r="D26" s="15">
        <f t="shared" si="0"/>
        <v>4.8765620237732392</v>
      </c>
      <c r="E26" s="16">
        <f>(E60*2+F60)</f>
        <v>0.15239256324291373</v>
      </c>
      <c r="F26" s="16"/>
      <c r="G26" s="17">
        <f>PRODUCT(C26:F26)</f>
        <v>3.7157589330792735</v>
      </c>
      <c r="H26" s="18"/>
      <c r="I26" s="19"/>
      <c r="J26" s="20"/>
      <c r="K26" s="16"/>
      <c r="M26" s="21"/>
      <c r="N26" s="1"/>
      <c r="O26" s="1"/>
      <c r="P26" s="1"/>
      <c r="Q26" s="1"/>
      <c r="R26" s="21"/>
      <c r="S26" s="21"/>
    </row>
    <row r="27" spans="1:19" ht="15" customHeight="1" x14ac:dyDescent="0.25">
      <c r="A27" s="12"/>
      <c r="B27" s="13"/>
      <c r="C27" s="14">
        <f t="shared" si="0"/>
        <v>5</v>
      </c>
      <c r="D27" s="15">
        <f t="shared" si="0"/>
        <v>4.7241694605303257</v>
      </c>
      <c r="E27" s="16">
        <f>(E61*2+F61)</f>
        <v>0.15239256324291373</v>
      </c>
      <c r="F27" s="16"/>
      <c r="G27" s="17">
        <f>PRODUCT(C27:F27)</f>
        <v>3.5996414664205467</v>
      </c>
      <c r="H27" s="18"/>
      <c r="I27" s="19"/>
      <c r="J27" s="20"/>
      <c r="K27" s="16"/>
      <c r="M27" s="21"/>
      <c r="N27" s="1"/>
      <c r="O27" s="1"/>
      <c r="P27" s="1"/>
      <c r="Q27" s="1"/>
      <c r="R27" s="21"/>
      <c r="S27" s="21"/>
    </row>
    <row r="28" spans="1:19" ht="15" customHeight="1" x14ac:dyDescent="0.25">
      <c r="A28" s="12"/>
      <c r="B28" s="13"/>
      <c r="C28" s="14">
        <f t="shared" si="0"/>
        <v>2</v>
      </c>
      <c r="D28" s="15">
        <f t="shared" si="0"/>
        <v>9.6007314843035658</v>
      </c>
      <c r="E28" s="16">
        <f>(E62*2+F62)</f>
        <v>0.25398760540485621</v>
      </c>
      <c r="F28" s="16"/>
      <c r="G28" s="17">
        <f>PRODUCT(C28:F28)</f>
        <v>4.8769335996665468</v>
      </c>
      <c r="H28" s="18"/>
      <c r="I28" s="19"/>
      <c r="J28" s="20"/>
      <c r="K28" s="16"/>
      <c r="M28" s="21"/>
      <c r="N28" s="1"/>
      <c r="O28" s="1"/>
      <c r="P28" s="1"/>
      <c r="Q28" s="1"/>
      <c r="R28" s="21"/>
      <c r="S28" s="21"/>
    </row>
    <row r="29" spans="1:19" ht="15" customHeight="1" x14ac:dyDescent="0.25">
      <c r="A29" s="25"/>
      <c r="B29" s="22" t="s">
        <v>25</v>
      </c>
      <c r="C29" s="26"/>
      <c r="D29" s="17"/>
      <c r="E29" s="17"/>
      <c r="F29" s="17"/>
      <c r="G29" s="27">
        <f>SUM(G25:G28)</f>
        <v>45.37555221983618</v>
      </c>
      <c r="H29" s="27" t="s">
        <v>26</v>
      </c>
      <c r="I29" s="28">
        <f>148924.05/10</f>
        <v>14892.404999999999</v>
      </c>
      <c r="J29" s="29">
        <f>G29*I29</f>
        <v>675751.10075644939</v>
      </c>
      <c r="K29" s="30"/>
    </row>
    <row r="30" spans="1:19" ht="15" customHeight="1" x14ac:dyDescent="0.25">
      <c r="A30" s="25"/>
      <c r="B30" s="22" t="s">
        <v>135</v>
      </c>
      <c r="C30" s="26"/>
      <c r="D30" s="17"/>
      <c r="E30" s="17"/>
      <c r="F30" s="17"/>
      <c r="G30" s="27"/>
      <c r="H30" s="27"/>
      <c r="I30" s="28"/>
      <c r="J30" s="29">
        <f>0.13*G29*(138385.2)/10</f>
        <v>81630.963297682159</v>
      </c>
      <c r="K30" s="30"/>
    </row>
    <row r="31" spans="1:19" ht="15" customHeight="1" x14ac:dyDescent="0.25">
      <c r="A31" s="25"/>
      <c r="B31" s="22"/>
      <c r="C31" s="26"/>
      <c r="D31" s="17"/>
      <c r="E31" s="17"/>
      <c r="F31" s="17"/>
      <c r="G31" s="45"/>
      <c r="H31" s="45"/>
      <c r="I31" s="45"/>
      <c r="J31" s="39"/>
      <c r="K31" s="30"/>
    </row>
    <row r="32" spans="1:19" ht="45" x14ac:dyDescent="0.25">
      <c r="A32" s="25">
        <v>2</v>
      </c>
      <c r="B32" s="24" t="s">
        <v>120</v>
      </c>
      <c r="C32" s="26"/>
      <c r="D32" s="17"/>
      <c r="E32" s="17"/>
      <c r="F32" s="17"/>
      <c r="G32" s="45"/>
      <c r="H32" s="45"/>
      <c r="I32" s="45"/>
      <c r="J32" s="39"/>
      <c r="K32" s="30"/>
    </row>
    <row r="33" spans="1:19" ht="15" customHeight="1" x14ac:dyDescent="0.25">
      <c r="A33" s="12"/>
      <c r="B33" s="13" t="s">
        <v>101</v>
      </c>
      <c r="C33" s="14">
        <v>2</v>
      </c>
      <c r="D33" s="16">
        <f>((10.75)/3.281)</f>
        <v>3.2764401097226452</v>
      </c>
      <c r="E33" s="16"/>
      <c r="F33" s="16"/>
      <c r="G33" s="17">
        <f>PRODUCT(C33:F33)</f>
        <v>6.5528802194452904</v>
      </c>
      <c r="H33" s="18"/>
      <c r="I33" s="19"/>
      <c r="J33" s="20"/>
      <c r="K33" s="16"/>
      <c r="M33" s="21"/>
      <c r="N33" s="1"/>
      <c r="O33" s="1"/>
      <c r="P33" s="1"/>
      <c r="Q33" s="1"/>
      <c r="R33" s="21"/>
      <c r="S33" s="21"/>
    </row>
    <row r="34" spans="1:19" ht="15" customHeight="1" x14ac:dyDescent="0.25">
      <c r="A34" s="25"/>
      <c r="B34" s="22" t="s">
        <v>25</v>
      </c>
      <c r="C34" s="26"/>
      <c r="D34" s="17"/>
      <c r="E34" s="17"/>
      <c r="F34" s="17"/>
      <c r="G34" s="27">
        <f>SUM(G33:G33)</f>
        <v>6.5528802194452904</v>
      </c>
      <c r="H34" s="27" t="s">
        <v>68</v>
      </c>
      <c r="I34" s="28">
        <f>2563.07/1.15</f>
        <v>2228.7565217391307</v>
      </c>
      <c r="J34" s="29">
        <f>G34*I34</f>
        <v>14604.774525264036</v>
      </c>
      <c r="K34" s="30"/>
    </row>
    <row r="35" spans="1:19" ht="15" customHeight="1" x14ac:dyDescent="0.25">
      <c r="A35" s="25"/>
      <c r="B35" s="22"/>
      <c r="C35" s="26"/>
      <c r="D35" s="17"/>
      <c r="E35" s="17"/>
      <c r="F35" s="17"/>
      <c r="G35" s="45"/>
      <c r="H35" s="45"/>
      <c r="I35" s="45"/>
      <c r="J35" s="39"/>
      <c r="K35" s="30"/>
    </row>
    <row r="36" spans="1:19" ht="45" x14ac:dyDescent="0.25">
      <c r="A36" s="25">
        <v>3</v>
      </c>
      <c r="B36" s="24" t="s">
        <v>136</v>
      </c>
      <c r="C36" s="26"/>
      <c r="D36" s="17"/>
      <c r="E36" s="17"/>
      <c r="F36" s="17"/>
      <c r="G36" s="45"/>
      <c r="H36" s="45"/>
      <c r="I36" s="45"/>
      <c r="J36" s="39"/>
      <c r="K36" s="30"/>
    </row>
    <row r="37" spans="1:19" ht="15" customHeight="1" x14ac:dyDescent="0.25">
      <c r="A37" s="12"/>
      <c r="B37" s="13" t="s">
        <v>101</v>
      </c>
      <c r="C37" s="14">
        <v>4</v>
      </c>
      <c r="D37" s="16"/>
      <c r="E37" s="16"/>
      <c r="F37" s="16"/>
      <c r="G37" s="17">
        <f>PRODUCT(C37:F37)</f>
        <v>4</v>
      </c>
      <c r="H37" s="18"/>
      <c r="I37" s="19"/>
      <c r="J37" s="20"/>
      <c r="K37" s="16"/>
      <c r="M37" s="21"/>
      <c r="N37" s="1"/>
      <c r="O37" s="1"/>
      <c r="P37" s="1"/>
      <c r="Q37" s="1"/>
      <c r="R37" s="21"/>
      <c r="S37" s="21"/>
    </row>
    <row r="38" spans="1:19" ht="15" customHeight="1" x14ac:dyDescent="0.25">
      <c r="A38" s="25"/>
      <c r="B38" s="22" t="s">
        <v>25</v>
      </c>
      <c r="C38" s="26"/>
      <c r="D38" s="17"/>
      <c r="E38" s="17"/>
      <c r="F38" s="17"/>
      <c r="G38" s="27">
        <f>SUM(G37:G37)</f>
        <v>4</v>
      </c>
      <c r="H38" s="27" t="s">
        <v>90</v>
      </c>
      <c r="I38" s="28">
        <f>6733.54/1.15</f>
        <v>5855.2521739130443</v>
      </c>
      <c r="J38" s="29">
        <f>G38*I38</f>
        <v>23421.008695652177</v>
      </c>
      <c r="K38" s="30"/>
    </row>
    <row r="39" spans="1:19" ht="15" customHeight="1" x14ac:dyDescent="0.25">
      <c r="A39" s="25"/>
      <c r="B39" s="22" t="s">
        <v>135</v>
      </c>
      <c r="C39" s="26"/>
      <c r="D39" s="17"/>
      <c r="E39" s="17"/>
      <c r="F39" s="17"/>
      <c r="G39" s="27"/>
      <c r="H39" s="27"/>
      <c r="I39" s="28"/>
      <c r="J39" s="29">
        <f>0.13*G38*(3024)</f>
        <v>1572.48</v>
      </c>
      <c r="K39" s="30"/>
    </row>
    <row r="40" spans="1:19" ht="15" customHeight="1" x14ac:dyDescent="0.25">
      <c r="A40" s="25"/>
      <c r="B40" s="22"/>
      <c r="C40" s="26"/>
      <c r="D40" s="17"/>
      <c r="E40" s="17"/>
      <c r="F40" s="17"/>
      <c r="G40" s="45"/>
      <c r="H40" s="45"/>
      <c r="I40" s="45"/>
      <c r="J40" s="39"/>
      <c r="K40" s="30"/>
    </row>
    <row r="41" spans="1:19" ht="45" x14ac:dyDescent="0.25">
      <c r="A41" s="25">
        <v>4</v>
      </c>
      <c r="B41" s="24" t="s">
        <v>137</v>
      </c>
      <c r="C41" s="26"/>
      <c r="D41" s="17"/>
      <c r="E41" s="17"/>
      <c r="F41" s="17"/>
      <c r="G41" s="45"/>
      <c r="H41" s="45"/>
      <c r="I41" s="45"/>
      <c r="J41" s="39"/>
      <c r="K41" s="30"/>
    </row>
    <row r="42" spans="1:19" ht="15" customHeight="1" x14ac:dyDescent="0.25">
      <c r="A42" s="12"/>
      <c r="B42" s="13" t="s">
        <v>101</v>
      </c>
      <c r="C42" s="14">
        <f>5+5+2+2</f>
        <v>14</v>
      </c>
      <c r="D42" s="16"/>
      <c r="E42" s="16"/>
      <c r="F42" s="16"/>
      <c r="G42" s="17">
        <f>PRODUCT(C42:F42)</f>
        <v>14</v>
      </c>
      <c r="H42" s="18"/>
      <c r="I42" s="19"/>
      <c r="J42" s="20"/>
      <c r="K42" s="16"/>
      <c r="M42" s="21"/>
      <c r="N42" s="1"/>
      <c r="O42" s="1"/>
      <c r="P42" s="1"/>
      <c r="Q42" s="1"/>
      <c r="R42" s="21"/>
      <c r="S42" s="21"/>
    </row>
    <row r="43" spans="1:19" ht="15" customHeight="1" x14ac:dyDescent="0.25">
      <c r="A43" s="25"/>
      <c r="B43" s="22" t="s">
        <v>25</v>
      </c>
      <c r="C43" s="26"/>
      <c r="D43" s="17"/>
      <c r="E43" s="17"/>
      <c r="F43" s="17"/>
      <c r="G43" s="27">
        <f>SUM(G42:G42)</f>
        <v>14</v>
      </c>
      <c r="H43" s="27" t="s">
        <v>90</v>
      </c>
      <c r="I43" s="28">
        <f>1722.99/1.15</f>
        <v>1498.2521739130436</v>
      </c>
      <c r="J43" s="29">
        <f>G43*I43</f>
        <v>20975.53043478261</v>
      </c>
      <c r="K43" s="30"/>
    </row>
    <row r="44" spans="1:19" ht="15" customHeight="1" x14ac:dyDescent="0.25">
      <c r="A44" s="25"/>
      <c r="B44" s="22" t="s">
        <v>135</v>
      </c>
      <c r="C44" s="26"/>
      <c r="D44" s="17"/>
      <c r="E44" s="17"/>
      <c r="F44" s="17"/>
      <c r="G44" s="27"/>
      <c r="H44" s="27"/>
      <c r="I44" s="28"/>
      <c r="J44" s="29">
        <f>0.13*G43*(567)</f>
        <v>1031.94</v>
      </c>
      <c r="K44" s="30"/>
    </row>
    <row r="45" spans="1:19" ht="15" customHeight="1" x14ac:dyDescent="0.25">
      <c r="A45" s="25"/>
      <c r="B45" s="22"/>
      <c r="C45" s="26"/>
      <c r="D45" s="17"/>
      <c r="E45" s="17"/>
      <c r="F45" s="17"/>
      <c r="G45" s="45"/>
      <c r="H45" s="45"/>
      <c r="I45" s="45"/>
      <c r="J45" s="39"/>
      <c r="K45" s="30"/>
    </row>
    <row r="46" spans="1:19" s="1" customFormat="1" ht="60" x14ac:dyDescent="0.25">
      <c r="A46" s="25">
        <v>5</v>
      </c>
      <c r="B46" s="60" t="s">
        <v>138</v>
      </c>
      <c r="C46" s="32">
        <v>1</v>
      </c>
      <c r="D46" s="33">
        <v>3.5</v>
      </c>
      <c r="E46" s="33"/>
      <c r="F46" s="33"/>
      <c r="G46" s="33">
        <f>PRODUCT(C46:F46)</f>
        <v>3.5</v>
      </c>
      <c r="H46" s="25"/>
      <c r="I46" s="25"/>
      <c r="J46" s="25"/>
      <c r="K46" s="34"/>
    </row>
    <row r="47" spans="1:19" ht="15" customHeight="1" x14ac:dyDescent="0.25">
      <c r="A47" s="25"/>
      <c r="B47" s="22" t="s">
        <v>25</v>
      </c>
      <c r="C47" s="26"/>
      <c r="D47" s="17"/>
      <c r="E47" s="17"/>
      <c r="F47" s="17"/>
      <c r="G47" s="27">
        <f>SUM(G46:G46)</f>
        <v>3.5</v>
      </c>
      <c r="H47" s="27" t="s">
        <v>105</v>
      </c>
      <c r="I47" s="27">
        <f>4289.73/1.15</f>
        <v>3730.2</v>
      </c>
      <c r="J47" s="29">
        <f>G46*I47</f>
        <v>13055.699999999999</v>
      </c>
      <c r="K47" s="30"/>
    </row>
    <row r="48" spans="1:19" ht="15" customHeight="1" x14ac:dyDescent="0.25">
      <c r="A48" s="25"/>
      <c r="B48" s="22" t="s">
        <v>135</v>
      </c>
      <c r="C48" s="26"/>
      <c r="D48" s="17"/>
      <c r="E48" s="17"/>
      <c r="F48" s="17"/>
      <c r="G48" s="27"/>
      <c r="H48" s="27"/>
      <c r="I48" s="28"/>
      <c r="J48" s="29">
        <f>0.13*G47*(7326/5)</f>
        <v>666.66600000000005</v>
      </c>
      <c r="K48" s="30"/>
    </row>
    <row r="49" spans="1:19" ht="15" customHeight="1" x14ac:dyDescent="0.25">
      <c r="A49" s="25"/>
      <c r="B49" s="22"/>
      <c r="C49" s="26"/>
      <c r="D49" s="17"/>
      <c r="E49" s="17"/>
      <c r="F49" s="17"/>
      <c r="G49" s="45"/>
      <c r="H49" s="45"/>
      <c r="I49" s="45"/>
      <c r="J49" s="39"/>
      <c r="K49" s="30"/>
    </row>
    <row r="50" spans="1:19" s="1" customFormat="1" ht="60" x14ac:dyDescent="0.25">
      <c r="A50" s="25">
        <v>6</v>
      </c>
      <c r="B50" s="60" t="s">
        <v>139</v>
      </c>
      <c r="C50" s="32">
        <v>2</v>
      </c>
      <c r="D50" s="33">
        <v>3.5</v>
      </c>
      <c r="E50" s="33"/>
      <c r="F50" s="33"/>
      <c r="G50" s="33">
        <f>PRODUCT(C50:F50)</f>
        <v>7</v>
      </c>
      <c r="H50" s="25"/>
      <c r="I50" s="25"/>
      <c r="J50" s="25"/>
      <c r="K50" s="34"/>
    </row>
    <row r="51" spans="1:19" ht="15" customHeight="1" x14ac:dyDescent="0.25">
      <c r="A51" s="25"/>
      <c r="B51" s="22" t="s">
        <v>25</v>
      </c>
      <c r="C51" s="26"/>
      <c r="D51" s="17"/>
      <c r="E51" s="17"/>
      <c r="F51" s="17"/>
      <c r="G51" s="27">
        <f>SUM(G50:G50)</f>
        <v>7</v>
      </c>
      <c r="H51" s="27" t="s">
        <v>105</v>
      </c>
      <c r="I51" s="27">
        <f>4289.73/1.15</f>
        <v>3730.2</v>
      </c>
      <c r="J51" s="29">
        <f>G50*I51</f>
        <v>26111.399999999998</v>
      </c>
      <c r="K51" s="30"/>
    </row>
    <row r="52" spans="1:19" ht="15" customHeight="1" x14ac:dyDescent="0.25">
      <c r="A52" s="25"/>
      <c r="B52" s="22" t="s">
        <v>135</v>
      </c>
      <c r="C52" s="26"/>
      <c r="D52" s="17"/>
      <c r="E52" s="17"/>
      <c r="F52" s="17"/>
      <c r="G52" s="27"/>
      <c r="H52" s="27"/>
      <c r="I52" s="28"/>
      <c r="J52" s="29">
        <f>0.13*G51*(7326/5)</f>
        <v>1333.3320000000001</v>
      </c>
      <c r="K52" s="30"/>
    </row>
    <row r="53" spans="1:19" ht="15" customHeight="1" x14ac:dyDescent="0.25">
      <c r="A53" s="25"/>
      <c r="B53" s="22"/>
      <c r="C53" s="26"/>
      <c r="D53" s="17"/>
      <c r="E53" s="17"/>
      <c r="F53" s="17"/>
      <c r="G53" s="45"/>
      <c r="H53" s="45"/>
      <c r="I53" s="45"/>
      <c r="J53" s="39"/>
      <c r="K53" s="30"/>
    </row>
    <row r="54" spans="1:19" ht="30" x14ac:dyDescent="0.25">
      <c r="A54" s="25">
        <v>7</v>
      </c>
      <c r="B54" s="54" t="s">
        <v>87</v>
      </c>
      <c r="C54" s="26"/>
      <c r="D54" s="17"/>
      <c r="E54" s="17"/>
      <c r="F54" s="17"/>
      <c r="G54" s="45"/>
      <c r="H54" s="45"/>
      <c r="I54" s="45"/>
      <c r="J54" s="39"/>
      <c r="K54" s="30"/>
    </row>
    <row r="55" spans="1:19" ht="15" customHeight="1" x14ac:dyDescent="0.25">
      <c r="A55" s="12"/>
      <c r="B55" s="13" t="s">
        <v>101</v>
      </c>
      <c r="C55" s="14">
        <v>2</v>
      </c>
      <c r="D55" s="15">
        <f>(((15.667+16.25)/2)/3.281)+0.2</f>
        <v>5.063913441024078</v>
      </c>
      <c r="E55" s="16">
        <f>((10.75)/3.281)</f>
        <v>3.2764401097226452</v>
      </c>
      <c r="F55" s="16"/>
      <c r="G55" s="17">
        <f>PRODUCT(C55:F55)</f>
        <v>33.183218220669815</v>
      </c>
      <c r="H55" s="18"/>
      <c r="I55" s="19"/>
      <c r="J55" s="20"/>
      <c r="K55" s="16"/>
      <c r="M55" s="21"/>
      <c r="N55" s="1"/>
      <c r="O55" s="1"/>
      <c r="P55" s="1"/>
      <c r="Q55" s="1"/>
      <c r="R55" s="21"/>
      <c r="S55" s="21"/>
    </row>
    <row r="56" spans="1:19" ht="15" customHeight="1" x14ac:dyDescent="0.25">
      <c r="A56" s="25"/>
      <c r="B56" s="22" t="s">
        <v>25</v>
      </c>
      <c r="C56" s="26"/>
      <c r="D56" s="17"/>
      <c r="E56" s="17"/>
      <c r="F56" s="17"/>
      <c r="G56" s="27">
        <f>SUM(G55:G55)</f>
        <v>33.183218220669815</v>
      </c>
      <c r="H56" s="27" t="s">
        <v>26</v>
      </c>
      <c r="I56" s="28">
        <f>685.98/1.15</f>
        <v>596.50434782608704</v>
      </c>
      <c r="J56" s="29">
        <f>G56*I56</f>
        <v>19793.933943491378</v>
      </c>
      <c r="K56" s="30"/>
    </row>
    <row r="57" spans="1:19" ht="15" customHeight="1" x14ac:dyDescent="0.25">
      <c r="A57" s="25"/>
      <c r="B57" s="22" t="s">
        <v>135</v>
      </c>
      <c r="C57" s="26"/>
      <c r="D57" s="17"/>
      <c r="E57" s="17"/>
      <c r="F57" s="17"/>
      <c r="G57" s="27"/>
      <c r="H57" s="27"/>
      <c r="I57" s="28"/>
      <c r="J57" s="29">
        <f>0.13*G56*(1397.55/10)</f>
        <v>602.87768611586228</v>
      </c>
      <c r="K57" s="30"/>
    </row>
    <row r="58" spans="1:19" ht="15" customHeight="1" x14ac:dyDescent="0.25">
      <c r="A58" s="25"/>
      <c r="B58" s="22"/>
      <c r="C58" s="26"/>
      <c r="D58" s="17"/>
      <c r="E58" s="17"/>
      <c r="F58" s="17"/>
      <c r="G58" s="27"/>
      <c r="H58" s="27"/>
      <c r="I58" s="28"/>
      <c r="J58" s="29"/>
      <c r="K58" s="30"/>
    </row>
    <row r="59" spans="1:19" ht="30" x14ac:dyDescent="0.25">
      <c r="A59" s="25">
        <v>8</v>
      </c>
      <c r="B59" s="54" t="s">
        <v>140</v>
      </c>
      <c r="C59" s="26"/>
      <c r="D59" s="17"/>
      <c r="E59" s="17"/>
      <c r="F59" s="17"/>
      <c r="G59" s="45"/>
      <c r="H59" s="45"/>
      <c r="I59" s="45"/>
      <c r="J59" s="39"/>
      <c r="K59" s="30"/>
    </row>
    <row r="60" spans="1:19" ht="15" customHeight="1" x14ac:dyDescent="0.25">
      <c r="A60" s="12"/>
      <c r="B60" s="13" t="s">
        <v>101</v>
      </c>
      <c r="C60" s="14">
        <f>TRUNC((10.75-1.5)/1.75,0)</f>
        <v>5</v>
      </c>
      <c r="D60" s="15">
        <f>(16)/3.281</f>
        <v>4.8765620237732392</v>
      </c>
      <c r="E60" s="16">
        <f>2/12/3.281</f>
        <v>5.0797521080971242E-2</v>
      </c>
      <c r="F60" s="16">
        <f>2/12/3.281</f>
        <v>5.0797521080971242E-2</v>
      </c>
      <c r="G60" s="17">
        <f>PRODUCT(C60:F60)</f>
        <v>6.2917114244967209E-2</v>
      </c>
      <c r="H60" s="18"/>
      <c r="I60" s="19"/>
      <c r="J60" s="20"/>
      <c r="K60" s="16"/>
      <c r="M60" s="21"/>
      <c r="N60" s="1"/>
      <c r="O60" s="1"/>
      <c r="P60" s="1"/>
      <c r="Q60" s="1"/>
      <c r="R60" s="21"/>
      <c r="S60" s="21"/>
    </row>
    <row r="61" spans="1:19" ht="15" customHeight="1" x14ac:dyDescent="0.25">
      <c r="A61" s="12"/>
      <c r="B61" s="13"/>
      <c r="C61" s="14">
        <f>TRUNC((10.75-1.5)/1.75,0)</f>
        <v>5</v>
      </c>
      <c r="D61" s="15">
        <f>(15.5)/3.281</f>
        <v>4.7241694605303257</v>
      </c>
      <c r="E61" s="16">
        <f>2/12/3.281</f>
        <v>5.0797521080971242E-2</v>
      </c>
      <c r="F61" s="16">
        <f>2/12/3.281</f>
        <v>5.0797521080971242E-2</v>
      </c>
      <c r="G61" s="17">
        <f>PRODUCT(C61:F61)</f>
        <v>6.0950954424811979E-2</v>
      </c>
      <c r="H61" s="18"/>
      <c r="I61" s="19"/>
      <c r="J61" s="20"/>
      <c r="K61" s="16"/>
      <c r="M61" s="21"/>
      <c r="N61" s="1"/>
      <c r="O61" s="1"/>
      <c r="P61" s="1"/>
      <c r="Q61" s="1"/>
      <c r="R61" s="21"/>
      <c r="S61" s="21"/>
    </row>
    <row r="62" spans="1:19" ht="15" customHeight="1" x14ac:dyDescent="0.25">
      <c r="A62" s="12"/>
      <c r="B62" s="13"/>
      <c r="C62" s="14">
        <v>2</v>
      </c>
      <c r="D62" s="15">
        <f>D60+D61</f>
        <v>9.6007314843035658</v>
      </c>
      <c r="E62" s="16">
        <f>3/12/3.281</f>
        <v>7.6196281621456863E-2</v>
      </c>
      <c r="F62" s="16">
        <f>4/12/3.281</f>
        <v>0.10159504216194248</v>
      </c>
      <c r="G62" s="17">
        <f>PRODUCT(C62:F62)</f>
        <v>0.14864168240373504</v>
      </c>
      <c r="H62" s="18"/>
      <c r="I62" s="19"/>
      <c r="J62" s="20"/>
      <c r="K62" s="16"/>
      <c r="M62" s="21"/>
      <c r="N62" s="1"/>
      <c r="O62" s="1"/>
      <c r="P62" s="1"/>
      <c r="Q62" s="1"/>
      <c r="R62" s="21"/>
      <c r="S62" s="21"/>
    </row>
    <row r="63" spans="1:19" ht="15" customHeight="1" x14ac:dyDescent="0.25">
      <c r="A63" s="25"/>
      <c r="B63" s="22" t="s">
        <v>25</v>
      </c>
      <c r="C63" s="26"/>
      <c r="D63" s="17"/>
      <c r="E63" s="17"/>
      <c r="F63" s="17"/>
      <c r="G63" s="27">
        <f>SUM(G60:G62)</f>
        <v>0.27250975107351422</v>
      </c>
      <c r="H63" s="27" t="s">
        <v>29</v>
      </c>
      <c r="I63" s="28">
        <f>286497.45/1.15</f>
        <v>249128.21739130438</v>
      </c>
      <c r="J63" s="29">
        <f>G63*I63</f>
        <v>67889.868506692699</v>
      </c>
      <c r="K63" s="30"/>
    </row>
    <row r="64" spans="1:19" ht="15" customHeight="1" x14ac:dyDescent="0.25">
      <c r="A64" s="25"/>
      <c r="B64" s="22" t="s">
        <v>142</v>
      </c>
      <c r="C64" s="26"/>
      <c r="D64" s="17"/>
      <c r="E64" s="17"/>
      <c r="F64" s="17"/>
      <c r="G64" s="27"/>
      <c r="H64" s="27"/>
      <c r="I64" s="28"/>
      <c r="J64" s="29">
        <f>0.13*G63*225887.77</f>
        <v>8002.3605965226598</v>
      </c>
      <c r="K64" s="30"/>
    </row>
    <row r="65" spans="1:13" ht="15" customHeight="1" x14ac:dyDescent="0.25">
      <c r="A65" s="25"/>
      <c r="B65" s="22"/>
      <c r="C65" s="26"/>
      <c r="D65" s="17"/>
      <c r="E65" s="17"/>
      <c r="F65" s="17"/>
      <c r="G65" s="27"/>
      <c r="H65" s="27"/>
      <c r="I65" s="28"/>
      <c r="J65" s="29"/>
      <c r="K65" s="30"/>
    </row>
    <row r="66" spans="1:13" ht="30" x14ac:dyDescent="0.25">
      <c r="A66" s="25">
        <v>9</v>
      </c>
      <c r="B66" s="54" t="s">
        <v>132</v>
      </c>
      <c r="C66" s="26"/>
      <c r="D66" s="17"/>
      <c r="E66" s="17"/>
      <c r="F66" s="17"/>
      <c r="G66" s="45"/>
      <c r="H66" s="45"/>
      <c r="I66" s="45"/>
      <c r="J66" s="39"/>
      <c r="K66" s="30"/>
    </row>
    <row r="67" spans="1:13" x14ac:dyDescent="0.25">
      <c r="A67" s="25"/>
      <c r="B67" s="22" t="s">
        <v>92</v>
      </c>
      <c r="C67" s="26">
        <v>2</v>
      </c>
      <c r="D67" s="17">
        <f>3.833/3.281</f>
        <v>1.1682413898201769</v>
      </c>
      <c r="E67" s="17">
        <f>0.1</f>
        <v>0.1</v>
      </c>
      <c r="F67" s="17">
        <v>0.125</v>
      </c>
      <c r="G67" s="17">
        <f>PRODUCT(C67:F67)</f>
        <v>2.9206034745504424E-2</v>
      </c>
      <c r="H67" s="45"/>
      <c r="I67" s="45"/>
      <c r="J67" s="39"/>
      <c r="K67" s="30"/>
    </row>
    <row r="68" spans="1:13" x14ac:dyDescent="0.25">
      <c r="A68" s="25"/>
      <c r="B68" s="22"/>
      <c r="C68" s="26">
        <v>2</v>
      </c>
      <c r="D68" s="17">
        <f>(7.75-0.333*2)/3.281</f>
        <v>2.1590978360256017</v>
      </c>
      <c r="E68" s="17">
        <v>0.1</v>
      </c>
      <c r="F68" s="17">
        <v>0.125</v>
      </c>
      <c r="G68" s="17">
        <f>PRODUCT(C68:F68)</f>
        <v>5.3977445900640048E-2</v>
      </c>
      <c r="H68" s="45"/>
      <c r="I68" s="45"/>
      <c r="J68" s="39"/>
      <c r="K68" s="30"/>
    </row>
    <row r="69" spans="1:13" x14ac:dyDescent="0.25">
      <c r="A69" s="25"/>
      <c r="B69" s="22" t="s">
        <v>93</v>
      </c>
      <c r="C69" s="26">
        <v>2</v>
      </c>
      <c r="D69" s="17">
        <f>3.5/3.281</f>
        <v>1.0667479427003961</v>
      </c>
      <c r="E69" s="17">
        <v>7.4999999999999997E-2</v>
      </c>
      <c r="F69" s="17">
        <v>0.125</v>
      </c>
      <c r="G69" s="17">
        <f>PRODUCT(C69:F69)</f>
        <v>2.0001523925632425E-2</v>
      </c>
      <c r="H69" s="45"/>
      <c r="I69" s="45"/>
      <c r="J69" s="39"/>
      <c r="K69" s="30"/>
    </row>
    <row r="70" spans="1:13" x14ac:dyDescent="0.25">
      <c r="A70" s="25"/>
      <c r="B70" s="22"/>
      <c r="C70" s="26">
        <v>2</v>
      </c>
      <c r="D70" s="17">
        <f>4.5/3.281</f>
        <v>1.3715330691862238</v>
      </c>
      <c r="E70" s="17">
        <v>7.4999999999999997E-2</v>
      </c>
      <c r="F70" s="17">
        <v>0.125</v>
      </c>
      <c r="G70" s="17">
        <f>PRODUCT(C70:F70)</f>
        <v>2.5716245047241695E-2</v>
      </c>
      <c r="H70" s="45"/>
      <c r="I70" s="45"/>
      <c r="J70" s="39"/>
      <c r="K70" s="30"/>
    </row>
    <row r="71" spans="1:13" ht="15" customHeight="1" x14ac:dyDescent="0.25">
      <c r="A71" s="25"/>
      <c r="B71" s="22" t="s">
        <v>25</v>
      </c>
      <c r="C71" s="26"/>
      <c r="D71" s="17"/>
      <c r="E71" s="17"/>
      <c r="F71" s="17"/>
      <c r="G71" s="27">
        <f>SUM(G67:G70)</f>
        <v>0.12890124961901861</v>
      </c>
      <c r="H71" s="27" t="s">
        <v>29</v>
      </c>
      <c r="I71" s="28">
        <f>353723.98/1.15</f>
        <v>307586.06956521742</v>
      </c>
      <c r="J71" s="29">
        <f>G71*I71</f>
        <v>39648.228732358912</v>
      </c>
      <c r="K71" s="30"/>
      <c r="M71">
        <f>1.03*3.281</f>
        <v>3.3794300000000002</v>
      </c>
    </row>
    <row r="72" spans="1:13" ht="15" customHeight="1" x14ac:dyDescent="0.25">
      <c r="A72" s="25"/>
      <c r="B72" s="22" t="s">
        <v>142</v>
      </c>
      <c r="C72" s="26"/>
      <c r="D72" s="17"/>
      <c r="E72" s="17"/>
      <c r="F72" s="17"/>
      <c r="G72" s="27"/>
      <c r="H72" s="27"/>
      <c r="I72" s="28"/>
      <c r="J72" s="29">
        <f>0.13*G71*262808.07</f>
        <v>4403.9175222851272</v>
      </c>
      <c r="K72" s="30"/>
    </row>
    <row r="73" spans="1:13" ht="15" customHeight="1" x14ac:dyDescent="0.25">
      <c r="A73" s="25"/>
      <c r="B73" s="22"/>
      <c r="C73" s="26"/>
      <c r="D73" s="17"/>
      <c r="E73" s="17"/>
      <c r="F73" s="17"/>
      <c r="G73" s="27"/>
      <c r="H73" s="27"/>
      <c r="I73" s="28"/>
      <c r="J73" s="29"/>
      <c r="K73" s="30"/>
    </row>
    <row r="74" spans="1:13" ht="30" x14ac:dyDescent="0.25">
      <c r="A74" s="25">
        <v>10</v>
      </c>
      <c r="B74" s="24" t="s">
        <v>146</v>
      </c>
      <c r="C74" s="26"/>
      <c r="D74" s="17"/>
      <c r="E74" s="17"/>
      <c r="F74" s="17"/>
      <c r="G74" s="45"/>
      <c r="H74" s="45"/>
      <c r="I74" s="45"/>
      <c r="J74" s="39"/>
      <c r="K74" s="30"/>
    </row>
    <row r="75" spans="1:13" ht="15" customHeight="1" x14ac:dyDescent="0.25">
      <c r="A75" s="25"/>
      <c r="B75" s="22" t="s">
        <v>98</v>
      </c>
      <c r="C75" s="26">
        <v>1</v>
      </c>
      <c r="D75" s="17"/>
      <c r="E75" s="17">
        <f>3.833/3.281</f>
        <v>1.1682413898201769</v>
      </c>
      <c r="F75" s="17">
        <f>7.75/3.281</f>
        <v>2.3620847302651629</v>
      </c>
      <c r="G75" s="17">
        <f>PRODUCT(C75:F75)</f>
        <v>2.7594851481579914</v>
      </c>
      <c r="H75" s="45"/>
      <c r="I75" s="45"/>
      <c r="J75" s="39"/>
      <c r="K75" s="30"/>
    </row>
    <row r="76" spans="1:13" ht="15" customHeight="1" x14ac:dyDescent="0.25">
      <c r="A76" s="25"/>
      <c r="B76" s="22" t="s">
        <v>25</v>
      </c>
      <c r="C76" s="26"/>
      <c r="D76" s="17"/>
      <c r="E76" s="17"/>
      <c r="F76" s="17"/>
      <c r="G76" s="27">
        <f>SUM(G75:G75)</f>
        <v>2.7594851481579914</v>
      </c>
      <c r="H76" s="27" t="s">
        <v>26</v>
      </c>
      <c r="I76" s="28">
        <f>46573/1.15</f>
        <v>40498.260869565223</v>
      </c>
      <c r="J76" s="29">
        <f>G76*I76</f>
        <v>111754.34939579318</v>
      </c>
      <c r="K76" s="30"/>
    </row>
    <row r="77" spans="1:13" x14ac:dyDescent="0.25">
      <c r="A77" s="25"/>
      <c r="B77" s="24"/>
      <c r="C77" s="26"/>
      <c r="D77" s="17"/>
      <c r="E77" s="17"/>
      <c r="F77" s="17"/>
      <c r="G77" s="45"/>
      <c r="H77" s="45"/>
      <c r="I77" s="45"/>
      <c r="J77" s="39"/>
      <c r="K77" s="30"/>
    </row>
    <row r="78" spans="1:13" ht="30" x14ac:dyDescent="0.25">
      <c r="A78" s="25">
        <v>11</v>
      </c>
      <c r="B78" s="24" t="s">
        <v>143</v>
      </c>
      <c r="C78" s="26"/>
      <c r="D78" s="17"/>
      <c r="E78" s="17"/>
      <c r="F78" s="17"/>
      <c r="G78" s="45"/>
      <c r="H78" s="45"/>
      <c r="I78" s="45"/>
      <c r="J78" s="39"/>
      <c r="K78" s="30"/>
    </row>
    <row r="79" spans="1:13" ht="15" customHeight="1" x14ac:dyDescent="0.25">
      <c r="A79" s="25"/>
      <c r="B79" s="22" t="s">
        <v>133</v>
      </c>
      <c r="C79" s="26">
        <v>1</v>
      </c>
      <c r="D79" s="17"/>
      <c r="E79" s="17">
        <f>3.5/3.281</f>
        <v>1.0667479427003961</v>
      </c>
      <c r="F79" s="17">
        <f>4.5/3.281</f>
        <v>1.3715330691862238</v>
      </c>
      <c r="G79" s="17">
        <f>PRODUCT(C79:F79)</f>
        <v>1.4630800798999641</v>
      </c>
      <c r="H79" s="45"/>
      <c r="I79" s="45"/>
      <c r="J79" s="39"/>
      <c r="K79" s="30"/>
    </row>
    <row r="80" spans="1:13" ht="15" customHeight="1" x14ac:dyDescent="0.25">
      <c r="A80" s="25"/>
      <c r="B80" s="22" t="s">
        <v>25</v>
      </c>
      <c r="C80" s="26"/>
      <c r="D80" s="17"/>
      <c r="E80" s="17"/>
      <c r="F80" s="17"/>
      <c r="G80" s="27">
        <f>SUM(G79:G79)</f>
        <v>1.4630800798999641</v>
      </c>
      <c r="H80" s="27" t="s">
        <v>26</v>
      </c>
      <c r="I80" s="28">
        <f>50828.44/1.15</f>
        <v>44198.643478260878</v>
      </c>
      <c r="J80" s="29">
        <f>G80*I80</f>
        <v>64666.154831643951</v>
      </c>
      <c r="K80" s="30"/>
    </row>
    <row r="81" spans="1:13" x14ac:dyDescent="0.25">
      <c r="A81" s="25"/>
      <c r="B81" s="24"/>
      <c r="C81" s="26"/>
      <c r="D81" s="17"/>
      <c r="E81" s="17"/>
      <c r="F81" s="17"/>
      <c r="G81" s="45"/>
      <c r="H81" s="45"/>
      <c r="I81" s="45"/>
      <c r="J81" s="39"/>
      <c r="K81" s="30"/>
    </row>
    <row r="82" spans="1:13" ht="30" x14ac:dyDescent="0.25">
      <c r="A82" s="12">
        <v>12</v>
      </c>
      <c r="B82" s="54" t="s">
        <v>145</v>
      </c>
      <c r="C82" s="14"/>
      <c r="D82" s="15"/>
      <c r="E82" s="16"/>
      <c r="F82" s="16"/>
      <c r="G82" s="19"/>
      <c r="H82" s="18"/>
      <c r="I82" s="19"/>
      <c r="J82" s="37"/>
      <c r="K82" s="16"/>
    </row>
    <row r="83" spans="1:13" x14ac:dyDescent="0.25">
      <c r="A83" s="12"/>
      <c r="B83" s="43" t="s">
        <v>144</v>
      </c>
      <c r="C83" s="14">
        <f>4*2</f>
        <v>8</v>
      </c>
      <c r="D83" s="15">
        <f>2.75/3.281</f>
        <v>0.8381590978360256</v>
      </c>
      <c r="E83" s="16">
        <v>7.4999999999999997E-2</v>
      </c>
      <c r="F83" s="30"/>
      <c r="G83" s="33">
        <f>PRODUCT(C83:E83)</f>
        <v>0.50289545870161534</v>
      </c>
      <c r="H83" s="18"/>
      <c r="I83" s="19"/>
      <c r="J83" s="37"/>
      <c r="K83" s="16"/>
      <c r="M83">
        <f>4+4+3.5+3.5</f>
        <v>15</v>
      </c>
    </row>
    <row r="84" spans="1:13" ht="15" customHeight="1" x14ac:dyDescent="0.25">
      <c r="A84" s="25"/>
      <c r="B84" s="43" t="s">
        <v>25</v>
      </c>
      <c r="C84" s="32"/>
      <c r="D84" s="33"/>
      <c r="E84" s="33"/>
      <c r="F84" s="33"/>
      <c r="G84" s="37">
        <f>SUM(G83:G83)</f>
        <v>0.50289545870161534</v>
      </c>
      <c r="H84" s="37" t="s">
        <v>26</v>
      </c>
      <c r="I84" s="38">
        <f>15743.5/1.15</f>
        <v>13690.000000000002</v>
      </c>
      <c r="J84" s="39">
        <f>G84*I84</f>
        <v>6884.6388296251152</v>
      </c>
      <c r="K84" s="34"/>
    </row>
    <row r="85" spans="1:13" x14ac:dyDescent="0.25">
      <c r="A85" s="12"/>
      <c r="B85" s="54"/>
      <c r="C85" s="14"/>
      <c r="D85" s="15"/>
      <c r="E85" s="16"/>
      <c r="F85" s="16"/>
      <c r="G85" s="19"/>
      <c r="H85" s="18"/>
      <c r="I85" s="19"/>
      <c r="J85" s="37"/>
      <c r="K85" s="16"/>
    </row>
    <row r="86" spans="1:13" ht="45" x14ac:dyDescent="0.25">
      <c r="A86" s="25">
        <v>13</v>
      </c>
      <c r="B86" s="24" t="s">
        <v>125</v>
      </c>
      <c r="C86" s="26"/>
      <c r="D86" s="17"/>
      <c r="E86" s="17"/>
      <c r="F86" s="17"/>
      <c r="G86" s="45"/>
      <c r="H86" s="45"/>
      <c r="I86" s="45"/>
      <c r="J86" s="39"/>
      <c r="K86" s="30"/>
    </row>
    <row r="87" spans="1:13" ht="15" customHeight="1" x14ac:dyDescent="0.25">
      <c r="A87" s="25"/>
      <c r="B87" s="22" t="s">
        <v>96</v>
      </c>
      <c r="C87" s="26">
        <v>1</v>
      </c>
      <c r="D87" s="17">
        <f>3/3.281</f>
        <v>0.91435537945748246</v>
      </c>
      <c r="E87" s="17">
        <f>4/3.281</f>
        <v>1.2191405059433098</v>
      </c>
      <c r="F87" s="17"/>
      <c r="G87" s="17">
        <f>PRODUCT(C87:F87)</f>
        <v>1.1147276799237822</v>
      </c>
      <c r="H87" s="45"/>
      <c r="I87" s="45"/>
      <c r="J87" s="39"/>
      <c r="K87" s="30"/>
    </row>
    <row r="88" spans="1:13" ht="15" customHeight="1" x14ac:dyDescent="0.25">
      <c r="A88" s="25"/>
      <c r="B88" s="22" t="s">
        <v>25</v>
      </c>
      <c r="C88" s="26"/>
      <c r="D88" s="17"/>
      <c r="E88" s="17"/>
      <c r="F88" s="17"/>
      <c r="G88" s="27">
        <f>SUM(G87:G87)</f>
        <v>1.1147276799237822</v>
      </c>
      <c r="H88" s="27" t="s">
        <v>26</v>
      </c>
      <c r="I88" s="28">
        <f>69579.92/1.15</f>
        <v>60504.278260869571</v>
      </c>
      <c r="J88" s="29">
        <f>G88*I88</f>
        <v>67445.793731202066</v>
      </c>
      <c r="K88" s="30"/>
    </row>
    <row r="89" spans="1:13" ht="15" customHeight="1" x14ac:dyDescent="0.25">
      <c r="A89" s="25"/>
      <c r="B89" s="22" t="s">
        <v>142</v>
      </c>
      <c r="C89" s="26"/>
      <c r="D89" s="17"/>
      <c r="E89" s="17"/>
      <c r="F89" s="17"/>
      <c r="G89" s="27"/>
      <c r="H89" s="27"/>
      <c r="I89" s="28"/>
      <c r="J89" s="29">
        <f>0.13*G88*(9888.94/0.92)</f>
        <v>1557.6649658736014</v>
      </c>
      <c r="K89" s="30"/>
    </row>
    <row r="90" spans="1:13" ht="15" customHeight="1" x14ac:dyDescent="0.25">
      <c r="A90" s="25"/>
      <c r="B90" s="22"/>
      <c r="C90" s="26"/>
      <c r="D90" s="17"/>
      <c r="E90" s="17"/>
      <c r="F90" s="17"/>
      <c r="G90" s="45"/>
      <c r="H90" s="45"/>
      <c r="I90" s="45"/>
      <c r="J90" s="39"/>
      <c r="K90" s="30"/>
      <c r="M90" s="58"/>
    </row>
    <row r="91" spans="1:13" ht="30.75" x14ac:dyDescent="0.25">
      <c r="A91" s="25">
        <v>14</v>
      </c>
      <c r="B91" s="11" t="s">
        <v>97</v>
      </c>
      <c r="C91" s="26"/>
      <c r="D91" s="17"/>
      <c r="E91" s="17"/>
      <c r="F91" s="17"/>
      <c r="G91" s="45"/>
      <c r="H91" s="45"/>
      <c r="I91" s="45"/>
      <c r="J91" s="39"/>
      <c r="K91" s="30"/>
      <c r="M91" s="58"/>
    </row>
    <row r="92" spans="1:13" ht="15" customHeight="1" x14ac:dyDescent="0.25">
      <c r="A92" s="25"/>
      <c r="B92" s="22" t="s">
        <v>98</v>
      </c>
      <c r="C92" s="26">
        <v>1</v>
      </c>
      <c r="D92" s="17"/>
      <c r="E92" s="17">
        <f>3.333/3.281</f>
        <v>1.0158488265772629</v>
      </c>
      <c r="F92" s="17">
        <f>6/3.281</f>
        <v>1.8287107589149649</v>
      </c>
      <c r="G92" s="17">
        <f>PRODUCT(C92:F92)</f>
        <v>1.8576936785929832</v>
      </c>
      <c r="H92" s="45"/>
      <c r="I92" s="45"/>
      <c r="J92" s="39"/>
      <c r="K92" s="30"/>
    </row>
    <row r="93" spans="1:13" ht="15" customHeight="1" x14ac:dyDescent="0.25">
      <c r="A93" s="25"/>
      <c r="B93" s="22" t="s">
        <v>25</v>
      </c>
      <c r="C93" s="26"/>
      <c r="D93" s="17"/>
      <c r="E93" s="17"/>
      <c r="F93" s="17"/>
      <c r="G93" s="27">
        <f>SUM(G92:G92)</f>
        <v>1.8576936785929832</v>
      </c>
      <c r="H93" s="27" t="s">
        <v>26</v>
      </c>
      <c r="I93" s="28">
        <f>15859.11</f>
        <v>15859.11</v>
      </c>
      <c r="J93" s="29">
        <f>G93*I93</f>
        <v>29461.368395110767</v>
      </c>
      <c r="K93" s="30"/>
    </row>
    <row r="94" spans="1:13" ht="15" customHeight="1" x14ac:dyDescent="0.25">
      <c r="A94" s="25"/>
      <c r="B94" s="22" t="s">
        <v>142</v>
      </c>
      <c r="C94" s="26"/>
      <c r="D94" s="17"/>
      <c r="E94" s="17"/>
      <c r="F94" s="17"/>
      <c r="G94" s="27"/>
      <c r="H94" s="27"/>
      <c r="I94" s="28"/>
      <c r="J94" s="29">
        <f>0.13*G93*(20356.18/2.114)</f>
        <v>2325.4593650989209</v>
      </c>
      <c r="K94" s="30"/>
    </row>
    <row r="95" spans="1:13" ht="15.75" x14ac:dyDescent="0.25">
      <c r="A95" s="25"/>
      <c r="B95" s="11"/>
      <c r="C95" s="26"/>
      <c r="D95" s="17"/>
      <c r="E95" s="17"/>
      <c r="F95" s="17"/>
      <c r="G95" s="45"/>
      <c r="H95" s="45"/>
      <c r="I95" s="45"/>
      <c r="J95" s="39"/>
      <c r="K95" s="30"/>
      <c r="M95" s="58"/>
    </row>
    <row r="96" spans="1:13" ht="47.25" x14ac:dyDescent="0.25">
      <c r="A96" s="12">
        <v>10</v>
      </c>
      <c r="B96" s="23" t="s">
        <v>53</v>
      </c>
      <c r="C96" s="30"/>
      <c r="D96" s="30"/>
      <c r="E96" s="30"/>
      <c r="F96" s="30"/>
      <c r="G96" s="46"/>
      <c r="H96" s="18"/>
      <c r="I96" s="19"/>
      <c r="J96" s="19"/>
      <c r="K96" s="16"/>
      <c r="M96" s="21"/>
    </row>
    <row r="97" spans="1:14" ht="15" customHeight="1" x14ac:dyDescent="0.25">
      <c r="A97" s="12"/>
      <c r="B97" s="13" t="s">
        <v>54</v>
      </c>
      <c r="C97" s="14">
        <v>1</v>
      </c>
      <c r="D97" s="15"/>
      <c r="E97" s="16">
        <f>3.32+0.12+0.12</f>
        <v>3.56</v>
      </c>
      <c r="F97" s="16">
        <f>(9.42+7.75)/3.281</f>
        <v>5.233160621761658</v>
      </c>
      <c r="G97" s="17">
        <f t="shared" ref="G97:G103" si="1">PRODUCT(C97:F97)</f>
        <v>18.630051813471503</v>
      </c>
      <c r="H97" s="18"/>
      <c r="I97" s="19"/>
      <c r="J97" s="20"/>
      <c r="K97" s="16"/>
      <c r="M97" s="21"/>
      <c r="N97" s="21"/>
    </row>
    <row r="98" spans="1:14" ht="15" customHeight="1" x14ac:dyDescent="0.25">
      <c r="A98" s="12"/>
      <c r="B98" s="13" t="s">
        <v>22</v>
      </c>
      <c r="C98" s="14">
        <v>-1</v>
      </c>
      <c r="D98" s="15">
        <f>3.5/3.281</f>
        <v>1.0667479427003961</v>
      </c>
      <c r="E98" s="16"/>
      <c r="F98" s="16">
        <v>1.5</v>
      </c>
      <c r="G98" s="17">
        <f t="shared" si="1"/>
        <v>-1.600121914050594</v>
      </c>
      <c r="H98" s="18"/>
      <c r="I98" s="19"/>
      <c r="J98" s="20"/>
      <c r="K98" s="16"/>
      <c r="M98" s="21"/>
      <c r="N98" s="21"/>
    </row>
    <row r="99" spans="1:14" ht="15" customHeight="1" x14ac:dyDescent="0.3">
      <c r="A99" s="12"/>
      <c r="B99" s="13" t="s">
        <v>23</v>
      </c>
      <c r="C99" s="14">
        <v>-1</v>
      </c>
      <c r="D99" s="15">
        <f>3.833/3.281</f>
        <v>1.1682413898201769</v>
      </c>
      <c r="E99" s="16"/>
      <c r="F99" s="16">
        <f>7.75/3.281</f>
        <v>2.3620847302651629</v>
      </c>
      <c r="G99" s="17">
        <f t="shared" si="1"/>
        <v>-2.7594851481579914</v>
      </c>
      <c r="H99" s="18"/>
      <c r="I99" s="19"/>
      <c r="J99" s="20"/>
      <c r="K99" s="16"/>
      <c r="M99" s="76"/>
      <c r="N99" s="21"/>
    </row>
    <row r="100" spans="1:14" ht="15" customHeight="1" x14ac:dyDescent="0.25">
      <c r="A100" s="12"/>
      <c r="B100" s="13" t="s">
        <v>55</v>
      </c>
      <c r="C100" s="14">
        <v>1</v>
      </c>
      <c r="D100" s="15"/>
      <c r="E100" s="16">
        <f>(5.75)/3.281</f>
        <v>1.752514477293508</v>
      </c>
      <c r="F100" s="16">
        <f>(9.42+7.75)/3.281</f>
        <v>5.233160621761658</v>
      </c>
      <c r="G100" s="17">
        <f t="shared" si="1"/>
        <v>9.1711897516396004</v>
      </c>
      <c r="H100" s="18"/>
      <c r="I100" s="19"/>
      <c r="J100" s="20"/>
      <c r="K100" s="16"/>
      <c r="M100" s="21"/>
      <c r="N100" s="21"/>
    </row>
    <row r="101" spans="1:14" ht="15" customHeight="1" x14ac:dyDescent="0.25">
      <c r="A101" s="12"/>
      <c r="B101" s="13" t="s">
        <v>56</v>
      </c>
      <c r="C101" s="14">
        <f>-15</f>
        <v>-15</v>
      </c>
      <c r="D101" s="15">
        <f>E97+E100</f>
        <v>5.312514477293508</v>
      </c>
      <c r="E101" s="16"/>
      <c r="F101" s="16">
        <v>0.15</v>
      </c>
      <c r="G101" s="17">
        <f t="shared" si="1"/>
        <v>-11.953157573910394</v>
      </c>
      <c r="H101" s="18"/>
      <c r="I101" s="19"/>
      <c r="J101" s="20"/>
      <c r="K101" s="16"/>
      <c r="M101" s="21"/>
      <c r="N101" s="21"/>
    </row>
    <row r="102" spans="1:14" s="53" customFormat="1" ht="15" customHeight="1" x14ac:dyDescent="0.25">
      <c r="A102" s="47"/>
      <c r="B102" s="48" t="s">
        <v>58</v>
      </c>
      <c r="C102" s="49">
        <v>-1</v>
      </c>
      <c r="D102" s="50">
        <f>D99</f>
        <v>1.1682413898201769</v>
      </c>
      <c r="E102" s="50"/>
      <c r="F102" s="50">
        <f>F99</f>
        <v>2.3620847302651629</v>
      </c>
      <c r="G102" s="50">
        <f t="shared" si="1"/>
        <v>-2.7594851481579914</v>
      </c>
      <c r="H102" s="50"/>
      <c r="I102" s="50"/>
      <c r="J102" s="51"/>
      <c r="K102" s="52"/>
    </row>
    <row r="103" spans="1:14" s="53" customFormat="1" ht="15" customHeight="1" x14ac:dyDescent="0.25">
      <c r="A103" s="47"/>
      <c r="B103" s="48" t="s">
        <v>148</v>
      </c>
      <c r="C103" s="49">
        <v>-1</v>
      </c>
      <c r="D103" s="50">
        <f>D98</f>
        <v>1.0667479427003961</v>
      </c>
      <c r="E103" s="50"/>
      <c r="F103" s="50">
        <f>F98</f>
        <v>1.5</v>
      </c>
      <c r="G103" s="50">
        <f t="shared" si="1"/>
        <v>-1.600121914050594</v>
      </c>
      <c r="H103" s="50"/>
      <c r="I103" s="50"/>
      <c r="J103" s="51"/>
      <c r="K103" s="52"/>
    </row>
    <row r="104" spans="1:14" ht="15" customHeight="1" x14ac:dyDescent="0.25">
      <c r="A104" s="12"/>
      <c r="B104" s="22" t="s">
        <v>25</v>
      </c>
      <c r="C104" s="14"/>
      <c r="D104" s="15"/>
      <c r="E104" s="16"/>
      <c r="F104" s="16"/>
      <c r="G104" s="19">
        <f>SUM(G97:G103)</f>
        <v>7.1288698667835382</v>
      </c>
      <c r="H104" s="18" t="s">
        <v>26</v>
      </c>
      <c r="I104" s="19">
        <f>5810.57/1.15</f>
        <v>5052.6695652173912</v>
      </c>
      <c r="J104" s="20">
        <f>G104*I104</f>
        <v>36019.823810292539</v>
      </c>
      <c r="K104" s="16"/>
      <c r="M104" s="21"/>
      <c r="N104" s="21"/>
    </row>
    <row r="105" spans="1:14" ht="15" customHeight="1" x14ac:dyDescent="0.25">
      <c r="A105" s="12"/>
      <c r="B105" s="22" t="s">
        <v>44</v>
      </c>
      <c r="C105" s="14"/>
      <c r="D105" s="15"/>
      <c r="E105" s="16"/>
      <c r="F105" s="16"/>
      <c r="G105" s="19"/>
      <c r="H105" s="18"/>
      <c r="I105" s="19"/>
      <c r="J105" s="20">
        <f>G104*0.13*(309557.25/100)</f>
        <v>2868.831357040192</v>
      </c>
      <c r="K105" s="16"/>
      <c r="M105" s="21"/>
      <c r="N105" s="21"/>
    </row>
    <row r="106" spans="1:14" ht="15" customHeight="1" x14ac:dyDescent="0.25">
      <c r="A106" s="12"/>
      <c r="B106" s="22"/>
      <c r="C106" s="14"/>
      <c r="D106" s="15"/>
      <c r="E106" s="16"/>
      <c r="F106" s="16"/>
      <c r="G106" s="19"/>
      <c r="H106" s="18"/>
      <c r="I106" s="19"/>
      <c r="J106" s="20"/>
      <c r="K106" s="16"/>
      <c r="M106" s="21"/>
      <c r="N106" s="21"/>
    </row>
    <row r="107" spans="1:14" ht="47.25" x14ac:dyDescent="0.25">
      <c r="A107" s="12">
        <v>11</v>
      </c>
      <c r="B107" s="23" t="s">
        <v>67</v>
      </c>
      <c r="C107" s="14"/>
      <c r="D107" s="15"/>
      <c r="E107" s="16"/>
      <c r="F107" s="16"/>
      <c r="G107" s="19"/>
      <c r="H107" s="18"/>
      <c r="I107" s="19"/>
      <c r="J107" s="20"/>
      <c r="K107" s="16"/>
      <c r="M107" s="21"/>
      <c r="N107" s="21"/>
    </row>
    <row r="108" spans="1:14" ht="15" customHeight="1" x14ac:dyDescent="0.25">
      <c r="A108" s="12"/>
      <c r="B108" s="22" t="s">
        <v>49</v>
      </c>
      <c r="C108" s="14">
        <v>1</v>
      </c>
      <c r="D108" s="15">
        <f>E97+E100</f>
        <v>5.312514477293508</v>
      </c>
      <c r="E108" s="16"/>
      <c r="F108" s="16"/>
      <c r="G108" s="17">
        <f>PRODUCT(C108:F108)</f>
        <v>5.312514477293508</v>
      </c>
      <c r="H108" s="18"/>
      <c r="I108" s="19"/>
      <c r="J108" s="20"/>
      <c r="K108" s="16"/>
      <c r="M108" s="21"/>
      <c r="N108" s="21"/>
    </row>
    <row r="109" spans="1:14" ht="15" customHeight="1" x14ac:dyDescent="0.25">
      <c r="A109" s="12"/>
      <c r="B109" s="22" t="s">
        <v>25</v>
      </c>
      <c r="C109" s="14"/>
      <c r="D109" s="15"/>
      <c r="E109" s="16"/>
      <c r="F109" s="16"/>
      <c r="G109" s="19">
        <f>SUM(G108:G108)</f>
        <v>5.312514477293508</v>
      </c>
      <c r="H109" s="18" t="s">
        <v>68</v>
      </c>
      <c r="I109" s="19">
        <f>396.86/1.15</f>
        <v>345.09565217391309</v>
      </c>
      <c r="J109" s="20">
        <f>G109*I109</f>
        <v>1833.3256482249583</v>
      </c>
      <c r="K109" s="16"/>
      <c r="M109" s="21"/>
      <c r="N109" s="21"/>
    </row>
    <row r="110" spans="1:14" ht="15" customHeight="1" x14ac:dyDescent="0.25">
      <c r="A110" s="12"/>
      <c r="B110" s="22" t="s">
        <v>44</v>
      </c>
      <c r="C110" s="14"/>
      <c r="D110" s="15"/>
      <c r="E110" s="16"/>
      <c r="F110" s="16"/>
      <c r="G110" s="19"/>
      <c r="H110" s="18"/>
      <c r="I110" s="19"/>
      <c r="J110" s="20">
        <f>G109*0.13*(2182.61/10)</f>
        <v>150.73691390271259</v>
      </c>
      <c r="K110" s="16"/>
      <c r="M110" s="21"/>
      <c r="N110" s="21"/>
    </row>
    <row r="111" spans="1:14" ht="15" customHeight="1" x14ac:dyDescent="0.25">
      <c r="A111" s="12"/>
      <c r="B111" s="22"/>
      <c r="C111" s="14"/>
      <c r="D111" s="15"/>
      <c r="E111" s="16"/>
      <c r="F111" s="16"/>
      <c r="G111" s="19"/>
      <c r="H111" s="18"/>
      <c r="I111" s="19"/>
      <c r="J111" s="20"/>
      <c r="K111" s="16"/>
      <c r="M111" s="21"/>
      <c r="N111" s="21"/>
    </row>
    <row r="112" spans="1:14" ht="47.25" x14ac:dyDescent="0.25">
      <c r="A112" s="12">
        <v>12</v>
      </c>
      <c r="B112" s="23" t="s">
        <v>69</v>
      </c>
      <c r="C112" s="14"/>
      <c r="D112" s="15"/>
      <c r="E112" s="16"/>
      <c r="F112" s="16"/>
      <c r="G112" s="19"/>
      <c r="H112" s="18"/>
      <c r="I112" s="19"/>
      <c r="J112" s="20"/>
      <c r="K112" s="16"/>
      <c r="M112" s="21"/>
      <c r="N112" s="21"/>
    </row>
    <row r="113" spans="1:14" ht="15" customHeight="1" x14ac:dyDescent="0.25">
      <c r="A113" s="12"/>
      <c r="B113" s="22" t="s">
        <v>49</v>
      </c>
      <c r="C113" s="14">
        <f>1</f>
        <v>1</v>
      </c>
      <c r="D113" s="15">
        <f>D108</f>
        <v>5.312514477293508</v>
      </c>
      <c r="E113" s="16"/>
      <c r="F113" s="16"/>
      <c r="G113" s="17">
        <f>PRODUCT(C113:F113)</f>
        <v>5.312514477293508</v>
      </c>
      <c r="H113" s="18"/>
      <c r="I113" s="19"/>
      <c r="J113" s="20"/>
      <c r="K113" s="16"/>
      <c r="M113" s="21"/>
      <c r="N113" s="21"/>
    </row>
    <row r="114" spans="1:14" ht="15" customHeight="1" x14ac:dyDescent="0.25">
      <c r="A114" s="12"/>
      <c r="B114" s="22" t="s">
        <v>25</v>
      </c>
      <c r="C114" s="14"/>
      <c r="D114" s="15"/>
      <c r="E114" s="16"/>
      <c r="F114" s="16"/>
      <c r="G114" s="19">
        <f>SUM(G113:G113)</f>
        <v>5.312514477293508</v>
      </c>
      <c r="H114" s="18" t="s">
        <v>68</v>
      </c>
      <c r="I114" s="19">
        <f>465.63/1.15</f>
        <v>404.89565217391305</v>
      </c>
      <c r="J114" s="20">
        <f>G114*I114</f>
        <v>2151.0140139671098</v>
      </c>
      <c r="K114" s="16"/>
      <c r="M114" s="21"/>
      <c r="N114" s="21"/>
    </row>
    <row r="115" spans="1:14" ht="15" customHeight="1" x14ac:dyDescent="0.25">
      <c r="A115" s="12"/>
      <c r="B115" s="22" t="s">
        <v>44</v>
      </c>
      <c r="C115" s="14"/>
      <c r="D115" s="15"/>
      <c r="E115" s="16"/>
      <c r="F115" s="16"/>
      <c r="G115" s="19"/>
      <c r="H115" s="18"/>
      <c r="I115" s="19"/>
      <c r="J115" s="20">
        <f>G114*0.13*(2780.61/10)</f>
        <v>192.03640144919234</v>
      </c>
      <c r="K115" s="16"/>
      <c r="M115" s="21"/>
      <c r="N115" s="21"/>
    </row>
    <row r="116" spans="1:14" ht="15" customHeight="1" x14ac:dyDescent="0.25">
      <c r="A116" s="12"/>
      <c r="B116" s="22"/>
      <c r="C116" s="14"/>
      <c r="D116" s="15"/>
      <c r="E116" s="16"/>
      <c r="F116" s="16"/>
      <c r="G116" s="19"/>
      <c r="H116" s="18"/>
      <c r="I116" s="19"/>
      <c r="J116" s="20"/>
      <c r="K116" s="16"/>
      <c r="M116" s="21"/>
      <c r="N116" s="21"/>
    </row>
    <row r="117" spans="1:14" ht="47.25" x14ac:dyDescent="0.25">
      <c r="A117" s="12">
        <v>13</v>
      </c>
      <c r="B117" s="23" t="s">
        <v>70</v>
      </c>
      <c r="C117" s="14"/>
      <c r="D117" s="15"/>
      <c r="E117" s="16"/>
      <c r="F117" s="16"/>
      <c r="G117" s="19"/>
      <c r="H117" s="18"/>
      <c r="I117" s="19"/>
      <c r="J117" s="20"/>
      <c r="K117" s="16"/>
      <c r="M117" s="21"/>
      <c r="N117" s="21"/>
    </row>
    <row r="118" spans="1:14" ht="15" customHeight="1" x14ac:dyDescent="0.25">
      <c r="A118" s="12"/>
      <c r="B118" s="22" t="s">
        <v>49</v>
      </c>
      <c r="C118" s="14">
        <f>2</f>
        <v>2</v>
      </c>
      <c r="D118" s="15">
        <f>D113</f>
        <v>5.312514477293508</v>
      </c>
      <c r="E118" s="16"/>
      <c r="F118" s="16"/>
      <c r="G118" s="17">
        <f>PRODUCT(C118:F118)</f>
        <v>10.625028954587016</v>
      </c>
      <c r="H118" s="18"/>
      <c r="I118" s="19"/>
      <c r="J118" s="20"/>
      <c r="K118" s="16"/>
      <c r="M118" s="21"/>
      <c r="N118" s="21"/>
    </row>
    <row r="119" spans="1:14" ht="15" customHeight="1" x14ac:dyDescent="0.25">
      <c r="A119" s="12"/>
      <c r="B119" s="13" t="s">
        <v>23</v>
      </c>
      <c r="C119" s="14">
        <v>-1</v>
      </c>
      <c r="D119" s="15">
        <f>D102</f>
        <v>1.1682413898201769</v>
      </c>
      <c r="E119" s="16"/>
      <c r="F119" s="16"/>
      <c r="G119" s="17">
        <f>PRODUCT(C119:F119)</f>
        <v>-1.1682413898201769</v>
      </c>
      <c r="H119" s="18"/>
      <c r="I119" s="19"/>
      <c r="J119" s="20"/>
      <c r="K119" s="16"/>
      <c r="M119" s="21"/>
      <c r="N119" s="21"/>
    </row>
    <row r="120" spans="1:14" ht="15" customHeight="1" x14ac:dyDescent="0.25">
      <c r="A120" s="12"/>
      <c r="B120" s="22" t="s">
        <v>25</v>
      </c>
      <c r="C120" s="14"/>
      <c r="D120" s="15"/>
      <c r="E120" s="16"/>
      <c r="F120" s="16"/>
      <c r="G120" s="19">
        <f>SUM(G118:G119)</f>
        <v>9.4567875647668398</v>
      </c>
      <c r="H120" s="18" t="s">
        <v>68</v>
      </c>
      <c r="I120" s="19">
        <f>406.75/1.15</f>
        <v>353.69565217391306</v>
      </c>
      <c r="J120" s="20">
        <f>G120*I120</f>
        <v>3344.8246451903583</v>
      </c>
      <c r="K120" s="16"/>
      <c r="M120" s="21"/>
      <c r="N120" s="21"/>
    </row>
    <row r="121" spans="1:14" ht="15" customHeight="1" x14ac:dyDescent="0.25">
      <c r="A121" s="12"/>
      <c r="B121" s="22" t="s">
        <v>44</v>
      </c>
      <c r="C121" s="14"/>
      <c r="D121" s="15"/>
      <c r="E121" s="16"/>
      <c r="F121" s="16"/>
      <c r="G121" s="19"/>
      <c r="H121" s="18"/>
      <c r="I121" s="19"/>
      <c r="J121" s="20">
        <f>G120*0.13*(2268.61/10)</f>
        <v>278.89891688497414</v>
      </c>
      <c r="K121" s="16"/>
      <c r="M121" s="21"/>
      <c r="N121" s="21"/>
    </row>
    <row r="122" spans="1:14" ht="15" customHeight="1" x14ac:dyDescent="0.25">
      <c r="A122" s="12"/>
      <c r="B122" s="22"/>
      <c r="C122" s="14"/>
      <c r="D122" s="15"/>
      <c r="E122" s="16"/>
      <c r="F122" s="16"/>
      <c r="G122" s="19"/>
      <c r="H122" s="18"/>
      <c r="I122" s="19"/>
      <c r="J122" s="20"/>
      <c r="K122" s="16"/>
      <c r="M122" s="21"/>
      <c r="N122" s="21"/>
    </row>
    <row r="123" spans="1:14" ht="47.25" x14ac:dyDescent="0.25">
      <c r="A123" s="12">
        <v>14</v>
      </c>
      <c r="B123" s="23" t="s">
        <v>71</v>
      </c>
      <c r="C123" s="14"/>
      <c r="D123" s="15"/>
      <c r="E123" s="16"/>
      <c r="F123" s="16"/>
      <c r="G123" s="19"/>
      <c r="H123" s="18"/>
      <c r="I123" s="19"/>
      <c r="J123" s="20"/>
      <c r="K123" s="16"/>
      <c r="M123" s="21"/>
      <c r="N123" s="21"/>
    </row>
    <row r="124" spans="1:14" ht="15" customHeight="1" x14ac:dyDescent="0.25">
      <c r="A124" s="12"/>
      <c r="B124" s="22" t="s">
        <v>49</v>
      </c>
      <c r="C124" s="14">
        <v>1</v>
      </c>
      <c r="D124" s="15">
        <f>D118</f>
        <v>5.312514477293508</v>
      </c>
      <c r="E124" s="16"/>
      <c r="F124" s="16"/>
      <c r="G124" s="17">
        <f>PRODUCT(C124:F124)</f>
        <v>5.312514477293508</v>
      </c>
      <c r="H124" s="18"/>
      <c r="I124" s="19"/>
      <c r="J124" s="20"/>
      <c r="K124" s="16"/>
      <c r="M124" s="21"/>
      <c r="N124" s="21"/>
    </row>
    <row r="125" spans="1:14" ht="15" customHeight="1" x14ac:dyDescent="0.25">
      <c r="A125" s="12"/>
      <c r="B125" s="13" t="s">
        <v>23</v>
      </c>
      <c r="C125" s="14">
        <v>-1</v>
      </c>
      <c r="D125" s="15">
        <f>D119</f>
        <v>1.1682413898201769</v>
      </c>
      <c r="E125" s="16"/>
      <c r="F125" s="16"/>
      <c r="G125" s="17">
        <f>PRODUCT(C125:F125)</f>
        <v>-1.1682413898201769</v>
      </c>
      <c r="H125" s="18"/>
      <c r="I125" s="19"/>
      <c r="J125" s="20"/>
      <c r="K125" s="16"/>
      <c r="M125" s="21"/>
      <c r="N125" s="21"/>
    </row>
    <row r="126" spans="1:14" ht="15" customHeight="1" x14ac:dyDescent="0.25">
      <c r="A126" s="12"/>
      <c r="B126" s="22" t="s">
        <v>25</v>
      </c>
      <c r="C126" s="14"/>
      <c r="D126" s="15"/>
      <c r="E126" s="16"/>
      <c r="F126" s="16"/>
      <c r="G126" s="19">
        <f>SUM(G124:G125)</f>
        <v>4.1442730874733309</v>
      </c>
      <c r="H126" s="18" t="s">
        <v>68</v>
      </c>
      <c r="I126" s="19">
        <f>447.23/1.15</f>
        <v>388.89565217391311</v>
      </c>
      <c r="J126" s="20">
        <f>G126*I126</f>
        <v>1611.6897851397375</v>
      </c>
      <c r="K126" s="16"/>
      <c r="M126" s="21"/>
      <c r="N126" s="21"/>
    </row>
    <row r="127" spans="1:14" ht="15" customHeight="1" x14ac:dyDescent="0.25">
      <c r="A127" s="12"/>
      <c r="B127" s="22" t="s">
        <v>44</v>
      </c>
      <c r="C127" s="14"/>
      <c r="D127" s="15"/>
      <c r="E127" s="16"/>
      <c r="F127" s="16"/>
      <c r="G127" s="19"/>
      <c r="H127" s="18"/>
      <c r="I127" s="19"/>
      <c r="J127" s="20">
        <f>G126*0.13*(2620.61/10)</f>
        <v>141.18680544492534</v>
      </c>
      <c r="K127" s="16"/>
      <c r="M127" s="21"/>
      <c r="N127" s="21"/>
    </row>
    <row r="128" spans="1:14" ht="15" customHeight="1" x14ac:dyDescent="0.25">
      <c r="A128" s="12"/>
      <c r="B128" s="22"/>
      <c r="C128" s="14"/>
      <c r="D128" s="15"/>
      <c r="E128" s="16"/>
      <c r="F128" s="16"/>
      <c r="G128" s="19"/>
      <c r="H128" s="18"/>
      <c r="I128" s="19"/>
      <c r="J128" s="20"/>
      <c r="K128" s="16"/>
      <c r="M128" s="21"/>
      <c r="N128" s="21"/>
    </row>
    <row r="129" spans="1:15" ht="47.25" x14ac:dyDescent="0.25">
      <c r="A129" s="12">
        <v>15</v>
      </c>
      <c r="B129" s="23" t="s">
        <v>72</v>
      </c>
      <c r="C129" s="14"/>
      <c r="D129" s="15"/>
      <c r="E129" s="16"/>
      <c r="F129" s="16"/>
      <c r="G129" s="19"/>
      <c r="H129" s="18"/>
      <c r="I129" s="19"/>
      <c r="J129" s="20"/>
      <c r="K129" s="16"/>
      <c r="M129" s="21"/>
      <c r="N129" s="21"/>
    </row>
    <row r="130" spans="1:15" ht="15" customHeight="1" x14ac:dyDescent="0.25">
      <c r="A130" s="12"/>
      <c r="B130" s="22" t="s">
        <v>49</v>
      </c>
      <c r="C130" s="14">
        <f>1*2</f>
        <v>2</v>
      </c>
      <c r="D130" s="15">
        <f>D124</f>
        <v>5.312514477293508</v>
      </c>
      <c r="E130" s="16"/>
      <c r="F130" s="16"/>
      <c r="G130" s="17">
        <f>PRODUCT(C130:F130)</f>
        <v>10.625028954587016</v>
      </c>
      <c r="H130" s="18"/>
      <c r="I130" s="19"/>
      <c r="J130" s="20"/>
      <c r="K130" s="16"/>
      <c r="M130" s="21"/>
      <c r="N130" s="21"/>
    </row>
    <row r="131" spans="1:15" ht="15" customHeight="1" x14ac:dyDescent="0.25">
      <c r="A131" s="12"/>
      <c r="B131" s="22" t="s">
        <v>25</v>
      </c>
      <c r="C131" s="14"/>
      <c r="D131" s="15"/>
      <c r="E131" s="16"/>
      <c r="F131" s="16"/>
      <c r="G131" s="19">
        <f>SUM(G130:G130)</f>
        <v>10.625028954587016</v>
      </c>
      <c r="H131" s="18" t="s">
        <v>68</v>
      </c>
      <c r="I131" s="19">
        <f>469.79/1.15</f>
        <v>408.5130434782609</v>
      </c>
      <c r="J131" s="20">
        <f>G131*I131</f>
        <v>4340.4629152829866</v>
      </c>
      <c r="K131" s="16"/>
      <c r="M131" s="21"/>
      <c r="N131" s="21"/>
    </row>
    <row r="132" spans="1:15" ht="15" customHeight="1" x14ac:dyDescent="0.25">
      <c r="A132" s="12"/>
      <c r="B132" s="22" t="s">
        <v>44</v>
      </c>
      <c r="C132" s="14"/>
      <c r="D132" s="15"/>
      <c r="E132" s="16"/>
      <c r="F132" s="16"/>
      <c r="G132" s="19"/>
      <c r="H132" s="18"/>
      <c r="I132" s="19"/>
      <c r="J132" s="20">
        <f>G131*0.13*(2140.61/10)</f>
        <v>295.67256199622068</v>
      </c>
      <c r="K132" s="16"/>
      <c r="M132" s="21"/>
      <c r="N132" s="21"/>
    </row>
    <row r="133" spans="1:15" ht="15" customHeight="1" x14ac:dyDescent="0.25">
      <c r="A133" s="12"/>
      <c r="B133" s="30"/>
      <c r="C133" s="14"/>
      <c r="D133" s="15"/>
      <c r="E133" s="16"/>
      <c r="F133" s="16"/>
      <c r="G133" s="19"/>
      <c r="H133" s="18"/>
      <c r="I133" s="19"/>
      <c r="J133" s="20"/>
      <c r="K133" s="16"/>
      <c r="M133" s="21"/>
      <c r="N133" s="21"/>
    </row>
    <row r="134" spans="1:15" ht="47.25" x14ac:dyDescent="0.25">
      <c r="A134" s="12">
        <v>16</v>
      </c>
      <c r="B134" s="23" t="s">
        <v>73</v>
      </c>
      <c r="C134" s="14"/>
      <c r="D134" s="15"/>
      <c r="E134" s="16"/>
      <c r="F134" s="16"/>
      <c r="G134" s="19"/>
      <c r="H134" s="18"/>
      <c r="I134" s="19"/>
      <c r="J134" s="20"/>
      <c r="K134" s="16"/>
      <c r="M134" s="21"/>
      <c r="N134" s="21"/>
    </row>
    <row r="135" spans="1:15" ht="15" customHeight="1" x14ac:dyDescent="0.25">
      <c r="A135" s="12"/>
      <c r="B135" s="22" t="s">
        <v>49</v>
      </c>
      <c r="C135" s="14">
        <f>1*2</f>
        <v>2</v>
      </c>
      <c r="D135" s="15">
        <f>D155</f>
        <v>5.312514477293508</v>
      </c>
      <c r="E135" s="16"/>
      <c r="F135" s="16"/>
      <c r="G135" s="17">
        <f>PRODUCT(C135:F135)</f>
        <v>10.625028954587016</v>
      </c>
      <c r="H135" s="18"/>
      <c r="I135" s="19"/>
      <c r="J135" s="20"/>
      <c r="K135" s="16"/>
      <c r="M135" s="21"/>
      <c r="N135" s="21"/>
    </row>
    <row r="136" spans="1:15" ht="15" customHeight="1" x14ac:dyDescent="0.25">
      <c r="A136" s="12"/>
      <c r="B136" s="22" t="s">
        <v>25</v>
      </c>
      <c r="C136" s="14"/>
      <c r="D136" s="15"/>
      <c r="E136" s="16"/>
      <c r="F136" s="16"/>
      <c r="G136" s="19">
        <f>SUM(G135:G135)</f>
        <v>10.625028954587016</v>
      </c>
      <c r="H136" s="18" t="s">
        <v>68</v>
      </c>
      <c r="I136" s="19">
        <f>476.67/1.15</f>
        <v>414.49565217391307</v>
      </c>
      <c r="J136" s="20">
        <f>G136*I136</f>
        <v>4404.028305898255</v>
      </c>
      <c r="K136" s="16"/>
      <c r="M136" s="21"/>
      <c r="N136" s="21"/>
    </row>
    <row r="137" spans="1:15" ht="15" customHeight="1" x14ac:dyDescent="0.25">
      <c r="A137" s="12"/>
      <c r="B137" s="22" t="s">
        <v>44</v>
      </c>
      <c r="C137" s="14"/>
      <c r="D137" s="15"/>
      <c r="E137" s="16"/>
      <c r="F137" s="16"/>
      <c r="G137" s="19"/>
      <c r="H137" s="18"/>
      <c r="I137" s="19"/>
      <c r="J137" s="20">
        <f>G136*0.13*(2876.61/10)</f>
        <v>397.33283903370921</v>
      </c>
      <c r="K137" s="16"/>
      <c r="M137" s="21"/>
      <c r="N137" s="21"/>
    </row>
    <row r="138" spans="1:15" ht="15" customHeight="1" x14ac:dyDescent="0.25">
      <c r="A138" s="12"/>
      <c r="B138" s="22"/>
      <c r="C138" s="14"/>
      <c r="D138" s="15"/>
      <c r="E138" s="16"/>
      <c r="F138" s="16"/>
      <c r="G138" s="19"/>
      <c r="H138" s="18"/>
      <c r="I138" s="19"/>
      <c r="J138" s="20"/>
      <c r="K138" s="16"/>
      <c r="M138" s="21"/>
      <c r="N138" s="21"/>
    </row>
    <row r="139" spans="1:15" ht="47.25" x14ac:dyDescent="0.25">
      <c r="A139" s="12">
        <v>17</v>
      </c>
      <c r="B139" s="23" t="s">
        <v>74</v>
      </c>
      <c r="C139" s="14"/>
      <c r="D139" s="15"/>
      <c r="E139" s="16"/>
      <c r="F139" s="16"/>
      <c r="G139" s="19"/>
      <c r="H139" s="18"/>
      <c r="I139" s="19"/>
      <c r="J139" s="20"/>
      <c r="K139" s="16"/>
      <c r="M139" s="21"/>
      <c r="N139" s="21"/>
    </row>
    <row r="140" spans="1:15" ht="15" customHeight="1" x14ac:dyDescent="0.25">
      <c r="A140" s="12"/>
      <c r="B140" s="22" t="s">
        <v>49</v>
      </c>
      <c r="C140" s="14">
        <f>1*2</f>
        <v>2</v>
      </c>
      <c r="D140" s="15">
        <f>D135</f>
        <v>5.312514477293508</v>
      </c>
      <c r="E140" s="16"/>
      <c r="F140" s="16"/>
      <c r="G140" s="17">
        <f>PRODUCT(C140:F140)</f>
        <v>10.625028954587016</v>
      </c>
      <c r="H140" s="18"/>
      <c r="I140" s="19"/>
      <c r="J140" s="20"/>
      <c r="K140" s="16"/>
      <c r="M140" s="21"/>
      <c r="N140" s="21"/>
    </row>
    <row r="141" spans="1:15" ht="15" customHeight="1" x14ac:dyDescent="0.25">
      <c r="A141" s="12"/>
      <c r="B141" s="22" t="s">
        <v>25</v>
      </c>
      <c r="C141" s="14"/>
      <c r="D141" s="15"/>
      <c r="E141" s="16"/>
      <c r="F141" s="16"/>
      <c r="G141" s="19">
        <f>SUM(G140:G140)</f>
        <v>10.625028954587016</v>
      </c>
      <c r="H141" s="18" t="s">
        <v>68</v>
      </c>
      <c r="I141" s="19">
        <f>593.85/1.15</f>
        <v>516.39130434782612</v>
      </c>
      <c r="J141" s="20">
        <f>G141*I141</f>
        <v>5486.6725605926085</v>
      </c>
      <c r="K141" s="16"/>
      <c r="M141" s="21"/>
      <c r="N141" s="21"/>
      <c r="O141">
        <f>330/2.5</f>
        <v>132</v>
      </c>
    </row>
    <row r="142" spans="1:15" ht="15" customHeight="1" x14ac:dyDescent="0.25">
      <c r="A142" s="12"/>
      <c r="B142" s="22" t="s">
        <v>44</v>
      </c>
      <c r="C142" s="14"/>
      <c r="D142" s="15"/>
      <c r="E142" s="16"/>
      <c r="F142" s="16"/>
      <c r="G142" s="19"/>
      <c r="H142" s="18"/>
      <c r="I142" s="19"/>
      <c r="J142" s="20">
        <f>G141*0.13*(3895.61/10)</f>
        <v>538.0825975951235</v>
      </c>
      <c r="K142" s="16"/>
      <c r="M142" s="21"/>
      <c r="N142" s="21"/>
    </row>
    <row r="143" spans="1:15" ht="15" customHeight="1" x14ac:dyDescent="0.25">
      <c r="A143" s="12"/>
      <c r="B143" s="22"/>
      <c r="C143" s="14"/>
      <c r="D143" s="15"/>
      <c r="E143" s="16"/>
      <c r="F143" s="16"/>
      <c r="G143" s="19"/>
      <c r="H143" s="18"/>
      <c r="I143" s="19"/>
      <c r="J143" s="20"/>
      <c r="K143" s="16"/>
      <c r="M143" s="21"/>
      <c r="N143" s="21"/>
    </row>
    <row r="144" spans="1:15" ht="47.25" x14ac:dyDescent="0.25">
      <c r="A144" s="12">
        <v>18</v>
      </c>
      <c r="B144" s="23" t="s">
        <v>75</v>
      </c>
      <c r="C144" s="14"/>
      <c r="D144" s="15"/>
      <c r="E144" s="16"/>
      <c r="F144" s="16"/>
      <c r="G144" s="19"/>
      <c r="H144" s="18"/>
      <c r="I144" s="19"/>
      <c r="J144" s="20"/>
      <c r="K144" s="16"/>
      <c r="M144" s="21"/>
      <c r="N144" s="21"/>
    </row>
    <row r="145" spans="1:14" ht="15" customHeight="1" x14ac:dyDescent="0.25">
      <c r="A145" s="12"/>
      <c r="B145" s="22" t="s">
        <v>49</v>
      </c>
      <c r="C145" s="14">
        <f>1*2</f>
        <v>2</v>
      </c>
      <c r="D145" s="15">
        <f>D140</f>
        <v>5.312514477293508</v>
      </c>
      <c r="E145" s="16"/>
      <c r="F145" s="16"/>
      <c r="G145" s="17">
        <f>PRODUCT(C145:F145)</f>
        <v>10.625028954587016</v>
      </c>
      <c r="H145" s="18"/>
      <c r="I145" s="19"/>
      <c r="J145" s="20"/>
      <c r="K145" s="16"/>
      <c r="M145" s="21"/>
      <c r="N145" s="21"/>
    </row>
    <row r="146" spans="1:14" ht="15" customHeight="1" x14ac:dyDescent="0.25">
      <c r="A146" s="12"/>
      <c r="B146" s="22" t="s">
        <v>25</v>
      </c>
      <c r="C146" s="14"/>
      <c r="D146" s="15"/>
      <c r="E146" s="16"/>
      <c r="F146" s="16"/>
      <c r="G146" s="19">
        <f>SUM(G145:G145)</f>
        <v>10.625028954587016</v>
      </c>
      <c r="H146" s="18" t="s">
        <v>68</v>
      </c>
      <c r="I146" s="19">
        <f>487.71/1.15</f>
        <v>424.09565217391304</v>
      </c>
      <c r="J146" s="20">
        <f>G146*I146</f>
        <v>4506.0285838622904</v>
      </c>
      <c r="K146" s="16"/>
      <c r="M146" s="21"/>
      <c r="N146" s="21"/>
    </row>
    <row r="147" spans="1:14" ht="15" customHeight="1" x14ac:dyDescent="0.25">
      <c r="A147" s="12"/>
      <c r="B147" s="22" t="s">
        <v>44</v>
      </c>
      <c r="C147" s="14"/>
      <c r="D147" s="15"/>
      <c r="E147" s="16"/>
      <c r="F147" s="16"/>
      <c r="G147" s="19"/>
      <c r="H147" s="18"/>
      <c r="I147" s="19"/>
      <c r="J147" s="20">
        <f>G146*0.13*(2972.61/10)</f>
        <v>410.59287516903385</v>
      </c>
      <c r="K147" s="16"/>
      <c r="M147" s="21"/>
      <c r="N147" s="21"/>
    </row>
    <row r="148" spans="1:14" ht="15" customHeight="1" x14ac:dyDescent="0.25">
      <c r="A148" s="12"/>
      <c r="B148" s="22"/>
      <c r="C148" s="14"/>
      <c r="D148" s="15"/>
      <c r="E148" s="16"/>
      <c r="F148" s="16"/>
      <c r="G148" s="19"/>
      <c r="H148" s="18"/>
      <c r="I148" s="19"/>
      <c r="J148" s="20"/>
      <c r="K148" s="16"/>
      <c r="M148" s="21"/>
      <c r="N148" s="21"/>
    </row>
    <row r="149" spans="1:14" ht="47.25" x14ac:dyDescent="0.25">
      <c r="A149" s="12">
        <v>19</v>
      </c>
      <c r="B149" s="23" t="s">
        <v>76</v>
      </c>
      <c r="C149" s="14"/>
      <c r="D149" s="15"/>
      <c r="E149" s="16"/>
      <c r="F149" s="16"/>
      <c r="G149" s="19"/>
      <c r="H149" s="18"/>
      <c r="I149" s="19"/>
      <c r="J149" s="20"/>
      <c r="K149" s="16"/>
      <c r="M149" s="21"/>
      <c r="N149" s="21"/>
    </row>
    <row r="150" spans="1:14" ht="15" customHeight="1" x14ac:dyDescent="0.25">
      <c r="A150" s="12"/>
      <c r="B150" s="22" t="s">
        <v>49</v>
      </c>
      <c r="C150" s="14">
        <v>1</v>
      </c>
      <c r="D150" s="15">
        <f>D145</f>
        <v>5.312514477293508</v>
      </c>
      <c r="E150" s="16"/>
      <c r="F150" s="16"/>
      <c r="G150" s="17">
        <f>PRODUCT(C150:F150)</f>
        <v>5.312514477293508</v>
      </c>
      <c r="H150" s="18"/>
      <c r="I150" s="19"/>
      <c r="J150" s="20"/>
      <c r="K150" s="16"/>
      <c r="M150" s="21"/>
      <c r="N150" s="21"/>
    </row>
    <row r="151" spans="1:14" ht="15" customHeight="1" x14ac:dyDescent="0.25">
      <c r="A151" s="12"/>
      <c r="B151" s="22" t="s">
        <v>25</v>
      </c>
      <c r="C151" s="14"/>
      <c r="D151" s="15"/>
      <c r="E151" s="16"/>
      <c r="F151" s="16"/>
      <c r="G151" s="19">
        <f>SUM(G150:G150)</f>
        <v>5.312514477293508</v>
      </c>
      <c r="H151" s="18" t="s">
        <v>68</v>
      </c>
      <c r="I151" s="19">
        <f>776.13/1.15</f>
        <v>674.89565217391305</v>
      </c>
      <c r="J151" s="20">
        <f>G151*I151</f>
        <v>3585.3929228363568</v>
      </c>
      <c r="K151" s="16"/>
      <c r="M151" s="21"/>
      <c r="N151" s="21"/>
    </row>
    <row r="152" spans="1:14" ht="15" customHeight="1" x14ac:dyDescent="0.25">
      <c r="A152" s="12"/>
      <c r="B152" s="22" t="s">
        <v>44</v>
      </c>
      <c r="C152" s="14"/>
      <c r="D152" s="15"/>
      <c r="E152" s="16"/>
      <c r="F152" s="16"/>
      <c r="G152" s="19"/>
      <c r="H152" s="18"/>
      <c r="I152" s="19"/>
      <c r="J152" s="20">
        <f>G151*0.13*(5480.61/10)</f>
        <v>378.50565960219438</v>
      </c>
      <c r="K152" s="16"/>
      <c r="M152" s="21"/>
      <c r="N152" s="21"/>
    </row>
    <row r="153" spans="1:14" ht="15" customHeight="1" x14ac:dyDescent="0.25">
      <c r="A153" s="12"/>
      <c r="B153" s="22"/>
      <c r="C153" s="14"/>
      <c r="D153" s="15"/>
      <c r="E153" s="16"/>
      <c r="F153" s="16"/>
      <c r="G153" s="19"/>
      <c r="H153" s="18"/>
      <c r="I153" s="19"/>
      <c r="J153" s="20"/>
      <c r="K153" s="16"/>
      <c r="M153" s="21"/>
      <c r="N153" s="21"/>
    </row>
    <row r="154" spans="1:14" ht="47.25" x14ac:dyDescent="0.25">
      <c r="A154" s="12">
        <v>20</v>
      </c>
      <c r="B154" s="23" t="s">
        <v>77</v>
      </c>
      <c r="C154" s="14"/>
      <c r="D154" s="15"/>
      <c r="E154" s="16"/>
      <c r="F154" s="16"/>
      <c r="G154" s="19"/>
      <c r="H154" s="18"/>
      <c r="I154" s="19"/>
      <c r="J154" s="20"/>
      <c r="K154" s="16"/>
      <c r="M154" s="21"/>
      <c r="N154" s="21"/>
    </row>
    <row r="155" spans="1:14" ht="15" customHeight="1" x14ac:dyDescent="0.25">
      <c r="A155" s="12"/>
      <c r="B155" s="22" t="s">
        <v>49</v>
      </c>
      <c r="C155" s="14">
        <f>2</f>
        <v>2</v>
      </c>
      <c r="D155" s="15">
        <f>D124</f>
        <v>5.312514477293508</v>
      </c>
      <c r="E155" s="16"/>
      <c r="F155" s="16"/>
      <c r="G155" s="17">
        <f>PRODUCT(C155:F155)</f>
        <v>10.625028954587016</v>
      </c>
      <c r="H155" s="18"/>
      <c r="I155" s="19"/>
      <c r="J155" s="20"/>
      <c r="K155" s="16"/>
      <c r="M155" s="21"/>
      <c r="N155" s="21"/>
    </row>
    <row r="156" spans="1:14" ht="15" customHeight="1" x14ac:dyDescent="0.25">
      <c r="A156" s="12"/>
      <c r="B156" s="22" t="s">
        <v>25</v>
      </c>
      <c r="C156" s="14"/>
      <c r="D156" s="15"/>
      <c r="E156" s="16"/>
      <c r="F156" s="16"/>
      <c r="G156" s="19">
        <f>SUM(G155:G155)</f>
        <v>10.625028954587016</v>
      </c>
      <c r="H156" s="18" t="s">
        <v>68</v>
      </c>
      <c r="I156" s="19">
        <f>465.63/1.15</f>
        <v>404.89565217391305</v>
      </c>
      <c r="J156" s="20">
        <f>G156*I156</f>
        <v>4302.0280279342196</v>
      </c>
      <c r="K156" s="16"/>
      <c r="M156" s="21"/>
      <c r="N156" s="21"/>
    </row>
    <row r="157" spans="1:14" ht="15" customHeight="1" x14ac:dyDescent="0.25">
      <c r="A157" s="12"/>
      <c r="B157" s="22" t="s">
        <v>44</v>
      </c>
      <c r="C157" s="14"/>
      <c r="D157" s="15"/>
      <c r="E157" s="16"/>
      <c r="F157" s="16"/>
      <c r="G157" s="19"/>
      <c r="H157" s="18"/>
      <c r="I157" s="19"/>
      <c r="J157" s="20">
        <f>G156*0.13*(2780.61/10)</f>
        <v>384.07280289838468</v>
      </c>
      <c r="K157" s="16"/>
      <c r="M157" s="21"/>
      <c r="N157" s="21"/>
    </row>
    <row r="158" spans="1:14" ht="15" customHeight="1" x14ac:dyDescent="0.25">
      <c r="A158" s="12"/>
      <c r="B158" s="22"/>
      <c r="C158" s="14"/>
      <c r="D158" s="15"/>
      <c r="E158" s="16"/>
      <c r="F158" s="16"/>
      <c r="G158" s="19"/>
      <c r="H158" s="18"/>
      <c r="I158" s="19"/>
      <c r="J158" s="20"/>
      <c r="K158" s="16"/>
      <c r="M158" s="21"/>
      <c r="N158" s="21"/>
    </row>
    <row r="159" spans="1:14" s="1" customFormat="1" ht="30" x14ac:dyDescent="0.25">
      <c r="A159" s="12">
        <v>15</v>
      </c>
      <c r="B159" s="54" t="s">
        <v>106</v>
      </c>
      <c r="C159" s="32">
        <v>1</v>
      </c>
      <c r="D159" s="33"/>
      <c r="E159" s="33"/>
      <c r="F159" s="33"/>
      <c r="G159" s="37">
        <f>PRODUCT(C159:F159)</f>
        <v>1</v>
      </c>
      <c r="H159" s="37" t="s">
        <v>107</v>
      </c>
      <c r="I159" s="37">
        <v>80000</v>
      </c>
      <c r="J159" s="39">
        <f>G159*I159</f>
        <v>80000</v>
      </c>
      <c r="K159" s="34"/>
    </row>
    <row r="160" spans="1:14" ht="15" customHeight="1" x14ac:dyDescent="0.25">
      <c r="A160" s="25"/>
      <c r="B160" s="41"/>
      <c r="C160" s="26"/>
      <c r="D160" s="17"/>
      <c r="E160" s="17"/>
      <c r="F160" s="17"/>
      <c r="G160" s="45"/>
      <c r="H160" s="45"/>
      <c r="I160" s="45"/>
      <c r="J160" s="39"/>
      <c r="K160" s="30"/>
    </row>
    <row r="161" spans="1:14" ht="15" customHeight="1" x14ac:dyDescent="0.25">
      <c r="A161" s="12">
        <v>16</v>
      </c>
      <c r="B161" s="61" t="s">
        <v>108</v>
      </c>
      <c r="C161" s="14">
        <v>1</v>
      </c>
      <c r="D161" s="15"/>
      <c r="E161" s="16"/>
      <c r="F161" s="16"/>
      <c r="G161" s="37">
        <f>PRODUCT(C161:F161)</f>
        <v>1</v>
      </c>
      <c r="H161" s="18" t="s">
        <v>90</v>
      </c>
      <c r="I161" s="19">
        <v>1000</v>
      </c>
      <c r="J161" s="37">
        <f>G161*I161</f>
        <v>1000</v>
      </c>
      <c r="K161" s="16"/>
      <c r="M161" s="21"/>
      <c r="N161" s="21"/>
    </row>
    <row r="162" spans="1:14" ht="15" customHeight="1" x14ac:dyDescent="0.25">
      <c r="A162" s="12"/>
      <c r="B162" s="59"/>
      <c r="C162" s="14"/>
      <c r="D162" s="15"/>
      <c r="E162" s="16"/>
      <c r="F162" s="16"/>
      <c r="G162" s="19"/>
      <c r="H162" s="18"/>
      <c r="I162" s="19"/>
      <c r="J162" s="20"/>
      <c r="K162" s="16"/>
      <c r="M162" s="21"/>
      <c r="N162" s="21"/>
    </row>
    <row r="163" spans="1:14" x14ac:dyDescent="0.25">
      <c r="A163" s="25"/>
      <c r="B163" s="62" t="s">
        <v>128</v>
      </c>
      <c r="C163" s="63"/>
      <c r="D163" s="64"/>
      <c r="E163" s="64"/>
      <c r="F163" s="64"/>
      <c r="G163" s="20"/>
      <c r="H163" s="20"/>
      <c r="I163" s="20"/>
      <c r="J163" s="20">
        <f>SUM(J29:J161)</f>
        <v>1443212.753161883</v>
      </c>
      <c r="K163" s="30"/>
    </row>
    <row r="165" spans="1:14" s="1" customFormat="1" hidden="1" x14ac:dyDescent="0.25">
      <c r="B165" s="34" t="s">
        <v>110</v>
      </c>
      <c r="C165" s="132">
        <f>J163</f>
        <v>1443212.753161883</v>
      </c>
      <c r="D165" s="132"/>
      <c r="E165" s="132"/>
      <c r="F165" s="65"/>
      <c r="G165" s="66"/>
      <c r="H165" s="65"/>
      <c r="I165" s="67"/>
      <c r="J165" s="68"/>
      <c r="K165" s="69"/>
    </row>
    <row r="166" spans="1:14" hidden="1" x14ac:dyDescent="0.25">
      <c r="B166" s="74" t="s">
        <v>126</v>
      </c>
      <c r="C166" s="133">
        <f>C165*0.13</f>
        <v>187617.65791104481</v>
      </c>
      <c r="D166" s="133"/>
      <c r="E166" s="133"/>
    </row>
    <row r="167" spans="1:14" hidden="1" x14ac:dyDescent="0.25">
      <c r="B167" s="74" t="s">
        <v>127</v>
      </c>
      <c r="C167" s="133">
        <f>C165+C166</f>
        <v>1630830.4110729278</v>
      </c>
      <c r="D167" s="133"/>
      <c r="E167" s="133"/>
    </row>
    <row r="169" spans="1:14" s="1" customFormat="1" x14ac:dyDescent="0.25">
      <c r="B169" s="34" t="s">
        <v>110</v>
      </c>
      <c r="C169" s="127">
        <f>J163</f>
        <v>1443212.753161883</v>
      </c>
      <c r="D169" s="128"/>
      <c r="E169" s="33">
        <v>100</v>
      </c>
      <c r="F169" s="65"/>
      <c r="G169" s="66"/>
      <c r="H169" s="65"/>
      <c r="I169" s="67"/>
      <c r="J169" s="68"/>
      <c r="K169" s="69"/>
    </row>
    <row r="170" spans="1:14" x14ac:dyDescent="0.25">
      <c r="B170" s="34" t="s">
        <v>111</v>
      </c>
      <c r="C170" s="130">
        <v>1275000</v>
      </c>
      <c r="D170" s="131"/>
      <c r="E170" s="33"/>
    </row>
    <row r="171" spans="1:14" x14ac:dyDescent="0.25">
      <c r="B171" s="34" t="s">
        <v>112</v>
      </c>
      <c r="C171" s="130">
        <f>C170-C173-C174</f>
        <v>1211250</v>
      </c>
      <c r="D171" s="131"/>
      <c r="E171" s="33">
        <f>C171/C169*100</f>
        <v>83.927334853874854</v>
      </c>
    </row>
    <row r="172" spans="1:14" x14ac:dyDescent="0.25">
      <c r="B172" s="34" t="s">
        <v>113</v>
      </c>
      <c r="C172" s="132">
        <f>C169-C171</f>
        <v>231962.75316188298</v>
      </c>
      <c r="D172" s="132"/>
      <c r="E172" s="33">
        <f>100-E171</f>
        <v>16.072665146125146</v>
      </c>
    </row>
    <row r="173" spans="1:14" x14ac:dyDescent="0.25">
      <c r="B173" s="34" t="s">
        <v>114</v>
      </c>
      <c r="C173" s="127">
        <f>C170*0.03</f>
        <v>38250</v>
      </c>
      <c r="D173" s="128"/>
      <c r="E173" s="33">
        <v>3</v>
      </c>
    </row>
    <row r="174" spans="1:14" x14ac:dyDescent="0.25">
      <c r="B174" s="34" t="s">
        <v>115</v>
      </c>
      <c r="C174" s="127">
        <f>C170*0.02</f>
        <v>25500</v>
      </c>
      <c r="D174" s="128"/>
      <c r="E174" s="33">
        <v>2</v>
      </c>
    </row>
  </sheetData>
  <mergeCells count="18">
    <mergeCell ref="C169:D169"/>
    <mergeCell ref="A1:K1"/>
    <mergeCell ref="A2:K2"/>
    <mergeCell ref="A3:K3"/>
    <mergeCell ref="A4:K4"/>
    <mergeCell ref="A5:K5"/>
    <mergeCell ref="A6:F6"/>
    <mergeCell ref="H6:K6"/>
    <mergeCell ref="A7:F7"/>
    <mergeCell ref="H7:K7"/>
    <mergeCell ref="C165:E165"/>
    <mergeCell ref="C166:E166"/>
    <mergeCell ref="C167:E167"/>
    <mergeCell ref="C170:D170"/>
    <mergeCell ref="C171:D171"/>
    <mergeCell ref="C172:D172"/>
    <mergeCell ref="C173:D173"/>
    <mergeCell ref="C174:D174"/>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54" zoomScale="99" zoomScaleNormal="99" zoomScaleSheetLayoutView="80" workbookViewId="0">
      <selection activeCell="I72" sqref="I72"/>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0"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ref="G31:G35" si="2">PRODUCT(C31:F31)</f>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2"/>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2"/>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2"/>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2"/>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ref="G36" si="3">PRODUCT(C36:F36)</f>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4">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4"/>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4"/>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110"/>
      <c r="B57" s="111"/>
      <c r="C57" s="112"/>
      <c r="D57" s="113"/>
      <c r="E57" s="113"/>
      <c r="F57" s="113"/>
      <c r="G57" s="114"/>
      <c r="H57" s="114"/>
      <c r="I57" s="115"/>
      <c r="J57" s="116"/>
      <c r="K57" s="117"/>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 t="shared" ref="D60:D62" si="5">D28</f>
        <v>4.9781570659351821</v>
      </c>
      <c r="E60" s="83">
        <v>0.05</v>
      </c>
      <c r="F60" s="83">
        <v>0.05</v>
      </c>
      <c r="G60" s="79">
        <f t="shared" ref="G60:G62" si="6">PRODUCT(C60:F60)</f>
        <v>2.4890785329675914E-2</v>
      </c>
      <c r="H60" s="84"/>
      <c r="I60" s="85"/>
      <c r="J60" s="86"/>
      <c r="K60" s="16"/>
      <c r="N60" s="1"/>
      <c r="O60" s="1"/>
      <c r="P60" s="1"/>
      <c r="Q60" s="1"/>
      <c r="R60" s="21"/>
      <c r="S60" s="21"/>
    </row>
    <row r="61" spans="1:19" ht="15" customHeight="1" x14ac:dyDescent="0.25">
      <c r="A61" s="12"/>
      <c r="B61" s="81"/>
      <c r="C61" s="82">
        <v>4</v>
      </c>
      <c r="D61" s="92">
        <f t="shared" si="5"/>
        <v>4.9781570659351821</v>
      </c>
      <c r="E61" s="83">
        <f>2/12/3.281</f>
        <v>5.0797521080971242E-2</v>
      </c>
      <c r="F61" s="83">
        <f>2/12/3.281</f>
        <v>5.0797521080971242E-2</v>
      </c>
      <c r="G61" s="79">
        <f t="shared" si="6"/>
        <v>5.1382309966723223E-2</v>
      </c>
      <c r="H61" s="84"/>
      <c r="I61" s="85"/>
      <c r="J61" s="86"/>
      <c r="K61" s="16"/>
      <c r="N61" s="1"/>
      <c r="O61" s="1"/>
      <c r="P61" s="1"/>
      <c r="Q61" s="1"/>
      <c r="R61" s="21"/>
      <c r="S61" s="21"/>
    </row>
    <row r="62" spans="1:19" ht="15" customHeight="1" x14ac:dyDescent="0.25">
      <c r="A62" s="12"/>
      <c r="B62" s="81"/>
      <c r="C62" s="82">
        <v>2</v>
      </c>
      <c r="D62" s="92">
        <f t="shared" si="5"/>
        <v>4.8257645026922686</v>
      </c>
      <c r="E62" s="83">
        <f>2/12/3.281</f>
        <v>5.0797521080971242E-2</v>
      </c>
      <c r="F62" s="83">
        <f>2/12/3.281</f>
        <v>5.0797521080971242E-2</v>
      </c>
      <c r="G62" s="79">
        <f t="shared" si="6"/>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v>11</v>
      </c>
      <c r="B69" s="97" t="s">
        <v>158</v>
      </c>
      <c r="C69" s="78"/>
      <c r="D69" s="79"/>
      <c r="E69" s="79"/>
      <c r="F69" s="79"/>
      <c r="G69" s="79"/>
      <c r="H69" s="79"/>
      <c r="I69" s="79"/>
      <c r="J69" s="80"/>
      <c r="K69" s="30"/>
    </row>
    <row r="70" spans="1:19" ht="15" customHeight="1" x14ac:dyDescent="0.25">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25">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25">
      <c r="A72" s="25"/>
      <c r="B72" s="87" t="s">
        <v>25</v>
      </c>
      <c r="C72" s="78"/>
      <c r="D72" s="79"/>
      <c r="E72" s="79"/>
      <c r="F72" s="79"/>
      <c r="G72" s="88">
        <f>SUM(G70:G71)</f>
        <v>1.1921393243629337</v>
      </c>
      <c r="H72" s="88" t="s">
        <v>26</v>
      </c>
      <c r="I72" s="89">
        <f>15743.5/1.15</f>
        <v>13690.000000000002</v>
      </c>
      <c r="J72" s="90">
        <f>G72*I72</f>
        <v>16320.387350528565</v>
      </c>
      <c r="K72" s="30"/>
    </row>
    <row r="73" spans="1:19" x14ac:dyDescent="0.25">
      <c r="A73" s="25"/>
      <c r="B73" s="24"/>
      <c r="C73" s="26"/>
      <c r="D73" s="17"/>
      <c r="E73" s="17"/>
      <c r="F73" s="17"/>
      <c r="G73" s="45"/>
      <c r="H73" s="45"/>
      <c r="I73" s="45"/>
      <c r="J73" s="39"/>
      <c r="K73" s="30"/>
    </row>
    <row r="74" spans="1:19" ht="30" x14ac:dyDescent="0.25">
      <c r="A74" s="25">
        <v>11</v>
      </c>
      <c r="B74" s="77" t="s">
        <v>155</v>
      </c>
      <c r="C74" s="78"/>
      <c r="D74" s="79"/>
      <c r="E74" s="79"/>
      <c r="F74" s="79"/>
      <c r="G74" s="79"/>
      <c r="H74" s="79"/>
      <c r="I74" s="79"/>
      <c r="J74" s="80"/>
      <c r="K74" s="30"/>
    </row>
    <row r="75" spans="1:19" ht="15" customHeight="1" x14ac:dyDescent="0.25">
      <c r="A75" s="25"/>
      <c r="B75" s="87" t="s">
        <v>133</v>
      </c>
      <c r="C75" s="78">
        <v>1</v>
      </c>
      <c r="D75" s="79">
        <v>0.9</v>
      </c>
      <c r="E75" s="79"/>
      <c r="F75" s="79">
        <v>1.5</v>
      </c>
      <c r="G75" s="79">
        <f>PRODUCT(C75:F75)</f>
        <v>1.35</v>
      </c>
      <c r="H75" s="79"/>
      <c r="I75" s="79"/>
      <c r="J75" s="80"/>
      <c r="K75" s="30"/>
    </row>
    <row r="76" spans="1:19" ht="15" customHeight="1" x14ac:dyDescent="0.25">
      <c r="A76" s="25"/>
      <c r="B76" s="87" t="s">
        <v>156</v>
      </c>
      <c r="C76" s="78">
        <v>-1</v>
      </c>
      <c r="D76" s="79">
        <v>0.88</v>
      </c>
      <c r="E76" s="79"/>
      <c r="F76" s="79">
        <v>0.3</v>
      </c>
      <c r="G76" s="79">
        <f>PRODUCT(C76:F76)</f>
        <v>-0.26400000000000001</v>
      </c>
      <c r="H76" s="79"/>
      <c r="I76" s="79"/>
      <c r="J76" s="80"/>
      <c r="K76" s="30"/>
    </row>
    <row r="77" spans="1:19" ht="15" customHeight="1" x14ac:dyDescent="0.25">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25">
      <c r="A78" s="25"/>
      <c r="B78" s="87" t="s">
        <v>142</v>
      </c>
      <c r="C78" s="78"/>
      <c r="D78" s="79"/>
      <c r="E78" s="79"/>
      <c r="F78" s="79"/>
      <c r="G78" s="88"/>
      <c r="H78" s="88"/>
      <c r="I78" s="89"/>
      <c r="J78" s="90">
        <f>0.13*G77*(41917.47/1.772)</f>
        <v>3339.6774348758472</v>
      </c>
      <c r="K78" s="30"/>
    </row>
    <row r="79" spans="1:19" x14ac:dyDescent="0.25">
      <c r="A79" s="25"/>
      <c r="B79" s="24"/>
      <c r="C79" s="26"/>
      <c r="D79" s="17"/>
      <c r="E79" s="17"/>
      <c r="F79" s="17"/>
      <c r="G79" s="45"/>
      <c r="H79" s="45"/>
      <c r="I79" s="45"/>
      <c r="J79" s="39"/>
      <c r="K79" s="30"/>
    </row>
    <row r="80" spans="1:19" ht="45" x14ac:dyDescent="0.25">
      <c r="A80" s="25">
        <v>13</v>
      </c>
      <c r="B80" s="77" t="s">
        <v>125</v>
      </c>
      <c r="C80" s="78"/>
      <c r="D80" s="79"/>
      <c r="E80" s="79"/>
      <c r="F80" s="79"/>
      <c r="G80" s="79"/>
      <c r="H80" s="79"/>
      <c r="I80" s="79"/>
      <c r="J80" s="80"/>
      <c r="K80" s="30"/>
    </row>
    <row r="81" spans="1:11" ht="15" customHeight="1" x14ac:dyDescent="0.25">
      <c r="A81" s="25"/>
      <c r="B81" s="87" t="s">
        <v>96</v>
      </c>
      <c r="C81" s="78">
        <v>1</v>
      </c>
      <c r="D81" s="79">
        <f>D76</f>
        <v>0.88</v>
      </c>
      <c r="E81" s="79"/>
      <c r="F81" s="79">
        <f>F76</f>
        <v>0.3</v>
      </c>
      <c r="G81" s="79">
        <f>PRODUCT(C81:F81)</f>
        <v>0.26400000000000001</v>
      </c>
      <c r="H81" s="79"/>
      <c r="I81" s="79"/>
      <c r="J81" s="80"/>
      <c r="K81" s="30"/>
    </row>
    <row r="82" spans="1:11" ht="15" customHeight="1" x14ac:dyDescent="0.25">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25">
      <c r="A83" s="25"/>
      <c r="B83" s="87" t="s">
        <v>142</v>
      </c>
      <c r="C83" s="78"/>
      <c r="D83" s="79"/>
      <c r="E83" s="79"/>
      <c r="F83" s="79"/>
      <c r="G83" s="88"/>
      <c r="H83" s="88"/>
      <c r="I83" s="89"/>
      <c r="J83" s="90">
        <f>0.13*G82*(9888.94/0.92)</f>
        <v>368.90045739130437</v>
      </c>
      <c r="K83" s="30"/>
    </row>
    <row r="84" spans="1:11" ht="15" customHeight="1" x14ac:dyDescent="0.25">
      <c r="A84" s="25"/>
      <c r="B84" s="22"/>
      <c r="C84" s="26"/>
      <c r="D84" s="17"/>
      <c r="E84" s="17"/>
      <c r="F84" s="17"/>
      <c r="G84" s="45"/>
      <c r="H84" s="45"/>
      <c r="I84" s="45"/>
      <c r="J84" s="39"/>
      <c r="K84" s="30"/>
    </row>
    <row r="85" spans="1:11" ht="30.75" x14ac:dyDescent="0.25">
      <c r="A85" s="25">
        <v>14</v>
      </c>
      <c r="B85" s="99" t="s">
        <v>97</v>
      </c>
      <c r="C85" s="78"/>
      <c r="D85" s="79"/>
      <c r="E85" s="79"/>
      <c r="F85" s="79"/>
      <c r="G85" s="79"/>
      <c r="H85" s="79"/>
      <c r="I85" s="79"/>
      <c r="J85" s="80"/>
      <c r="K85" s="30"/>
    </row>
    <row r="86" spans="1:11" ht="15" customHeight="1" x14ac:dyDescent="0.25">
      <c r="A86" s="25"/>
      <c r="B86" s="87" t="s">
        <v>98</v>
      </c>
      <c r="C86" s="78">
        <v>1</v>
      </c>
      <c r="D86" s="79">
        <v>0.95</v>
      </c>
      <c r="E86" s="79"/>
      <c r="F86" s="79">
        <v>1.85</v>
      </c>
      <c r="G86" s="79">
        <f>PRODUCT(C86:F86)</f>
        <v>1.7575000000000001</v>
      </c>
      <c r="H86" s="79"/>
      <c r="I86" s="79"/>
      <c r="J86" s="80"/>
      <c r="K86" s="30"/>
    </row>
    <row r="87" spans="1:11" ht="15" customHeight="1" x14ac:dyDescent="0.25">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25">
      <c r="A88" s="25"/>
      <c r="B88" s="87" t="s">
        <v>142</v>
      </c>
      <c r="C88" s="78"/>
      <c r="D88" s="79"/>
      <c r="E88" s="79"/>
      <c r="F88" s="79"/>
      <c r="G88" s="88"/>
      <c r="H88" s="88"/>
      <c r="I88" s="89"/>
      <c r="J88" s="90">
        <f>0.13*G87*(20356.18/2.114)</f>
        <v>2200.0370035477767</v>
      </c>
      <c r="K88" s="30"/>
    </row>
    <row r="89" spans="1:11" ht="15.75" x14ac:dyDescent="0.25">
      <c r="A89" s="25"/>
      <c r="B89" s="11"/>
      <c r="C89" s="26"/>
      <c r="D89" s="17"/>
      <c r="E89" s="17"/>
      <c r="F89" s="17"/>
      <c r="G89" s="45"/>
      <c r="H89" s="45"/>
      <c r="I89" s="45"/>
      <c r="J89" s="39"/>
      <c r="K89" s="30"/>
    </row>
    <row r="90" spans="1:11" ht="30" x14ac:dyDescent="0.25">
      <c r="A90" s="25">
        <v>9</v>
      </c>
      <c r="B90" s="97" t="s">
        <v>132</v>
      </c>
      <c r="C90" s="78"/>
      <c r="D90" s="79"/>
      <c r="E90" s="79"/>
      <c r="F90" s="79"/>
      <c r="G90" s="79"/>
      <c r="H90" s="79"/>
      <c r="I90" s="79"/>
      <c r="J90" s="80"/>
      <c r="K90" s="30"/>
    </row>
    <row r="91" spans="1:11" x14ac:dyDescent="0.25">
      <c r="A91" s="25"/>
      <c r="B91" s="87" t="s">
        <v>92</v>
      </c>
      <c r="C91" s="78">
        <v>2</v>
      </c>
      <c r="D91" s="79">
        <f>7/3.281</f>
        <v>2.1334958854007922</v>
      </c>
      <c r="E91" s="79">
        <f>0.1</f>
        <v>0.1</v>
      </c>
      <c r="F91" s="79">
        <v>0.125</v>
      </c>
      <c r="G91" s="79">
        <f>PRODUCT(C91:F91)</f>
        <v>5.333739713501981E-2</v>
      </c>
      <c r="H91" s="79"/>
      <c r="I91" s="79"/>
      <c r="J91" s="80"/>
      <c r="K91" s="30"/>
    </row>
    <row r="92" spans="1:11" x14ac:dyDescent="0.25">
      <c r="A92" s="25"/>
      <c r="B92" s="87"/>
      <c r="C92" s="78">
        <v>1</v>
      </c>
      <c r="D92" s="79">
        <f>4/3.281</f>
        <v>1.2191405059433098</v>
      </c>
      <c r="E92" s="79">
        <v>0.1</v>
      </c>
      <c r="F92" s="79">
        <v>0.125</v>
      </c>
      <c r="G92" s="79">
        <f>PRODUCT(C92:F92)</f>
        <v>1.5239256324291373E-2</v>
      </c>
      <c r="H92" s="79"/>
      <c r="I92" s="79"/>
      <c r="J92" s="80"/>
      <c r="K92" s="30"/>
    </row>
    <row r="93" spans="1:11" x14ac:dyDescent="0.25">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25">
      <c r="A94" s="25"/>
      <c r="B94" s="87"/>
      <c r="C94" s="78">
        <v>1</v>
      </c>
      <c r="D94" s="79">
        <f>6.75/3.281</f>
        <v>2.0572996037793354</v>
      </c>
      <c r="E94" s="79">
        <f>4/12/3.281</f>
        <v>0.10159504216194248</v>
      </c>
      <c r="F94" s="79">
        <f>2/12/3.281</f>
        <v>5.0797521080971242E-2</v>
      </c>
      <c r="G94" s="79">
        <f t="shared" ref="G94:G96" si="7">PRODUCT(C94:F94)</f>
        <v>1.0617263028838217E-2</v>
      </c>
      <c r="H94" s="79"/>
      <c r="I94" s="79"/>
      <c r="J94" s="80"/>
      <c r="K94" s="30"/>
    </row>
    <row r="95" spans="1:11" x14ac:dyDescent="0.25">
      <c r="A95" s="25"/>
      <c r="B95" s="87"/>
      <c r="C95" s="78">
        <v>1</v>
      </c>
      <c r="D95" s="79">
        <f>4/3.281</f>
        <v>1.2191405059433098</v>
      </c>
      <c r="E95" s="79">
        <f>4/12/3.281</f>
        <v>0.10159504216194248</v>
      </c>
      <c r="F95" s="79">
        <f>2/12/3.281</f>
        <v>5.0797521080971242E-2</v>
      </c>
      <c r="G95" s="79">
        <f t="shared" si="7"/>
        <v>6.2917114244967201E-3</v>
      </c>
      <c r="H95" s="79"/>
      <c r="I95" s="79"/>
      <c r="J95" s="80"/>
      <c r="K95" s="30"/>
    </row>
    <row r="96" spans="1:11" x14ac:dyDescent="0.25">
      <c r="A96" s="25"/>
      <c r="B96" s="87"/>
      <c r="C96" s="78">
        <v>1</v>
      </c>
      <c r="D96" s="79">
        <f>5/3.281</f>
        <v>1.5239256324291375</v>
      </c>
      <c r="E96" s="79">
        <f>5/12/3.281</f>
        <v>0.12699380270242813</v>
      </c>
      <c r="F96" s="79">
        <f>2/12/3.281</f>
        <v>5.0797521080971242E-2</v>
      </c>
      <c r="G96" s="79">
        <f t="shared" si="7"/>
        <v>9.8307991007761299E-3</v>
      </c>
      <c r="H96" s="79"/>
      <c r="I96" s="79"/>
      <c r="J96" s="80"/>
      <c r="K96" s="30"/>
    </row>
    <row r="97" spans="1:14" ht="15" customHeight="1" x14ac:dyDescent="0.25">
      <c r="A97" s="25"/>
      <c r="B97" s="87" t="s">
        <v>25</v>
      </c>
      <c r="C97" s="78"/>
      <c r="D97" s="79"/>
      <c r="E97" s="79"/>
      <c r="F97" s="79"/>
      <c r="G97" s="88">
        <f>SUM(G91:G96)</f>
        <v>0.11183216950272613</v>
      </c>
      <c r="H97" s="88" t="s">
        <v>29</v>
      </c>
      <c r="I97" s="89">
        <f>353723.98/1.15</f>
        <v>307586.06956521742</v>
      </c>
      <c r="J97" s="90">
        <f>G97*I97</f>
        <v>34398.017468294704</v>
      </c>
      <c r="K97" s="30"/>
      <c r="M97">
        <f>1.03*3.281</f>
        <v>3.3794300000000002</v>
      </c>
    </row>
    <row r="98" spans="1:14" ht="15" customHeight="1" x14ac:dyDescent="0.25">
      <c r="A98" s="25"/>
      <c r="B98" s="87" t="s">
        <v>142</v>
      </c>
      <c r="C98" s="78"/>
      <c r="D98" s="79"/>
      <c r="E98" s="79"/>
      <c r="F98" s="79"/>
      <c r="G98" s="88"/>
      <c r="H98" s="88"/>
      <c r="I98" s="89"/>
      <c r="J98" s="90">
        <f>0.13*G97*262808.07</f>
        <v>3820.7515620201611</v>
      </c>
      <c r="K98" s="30"/>
    </row>
    <row r="99" spans="1:14" ht="15" customHeight="1" x14ac:dyDescent="0.25">
      <c r="A99" s="25"/>
      <c r="B99" s="22"/>
      <c r="C99" s="26"/>
      <c r="D99" s="17"/>
      <c r="E99" s="17"/>
      <c r="F99" s="17"/>
      <c r="G99" s="27"/>
      <c r="H99" s="27"/>
      <c r="I99" s="28"/>
      <c r="J99" s="29"/>
      <c r="K99" s="30"/>
    </row>
    <row r="100" spans="1:14" ht="30" x14ac:dyDescent="0.25">
      <c r="A100" s="96">
        <v>10</v>
      </c>
      <c r="B100" s="77" t="s">
        <v>99</v>
      </c>
      <c r="C100" s="78"/>
      <c r="D100" s="79"/>
      <c r="E100" s="79"/>
      <c r="F100" s="79"/>
      <c r="G100" s="79"/>
      <c r="H100" s="79"/>
      <c r="I100" s="79"/>
      <c r="J100" s="80"/>
      <c r="K100" s="30"/>
    </row>
    <row r="101" spans="1:14" ht="15" customHeight="1" x14ac:dyDescent="0.25">
      <c r="A101" s="96"/>
      <c r="B101" s="87" t="s">
        <v>98</v>
      </c>
      <c r="C101" s="78">
        <v>1</v>
      </c>
      <c r="D101" s="79">
        <v>1.18</v>
      </c>
      <c r="E101" s="79"/>
      <c r="F101" s="79">
        <v>2.0699999999999998</v>
      </c>
      <c r="G101" s="79">
        <f>PRODUCT(C101:F101)</f>
        <v>2.4425999999999997</v>
      </c>
      <c r="H101" s="79"/>
      <c r="I101" s="79"/>
      <c r="J101" s="80"/>
      <c r="K101" s="30"/>
    </row>
    <row r="102" spans="1:14" ht="15" customHeight="1" x14ac:dyDescent="0.25">
      <c r="A102" s="96"/>
      <c r="B102" s="87" t="s">
        <v>159</v>
      </c>
      <c r="C102" s="78">
        <v>0</v>
      </c>
      <c r="D102" s="79">
        <f>D86</f>
        <v>0.95</v>
      </c>
      <c r="E102" s="79"/>
      <c r="F102" s="79">
        <f>F86</f>
        <v>1.85</v>
      </c>
      <c r="G102" s="79">
        <f>PRODUCT(C102:F102)</f>
        <v>0</v>
      </c>
      <c r="H102" s="79"/>
      <c r="I102" s="79"/>
      <c r="J102" s="80"/>
      <c r="K102" s="30"/>
    </row>
    <row r="103" spans="1:14" ht="15" customHeight="1" x14ac:dyDescent="0.25">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25">
      <c r="A104" s="25"/>
      <c r="B104" s="24"/>
      <c r="C104" s="26"/>
      <c r="D104" s="17"/>
      <c r="E104" s="17"/>
      <c r="F104" s="17"/>
      <c r="G104" s="45"/>
      <c r="H104" s="45"/>
      <c r="I104" s="45"/>
      <c r="J104" s="39"/>
      <c r="K104" s="30"/>
    </row>
    <row r="105" spans="1:14" ht="30" x14ac:dyDescent="0.25">
      <c r="A105" s="47">
        <v>10</v>
      </c>
      <c r="B105" s="100" t="s">
        <v>99</v>
      </c>
      <c r="C105" s="49"/>
      <c r="D105" s="50"/>
      <c r="E105" s="50"/>
      <c r="F105" s="50"/>
      <c r="G105" s="50"/>
      <c r="H105" s="50"/>
      <c r="I105" s="50"/>
      <c r="J105" s="51"/>
      <c r="K105" s="52"/>
    </row>
    <row r="106" spans="1:14" ht="15" customHeight="1" x14ac:dyDescent="0.25">
      <c r="A106" s="47"/>
      <c r="B106" s="48" t="s">
        <v>160</v>
      </c>
      <c r="C106" s="49">
        <v>0</v>
      </c>
      <c r="D106" s="50">
        <f>D91</f>
        <v>2.1334958854007922</v>
      </c>
      <c r="E106" s="50"/>
      <c r="F106" s="50">
        <f>F91</f>
        <v>0.125</v>
      </c>
      <c r="G106" s="50">
        <f>PRODUCT(C106:F106)</f>
        <v>0</v>
      </c>
      <c r="H106" s="50"/>
      <c r="I106" s="50"/>
      <c r="J106" s="51"/>
      <c r="K106" s="52"/>
    </row>
    <row r="107" spans="1:14" ht="15" customHeight="1" x14ac:dyDescent="0.25">
      <c r="A107" s="47"/>
      <c r="B107" s="48" t="s">
        <v>25</v>
      </c>
      <c r="C107" s="49"/>
      <c r="D107" s="50"/>
      <c r="E107" s="50"/>
      <c r="F107" s="50"/>
      <c r="G107" s="55">
        <f>SUM(G106:G106)</f>
        <v>0</v>
      </c>
      <c r="H107" s="55" t="s">
        <v>26</v>
      </c>
      <c r="I107" s="56">
        <f>46573/1.15</f>
        <v>40498.260869565223</v>
      </c>
      <c r="J107" s="57">
        <f>G107*I107</f>
        <v>0</v>
      </c>
      <c r="K107" s="52"/>
    </row>
    <row r="108" spans="1:14" x14ac:dyDescent="0.25">
      <c r="A108" s="47"/>
      <c r="B108" s="100"/>
      <c r="C108" s="49"/>
      <c r="D108" s="50"/>
      <c r="E108" s="50"/>
      <c r="F108" s="50"/>
      <c r="G108" s="50"/>
      <c r="H108" s="50"/>
      <c r="I108" s="50"/>
      <c r="J108" s="51"/>
      <c r="K108" s="52"/>
    </row>
    <row r="109" spans="1:14" ht="47.25" x14ac:dyDescent="0.25">
      <c r="A109" s="102">
        <v>10</v>
      </c>
      <c r="B109" s="103" t="s">
        <v>53</v>
      </c>
      <c r="C109" s="104"/>
      <c r="D109" s="104"/>
      <c r="E109" s="104"/>
      <c r="F109" s="104"/>
      <c r="G109" s="105"/>
      <c r="H109" s="84"/>
      <c r="I109" s="85"/>
      <c r="J109" s="85"/>
      <c r="K109" s="16"/>
    </row>
    <row r="110" spans="1:14" ht="15" customHeight="1" x14ac:dyDescent="0.25">
      <c r="A110" s="102"/>
      <c r="B110" s="81" t="s">
        <v>54</v>
      </c>
      <c r="C110" s="82">
        <v>1</v>
      </c>
      <c r="D110" s="92"/>
      <c r="E110" s="83">
        <f>11.667/3.281</f>
        <v>3.555928070710149</v>
      </c>
      <c r="F110" s="83">
        <f>18.33/3.281</f>
        <v>5.5867113684852168</v>
      </c>
      <c r="G110" s="79">
        <f t="shared" ref="G110:G116" si="8">PRODUCT(C110:F110)</f>
        <v>19.865943778152094</v>
      </c>
      <c r="H110" s="84"/>
      <c r="I110" s="85"/>
      <c r="J110" s="86"/>
      <c r="K110" s="16"/>
      <c r="N110" s="21"/>
    </row>
    <row r="111" spans="1:14" ht="15" customHeight="1" x14ac:dyDescent="0.25">
      <c r="A111" s="102"/>
      <c r="B111" s="81" t="s">
        <v>161</v>
      </c>
      <c r="C111" s="82">
        <v>-1</v>
      </c>
      <c r="D111" s="92">
        <f>3/3.281</f>
        <v>0.91435537945748246</v>
      </c>
      <c r="E111" s="83"/>
      <c r="F111" s="83">
        <f>5/3.281</f>
        <v>1.5239256324291375</v>
      </c>
      <c r="G111" s="79">
        <f t="shared" si="8"/>
        <v>-1.393409599904728</v>
      </c>
      <c r="H111" s="84"/>
      <c r="I111" s="85"/>
      <c r="J111" s="86"/>
      <c r="K111" s="16"/>
      <c r="N111" s="21"/>
    </row>
    <row r="112" spans="1:14" ht="15" customHeight="1" x14ac:dyDescent="0.25">
      <c r="A112" s="102"/>
      <c r="B112" s="81" t="s">
        <v>23</v>
      </c>
      <c r="C112" s="82">
        <v>-1</v>
      </c>
      <c r="D112" s="92">
        <f>D101</f>
        <v>1.18</v>
      </c>
      <c r="E112" s="83"/>
      <c r="F112" s="83">
        <f>F101</f>
        <v>2.0699999999999998</v>
      </c>
      <c r="G112" s="79">
        <f t="shared" si="8"/>
        <v>-2.4425999999999997</v>
      </c>
      <c r="H112" s="84"/>
      <c r="I112" s="85"/>
      <c r="J112" s="86"/>
      <c r="K112" s="16"/>
      <c r="N112" s="21"/>
    </row>
    <row r="113" spans="1:14" ht="15" customHeight="1" x14ac:dyDescent="0.25">
      <c r="A113" s="102"/>
      <c r="B113" s="81" t="s">
        <v>56</v>
      </c>
      <c r="C113" s="82">
        <v>-1</v>
      </c>
      <c r="D113" s="92"/>
      <c r="E113" s="83">
        <f>E110</f>
        <v>3.555928070710149</v>
      </c>
      <c r="F113" s="83">
        <f>(2.5/12/3.281)*12</f>
        <v>0.76196281621456885</v>
      </c>
      <c r="G113" s="79">
        <f t="shared" si="8"/>
        <v>-2.7094849670147436</v>
      </c>
      <c r="H113" s="84"/>
      <c r="I113" s="85"/>
      <c r="J113" s="86"/>
      <c r="K113" s="16"/>
      <c r="N113" s="21"/>
    </row>
    <row r="114" spans="1:14" ht="15" customHeight="1" x14ac:dyDescent="0.25">
      <c r="A114" s="102"/>
      <c r="B114" s="81" t="s">
        <v>55</v>
      </c>
      <c r="C114" s="82">
        <v>1</v>
      </c>
      <c r="D114" s="92"/>
      <c r="E114" s="83">
        <f>78/12/3.281</f>
        <v>1.9811033221578787</v>
      </c>
      <c r="F114" s="83">
        <f>18.083/3.281</f>
        <v>5.5114294422432177</v>
      </c>
      <c r="G114" s="79">
        <f t="shared" si="8"/>
        <v>10.918711177866783</v>
      </c>
      <c r="H114" s="84"/>
      <c r="I114" s="85"/>
      <c r="J114" s="86"/>
      <c r="K114" s="16"/>
      <c r="N114" s="21"/>
    </row>
    <row r="115" spans="1:14" ht="15" customHeight="1" x14ac:dyDescent="0.25">
      <c r="A115" s="102"/>
      <c r="B115" s="81"/>
      <c r="C115" s="82">
        <v>1</v>
      </c>
      <c r="D115" s="92"/>
      <c r="E115" s="92">
        <f>92/12/3.281</f>
        <v>2.3366859697246776</v>
      </c>
      <c r="F115" s="83">
        <f>32/12/3.281</f>
        <v>0.81276033729553987</v>
      </c>
      <c r="G115" s="79">
        <f t="shared" si="8"/>
        <v>1.8991656769071845</v>
      </c>
      <c r="H115" s="84"/>
      <c r="I115" s="85"/>
      <c r="J115" s="86"/>
      <c r="K115" s="16"/>
      <c r="N115" s="21"/>
    </row>
    <row r="116" spans="1:14" ht="15" customHeight="1" x14ac:dyDescent="0.25">
      <c r="A116" s="102"/>
      <c r="B116" s="81"/>
      <c r="C116" s="82">
        <v>1</v>
      </c>
      <c r="D116" s="92"/>
      <c r="E116" s="83">
        <f>7.5/12/3.281</f>
        <v>0.19049070405364218</v>
      </c>
      <c r="F116" s="83">
        <v>0.9</v>
      </c>
      <c r="G116" s="79">
        <f t="shared" si="8"/>
        <v>0.17144163364827797</v>
      </c>
      <c r="H116" s="84"/>
      <c r="I116" s="85"/>
      <c r="J116" s="86"/>
      <c r="K116" s="16"/>
      <c r="N116" s="21"/>
    </row>
    <row r="117" spans="1:14" ht="15" customHeight="1" x14ac:dyDescent="0.25">
      <c r="A117" s="102"/>
      <c r="B117" s="81" t="s">
        <v>162</v>
      </c>
      <c r="C117" s="82">
        <v>-1</v>
      </c>
      <c r="D117" s="92">
        <f>2/3.281</f>
        <v>0.6095702529716549</v>
      </c>
      <c r="E117" s="83"/>
      <c r="F117" s="83">
        <f>14/12/3.281</f>
        <v>0.35558264756679875</v>
      </c>
      <c r="G117" s="79">
        <f t="shared" ref="G117:G119" si="9">PRODUCT(C117:F117)</f>
        <v>-0.21675260442962432</v>
      </c>
      <c r="H117" s="84"/>
      <c r="I117" s="85"/>
      <c r="J117" s="86"/>
      <c r="K117" s="16"/>
      <c r="N117" s="21"/>
    </row>
    <row r="118" spans="1:14" ht="15" customHeight="1" x14ac:dyDescent="0.25">
      <c r="A118" s="102"/>
      <c r="B118" s="81"/>
      <c r="C118" s="82">
        <v>-1</v>
      </c>
      <c r="D118" s="92">
        <f>11/12/3.281</f>
        <v>0.27938636594534183</v>
      </c>
      <c r="E118" s="83"/>
      <c r="F118" s="83">
        <f>5.42/3.281</f>
        <v>1.6519353855531849</v>
      </c>
      <c r="G118" s="79">
        <f t="shared" si="9"/>
        <v>-0.46152822414622147</v>
      </c>
      <c r="H118" s="84"/>
      <c r="I118" s="85"/>
      <c r="J118" s="86"/>
      <c r="K118" s="16"/>
      <c r="N118" s="21"/>
    </row>
    <row r="119" spans="1:14" ht="15" customHeight="1" x14ac:dyDescent="0.25">
      <c r="A119" s="102"/>
      <c r="B119" s="101" t="s">
        <v>56</v>
      </c>
      <c r="C119" s="106">
        <v>-1</v>
      </c>
      <c r="D119" s="107"/>
      <c r="E119" s="108">
        <f>E114</f>
        <v>1.9811033221578787</v>
      </c>
      <c r="F119" s="109">
        <f>(2.5/12/3.281)*5</f>
        <v>0.31748450675607032</v>
      </c>
      <c r="G119" s="50">
        <f t="shared" si="9"/>
        <v>-0.62896961106810634</v>
      </c>
      <c r="H119" s="84"/>
      <c r="I119" s="85"/>
      <c r="J119" s="86"/>
      <c r="K119" s="16"/>
      <c r="N119" s="21"/>
    </row>
    <row r="120" spans="1:14" ht="15" customHeight="1" x14ac:dyDescent="0.25">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25">
      <c r="A121" s="102"/>
      <c r="B121" s="87" t="s">
        <v>44</v>
      </c>
      <c r="C121" s="82"/>
      <c r="D121" s="92"/>
      <c r="E121" s="83"/>
      <c r="F121" s="83"/>
      <c r="G121" s="85"/>
      <c r="H121" s="84"/>
      <c r="I121" s="85"/>
      <c r="J121" s="86">
        <f>G120*0.13*(309557.25/100)</f>
        <v>10061.623631912467</v>
      </c>
      <c r="K121" s="16"/>
      <c r="N121" s="21"/>
    </row>
    <row r="122" spans="1:14" ht="15" customHeight="1" x14ac:dyDescent="0.25">
      <c r="A122" s="102"/>
      <c r="B122" s="87"/>
      <c r="C122" s="82"/>
      <c r="D122" s="92"/>
      <c r="E122" s="83"/>
      <c r="F122" s="83"/>
      <c r="G122" s="85"/>
      <c r="H122" s="84"/>
      <c r="I122" s="85"/>
      <c r="J122" s="86"/>
      <c r="K122" s="16"/>
      <c r="N122" s="21"/>
    </row>
    <row r="123" spans="1:14" ht="47.25" x14ac:dyDescent="0.25">
      <c r="A123" s="102">
        <v>11</v>
      </c>
      <c r="B123" s="103" t="s">
        <v>67</v>
      </c>
      <c r="C123" s="82"/>
      <c r="D123" s="92"/>
      <c r="E123" s="83"/>
      <c r="F123" s="83"/>
      <c r="G123" s="85"/>
      <c r="H123" s="84"/>
      <c r="I123" s="85"/>
      <c r="J123" s="86"/>
      <c r="K123" s="16"/>
      <c r="N123" s="21"/>
    </row>
    <row r="124" spans="1:14" ht="15" customHeight="1" x14ac:dyDescent="0.25">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25">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25">
      <c r="A126" s="102"/>
      <c r="B126" s="87" t="s">
        <v>44</v>
      </c>
      <c r="C126" s="82"/>
      <c r="D126" s="92"/>
      <c r="E126" s="83"/>
      <c r="F126" s="83"/>
      <c r="G126" s="85"/>
      <c r="H126" s="84"/>
      <c r="I126" s="85"/>
      <c r="J126" s="86">
        <f>G125*0.13*(2182.61/10)</f>
        <v>314.21468229807988</v>
      </c>
      <c r="K126" s="16"/>
      <c r="N126" s="21"/>
    </row>
    <row r="127" spans="1:14" ht="15" customHeight="1" x14ac:dyDescent="0.25">
      <c r="A127" s="102"/>
      <c r="B127" s="87"/>
      <c r="C127" s="82"/>
      <c r="D127" s="92"/>
      <c r="E127" s="83"/>
      <c r="F127" s="83"/>
      <c r="G127" s="85"/>
      <c r="H127" s="84"/>
      <c r="I127" s="85"/>
      <c r="J127" s="86"/>
      <c r="K127" s="16"/>
      <c r="N127" s="21"/>
    </row>
    <row r="128" spans="1:14" ht="47.25" x14ac:dyDescent="0.25">
      <c r="A128" s="102">
        <v>12</v>
      </c>
      <c r="B128" s="103" t="s">
        <v>69</v>
      </c>
      <c r="C128" s="82"/>
      <c r="D128" s="92"/>
      <c r="E128" s="83"/>
      <c r="F128" s="83"/>
      <c r="G128" s="85"/>
      <c r="H128" s="84"/>
      <c r="I128" s="85"/>
      <c r="J128" s="86"/>
      <c r="K128" s="16"/>
      <c r="N128" s="21"/>
    </row>
    <row r="129" spans="1:14" ht="15" customHeight="1" x14ac:dyDescent="0.25">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25">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25">
      <c r="A131" s="102"/>
      <c r="B131" s="87" t="s">
        <v>44</v>
      </c>
      <c r="C131" s="82"/>
      <c r="D131" s="92"/>
      <c r="E131" s="83"/>
      <c r="F131" s="83"/>
      <c r="G131" s="85"/>
      <c r="H131" s="84"/>
      <c r="I131" s="85"/>
      <c r="J131" s="86">
        <f>G130*0.13*(2780.61/10)</f>
        <v>200.15222319719598</v>
      </c>
      <c r="K131" s="16"/>
      <c r="N131" s="21"/>
    </row>
    <row r="132" spans="1:14" ht="15" customHeight="1" x14ac:dyDescent="0.25">
      <c r="A132" s="12"/>
      <c r="B132" s="22"/>
      <c r="C132" s="14"/>
      <c r="D132" s="15"/>
      <c r="E132" s="16"/>
      <c r="F132" s="16"/>
      <c r="G132" s="19"/>
      <c r="H132" s="18"/>
      <c r="I132" s="19"/>
      <c r="J132" s="20"/>
      <c r="K132" s="16"/>
      <c r="N132" s="21"/>
    </row>
    <row r="133" spans="1:14" ht="47.25" x14ac:dyDescent="0.25">
      <c r="A133" s="102">
        <v>15</v>
      </c>
      <c r="B133" s="103" t="s">
        <v>72</v>
      </c>
      <c r="C133" s="82"/>
      <c r="D133" s="92"/>
      <c r="E133" s="83"/>
      <c r="F133" s="83"/>
      <c r="G133" s="85"/>
      <c r="H133" s="84"/>
      <c r="I133" s="85"/>
      <c r="J133" s="86"/>
      <c r="K133" s="16"/>
      <c r="N133" s="21"/>
    </row>
    <row r="134" spans="1:14" ht="15" customHeight="1" x14ac:dyDescent="0.25">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25">
      <c r="A135" s="102"/>
      <c r="B135" s="87"/>
      <c r="C135" s="82">
        <v>1</v>
      </c>
      <c r="D135" s="92">
        <f>E114</f>
        <v>1.9811033221578787</v>
      </c>
      <c r="E135" s="83"/>
      <c r="F135" s="83"/>
      <c r="G135" s="79">
        <f>PRODUCT(C135:F135)</f>
        <v>1.9811033221578787</v>
      </c>
      <c r="H135" s="84"/>
      <c r="I135" s="85"/>
      <c r="J135" s="86"/>
      <c r="K135" s="16"/>
      <c r="N135" s="21"/>
    </row>
    <row r="136" spans="1:14" ht="15" customHeight="1" x14ac:dyDescent="0.25">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25">
      <c r="A137" s="102"/>
      <c r="B137" s="87" t="s">
        <v>44</v>
      </c>
      <c r="C137" s="82"/>
      <c r="D137" s="92"/>
      <c r="E137" s="83"/>
      <c r="F137" s="83"/>
      <c r="G137" s="85"/>
      <c r="H137" s="84"/>
      <c r="I137" s="85"/>
      <c r="J137" s="86">
        <f>G136*0.13*(2140.61/10)</f>
        <v>363.2982485888449</v>
      </c>
      <c r="K137" s="16"/>
      <c r="N137" s="21"/>
    </row>
    <row r="138" spans="1:14" ht="15" customHeight="1" x14ac:dyDescent="0.25">
      <c r="A138" s="12"/>
      <c r="B138" s="30"/>
      <c r="C138" s="14"/>
      <c r="D138" s="15"/>
      <c r="E138" s="16"/>
      <c r="F138" s="16"/>
      <c r="G138" s="19"/>
      <c r="H138" s="18"/>
      <c r="I138" s="19"/>
      <c r="J138" s="20"/>
      <c r="K138" s="16"/>
      <c r="N138" s="21"/>
    </row>
    <row r="139" spans="1:14" ht="47.25" x14ac:dyDescent="0.25">
      <c r="A139" s="102">
        <v>18</v>
      </c>
      <c r="B139" s="103" t="s">
        <v>75</v>
      </c>
      <c r="C139" s="82"/>
      <c r="D139" s="92"/>
      <c r="E139" s="83"/>
      <c r="F139" s="83"/>
      <c r="G139" s="85"/>
      <c r="H139" s="84"/>
      <c r="I139" s="85"/>
      <c r="J139" s="86"/>
      <c r="K139" s="16"/>
      <c r="N139" s="21"/>
    </row>
    <row r="140" spans="1:14" ht="15" customHeight="1" x14ac:dyDescent="0.25">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25">
      <c r="A141" s="102"/>
      <c r="B141" s="87"/>
      <c r="C141" s="82">
        <v>1</v>
      </c>
      <c r="D141" s="92">
        <f>E110</f>
        <v>3.555928070710149</v>
      </c>
      <c r="E141" s="83"/>
      <c r="F141" s="83"/>
      <c r="G141" s="79">
        <f>PRODUCT(C141:F141)</f>
        <v>3.555928070710149</v>
      </c>
      <c r="H141" s="84"/>
      <c r="I141" s="85"/>
      <c r="J141" s="86"/>
      <c r="K141" s="16"/>
      <c r="N141" s="21"/>
    </row>
    <row r="142" spans="1:14" ht="15" customHeight="1" x14ac:dyDescent="0.25">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25">
      <c r="A143" s="102"/>
      <c r="B143" s="87" t="s">
        <v>44</v>
      </c>
      <c r="C143" s="82"/>
      <c r="D143" s="92"/>
      <c r="E143" s="83"/>
      <c r="F143" s="83"/>
      <c r="G143" s="85"/>
      <c r="H143" s="84"/>
      <c r="I143" s="85"/>
      <c r="J143" s="86">
        <f>G142*0.13*(2972.61/10)</f>
        <v>565.36034255714719</v>
      </c>
      <c r="K143" s="16"/>
      <c r="N143" s="21"/>
    </row>
    <row r="144" spans="1:14" ht="15" customHeight="1" x14ac:dyDescent="0.25">
      <c r="A144" s="12"/>
      <c r="B144" s="22"/>
      <c r="C144" s="14"/>
      <c r="D144" s="15"/>
      <c r="E144" s="16"/>
      <c r="F144" s="16"/>
      <c r="G144" s="19"/>
      <c r="H144" s="18"/>
      <c r="I144" s="19"/>
      <c r="J144" s="20"/>
      <c r="K144" s="16"/>
      <c r="N144" s="21"/>
    </row>
    <row r="145" spans="1:14" ht="47.25" x14ac:dyDescent="0.25">
      <c r="A145" s="102">
        <v>20</v>
      </c>
      <c r="B145" s="103" t="s">
        <v>77</v>
      </c>
      <c r="C145" s="82"/>
      <c r="D145" s="92"/>
      <c r="E145" s="83"/>
      <c r="F145" s="83"/>
      <c r="G145" s="85"/>
      <c r="H145" s="84"/>
      <c r="I145" s="85"/>
      <c r="J145" s="86"/>
      <c r="K145" s="16"/>
      <c r="N145" s="21"/>
    </row>
    <row r="146" spans="1:14" ht="15" customHeight="1" x14ac:dyDescent="0.25">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25">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25">
      <c r="A148" s="102"/>
      <c r="B148" s="87" t="s">
        <v>44</v>
      </c>
      <c r="C148" s="82"/>
      <c r="D148" s="92"/>
      <c r="E148" s="83"/>
      <c r="F148" s="83"/>
      <c r="G148" s="85"/>
      <c r="H148" s="84"/>
      <c r="I148" s="85"/>
      <c r="J148" s="86">
        <f>G147*0.13*(2780.61/10)</f>
        <v>257.07887797013109</v>
      </c>
      <c r="K148" s="16"/>
      <c r="N148" s="21"/>
    </row>
    <row r="149" spans="1:14" ht="15" customHeight="1" x14ac:dyDescent="0.25">
      <c r="A149" s="12"/>
      <c r="B149" s="22"/>
      <c r="C149" s="14"/>
      <c r="D149" s="15"/>
      <c r="E149" s="16"/>
      <c r="F149" s="16"/>
      <c r="G149" s="19"/>
      <c r="H149" s="18"/>
      <c r="I149" s="19"/>
      <c r="J149" s="20"/>
      <c r="K149" s="16"/>
      <c r="N149" s="21"/>
    </row>
    <row r="150" spans="1:14" s="1" customFormat="1" ht="30" x14ac:dyDescent="0.25">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25">
      <c r="A151" s="25"/>
      <c r="B151" s="41"/>
      <c r="C151" s="26"/>
      <c r="D151" s="17"/>
      <c r="E151" s="17"/>
      <c r="F151" s="17"/>
      <c r="G151" s="45"/>
      <c r="H151" s="45"/>
      <c r="I151" s="45"/>
      <c r="J151" s="39"/>
      <c r="K151" s="30"/>
    </row>
    <row r="152" spans="1:14" ht="15" customHeight="1" x14ac:dyDescent="0.25">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25">
      <c r="A153" s="12"/>
      <c r="B153" s="59"/>
      <c r="C153" s="14"/>
      <c r="D153" s="15"/>
      <c r="E153" s="16"/>
      <c r="F153" s="16"/>
      <c r="G153" s="19"/>
      <c r="H153" s="18"/>
      <c r="I153" s="19"/>
      <c r="J153" s="20"/>
      <c r="K153" s="16"/>
      <c r="N153" s="21"/>
    </row>
    <row r="154" spans="1:14" x14ac:dyDescent="0.25">
      <c r="A154" s="25"/>
      <c r="B154" s="62" t="s">
        <v>128</v>
      </c>
      <c r="C154" s="63"/>
      <c r="D154" s="64"/>
      <c r="E154" s="64"/>
      <c r="F154" s="64"/>
      <c r="G154" s="20"/>
      <c r="H154" s="20"/>
      <c r="I154" s="20"/>
      <c r="J154" s="20">
        <f>SUM(J37:J152)</f>
        <v>1111010.1897357472</v>
      </c>
      <c r="K154" s="30"/>
    </row>
    <row r="156" spans="1:14" s="1" customFormat="1" hidden="1" x14ac:dyDescent="0.25">
      <c r="B156" s="34" t="s">
        <v>110</v>
      </c>
      <c r="C156" s="132">
        <f>J154</f>
        <v>1111010.1897357472</v>
      </c>
      <c r="D156" s="132"/>
      <c r="E156" s="132"/>
      <c r="F156" s="65"/>
      <c r="G156" s="66"/>
      <c r="H156" s="65"/>
      <c r="I156" s="67"/>
      <c r="J156" s="68"/>
      <c r="K156" s="69"/>
      <c r="M156"/>
    </row>
    <row r="157" spans="1:14" hidden="1" x14ac:dyDescent="0.25">
      <c r="B157" s="74" t="s">
        <v>126</v>
      </c>
      <c r="C157" s="133">
        <f>C156*0.13</f>
        <v>144431.32466564715</v>
      </c>
      <c r="D157" s="133"/>
      <c r="E157" s="133"/>
    </row>
    <row r="158" spans="1:14" hidden="1" x14ac:dyDescent="0.25">
      <c r="B158" s="74" t="s">
        <v>127</v>
      </c>
      <c r="C158" s="133">
        <f>C156+C157</f>
        <v>1255441.5144013944</v>
      </c>
      <c r="D158" s="133"/>
      <c r="E158" s="133"/>
    </row>
    <row r="160" spans="1:14" s="1" customFormat="1" x14ac:dyDescent="0.25">
      <c r="B160" s="34" t="s">
        <v>110</v>
      </c>
      <c r="C160" s="127">
        <f>J154</f>
        <v>1111010.1897357472</v>
      </c>
      <c r="D160" s="128"/>
      <c r="E160" s="33">
        <v>100</v>
      </c>
      <c r="F160" s="65"/>
      <c r="G160" s="66"/>
      <c r="H160" s="65"/>
      <c r="I160" s="67"/>
      <c r="J160" s="68"/>
      <c r="K160" s="69"/>
      <c r="M160"/>
    </row>
    <row r="161" spans="2:5" x14ac:dyDescent="0.25">
      <c r="B161" s="34" t="s">
        <v>111</v>
      </c>
      <c r="C161" s="130">
        <v>1200000</v>
      </c>
      <c r="D161" s="131"/>
      <c r="E161" s="33"/>
    </row>
    <row r="162" spans="2:5" x14ac:dyDescent="0.25">
      <c r="B162" s="34" t="s">
        <v>112</v>
      </c>
      <c r="C162" s="130">
        <f>C161-C164-C165</f>
        <v>1140000</v>
      </c>
      <c r="D162" s="131"/>
      <c r="E162" s="33">
        <f>C162/C160*100</f>
        <v>102.60931992632291</v>
      </c>
    </row>
    <row r="163" spans="2:5" x14ac:dyDescent="0.25">
      <c r="B163" s="34" t="s">
        <v>113</v>
      </c>
      <c r="C163" s="132">
        <f>C160-C162</f>
        <v>-28989.810264252825</v>
      </c>
      <c r="D163" s="132"/>
      <c r="E163" s="33">
        <f>100-E162</f>
        <v>-2.609319926322911</v>
      </c>
    </row>
    <row r="164" spans="2:5" x14ac:dyDescent="0.25">
      <c r="B164" s="34" t="s">
        <v>114</v>
      </c>
      <c r="C164" s="127">
        <f>C161*0.03</f>
        <v>36000</v>
      </c>
      <c r="D164" s="128"/>
      <c r="E164" s="33">
        <v>3</v>
      </c>
    </row>
    <row r="165" spans="2:5" x14ac:dyDescent="0.25">
      <c r="B165" s="34" t="s">
        <v>115</v>
      </c>
      <c r="C165" s="127">
        <f>C161*0.02</f>
        <v>24000</v>
      </c>
      <c r="D165" s="128"/>
      <c r="E165" s="33">
        <v>2</v>
      </c>
    </row>
  </sheetData>
  <mergeCells count="18">
    <mergeCell ref="C161:D161"/>
    <mergeCell ref="C162:D162"/>
    <mergeCell ref="C163:D163"/>
    <mergeCell ref="C164:D164"/>
    <mergeCell ref="C165:D165"/>
    <mergeCell ref="C160:D160"/>
    <mergeCell ref="A1:K1"/>
    <mergeCell ref="A2:K2"/>
    <mergeCell ref="A3:K3"/>
    <mergeCell ref="A4:K4"/>
    <mergeCell ref="A5:K5"/>
    <mergeCell ref="A6:F6"/>
    <mergeCell ref="H6:K6"/>
    <mergeCell ref="A7:F7"/>
    <mergeCell ref="H7:K7"/>
    <mergeCell ref="C156:E156"/>
    <mergeCell ref="C157:E157"/>
    <mergeCell ref="C158:E15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65"/>
  <sheetViews>
    <sheetView topLeftCell="A84" zoomScale="99" zoomScaleNormal="99" zoomScaleSheetLayoutView="80" workbookViewId="0">
      <selection activeCell="F67" sqref="F67"/>
    </sheetView>
  </sheetViews>
  <sheetFormatPr defaultRowHeight="15" x14ac:dyDescent="0.25"/>
  <cols>
    <col min="1" max="1" width="4.42578125" style="70" customWidth="1"/>
    <col min="2" max="2" width="31.28515625" customWidth="1"/>
    <col min="3" max="3" width="5.28515625" bestFit="1" customWidth="1"/>
    <col min="4" max="4" width="9.28515625" customWidth="1"/>
    <col min="5" max="5" width="7.85546875" customWidth="1"/>
    <col min="6" max="6" width="8.28515625" customWidth="1"/>
    <col min="7" max="7" width="8.5703125" style="71" customWidth="1"/>
    <col min="8" max="8" width="5.28515625" style="71" bestFit="1" customWidth="1"/>
    <col min="9" max="9" width="9.5703125" style="71" bestFit="1" customWidth="1"/>
    <col min="10" max="10" width="10.5703125" style="71" bestFit="1" customWidth="1"/>
    <col min="11" max="11" width="8.85546875" customWidth="1"/>
    <col min="13" max="13" width="8.140625" bestFit="1" customWidth="1"/>
    <col min="14" max="14" width="6.7109375" bestFit="1" customWidth="1"/>
  </cols>
  <sheetData>
    <row r="1" spans="1:19" s="1" customFormat="1" x14ac:dyDescent="0.25">
      <c r="A1" s="123" t="s">
        <v>0</v>
      </c>
      <c r="B1" s="123"/>
      <c r="C1" s="123"/>
      <c r="D1" s="123"/>
      <c r="E1" s="123"/>
      <c r="F1" s="123"/>
      <c r="G1" s="123"/>
      <c r="H1" s="123"/>
      <c r="I1" s="123"/>
      <c r="J1" s="123"/>
      <c r="K1" s="123"/>
      <c r="M1"/>
    </row>
    <row r="2" spans="1:19" s="1" customFormat="1" ht="22.5" x14ac:dyDescent="0.25">
      <c r="A2" s="124" t="s">
        <v>1</v>
      </c>
      <c r="B2" s="124"/>
      <c r="C2" s="124"/>
      <c r="D2" s="124"/>
      <c r="E2" s="124"/>
      <c r="F2" s="124"/>
      <c r="G2" s="124"/>
      <c r="H2" s="124"/>
      <c r="I2" s="124"/>
      <c r="J2" s="124"/>
      <c r="K2" s="124"/>
      <c r="M2"/>
    </row>
    <row r="3" spans="1:19" s="1" customFormat="1" x14ac:dyDescent="0.25">
      <c r="A3" s="125" t="s">
        <v>2</v>
      </c>
      <c r="B3" s="125"/>
      <c r="C3" s="125"/>
      <c r="D3" s="125"/>
      <c r="E3" s="125"/>
      <c r="F3" s="125"/>
      <c r="G3" s="125"/>
      <c r="H3" s="125"/>
      <c r="I3" s="125"/>
      <c r="J3" s="125"/>
      <c r="K3" s="125"/>
      <c r="M3"/>
    </row>
    <row r="4" spans="1:19" s="1" customFormat="1" x14ac:dyDescent="0.25">
      <c r="A4" s="125" t="s">
        <v>3</v>
      </c>
      <c r="B4" s="125"/>
      <c r="C4" s="125"/>
      <c r="D4" s="125"/>
      <c r="E4" s="125"/>
      <c r="F4" s="125"/>
      <c r="G4" s="125"/>
      <c r="H4" s="125"/>
      <c r="I4" s="125"/>
      <c r="J4" s="125"/>
      <c r="K4" s="125"/>
      <c r="M4"/>
    </row>
    <row r="5" spans="1:19" ht="18.75" x14ac:dyDescent="0.3">
      <c r="A5" s="126" t="s">
        <v>4</v>
      </c>
      <c r="B5" s="126"/>
      <c r="C5" s="126"/>
      <c r="D5" s="126"/>
      <c r="E5" s="126"/>
      <c r="F5" s="126"/>
      <c r="G5" s="126"/>
      <c r="H5" s="126"/>
      <c r="I5" s="126"/>
      <c r="J5" s="126"/>
      <c r="K5" s="126"/>
    </row>
    <row r="6" spans="1:19" ht="15.75" x14ac:dyDescent="0.25">
      <c r="A6" s="121" t="s">
        <v>5</v>
      </c>
      <c r="B6" s="121"/>
      <c r="C6" s="121"/>
      <c r="D6" s="121"/>
      <c r="E6" s="121"/>
      <c r="F6" s="121"/>
      <c r="G6" s="2"/>
      <c r="H6" s="122" t="s">
        <v>130</v>
      </c>
      <c r="I6" s="122"/>
      <c r="J6" s="122"/>
      <c r="K6" s="122"/>
    </row>
    <row r="7" spans="1:19" ht="15.75" x14ac:dyDescent="0.25">
      <c r="A7" s="129" t="s">
        <v>147</v>
      </c>
      <c r="B7" s="129"/>
      <c r="C7" s="129"/>
      <c r="D7" s="129"/>
      <c r="E7" s="129"/>
      <c r="F7" s="129"/>
      <c r="G7" s="3"/>
      <c r="H7" s="122" t="s">
        <v>8</v>
      </c>
      <c r="I7" s="122"/>
      <c r="J7" s="122"/>
      <c r="K7" s="122"/>
    </row>
    <row r="8" spans="1:19" s="9" customFormat="1" ht="15" customHeight="1" x14ac:dyDescent="0.25">
      <c r="A8" s="4" t="s">
        <v>9</v>
      </c>
      <c r="B8" s="5" t="s">
        <v>10</v>
      </c>
      <c r="C8" s="6" t="s">
        <v>11</v>
      </c>
      <c r="D8" s="7" t="s">
        <v>12</v>
      </c>
      <c r="E8" s="7" t="s">
        <v>13</v>
      </c>
      <c r="F8" s="7" t="s">
        <v>14</v>
      </c>
      <c r="G8" s="7" t="s">
        <v>15</v>
      </c>
      <c r="H8" s="6" t="s">
        <v>16</v>
      </c>
      <c r="I8" s="7" t="s">
        <v>17</v>
      </c>
      <c r="J8" s="7" t="s">
        <v>18</v>
      </c>
      <c r="K8" s="8" t="s">
        <v>19</v>
      </c>
      <c r="M8"/>
    </row>
    <row r="9" spans="1:19" ht="30" hidden="1" x14ac:dyDescent="0.25">
      <c r="A9" s="12">
        <v>32</v>
      </c>
      <c r="B9" s="72" t="s">
        <v>100</v>
      </c>
      <c r="C9" s="14"/>
      <c r="D9" s="15"/>
      <c r="E9" s="16"/>
      <c r="F9" s="16"/>
      <c r="G9" s="19"/>
      <c r="H9" s="18"/>
      <c r="I9" s="19"/>
      <c r="J9" s="20"/>
      <c r="K9" s="16"/>
      <c r="N9" s="1"/>
      <c r="O9" s="1"/>
      <c r="P9" s="1"/>
      <c r="Q9" s="1"/>
      <c r="R9" s="21"/>
      <c r="S9" s="21"/>
    </row>
    <row r="10" spans="1:19" ht="15" hidden="1" customHeight="1" x14ac:dyDescent="0.25">
      <c r="A10" s="12"/>
      <c r="B10" s="13" t="s">
        <v>101</v>
      </c>
      <c r="C10" s="14">
        <v>2</v>
      </c>
      <c r="D10" s="15">
        <f>((15.667+16.25)/2)/3.281</f>
        <v>4.8639134410240779</v>
      </c>
      <c r="E10" s="16">
        <f>((10.75)/3.281)</f>
        <v>3.2764401097226452</v>
      </c>
      <c r="F10" s="16"/>
      <c r="G10" s="17">
        <f>PRODUCT(C10:F10)</f>
        <v>31.872642176780758</v>
      </c>
      <c r="H10" s="18"/>
      <c r="I10" s="19"/>
      <c r="J10" s="20"/>
      <c r="K10" s="16"/>
      <c r="N10" s="1"/>
      <c r="O10" s="1"/>
      <c r="P10" s="1"/>
      <c r="Q10" s="1"/>
      <c r="R10" s="21"/>
      <c r="S10" s="21"/>
    </row>
    <row r="11" spans="1:19" ht="15" hidden="1" customHeight="1" x14ac:dyDescent="0.25">
      <c r="A11" s="25"/>
      <c r="B11" s="22" t="s">
        <v>25</v>
      </c>
      <c r="C11" s="26"/>
      <c r="D11" s="17"/>
      <c r="E11" s="17"/>
      <c r="F11" s="17"/>
      <c r="G11" s="27">
        <f>0*SUM(G10:G10)</f>
        <v>0</v>
      </c>
      <c r="H11" s="27" t="s">
        <v>26</v>
      </c>
      <c r="I11" s="28">
        <f>(325188.75/100)</f>
        <v>3251.8874999999998</v>
      </c>
      <c r="J11" s="29">
        <f>G11*I11</f>
        <v>0</v>
      </c>
      <c r="K11" s="30"/>
    </row>
    <row r="12" spans="1:19" ht="15" hidden="1" customHeight="1" x14ac:dyDescent="0.25">
      <c r="A12" s="25"/>
      <c r="B12" s="22" t="s">
        <v>85</v>
      </c>
      <c r="C12" s="26"/>
      <c r="D12" s="17"/>
      <c r="E12" s="17"/>
      <c r="F12" s="17"/>
      <c r="G12" s="45"/>
      <c r="H12" s="45"/>
      <c r="I12" s="45"/>
      <c r="J12" s="39">
        <f>0.13*G11*((221748.75)/100)</f>
        <v>0</v>
      </c>
      <c r="K12" s="30"/>
    </row>
    <row r="13" spans="1:19" ht="15" hidden="1" customHeight="1" x14ac:dyDescent="0.25">
      <c r="A13" s="25"/>
      <c r="B13" s="22"/>
      <c r="C13" s="26"/>
      <c r="D13" s="17"/>
      <c r="E13" s="17"/>
      <c r="F13" s="17"/>
      <c r="G13" s="45"/>
      <c r="H13" s="45"/>
      <c r="I13" s="45"/>
      <c r="J13" s="39"/>
      <c r="K13" s="30"/>
    </row>
    <row r="14" spans="1:19" ht="30" hidden="1" x14ac:dyDescent="0.25">
      <c r="A14" s="12">
        <v>33</v>
      </c>
      <c r="B14" s="72" t="s">
        <v>102</v>
      </c>
      <c r="C14" s="26"/>
      <c r="D14" s="17"/>
      <c r="E14" s="17"/>
      <c r="F14" s="17"/>
      <c r="G14" s="45"/>
      <c r="H14" s="45"/>
      <c r="I14" s="45"/>
      <c r="J14" s="39"/>
      <c r="K14" s="30"/>
    </row>
    <row r="15" spans="1:19" ht="15" hidden="1" customHeight="1" x14ac:dyDescent="0.25">
      <c r="A15" s="12"/>
      <c r="B15" s="13" t="s">
        <v>101</v>
      </c>
      <c r="C15" s="14">
        <f>2*2</f>
        <v>4</v>
      </c>
      <c r="D15" s="15">
        <f>D10</f>
        <v>4.8639134410240779</v>
      </c>
      <c r="E15" s="16"/>
      <c r="F15" s="16"/>
      <c r="G15" s="17">
        <f>PRODUCT(C15:F15)</f>
        <v>19.455653764096311</v>
      </c>
      <c r="H15" s="18"/>
      <c r="I15" s="19"/>
      <c r="J15" s="20"/>
      <c r="K15" s="16"/>
      <c r="N15" s="1"/>
      <c r="O15" s="1"/>
      <c r="P15" s="1"/>
      <c r="Q15" s="1"/>
      <c r="R15" s="21"/>
      <c r="S15" s="21"/>
    </row>
    <row r="16" spans="1:19" ht="15" hidden="1" customHeight="1" x14ac:dyDescent="0.25">
      <c r="A16" s="25"/>
      <c r="B16" s="22" t="s">
        <v>25</v>
      </c>
      <c r="C16" s="26"/>
      <c r="D16" s="17"/>
      <c r="E16" s="17"/>
      <c r="F16" s="17"/>
      <c r="G16" s="27">
        <f>0*SUM(G15:G15)</f>
        <v>0</v>
      </c>
      <c r="H16" s="27" t="s">
        <v>68</v>
      </c>
      <c r="I16" s="28">
        <v>1842.85</v>
      </c>
      <c r="J16" s="29">
        <f>G16*I16</f>
        <v>0</v>
      </c>
      <c r="K16" s="30"/>
    </row>
    <row r="17" spans="1:19" ht="15" hidden="1" customHeight="1" x14ac:dyDescent="0.25">
      <c r="A17" s="25"/>
      <c r="B17" s="22" t="s">
        <v>85</v>
      </c>
      <c r="C17" s="26"/>
      <c r="D17" s="17"/>
      <c r="E17" s="17"/>
      <c r="F17" s="17"/>
      <c r="G17" s="45"/>
      <c r="H17" s="45"/>
      <c r="I17" s="45"/>
      <c r="J17" s="39">
        <f>0.13*G16*((164000)/100)</f>
        <v>0</v>
      </c>
      <c r="K17" s="30"/>
    </row>
    <row r="18" spans="1:19" ht="15" hidden="1" customHeight="1" x14ac:dyDescent="0.25">
      <c r="A18" s="25"/>
      <c r="B18" s="22"/>
      <c r="C18" s="26"/>
      <c r="D18" s="17"/>
      <c r="E18" s="17"/>
      <c r="F18" s="17"/>
      <c r="G18" s="45"/>
      <c r="H18" s="45"/>
      <c r="I18" s="45"/>
      <c r="J18" s="39"/>
      <c r="K18" s="30"/>
    </row>
    <row r="19" spans="1:19" ht="30" hidden="1" x14ac:dyDescent="0.25">
      <c r="A19" s="25">
        <v>34</v>
      </c>
      <c r="B19" s="72" t="s">
        <v>103</v>
      </c>
      <c r="C19" s="26"/>
      <c r="D19" s="17"/>
      <c r="E19" s="17"/>
      <c r="F19" s="17"/>
      <c r="G19" s="45"/>
      <c r="H19" s="45"/>
      <c r="I19" s="45"/>
      <c r="J19" s="39"/>
      <c r="K19" s="30"/>
    </row>
    <row r="20" spans="1:19" hidden="1" x14ac:dyDescent="0.25">
      <c r="A20" s="25"/>
      <c r="B20" s="22" t="s">
        <v>104</v>
      </c>
      <c r="C20" s="26">
        <v>4</v>
      </c>
      <c r="D20" s="17"/>
      <c r="E20" s="17"/>
      <c r="F20" s="17"/>
      <c r="G20" s="17">
        <f>PRODUCT(C20:F20)</f>
        <v>4</v>
      </c>
      <c r="H20" s="45"/>
      <c r="I20" s="45"/>
      <c r="J20" s="39"/>
      <c r="K20" s="30"/>
    </row>
    <row r="21" spans="1:19" ht="15" hidden="1" customHeight="1" x14ac:dyDescent="0.25">
      <c r="A21" s="25"/>
      <c r="B21" s="22" t="s">
        <v>25</v>
      </c>
      <c r="C21" s="26"/>
      <c r="D21" s="17"/>
      <c r="E21" s="17"/>
      <c r="F21" s="17"/>
      <c r="G21" s="27">
        <f>0*SUM(G20)</f>
        <v>0</v>
      </c>
      <c r="H21" s="27" t="s">
        <v>90</v>
      </c>
      <c r="I21" s="28">
        <v>279</v>
      </c>
      <c r="J21" s="29">
        <f>G21*I21</f>
        <v>0</v>
      </c>
      <c r="K21" s="30"/>
    </row>
    <row r="22" spans="1:19" ht="15" hidden="1" customHeight="1" x14ac:dyDescent="0.25">
      <c r="A22" s="25"/>
      <c r="B22" s="22" t="s">
        <v>85</v>
      </c>
      <c r="C22" s="26"/>
      <c r="D22" s="17"/>
      <c r="E22" s="17"/>
      <c r="F22" s="17"/>
      <c r="G22" s="45"/>
      <c r="H22" s="45"/>
      <c r="I22" s="45"/>
      <c r="J22" s="39">
        <f>0.13*J21</f>
        <v>0</v>
      </c>
      <c r="K22" s="30"/>
    </row>
    <row r="23" spans="1:19" hidden="1" x14ac:dyDescent="0.25">
      <c r="A23" s="25"/>
      <c r="B23" s="24"/>
      <c r="C23" s="26"/>
      <c r="D23" s="17"/>
      <c r="E23" s="17"/>
      <c r="F23" s="17"/>
      <c r="G23" s="45"/>
      <c r="H23" s="45"/>
      <c r="I23" s="45"/>
      <c r="J23" s="39"/>
      <c r="K23" s="30"/>
    </row>
    <row r="24" spans="1:19" ht="30" x14ac:dyDescent="0.25">
      <c r="A24" s="12">
        <v>1</v>
      </c>
      <c r="B24" s="91" t="s">
        <v>118</v>
      </c>
      <c r="C24" s="82"/>
      <c r="D24" s="92"/>
      <c r="E24" s="83"/>
      <c r="F24" s="83"/>
      <c r="G24" s="85"/>
      <c r="H24" s="84"/>
      <c r="I24" s="85"/>
      <c r="J24" s="86"/>
      <c r="K24" s="16"/>
      <c r="N24" s="1"/>
      <c r="O24" s="1"/>
      <c r="P24" s="1"/>
      <c r="Q24" s="1"/>
      <c r="R24" s="21"/>
      <c r="S24" s="21"/>
    </row>
    <row r="25" spans="1:19" ht="15" customHeight="1" x14ac:dyDescent="0.25">
      <c r="A25" s="12"/>
      <c r="B25" s="81" t="s">
        <v>149</v>
      </c>
      <c r="C25" s="82">
        <v>1</v>
      </c>
      <c r="D25" s="92">
        <f>5.23+0.025*2</f>
        <v>5.28</v>
      </c>
      <c r="E25" s="83">
        <v>3.31</v>
      </c>
      <c r="F25" s="83"/>
      <c r="G25" s="79">
        <f t="shared" ref="G25:G36" si="0">PRODUCT(C25:F25)</f>
        <v>17.476800000000001</v>
      </c>
      <c r="H25" s="84"/>
      <c r="I25" s="85"/>
      <c r="J25" s="86"/>
      <c r="K25" s="16"/>
      <c r="N25" s="73">
        <f>CONVERT(G25,"m2","ft2")</f>
        <v>188.11870957075249</v>
      </c>
      <c r="O25" s="1"/>
      <c r="P25" s="1"/>
      <c r="Q25" s="1"/>
      <c r="R25" s="21"/>
      <c r="S25" s="21"/>
    </row>
    <row r="26" spans="1:19" ht="15" customHeight="1" x14ac:dyDescent="0.25">
      <c r="A26" s="12"/>
      <c r="B26" s="81" t="s">
        <v>150</v>
      </c>
      <c r="C26" s="82">
        <v>1</v>
      </c>
      <c r="D26" s="92">
        <f>200/12/3.281</f>
        <v>5.0797521080971251</v>
      </c>
      <c r="E26" s="83">
        <v>3.31</v>
      </c>
      <c r="F26" s="83"/>
      <c r="G26" s="79">
        <f t="shared" si="0"/>
        <v>16.813979477801485</v>
      </c>
      <c r="H26" s="84"/>
      <c r="I26" s="85"/>
      <c r="J26" s="86"/>
      <c r="K26" s="16"/>
      <c r="N26" s="73">
        <f t="shared" ref="N26:N34" si="1">CONVERT(G26,"m2","ft2")</f>
        <v>180.98416884745089</v>
      </c>
      <c r="O26" s="1"/>
      <c r="P26" s="1"/>
      <c r="Q26" s="1"/>
      <c r="R26" s="21"/>
      <c r="S26" s="21"/>
    </row>
    <row r="27" spans="1:19" ht="15" customHeight="1" x14ac:dyDescent="0.25">
      <c r="A27" s="12"/>
      <c r="B27" s="81" t="s">
        <v>141</v>
      </c>
      <c r="C27" s="82">
        <v>4</v>
      </c>
      <c r="D27" s="92">
        <f>204/12/3.281</f>
        <v>5.1813471502590671</v>
      </c>
      <c r="E27" s="83">
        <f>(E59*2+F59)</f>
        <v>0.15000000000000002</v>
      </c>
      <c r="F27" s="83"/>
      <c r="G27" s="79">
        <f t="shared" si="0"/>
        <v>3.1088082901554408</v>
      </c>
      <c r="H27" s="84"/>
      <c r="I27" s="85"/>
      <c r="J27" s="86"/>
      <c r="K27" s="16"/>
      <c r="M27">
        <v>4.5999999999999996</v>
      </c>
      <c r="N27" s="73">
        <f t="shared" si="1"/>
        <v>33.462933937957693</v>
      </c>
      <c r="O27" s="1"/>
      <c r="P27" s="1"/>
      <c r="Q27" s="1"/>
      <c r="R27" s="21"/>
      <c r="S27" s="21"/>
    </row>
    <row r="28" spans="1:19" ht="15" customHeight="1" x14ac:dyDescent="0.25">
      <c r="A28" s="12"/>
      <c r="B28" s="81"/>
      <c r="C28" s="82">
        <v>2</v>
      </c>
      <c r="D28" s="92">
        <f>196/12/3.281</f>
        <v>4.9781570659351821</v>
      </c>
      <c r="E28" s="83">
        <v>0.15</v>
      </c>
      <c r="F28" s="83"/>
      <c r="G28" s="79">
        <f t="shared" si="0"/>
        <v>1.4934471197805546</v>
      </c>
      <c r="H28" s="84"/>
      <c r="I28" s="85"/>
      <c r="J28" s="86"/>
      <c r="K28" s="16"/>
      <c r="N28" s="73">
        <f t="shared" si="1"/>
        <v>16.075331009411045</v>
      </c>
      <c r="O28" s="1"/>
      <c r="P28" s="1"/>
      <c r="Q28" s="1"/>
      <c r="R28" s="21"/>
      <c r="S28" s="21"/>
    </row>
    <row r="29" spans="1:19" ht="15" customHeight="1" x14ac:dyDescent="0.25">
      <c r="A29" s="12"/>
      <c r="B29" s="81"/>
      <c r="C29" s="82">
        <v>4</v>
      </c>
      <c r="D29" s="92">
        <f>196/12/3.281</f>
        <v>4.9781570659351821</v>
      </c>
      <c r="E29" s="83">
        <v>0.15</v>
      </c>
      <c r="F29" s="83"/>
      <c r="G29" s="79">
        <f t="shared" si="0"/>
        <v>2.9868942395611091</v>
      </c>
      <c r="H29" s="84"/>
      <c r="I29" s="85"/>
      <c r="J29" s="86"/>
      <c r="K29" s="16"/>
      <c r="M29">
        <v>4.46</v>
      </c>
      <c r="N29" s="73">
        <f t="shared" si="1"/>
        <v>32.150662018822089</v>
      </c>
      <c r="O29" s="1"/>
      <c r="P29" s="1"/>
      <c r="Q29" s="1"/>
      <c r="R29" s="21"/>
      <c r="S29" s="21"/>
    </row>
    <row r="30" spans="1:19" ht="15" customHeight="1" x14ac:dyDescent="0.25">
      <c r="A30" s="12"/>
      <c r="B30" s="81"/>
      <c r="C30" s="82">
        <v>2</v>
      </c>
      <c r="D30" s="92">
        <f>190/12/3.281</f>
        <v>4.8257645026922686</v>
      </c>
      <c r="E30" s="83">
        <v>0.15</v>
      </c>
      <c r="F30" s="83"/>
      <c r="G30" s="79">
        <f t="shared" si="0"/>
        <v>1.4477293508076805</v>
      </c>
      <c r="H30" s="84"/>
      <c r="I30" s="85"/>
      <c r="J30" s="86"/>
      <c r="K30" s="16"/>
      <c r="N30" s="73">
        <f t="shared" si="1"/>
        <v>15.583229039735196</v>
      </c>
      <c r="O30" s="1"/>
      <c r="P30" s="1"/>
      <c r="Q30" s="1"/>
      <c r="R30" s="21"/>
      <c r="S30" s="21"/>
    </row>
    <row r="31" spans="1:19" ht="15" customHeight="1" x14ac:dyDescent="0.25">
      <c r="A31" s="12"/>
      <c r="B31" s="81" t="s">
        <v>152</v>
      </c>
      <c r="C31" s="82">
        <v>2</v>
      </c>
      <c r="D31" s="92">
        <f>17/12/3.281</f>
        <v>0.43177892918825561</v>
      </c>
      <c r="E31" s="83">
        <v>0.3</v>
      </c>
      <c r="F31" s="83"/>
      <c r="G31" s="79">
        <f t="shared" si="0"/>
        <v>0.25906735751295334</v>
      </c>
      <c r="H31" s="84"/>
      <c r="I31" s="85"/>
      <c r="J31" s="86"/>
      <c r="K31" s="16"/>
      <c r="N31" s="73">
        <f t="shared" si="1"/>
        <v>2.7885778281631404</v>
      </c>
      <c r="O31" s="1"/>
      <c r="P31" s="1"/>
      <c r="Q31" s="1"/>
      <c r="R31" s="21"/>
      <c r="S31" s="21"/>
    </row>
    <row r="32" spans="1:19" ht="15" customHeight="1" x14ac:dyDescent="0.25">
      <c r="A32" s="12"/>
      <c r="B32" s="81"/>
      <c r="C32" s="82">
        <v>2</v>
      </c>
      <c r="D32" s="92">
        <f>40/12/3.281</f>
        <v>1.0159504216194251</v>
      </c>
      <c r="E32" s="83">
        <v>0.3</v>
      </c>
      <c r="F32" s="83"/>
      <c r="G32" s="79">
        <f t="shared" si="0"/>
        <v>0.60957025297165501</v>
      </c>
      <c r="H32" s="84"/>
      <c r="I32" s="85"/>
      <c r="J32" s="86"/>
      <c r="K32" s="16"/>
      <c r="M32">
        <f>0.07*10590</f>
        <v>741.30000000000007</v>
      </c>
      <c r="N32" s="73">
        <f t="shared" si="1"/>
        <v>6.5613595956779776</v>
      </c>
      <c r="O32" s="1"/>
      <c r="P32" s="1"/>
      <c r="Q32" s="1"/>
      <c r="R32" s="21"/>
      <c r="S32" s="21"/>
    </row>
    <row r="33" spans="1:19" ht="15" customHeight="1" x14ac:dyDescent="0.25">
      <c r="A33" s="12"/>
      <c r="B33" s="81"/>
      <c r="C33" s="82">
        <v>1</v>
      </c>
      <c r="D33" s="92">
        <f>40/12/3.281</f>
        <v>1.0159504216194251</v>
      </c>
      <c r="E33" s="83">
        <f>17/12/3.281</f>
        <v>0.43177892918825561</v>
      </c>
      <c r="F33" s="83"/>
      <c r="G33" s="79">
        <f t="shared" si="0"/>
        <v>0.43866598515519217</v>
      </c>
      <c r="H33" s="84"/>
      <c r="I33" s="85"/>
      <c r="J33" s="86"/>
      <c r="K33" s="16"/>
      <c r="N33" s="73">
        <f t="shared" si="1"/>
        <v>4.721761367068205</v>
      </c>
      <c r="O33" s="1"/>
      <c r="P33" s="1"/>
      <c r="Q33" s="1"/>
      <c r="R33" s="21"/>
      <c r="S33" s="21"/>
    </row>
    <row r="34" spans="1:19" ht="15" customHeight="1" x14ac:dyDescent="0.25">
      <c r="A34" s="12"/>
      <c r="B34" s="81" t="s">
        <v>151</v>
      </c>
      <c r="C34" s="82">
        <v>2</v>
      </c>
      <c r="D34" s="92">
        <v>1.2</v>
      </c>
      <c r="E34" s="83">
        <v>0.23</v>
      </c>
      <c r="F34" s="83"/>
      <c r="G34" s="79">
        <f t="shared" si="0"/>
        <v>0.55200000000000005</v>
      </c>
      <c r="H34" s="84"/>
      <c r="I34" s="85"/>
      <c r="J34" s="86"/>
      <c r="K34" s="16"/>
      <c r="N34" s="73">
        <f t="shared" si="1"/>
        <v>5.9416785500237674</v>
      </c>
      <c r="O34" s="1"/>
      <c r="P34" s="1"/>
      <c r="Q34" s="1"/>
      <c r="R34" s="21"/>
      <c r="S34" s="21"/>
    </row>
    <row r="35" spans="1:19" ht="15" customHeight="1" x14ac:dyDescent="0.25">
      <c r="A35" s="12"/>
      <c r="B35" s="81" t="s">
        <v>153</v>
      </c>
      <c r="C35" s="82">
        <v>1</v>
      </c>
      <c r="D35" s="92">
        <f>11/3.281</f>
        <v>3.3526363913441024</v>
      </c>
      <c r="E35" s="83">
        <f>8/12/3.281</f>
        <v>0.20319008432388497</v>
      </c>
      <c r="F35" s="83"/>
      <c r="G35" s="79">
        <f t="shared" si="0"/>
        <v>0.6812224710645336</v>
      </c>
      <c r="H35" s="84"/>
      <c r="I35" s="85"/>
      <c r="J35" s="86"/>
      <c r="K35" s="16"/>
      <c r="N35" s="73">
        <f>CONVERT(G35,"m2","ft2")</f>
        <v>7.3326176523882705</v>
      </c>
      <c r="O35" s="1"/>
      <c r="P35" s="1">
        <f>132/12/3.281</f>
        <v>3.3526363913441024</v>
      </c>
      <c r="Q35" s="1"/>
      <c r="R35" s="21"/>
      <c r="S35" s="21"/>
    </row>
    <row r="36" spans="1:19" ht="15" customHeight="1" x14ac:dyDescent="0.25">
      <c r="A36" s="12"/>
      <c r="B36" s="81"/>
      <c r="C36" s="82">
        <v>1</v>
      </c>
      <c r="D36" s="92">
        <v>3.31</v>
      </c>
      <c r="E36" s="83">
        <f>8/12/3.281</f>
        <v>0.20319008432388497</v>
      </c>
      <c r="F36" s="83"/>
      <c r="G36" s="79">
        <f t="shared" si="0"/>
        <v>0.6725591791120592</v>
      </c>
      <c r="H36" s="84"/>
      <c r="I36" s="85"/>
      <c r="J36" s="86"/>
      <c r="K36" s="16"/>
      <c r="N36" s="73">
        <f>CONVERT(G36,"m2","ft2")</f>
        <v>7.2393667538980342</v>
      </c>
      <c r="O36" s="1"/>
      <c r="P36" s="1"/>
      <c r="Q36" s="1"/>
      <c r="R36" s="21"/>
      <c r="S36" s="21"/>
    </row>
    <row r="37" spans="1:19" ht="15" customHeight="1" x14ac:dyDescent="0.25">
      <c r="A37" s="25"/>
      <c r="B37" s="87" t="s">
        <v>25</v>
      </c>
      <c r="C37" s="78"/>
      <c r="D37" s="79"/>
      <c r="E37" s="79"/>
      <c r="F37" s="79"/>
      <c r="G37" s="88">
        <f>SUM(G25:G36)</f>
        <v>46.540743723922667</v>
      </c>
      <c r="H37" s="88" t="s">
        <v>26</v>
      </c>
      <c r="I37" s="89">
        <f>105907.65/10</f>
        <v>10590.764999999999</v>
      </c>
      <c r="J37" s="90">
        <f>G37*I37</f>
        <v>492902.0797052898</v>
      </c>
      <c r="K37" s="30"/>
    </row>
    <row r="38" spans="1:19" ht="15" customHeight="1" x14ac:dyDescent="0.25">
      <c r="A38" s="25"/>
      <c r="B38" s="87" t="s">
        <v>135</v>
      </c>
      <c r="C38" s="78"/>
      <c r="D38" s="79"/>
      <c r="E38" s="79"/>
      <c r="F38" s="79"/>
      <c r="G38" s="88"/>
      <c r="H38" s="88"/>
      <c r="I38" s="89"/>
      <c r="J38" s="90">
        <f>0.13*G37*(95368.8)/10</f>
        <v>57700.953440754478</v>
      </c>
      <c r="K38" s="30"/>
    </row>
    <row r="39" spans="1:19" ht="15" customHeight="1" x14ac:dyDescent="0.25">
      <c r="A39" s="25"/>
      <c r="B39" s="22"/>
      <c r="C39" s="26"/>
      <c r="D39" s="17"/>
      <c r="E39" s="17"/>
      <c r="F39" s="17"/>
      <c r="G39" s="45"/>
      <c r="H39" s="45"/>
      <c r="I39" s="45"/>
      <c r="J39" s="39"/>
      <c r="K39" s="30"/>
    </row>
    <row r="40" spans="1:19" ht="45" x14ac:dyDescent="0.25">
      <c r="A40" s="25">
        <v>2</v>
      </c>
      <c r="B40" s="77" t="s">
        <v>154</v>
      </c>
      <c r="C40" s="78"/>
      <c r="D40" s="79"/>
      <c r="E40" s="79"/>
      <c r="F40" s="79"/>
      <c r="G40" s="79"/>
      <c r="H40" s="79"/>
      <c r="I40" s="79"/>
      <c r="J40" s="80"/>
      <c r="K40" s="30"/>
    </row>
    <row r="41" spans="1:19" ht="15" customHeight="1" x14ac:dyDescent="0.25">
      <c r="A41" s="12"/>
      <c r="B41" s="81" t="s">
        <v>101</v>
      </c>
      <c r="C41" s="82">
        <f>C35</f>
        <v>1</v>
      </c>
      <c r="D41" s="83">
        <f>D35</f>
        <v>3.3526363913441024</v>
      </c>
      <c r="E41" s="83"/>
      <c r="F41" s="83"/>
      <c r="G41" s="79">
        <f>PRODUCT(C41:F41)</f>
        <v>3.3526363913441024</v>
      </c>
      <c r="H41" s="84"/>
      <c r="I41" s="85"/>
      <c r="J41" s="86"/>
      <c r="K41" s="16"/>
      <c r="N41" s="73">
        <f t="shared" ref="N41:N43" si="2">CONVERT(G41,"m2","ft2")</f>
        <v>36.08747777622888</v>
      </c>
      <c r="O41" s="1"/>
      <c r="P41" s="1"/>
      <c r="Q41" s="1"/>
      <c r="R41" s="21"/>
      <c r="S41" s="21"/>
    </row>
    <row r="42" spans="1:19" ht="15" customHeight="1" x14ac:dyDescent="0.25">
      <c r="A42" s="12"/>
      <c r="B42" s="81"/>
      <c r="C42" s="82">
        <f>C36</f>
        <v>1</v>
      </c>
      <c r="D42" s="83">
        <f>D36</f>
        <v>3.31</v>
      </c>
      <c r="E42" s="83"/>
      <c r="F42" s="83"/>
      <c r="G42" s="79">
        <f>PRODUCT(C42:F42)</f>
        <v>3.31</v>
      </c>
      <c r="H42" s="84"/>
      <c r="I42" s="85"/>
      <c r="J42" s="86"/>
      <c r="K42" s="16"/>
      <c r="N42" s="73">
        <f t="shared" si="2"/>
        <v>35.62854347930918</v>
      </c>
      <c r="O42" s="1"/>
      <c r="P42" s="1"/>
      <c r="Q42" s="1"/>
      <c r="R42" s="21"/>
      <c r="S42" s="21"/>
    </row>
    <row r="43" spans="1:19" ht="15" customHeight="1" x14ac:dyDescent="0.25">
      <c r="A43" s="25"/>
      <c r="B43" s="87" t="s">
        <v>25</v>
      </c>
      <c r="C43" s="78"/>
      <c r="D43" s="79"/>
      <c r="E43" s="79"/>
      <c r="F43" s="79"/>
      <c r="G43" s="88">
        <f>SUM(G41:G42)</f>
        <v>6.6626363913441029</v>
      </c>
      <c r="H43" s="88" t="s">
        <v>68</v>
      </c>
      <c r="I43" s="89">
        <f>2563.07/1.15</f>
        <v>2228.7565217391307</v>
      </c>
      <c r="J43" s="90">
        <f>G43*I43</f>
        <v>14849.394309184636</v>
      </c>
      <c r="K43" s="30"/>
      <c r="N43" s="73">
        <f t="shared" si="2"/>
        <v>71.716021255538053</v>
      </c>
    </row>
    <row r="44" spans="1:19" ht="15" customHeight="1" x14ac:dyDescent="0.25">
      <c r="A44" s="25"/>
      <c r="B44" s="22"/>
      <c r="C44" s="26"/>
      <c r="D44" s="17"/>
      <c r="E44" s="17"/>
      <c r="F44" s="17"/>
      <c r="G44" s="45"/>
      <c r="H44" s="45"/>
      <c r="I44" s="45"/>
      <c r="J44" s="39"/>
      <c r="K44" s="30"/>
    </row>
    <row r="45" spans="1:19" s="1" customFormat="1" ht="60" x14ac:dyDescent="0.25">
      <c r="A45" s="25">
        <v>5</v>
      </c>
      <c r="B45" s="93" t="s">
        <v>138</v>
      </c>
      <c r="C45" s="94">
        <v>1</v>
      </c>
      <c r="D45" s="95">
        <v>3.5</v>
      </c>
      <c r="E45" s="95"/>
      <c r="F45" s="95"/>
      <c r="G45" s="95">
        <f>PRODUCT(C45:F45)</f>
        <v>3.5</v>
      </c>
      <c r="H45" s="96"/>
      <c r="I45" s="96"/>
      <c r="J45" s="96"/>
      <c r="K45" s="34"/>
      <c r="M45"/>
    </row>
    <row r="46" spans="1:19" ht="15" customHeight="1" x14ac:dyDescent="0.25">
      <c r="A46" s="25"/>
      <c r="B46" s="87" t="s">
        <v>25</v>
      </c>
      <c r="C46" s="78"/>
      <c r="D46" s="79"/>
      <c r="E46" s="79"/>
      <c r="F46" s="79"/>
      <c r="G46" s="88">
        <f>SUM(G45:G45)</f>
        <v>3.5</v>
      </c>
      <c r="H46" s="88" t="s">
        <v>105</v>
      </c>
      <c r="I46" s="88">
        <f>4289.73/1.15</f>
        <v>3730.2</v>
      </c>
      <c r="J46" s="90">
        <f>G45*I46</f>
        <v>13055.699999999999</v>
      </c>
      <c r="K46" s="30"/>
    </row>
    <row r="47" spans="1:19" ht="15" customHeight="1" x14ac:dyDescent="0.25">
      <c r="A47" s="25"/>
      <c r="B47" s="87" t="s">
        <v>135</v>
      </c>
      <c r="C47" s="78"/>
      <c r="D47" s="79"/>
      <c r="E47" s="79"/>
      <c r="F47" s="79"/>
      <c r="G47" s="88"/>
      <c r="H47" s="88"/>
      <c r="I47" s="89"/>
      <c r="J47" s="90">
        <f>0.13*G46*(7326/5)</f>
        <v>666.66600000000005</v>
      </c>
      <c r="K47" s="30"/>
    </row>
    <row r="48" spans="1:19" ht="15" customHeight="1" x14ac:dyDescent="0.25">
      <c r="A48" s="25"/>
      <c r="B48" s="87"/>
      <c r="C48" s="78"/>
      <c r="D48" s="79"/>
      <c r="E48" s="79"/>
      <c r="F48" s="79"/>
      <c r="G48" s="79"/>
      <c r="H48" s="79"/>
      <c r="I48" s="79"/>
      <c r="J48" s="80"/>
      <c r="K48" s="30"/>
    </row>
    <row r="49" spans="1:19" s="1" customFormat="1" ht="60" x14ac:dyDescent="0.25">
      <c r="A49" s="25">
        <v>6</v>
      </c>
      <c r="B49" s="93" t="s">
        <v>139</v>
      </c>
      <c r="C49" s="94">
        <v>2</v>
      </c>
      <c r="D49" s="95">
        <v>2</v>
      </c>
      <c r="E49" s="95"/>
      <c r="F49" s="95"/>
      <c r="G49" s="95">
        <f>PRODUCT(C49:F49)</f>
        <v>4</v>
      </c>
      <c r="H49" s="96"/>
      <c r="I49" s="96"/>
      <c r="J49" s="96"/>
      <c r="K49" s="34"/>
      <c r="M49"/>
    </row>
    <row r="50" spans="1:19" ht="15" customHeight="1" x14ac:dyDescent="0.25">
      <c r="A50" s="25"/>
      <c r="B50" s="87" t="s">
        <v>25</v>
      </c>
      <c r="C50" s="78"/>
      <c r="D50" s="79"/>
      <c r="E50" s="79"/>
      <c r="F50" s="79"/>
      <c r="G50" s="88">
        <f>SUM(G49:G49)</f>
        <v>4</v>
      </c>
      <c r="H50" s="88" t="s">
        <v>105</v>
      </c>
      <c r="I50" s="88">
        <f>4289.73/1.15</f>
        <v>3730.2</v>
      </c>
      <c r="J50" s="90">
        <f>G49*I50</f>
        <v>14920.8</v>
      </c>
      <c r="K50" s="30"/>
    </row>
    <row r="51" spans="1:19" ht="15" customHeight="1" x14ac:dyDescent="0.25">
      <c r="A51" s="25"/>
      <c r="B51" s="87" t="s">
        <v>135</v>
      </c>
      <c r="C51" s="78"/>
      <c r="D51" s="79"/>
      <c r="E51" s="79"/>
      <c r="F51" s="79"/>
      <c r="G51" s="88"/>
      <c r="H51" s="88"/>
      <c r="I51" s="89"/>
      <c r="J51" s="90">
        <f>0.13*G50*(7326/5)</f>
        <v>761.904</v>
      </c>
      <c r="K51" s="30"/>
    </row>
    <row r="52" spans="1:19" ht="15" customHeight="1" x14ac:dyDescent="0.25">
      <c r="A52" s="25"/>
      <c r="B52" s="22"/>
      <c r="C52" s="26"/>
      <c r="D52" s="17"/>
      <c r="E52" s="17"/>
      <c r="F52" s="17"/>
      <c r="G52" s="45"/>
      <c r="H52" s="45"/>
      <c r="I52" s="45"/>
      <c r="J52" s="39"/>
      <c r="K52" s="30"/>
    </row>
    <row r="53" spans="1:19" ht="30" x14ac:dyDescent="0.25">
      <c r="A53" s="25">
        <v>7</v>
      </c>
      <c r="B53" s="97" t="s">
        <v>87</v>
      </c>
      <c r="C53" s="78"/>
      <c r="D53" s="79"/>
      <c r="E53" s="79"/>
      <c r="F53" s="79"/>
      <c r="G53" s="79"/>
      <c r="H53" s="79"/>
      <c r="I53" s="79"/>
      <c r="J53" s="80"/>
      <c r="K53" s="30"/>
    </row>
    <row r="54" spans="1:19" ht="15" customHeight="1" x14ac:dyDescent="0.25">
      <c r="A54" s="12"/>
      <c r="B54" s="81" t="s">
        <v>101</v>
      </c>
      <c r="C54" s="82">
        <v>2</v>
      </c>
      <c r="D54" s="92">
        <f>(((15.667+16.25)/2)/3.281)+0.2</f>
        <v>5.063913441024078</v>
      </c>
      <c r="E54" s="83">
        <f>((10.75)/3.281)</f>
        <v>3.2764401097226452</v>
      </c>
      <c r="F54" s="83"/>
      <c r="G54" s="79">
        <f>PRODUCT(C54:F54)</f>
        <v>33.183218220669815</v>
      </c>
      <c r="H54" s="84"/>
      <c r="I54" s="85"/>
      <c r="J54" s="86"/>
      <c r="K54" s="16"/>
      <c r="N54" s="1"/>
      <c r="O54" s="1"/>
      <c r="P54" s="1"/>
      <c r="Q54" s="1"/>
      <c r="R54" s="21"/>
      <c r="S54" s="21"/>
    </row>
    <row r="55" spans="1:19" ht="15" customHeight="1" x14ac:dyDescent="0.25">
      <c r="A55" s="25"/>
      <c r="B55" s="87" t="s">
        <v>25</v>
      </c>
      <c r="C55" s="78"/>
      <c r="D55" s="79"/>
      <c r="E55" s="79"/>
      <c r="F55" s="79"/>
      <c r="G55" s="88">
        <f>SUM(G54:G54)</f>
        <v>33.183218220669815</v>
      </c>
      <c r="H55" s="88" t="s">
        <v>26</v>
      </c>
      <c r="I55" s="89">
        <f>685.98/1.15</f>
        <v>596.50434782608704</v>
      </c>
      <c r="J55" s="90">
        <f>G55*I55</f>
        <v>19793.933943491378</v>
      </c>
      <c r="K55" s="30"/>
    </row>
    <row r="56" spans="1:19" ht="15" customHeight="1" x14ac:dyDescent="0.25">
      <c r="A56" s="25"/>
      <c r="B56" s="87" t="s">
        <v>135</v>
      </c>
      <c r="C56" s="78"/>
      <c r="D56" s="79"/>
      <c r="E56" s="79"/>
      <c r="F56" s="79"/>
      <c r="G56" s="88"/>
      <c r="H56" s="88"/>
      <c r="I56" s="89"/>
      <c r="J56" s="90">
        <f>0.13*G55*(1397.55/10)</f>
        <v>602.87768611586228</v>
      </c>
      <c r="K56" s="30"/>
    </row>
    <row r="57" spans="1:19" ht="15" customHeight="1" x14ac:dyDescent="0.25">
      <c r="A57" s="25"/>
      <c r="B57" s="22"/>
      <c r="C57" s="26"/>
      <c r="D57" s="17"/>
      <c r="E57" s="17"/>
      <c r="F57" s="17"/>
      <c r="G57" s="27"/>
      <c r="H57" s="27"/>
      <c r="I57" s="28"/>
      <c r="J57" s="29"/>
      <c r="K57" s="30"/>
    </row>
    <row r="58" spans="1:19" ht="30" x14ac:dyDescent="0.25">
      <c r="A58" s="25">
        <v>8</v>
      </c>
      <c r="B58" s="97" t="s">
        <v>140</v>
      </c>
      <c r="C58" s="78"/>
      <c r="D58" s="79"/>
      <c r="E58" s="79"/>
      <c r="F58" s="79"/>
      <c r="G58" s="79"/>
      <c r="H58" s="79"/>
      <c r="I58" s="79"/>
      <c r="J58" s="80"/>
      <c r="K58" s="30"/>
    </row>
    <row r="59" spans="1:19" ht="15" customHeight="1" x14ac:dyDescent="0.25">
      <c r="A59" s="12"/>
      <c r="B59" s="81" t="str">
        <f>B27</f>
        <v>-Strip wood</v>
      </c>
      <c r="C59" s="82">
        <v>4</v>
      </c>
      <c r="D59" s="92">
        <f>D27</f>
        <v>5.1813471502590671</v>
      </c>
      <c r="E59" s="83">
        <v>0.05</v>
      </c>
      <c r="F59" s="83">
        <v>0.05</v>
      </c>
      <c r="G59" s="79">
        <f>PRODUCT(C59:F59)</f>
        <v>5.181347150259067E-2</v>
      </c>
      <c r="H59" s="84"/>
      <c r="I59" s="85"/>
      <c r="J59" s="86"/>
      <c r="K59" s="16"/>
      <c r="N59" s="1"/>
      <c r="O59" s="1"/>
      <c r="P59" s="1"/>
      <c r="Q59" s="1"/>
      <c r="R59" s="21"/>
      <c r="S59" s="21"/>
    </row>
    <row r="60" spans="1:19" ht="15" customHeight="1" x14ac:dyDescent="0.25">
      <c r="A60" s="12"/>
      <c r="B60" s="81"/>
      <c r="C60" s="82">
        <v>2</v>
      </c>
      <c r="D60" s="92">
        <f t="shared" ref="D60:D62" si="3">D28</f>
        <v>4.9781570659351821</v>
      </c>
      <c r="E60" s="83">
        <v>0.05</v>
      </c>
      <c r="F60" s="83">
        <v>0.05</v>
      </c>
      <c r="G60" s="79">
        <f t="shared" ref="G60:G62" si="4">PRODUCT(C60:F60)</f>
        <v>2.4890785329675914E-2</v>
      </c>
      <c r="H60" s="84"/>
      <c r="I60" s="85"/>
      <c r="J60" s="86"/>
      <c r="K60" s="16"/>
      <c r="N60" s="1"/>
      <c r="O60" s="1"/>
      <c r="P60" s="1"/>
      <c r="Q60" s="1"/>
      <c r="R60" s="21"/>
      <c r="S60" s="21"/>
    </row>
    <row r="61" spans="1:19" ht="15" customHeight="1" x14ac:dyDescent="0.25">
      <c r="A61" s="12"/>
      <c r="B61" s="81"/>
      <c r="C61" s="82">
        <v>4</v>
      </c>
      <c r="D61" s="92">
        <f t="shared" si="3"/>
        <v>4.9781570659351821</v>
      </c>
      <c r="E61" s="83">
        <f>2/12/3.281</f>
        <v>5.0797521080971242E-2</v>
      </c>
      <c r="F61" s="83">
        <f>2/12/3.281</f>
        <v>5.0797521080971242E-2</v>
      </c>
      <c r="G61" s="79">
        <f t="shared" si="4"/>
        <v>5.1382309966723223E-2</v>
      </c>
      <c r="H61" s="84"/>
      <c r="I61" s="85"/>
      <c r="J61" s="86"/>
      <c r="K61" s="16"/>
      <c r="N61" s="1"/>
      <c r="O61" s="1"/>
      <c r="P61" s="1"/>
      <c r="Q61" s="1"/>
      <c r="R61" s="21"/>
      <c r="S61" s="21"/>
    </row>
    <row r="62" spans="1:19" ht="15" customHeight="1" x14ac:dyDescent="0.25">
      <c r="A62" s="12"/>
      <c r="B62" s="81"/>
      <c r="C62" s="82">
        <v>2</v>
      </c>
      <c r="D62" s="92">
        <f t="shared" si="3"/>
        <v>4.8257645026922686</v>
      </c>
      <c r="E62" s="83">
        <f>2/12/3.281</f>
        <v>5.0797521080971242E-2</v>
      </c>
      <c r="F62" s="83">
        <f>2/12/3.281</f>
        <v>5.0797521080971242E-2</v>
      </c>
      <c r="G62" s="79">
        <f t="shared" si="4"/>
        <v>2.4904691055299522E-2</v>
      </c>
      <c r="H62" s="84"/>
      <c r="I62" s="85"/>
      <c r="J62" s="86"/>
      <c r="K62" s="16"/>
      <c r="N62" s="1"/>
      <c r="O62" s="1"/>
      <c r="P62" s="1"/>
      <c r="Q62" s="1"/>
      <c r="R62" s="21"/>
      <c r="S62" s="21"/>
    </row>
    <row r="63" spans="1:19" ht="15" customHeight="1" x14ac:dyDescent="0.25">
      <c r="A63" s="12"/>
      <c r="B63" s="81" t="str">
        <f>B34</f>
        <v>-ridge</v>
      </c>
      <c r="C63" s="82">
        <v>2</v>
      </c>
      <c r="D63" s="92">
        <f>D34</f>
        <v>1.2</v>
      </c>
      <c r="E63" s="83">
        <f>3/12/3.281</f>
        <v>7.6196281621456863E-2</v>
      </c>
      <c r="F63" s="83">
        <f>4/12/3.281</f>
        <v>0.10159504216194248</v>
      </c>
      <c r="G63" s="79">
        <f>PRODUCT(C63:F63)</f>
        <v>1.8578794665396366E-2</v>
      </c>
      <c r="H63" s="84"/>
      <c r="I63" s="85"/>
      <c r="J63" s="86"/>
      <c r="K63" s="16"/>
      <c r="N63" s="1"/>
      <c r="O63" s="1"/>
      <c r="P63" s="1"/>
      <c r="Q63" s="1"/>
      <c r="R63" s="21"/>
      <c r="S63" s="21"/>
    </row>
    <row r="64" spans="1:19" ht="15" customHeight="1" x14ac:dyDescent="0.25">
      <c r="A64" s="12"/>
      <c r="B64" s="81" t="s">
        <v>157</v>
      </c>
      <c r="C64" s="82">
        <v>2</v>
      </c>
      <c r="D64" s="92">
        <f>45/12/3.281</f>
        <v>1.1429442243218531</v>
      </c>
      <c r="E64" s="83">
        <f>3/12/3.281</f>
        <v>7.6196281621456863E-2</v>
      </c>
      <c r="F64" s="83">
        <f>5/12/3.281</f>
        <v>0.12699380270242813</v>
      </c>
      <c r="G64" s="79">
        <f>PRODUCT(C64:F64)</f>
        <v>2.2119297976746291E-2</v>
      </c>
      <c r="H64" s="84"/>
      <c r="I64" s="85"/>
      <c r="J64" s="86"/>
      <c r="K64" s="16"/>
      <c r="N64" s="1"/>
      <c r="O64" s="1"/>
      <c r="P64" s="1"/>
      <c r="Q64" s="1"/>
      <c r="R64" s="21"/>
      <c r="S64" s="21"/>
    </row>
    <row r="65" spans="1:19" ht="15" customHeight="1" x14ac:dyDescent="0.25">
      <c r="A65" s="12"/>
      <c r="B65" s="81"/>
      <c r="C65" s="82">
        <v>2</v>
      </c>
      <c r="D65" s="92">
        <f>39/12/3.281</f>
        <v>0.99055166107893933</v>
      </c>
      <c r="E65" s="83">
        <f>3/12/3.281</f>
        <v>7.6196281621456863E-2</v>
      </c>
      <c r="F65" s="83">
        <f>5/12/3.281</f>
        <v>0.12699380270242813</v>
      </c>
      <c r="G65" s="79">
        <f>PRODUCT(C65:F65)</f>
        <v>1.9170058246513449E-2</v>
      </c>
      <c r="H65" s="84"/>
      <c r="I65" s="85"/>
      <c r="J65" s="86"/>
      <c r="K65" s="16"/>
      <c r="N65" s="1"/>
      <c r="O65" s="1"/>
      <c r="P65" s="1"/>
      <c r="Q65" s="1"/>
      <c r="R65" s="21"/>
      <c r="S65" s="21"/>
    </row>
    <row r="66" spans="1:19" ht="15" customHeight="1" x14ac:dyDescent="0.25">
      <c r="A66" s="25"/>
      <c r="B66" s="87" t="s">
        <v>25</v>
      </c>
      <c r="C66" s="78"/>
      <c r="D66" s="79"/>
      <c r="E66" s="79"/>
      <c r="F66" s="79"/>
      <c r="G66" s="88">
        <f>SUM(G59:G65)</f>
        <v>0.21285940874294543</v>
      </c>
      <c r="H66" s="88" t="s">
        <v>29</v>
      </c>
      <c r="I66" s="89">
        <f>286497.45/1.15</f>
        <v>249128.21739130438</v>
      </c>
      <c r="J66" s="90">
        <f>G66*I66</f>
        <v>53029.285055097025</v>
      </c>
      <c r="K66" s="30"/>
    </row>
    <row r="67" spans="1:19" ht="15" customHeight="1" x14ac:dyDescent="0.25">
      <c r="A67" s="25"/>
      <c r="B67" s="87" t="s">
        <v>142</v>
      </c>
      <c r="C67" s="78"/>
      <c r="D67" s="79"/>
      <c r="E67" s="79"/>
      <c r="F67" s="79"/>
      <c r="G67" s="88"/>
      <c r="H67" s="88"/>
      <c r="I67" s="89"/>
      <c r="J67" s="90">
        <f>0.13*G66*225887.77</f>
        <v>6250.7038313801177</v>
      </c>
      <c r="K67" s="30"/>
    </row>
    <row r="68" spans="1:19" ht="15" customHeight="1" x14ac:dyDescent="0.25">
      <c r="A68" s="25"/>
      <c r="B68" s="22"/>
      <c r="C68" s="26"/>
      <c r="D68" s="17"/>
      <c r="E68" s="17"/>
      <c r="F68" s="17"/>
      <c r="G68" s="27"/>
      <c r="H68" s="27"/>
      <c r="I68" s="28"/>
      <c r="J68" s="29"/>
      <c r="K68" s="30"/>
    </row>
    <row r="69" spans="1:19" ht="30" x14ac:dyDescent="0.25">
      <c r="A69" s="25">
        <v>11</v>
      </c>
      <c r="B69" s="97" t="s">
        <v>158</v>
      </c>
      <c r="C69" s="78"/>
      <c r="D69" s="79"/>
      <c r="E69" s="79"/>
      <c r="F69" s="79"/>
      <c r="G69" s="79"/>
      <c r="H69" s="79"/>
      <c r="I69" s="79"/>
      <c r="J69" s="80"/>
      <c r="K69" s="30"/>
    </row>
    <row r="70" spans="1:19" ht="15" customHeight="1" x14ac:dyDescent="0.25">
      <c r="A70" s="25"/>
      <c r="B70" s="98" t="str">
        <f>B64</f>
        <v>-Tundal</v>
      </c>
      <c r="C70" s="78">
        <f>C64</f>
        <v>2</v>
      </c>
      <c r="D70" s="79">
        <f>D64</f>
        <v>1.1429442243218531</v>
      </c>
      <c r="E70" s="79">
        <f>(3*2+5)/12/3.281</f>
        <v>0.27938636594534183</v>
      </c>
      <c r="F70" s="79"/>
      <c r="G70" s="79">
        <f>PRODUCT(C70:F70)</f>
        <v>0.63864606662300016</v>
      </c>
      <c r="H70" s="79"/>
      <c r="I70" s="79"/>
      <c r="J70" s="80"/>
      <c r="K70" s="30"/>
    </row>
    <row r="71" spans="1:19" ht="15" customHeight="1" x14ac:dyDescent="0.25">
      <c r="A71" s="25"/>
      <c r="B71" s="87"/>
      <c r="C71" s="78">
        <f>C65</f>
        <v>2</v>
      </c>
      <c r="D71" s="79">
        <f>D65</f>
        <v>0.99055166107893933</v>
      </c>
      <c r="E71" s="79">
        <f>(3*2+5)/12/3.281</f>
        <v>0.27938636594534183</v>
      </c>
      <c r="F71" s="79"/>
      <c r="G71" s="79">
        <f>PRODUCT(C71:F71)</f>
        <v>0.55349325773993352</v>
      </c>
      <c r="H71" s="79"/>
      <c r="I71" s="79"/>
      <c r="J71" s="80"/>
      <c r="K71" s="30"/>
    </row>
    <row r="72" spans="1:19" ht="15" customHeight="1" x14ac:dyDescent="0.25">
      <c r="A72" s="25"/>
      <c r="B72" s="87" t="s">
        <v>25</v>
      </c>
      <c r="C72" s="78"/>
      <c r="D72" s="79"/>
      <c r="E72" s="79"/>
      <c r="F72" s="79"/>
      <c r="G72" s="88">
        <f>SUM(G70:G71)</f>
        <v>1.1921393243629337</v>
      </c>
      <c r="H72" s="88" t="s">
        <v>26</v>
      </c>
      <c r="I72" s="89">
        <f>15743.5/1.15</f>
        <v>13690.000000000002</v>
      </c>
      <c r="J72" s="90">
        <f>G72*I72</f>
        <v>16320.387350528565</v>
      </c>
      <c r="K72" s="30"/>
    </row>
    <row r="73" spans="1:19" x14ac:dyDescent="0.25">
      <c r="A73" s="25"/>
      <c r="B73" s="24"/>
      <c r="C73" s="26"/>
      <c r="D73" s="17"/>
      <c r="E73" s="17"/>
      <c r="F73" s="17"/>
      <c r="G73" s="45"/>
      <c r="H73" s="45"/>
      <c r="I73" s="45"/>
      <c r="J73" s="39"/>
      <c r="K73" s="30"/>
    </row>
    <row r="74" spans="1:19" ht="30" x14ac:dyDescent="0.25">
      <c r="A74" s="25">
        <v>11</v>
      </c>
      <c r="B74" s="77" t="s">
        <v>155</v>
      </c>
      <c r="C74" s="78"/>
      <c r="D74" s="79"/>
      <c r="E74" s="79"/>
      <c r="F74" s="79"/>
      <c r="G74" s="79"/>
      <c r="H74" s="79"/>
      <c r="I74" s="79"/>
      <c r="J74" s="80"/>
      <c r="K74" s="30"/>
    </row>
    <row r="75" spans="1:19" ht="15" customHeight="1" x14ac:dyDescent="0.25">
      <c r="A75" s="25"/>
      <c r="B75" s="87" t="s">
        <v>133</v>
      </c>
      <c r="C75" s="78">
        <v>1</v>
      </c>
      <c r="D75" s="79">
        <v>0.9</v>
      </c>
      <c r="E75" s="79"/>
      <c r="F75" s="79">
        <v>1.5</v>
      </c>
      <c r="G75" s="79">
        <f>PRODUCT(C75:F75)</f>
        <v>1.35</v>
      </c>
      <c r="H75" s="79"/>
      <c r="I75" s="79"/>
      <c r="J75" s="80"/>
      <c r="K75" s="30"/>
    </row>
    <row r="76" spans="1:19" ht="15" customHeight="1" x14ac:dyDescent="0.25">
      <c r="A76" s="25"/>
      <c r="B76" s="87" t="s">
        <v>156</v>
      </c>
      <c r="C76" s="78">
        <v>-1</v>
      </c>
      <c r="D76" s="79">
        <v>0.88</v>
      </c>
      <c r="E76" s="79"/>
      <c r="F76" s="79">
        <v>0.3</v>
      </c>
      <c r="G76" s="79">
        <f>PRODUCT(C76:F76)</f>
        <v>-0.26400000000000001</v>
      </c>
      <c r="H76" s="79"/>
      <c r="I76" s="79"/>
      <c r="J76" s="80"/>
      <c r="K76" s="30"/>
    </row>
    <row r="77" spans="1:19" ht="15" customHeight="1" x14ac:dyDescent="0.25">
      <c r="A77" s="25"/>
      <c r="B77" s="87" t="s">
        <v>25</v>
      </c>
      <c r="C77" s="78"/>
      <c r="D77" s="79"/>
      <c r="E77" s="79"/>
      <c r="F77" s="79"/>
      <c r="G77" s="88">
        <f>SUM(G75:G76)</f>
        <v>1.0860000000000001</v>
      </c>
      <c r="H77" s="88" t="s">
        <v>26</v>
      </c>
      <c r="I77" s="89">
        <f>120237.47/1.772</f>
        <v>67854.102708803606</v>
      </c>
      <c r="J77" s="90">
        <f>G77*I77</f>
        <v>73689.555541760725</v>
      </c>
      <c r="K77" s="30"/>
    </row>
    <row r="78" spans="1:19" ht="15" customHeight="1" x14ac:dyDescent="0.25">
      <c r="A78" s="25"/>
      <c r="B78" s="87" t="s">
        <v>142</v>
      </c>
      <c r="C78" s="78"/>
      <c r="D78" s="79"/>
      <c r="E78" s="79"/>
      <c r="F78" s="79"/>
      <c r="G78" s="88"/>
      <c r="H78" s="88"/>
      <c r="I78" s="89"/>
      <c r="J78" s="90">
        <f>0.13*G77*(41917.47/1.772)</f>
        <v>3339.6774348758472</v>
      </c>
      <c r="K78" s="30"/>
    </row>
    <row r="79" spans="1:19" x14ac:dyDescent="0.25">
      <c r="A79" s="25"/>
      <c r="B79" s="24"/>
      <c r="C79" s="26"/>
      <c r="D79" s="17"/>
      <c r="E79" s="17"/>
      <c r="F79" s="17"/>
      <c r="G79" s="45"/>
      <c r="H79" s="45"/>
      <c r="I79" s="45"/>
      <c r="J79" s="39"/>
      <c r="K79" s="30"/>
    </row>
    <row r="80" spans="1:19" ht="45" x14ac:dyDescent="0.25">
      <c r="A80" s="25">
        <v>13</v>
      </c>
      <c r="B80" s="77" t="s">
        <v>125</v>
      </c>
      <c r="C80" s="78"/>
      <c r="D80" s="79"/>
      <c r="E80" s="79"/>
      <c r="F80" s="79"/>
      <c r="G80" s="79"/>
      <c r="H80" s="79"/>
      <c r="I80" s="79"/>
      <c r="J80" s="80"/>
      <c r="K80" s="30"/>
    </row>
    <row r="81" spans="1:11" ht="15" customHeight="1" x14ac:dyDescent="0.25">
      <c r="A81" s="25"/>
      <c r="B81" s="87" t="s">
        <v>96</v>
      </c>
      <c r="C81" s="78">
        <v>1</v>
      </c>
      <c r="D81" s="79">
        <f>D76</f>
        <v>0.88</v>
      </c>
      <c r="E81" s="79"/>
      <c r="F81" s="79">
        <f>F76</f>
        <v>0.3</v>
      </c>
      <c r="G81" s="79">
        <f>PRODUCT(C81:F81)</f>
        <v>0.26400000000000001</v>
      </c>
      <c r="H81" s="79"/>
      <c r="I81" s="79"/>
      <c r="J81" s="80"/>
      <c r="K81" s="30"/>
    </row>
    <row r="82" spans="1:11" ht="15" customHeight="1" x14ac:dyDescent="0.25">
      <c r="A82" s="25"/>
      <c r="B82" s="87" t="s">
        <v>25</v>
      </c>
      <c r="C82" s="78"/>
      <c r="D82" s="79"/>
      <c r="E82" s="79"/>
      <c r="F82" s="79"/>
      <c r="G82" s="88">
        <f>SUM(G81:G81)</f>
        <v>0.26400000000000001</v>
      </c>
      <c r="H82" s="88" t="s">
        <v>26</v>
      </c>
      <c r="I82" s="89">
        <f>69579.92/1.15</f>
        <v>60504.278260869571</v>
      </c>
      <c r="J82" s="90">
        <f>G82*I82</f>
        <v>15973.129460869568</v>
      </c>
      <c r="K82" s="30"/>
    </row>
    <row r="83" spans="1:11" ht="15" customHeight="1" x14ac:dyDescent="0.25">
      <c r="A83" s="25"/>
      <c r="B83" s="87" t="s">
        <v>142</v>
      </c>
      <c r="C83" s="78"/>
      <c r="D83" s="79"/>
      <c r="E83" s="79"/>
      <c r="F83" s="79"/>
      <c r="G83" s="88"/>
      <c r="H83" s="88"/>
      <c r="I83" s="89"/>
      <c r="J83" s="90">
        <f>0.13*G82*(9888.94/0.92)</f>
        <v>368.90045739130437</v>
      </c>
      <c r="K83" s="30"/>
    </row>
    <row r="84" spans="1:11" ht="15" customHeight="1" x14ac:dyDescent="0.25">
      <c r="A84" s="25"/>
      <c r="B84" s="22"/>
      <c r="C84" s="26"/>
      <c r="D84" s="17"/>
      <c r="E84" s="17"/>
      <c r="F84" s="17"/>
      <c r="G84" s="45"/>
      <c r="H84" s="45"/>
      <c r="I84" s="45"/>
      <c r="J84" s="39"/>
      <c r="K84" s="30"/>
    </row>
    <row r="85" spans="1:11" ht="30.75" x14ac:dyDescent="0.25">
      <c r="A85" s="25">
        <v>14</v>
      </c>
      <c r="B85" s="99" t="s">
        <v>97</v>
      </c>
      <c r="C85" s="78"/>
      <c r="D85" s="79"/>
      <c r="E85" s="79"/>
      <c r="F85" s="79"/>
      <c r="G85" s="79"/>
      <c r="H85" s="79"/>
      <c r="I85" s="79"/>
      <c r="J85" s="80"/>
      <c r="K85" s="30"/>
    </row>
    <row r="86" spans="1:11" ht="15" customHeight="1" x14ac:dyDescent="0.25">
      <c r="A86" s="25"/>
      <c r="B86" s="87" t="s">
        <v>98</v>
      </c>
      <c r="C86" s="78">
        <v>1</v>
      </c>
      <c r="D86" s="79">
        <v>0.95</v>
      </c>
      <c r="E86" s="79"/>
      <c r="F86" s="79">
        <v>1.85</v>
      </c>
      <c r="G86" s="79">
        <f>PRODUCT(C86:F86)</f>
        <v>1.7575000000000001</v>
      </c>
      <c r="H86" s="79"/>
      <c r="I86" s="79"/>
      <c r="J86" s="80"/>
      <c r="K86" s="30"/>
    </row>
    <row r="87" spans="1:11" ht="15" customHeight="1" x14ac:dyDescent="0.25">
      <c r="A87" s="25"/>
      <c r="B87" s="87" t="s">
        <v>25</v>
      </c>
      <c r="C87" s="78"/>
      <c r="D87" s="79"/>
      <c r="E87" s="79"/>
      <c r="F87" s="79"/>
      <c r="G87" s="88">
        <f>SUM(G86:G86)</f>
        <v>1.7575000000000001</v>
      </c>
      <c r="H87" s="88" t="s">
        <v>26</v>
      </c>
      <c r="I87" s="89">
        <f>15859.11</f>
        <v>15859.11</v>
      </c>
      <c r="J87" s="90">
        <f>G87*I87</f>
        <v>27872.385825000001</v>
      </c>
      <c r="K87" s="30"/>
    </row>
    <row r="88" spans="1:11" ht="15" customHeight="1" x14ac:dyDescent="0.25">
      <c r="A88" s="25"/>
      <c r="B88" s="87" t="s">
        <v>142</v>
      </c>
      <c r="C88" s="78"/>
      <c r="D88" s="79"/>
      <c r="E88" s="79"/>
      <c r="F88" s="79"/>
      <c r="G88" s="88"/>
      <c r="H88" s="88"/>
      <c r="I88" s="89"/>
      <c r="J88" s="90">
        <f>0.13*G87*(20356.18/2.114)</f>
        <v>2200.0370035477767</v>
      </c>
      <c r="K88" s="30"/>
    </row>
    <row r="89" spans="1:11" ht="15.75" x14ac:dyDescent="0.25">
      <c r="A89" s="25"/>
      <c r="B89" s="11"/>
      <c r="C89" s="26"/>
      <c r="D89" s="17"/>
      <c r="E89" s="17"/>
      <c r="F89" s="17"/>
      <c r="G89" s="45"/>
      <c r="H89" s="45"/>
      <c r="I89" s="45"/>
      <c r="J89" s="39"/>
      <c r="K89" s="30"/>
    </row>
    <row r="90" spans="1:11" ht="30" x14ac:dyDescent="0.25">
      <c r="A90" s="25">
        <v>9</v>
      </c>
      <c r="B90" s="97" t="s">
        <v>132</v>
      </c>
      <c r="C90" s="78"/>
      <c r="D90" s="79"/>
      <c r="E90" s="79"/>
      <c r="F90" s="79"/>
      <c r="G90" s="79"/>
      <c r="H90" s="79"/>
      <c r="I90" s="79"/>
      <c r="J90" s="80"/>
      <c r="K90" s="30"/>
    </row>
    <row r="91" spans="1:11" x14ac:dyDescent="0.25">
      <c r="A91" s="25"/>
      <c r="B91" s="87" t="s">
        <v>92</v>
      </c>
      <c r="C91" s="78">
        <v>2</v>
      </c>
      <c r="D91" s="79">
        <f>7/3.281</f>
        <v>2.1334958854007922</v>
      </c>
      <c r="E91" s="79">
        <f>0.1</f>
        <v>0.1</v>
      </c>
      <c r="F91" s="79">
        <v>0.125</v>
      </c>
      <c r="G91" s="79">
        <f>PRODUCT(C91:F91)</f>
        <v>5.333739713501981E-2</v>
      </c>
      <c r="H91" s="79"/>
      <c r="I91" s="79"/>
      <c r="J91" s="80"/>
      <c r="K91" s="30"/>
    </row>
    <row r="92" spans="1:11" x14ac:dyDescent="0.25">
      <c r="A92" s="25"/>
      <c r="B92" s="87"/>
      <c r="C92" s="78">
        <v>1</v>
      </c>
      <c r="D92" s="79">
        <f>4/3.281</f>
        <v>1.2191405059433098</v>
      </c>
      <c r="E92" s="79">
        <v>0.1</v>
      </c>
      <c r="F92" s="79">
        <v>0.125</v>
      </c>
      <c r="G92" s="79">
        <f>PRODUCT(C92:F92)</f>
        <v>1.5239256324291373E-2</v>
      </c>
      <c r="H92" s="79"/>
      <c r="I92" s="79"/>
      <c r="J92" s="80"/>
      <c r="K92" s="30"/>
    </row>
    <row r="93" spans="1:11" x14ac:dyDescent="0.25">
      <c r="A93" s="25"/>
      <c r="B93" s="87"/>
      <c r="C93" s="78">
        <v>1</v>
      </c>
      <c r="D93" s="79">
        <f>4/3.281</f>
        <v>1.2191405059433098</v>
      </c>
      <c r="E93" s="79">
        <f>3/12/3.281</f>
        <v>7.6196281621456863E-2</v>
      </c>
      <c r="F93" s="79">
        <f>7/12/3.281</f>
        <v>0.17779132378339937</v>
      </c>
      <c r="G93" s="79">
        <f>PRODUCT(C93:F93)</f>
        <v>1.6515742489303892E-2</v>
      </c>
      <c r="H93" s="79"/>
      <c r="I93" s="79"/>
      <c r="J93" s="80"/>
      <c r="K93" s="30"/>
    </row>
    <row r="94" spans="1:11" x14ac:dyDescent="0.25">
      <c r="A94" s="25"/>
      <c r="B94" s="87"/>
      <c r="C94" s="78">
        <v>2</v>
      </c>
      <c r="D94" s="79">
        <f>6.75/3.281</f>
        <v>2.0572996037793354</v>
      </c>
      <c r="E94" s="79">
        <f>4/12/3.281</f>
        <v>0.10159504216194248</v>
      </c>
      <c r="F94" s="79">
        <f>2/12/3.281</f>
        <v>5.0797521080971242E-2</v>
      </c>
      <c r="G94" s="79">
        <f t="shared" ref="G94:G96" si="5">PRODUCT(C94:F94)</f>
        <v>2.1234526057676433E-2</v>
      </c>
      <c r="H94" s="79"/>
      <c r="I94" s="79"/>
      <c r="J94" s="80"/>
      <c r="K94" s="30"/>
    </row>
    <row r="95" spans="1:11" x14ac:dyDescent="0.25">
      <c r="A95" s="25"/>
      <c r="B95" s="87"/>
      <c r="C95" s="78">
        <v>1</v>
      </c>
      <c r="D95" s="79">
        <f>4/3.281</f>
        <v>1.2191405059433098</v>
      </c>
      <c r="E95" s="79">
        <f>4/12/3.281</f>
        <v>0.10159504216194248</v>
      </c>
      <c r="F95" s="79">
        <f>2/12/3.281</f>
        <v>5.0797521080971242E-2</v>
      </c>
      <c r="G95" s="79">
        <f t="shared" si="5"/>
        <v>6.2917114244967201E-3</v>
      </c>
      <c r="H95" s="79"/>
      <c r="I95" s="79"/>
      <c r="J95" s="80"/>
      <c r="K95" s="30"/>
    </row>
    <row r="96" spans="1:11" x14ac:dyDescent="0.25">
      <c r="A96" s="25"/>
      <c r="B96" s="87"/>
      <c r="C96" s="78">
        <v>1</v>
      </c>
      <c r="D96" s="79">
        <f>5/3.281</f>
        <v>1.5239256324291375</v>
      </c>
      <c r="E96" s="79">
        <f>5/12/3.281</f>
        <v>0.12699380270242813</v>
      </c>
      <c r="F96" s="79">
        <f>2/12/3.281</f>
        <v>5.0797521080971242E-2</v>
      </c>
      <c r="G96" s="79">
        <f t="shared" si="5"/>
        <v>9.8307991007761299E-3</v>
      </c>
      <c r="H96" s="79"/>
      <c r="I96" s="79"/>
      <c r="J96" s="80"/>
      <c r="K96" s="30"/>
    </row>
    <row r="97" spans="1:14" ht="15" customHeight="1" x14ac:dyDescent="0.25">
      <c r="A97" s="25"/>
      <c r="B97" s="87" t="s">
        <v>25</v>
      </c>
      <c r="C97" s="78"/>
      <c r="D97" s="79"/>
      <c r="E97" s="79"/>
      <c r="F97" s="79"/>
      <c r="G97" s="88">
        <f>SUM(G91:G96)</f>
        <v>0.12244943253156436</v>
      </c>
      <c r="H97" s="88" t="s">
        <v>29</v>
      </c>
      <c r="I97" s="89">
        <f>353723.98/1.15</f>
        <v>307586.06956521742</v>
      </c>
      <c r="J97" s="90">
        <f>G97*I97</f>
        <v>37663.739672875148</v>
      </c>
      <c r="K97" s="30"/>
      <c r="M97">
        <f>1.03*3.281</f>
        <v>3.3794300000000002</v>
      </c>
    </row>
    <row r="98" spans="1:14" ht="15" customHeight="1" x14ac:dyDescent="0.25">
      <c r="A98" s="25"/>
      <c r="B98" s="87" t="s">
        <v>142</v>
      </c>
      <c r="C98" s="78"/>
      <c r="D98" s="79"/>
      <c r="E98" s="79"/>
      <c r="F98" s="79"/>
      <c r="G98" s="88"/>
      <c r="H98" s="88"/>
      <c r="I98" s="89"/>
      <c r="J98" s="90">
        <f>0.13*G97*262808.07</f>
        <v>4183.4908747080344</v>
      </c>
      <c r="K98" s="30"/>
    </row>
    <row r="99" spans="1:14" ht="15" customHeight="1" x14ac:dyDescent="0.25">
      <c r="A99" s="25"/>
      <c r="B99" s="22"/>
      <c r="C99" s="26"/>
      <c r="D99" s="17"/>
      <c r="E99" s="17"/>
      <c r="F99" s="17"/>
      <c r="G99" s="27"/>
      <c r="H99" s="27"/>
      <c r="I99" s="28"/>
      <c r="J99" s="29"/>
      <c r="K99" s="30"/>
    </row>
    <row r="100" spans="1:14" ht="30" x14ac:dyDescent="0.25">
      <c r="A100" s="96">
        <v>10</v>
      </c>
      <c r="B100" s="77" t="s">
        <v>99</v>
      </c>
      <c r="C100" s="78"/>
      <c r="D100" s="79"/>
      <c r="E100" s="79"/>
      <c r="F100" s="79"/>
      <c r="G100" s="79"/>
      <c r="H100" s="79"/>
      <c r="I100" s="79"/>
      <c r="J100" s="80"/>
      <c r="K100" s="30"/>
    </row>
    <row r="101" spans="1:14" ht="15" customHeight="1" x14ac:dyDescent="0.25">
      <c r="A101" s="96"/>
      <c r="B101" s="87" t="s">
        <v>98</v>
      </c>
      <c r="C101" s="78">
        <v>1</v>
      </c>
      <c r="D101" s="79">
        <v>1.18</v>
      </c>
      <c r="E101" s="79"/>
      <c r="F101" s="79">
        <v>2.0699999999999998</v>
      </c>
      <c r="G101" s="79">
        <f>PRODUCT(C101:F101)</f>
        <v>2.4425999999999997</v>
      </c>
      <c r="H101" s="79"/>
      <c r="I101" s="79"/>
      <c r="J101" s="80"/>
      <c r="K101" s="30"/>
    </row>
    <row r="102" spans="1:14" ht="15" customHeight="1" x14ac:dyDescent="0.25">
      <c r="A102" s="96"/>
      <c r="B102" s="87" t="s">
        <v>159</v>
      </c>
      <c r="C102" s="78">
        <v>0</v>
      </c>
      <c r="D102" s="79">
        <f>D86</f>
        <v>0.95</v>
      </c>
      <c r="E102" s="79"/>
      <c r="F102" s="79">
        <f>F86</f>
        <v>1.85</v>
      </c>
      <c r="G102" s="79">
        <f>PRODUCT(C102:F102)</f>
        <v>0</v>
      </c>
      <c r="H102" s="79"/>
      <c r="I102" s="79"/>
      <c r="J102" s="80"/>
      <c r="K102" s="30"/>
    </row>
    <row r="103" spans="1:14" ht="15" customHeight="1" x14ac:dyDescent="0.25">
      <c r="A103" s="96"/>
      <c r="B103" s="87" t="s">
        <v>25</v>
      </c>
      <c r="C103" s="78"/>
      <c r="D103" s="79"/>
      <c r="E103" s="79"/>
      <c r="F103" s="79"/>
      <c r="G103" s="88">
        <f>SUM(G101:G102)</f>
        <v>2.4425999999999997</v>
      </c>
      <c r="H103" s="88" t="s">
        <v>26</v>
      </c>
      <c r="I103" s="89">
        <f>46573/1.15</f>
        <v>40498.260869565223</v>
      </c>
      <c r="J103" s="90">
        <f>G103*I103</f>
        <v>98921.051999999996</v>
      </c>
      <c r="K103" s="30"/>
    </row>
    <row r="104" spans="1:14" x14ac:dyDescent="0.25">
      <c r="A104" s="25"/>
      <c r="B104" s="24"/>
      <c r="C104" s="26"/>
      <c r="D104" s="17"/>
      <c r="E104" s="17"/>
      <c r="F104" s="17"/>
      <c r="G104" s="45"/>
      <c r="H104" s="45"/>
      <c r="I104" s="45"/>
      <c r="J104" s="39"/>
      <c r="K104" s="30"/>
    </row>
    <row r="105" spans="1:14" ht="30" x14ac:dyDescent="0.25">
      <c r="A105" s="47">
        <v>10</v>
      </c>
      <c r="B105" s="100" t="s">
        <v>99</v>
      </c>
      <c r="C105" s="49"/>
      <c r="D105" s="50"/>
      <c r="E105" s="50"/>
      <c r="F105" s="50"/>
      <c r="G105" s="50"/>
      <c r="H105" s="50"/>
      <c r="I105" s="50"/>
      <c r="J105" s="51"/>
      <c r="K105" s="52"/>
    </row>
    <row r="106" spans="1:14" ht="15" customHeight="1" x14ac:dyDescent="0.25">
      <c r="A106" s="47"/>
      <c r="B106" s="48" t="s">
        <v>160</v>
      </c>
      <c r="C106" s="49">
        <v>0</v>
      </c>
      <c r="D106" s="50">
        <f>D91</f>
        <v>2.1334958854007922</v>
      </c>
      <c r="E106" s="50"/>
      <c r="F106" s="50">
        <f>F91</f>
        <v>0.125</v>
      </c>
      <c r="G106" s="50">
        <f>PRODUCT(C106:F106)</f>
        <v>0</v>
      </c>
      <c r="H106" s="50"/>
      <c r="I106" s="50"/>
      <c r="J106" s="51"/>
      <c r="K106" s="52"/>
    </row>
    <row r="107" spans="1:14" ht="15" customHeight="1" x14ac:dyDescent="0.25">
      <c r="A107" s="47"/>
      <c r="B107" s="48" t="s">
        <v>25</v>
      </c>
      <c r="C107" s="49"/>
      <c r="D107" s="50"/>
      <c r="E107" s="50"/>
      <c r="F107" s="50"/>
      <c r="G107" s="55">
        <f>SUM(G106:G106)</f>
        <v>0</v>
      </c>
      <c r="H107" s="55" t="s">
        <v>26</v>
      </c>
      <c r="I107" s="56">
        <f>46573/1.15</f>
        <v>40498.260869565223</v>
      </c>
      <c r="J107" s="57">
        <f>G107*I107</f>
        <v>0</v>
      </c>
      <c r="K107" s="52"/>
    </row>
    <row r="108" spans="1:14" x14ac:dyDescent="0.25">
      <c r="A108" s="47"/>
      <c r="B108" s="100"/>
      <c r="C108" s="49"/>
      <c r="D108" s="50"/>
      <c r="E108" s="50"/>
      <c r="F108" s="50"/>
      <c r="G108" s="50"/>
      <c r="H108" s="50"/>
      <c r="I108" s="50"/>
      <c r="J108" s="51"/>
      <c r="K108" s="52"/>
    </row>
    <row r="109" spans="1:14" ht="47.25" x14ac:dyDescent="0.25">
      <c r="A109" s="102">
        <v>10</v>
      </c>
      <c r="B109" s="103" t="s">
        <v>53</v>
      </c>
      <c r="C109" s="104"/>
      <c r="D109" s="104"/>
      <c r="E109" s="104"/>
      <c r="F109" s="104"/>
      <c r="G109" s="105"/>
      <c r="H109" s="84"/>
      <c r="I109" s="85"/>
      <c r="J109" s="85"/>
      <c r="K109" s="16"/>
    </row>
    <row r="110" spans="1:14" ht="15" customHeight="1" x14ac:dyDescent="0.25">
      <c r="A110" s="102"/>
      <c r="B110" s="81" t="s">
        <v>54</v>
      </c>
      <c r="C110" s="82">
        <v>1</v>
      </c>
      <c r="D110" s="92"/>
      <c r="E110" s="83">
        <f>11.667/3.281</f>
        <v>3.555928070710149</v>
      </c>
      <c r="F110" s="83">
        <f>18.33/3.281</f>
        <v>5.5867113684852168</v>
      </c>
      <c r="G110" s="79">
        <f t="shared" ref="G110:G119" si="6">PRODUCT(C110:F110)</f>
        <v>19.865943778152094</v>
      </c>
      <c r="H110" s="84"/>
      <c r="I110" s="85"/>
      <c r="J110" s="86"/>
      <c r="K110" s="16"/>
      <c r="N110" s="21"/>
    </row>
    <row r="111" spans="1:14" ht="15" customHeight="1" x14ac:dyDescent="0.25">
      <c r="A111" s="102"/>
      <c r="B111" s="81" t="s">
        <v>161</v>
      </c>
      <c r="C111" s="82">
        <v>-1</v>
      </c>
      <c r="D111" s="92">
        <f>3/3.281</f>
        <v>0.91435537945748246</v>
      </c>
      <c r="E111" s="83"/>
      <c r="F111" s="83">
        <f>5/3.281</f>
        <v>1.5239256324291375</v>
      </c>
      <c r="G111" s="79">
        <f t="shared" si="6"/>
        <v>-1.393409599904728</v>
      </c>
      <c r="H111" s="84"/>
      <c r="I111" s="85"/>
      <c r="J111" s="86"/>
      <c r="K111" s="16"/>
      <c r="N111" s="21"/>
    </row>
    <row r="112" spans="1:14" ht="15" customHeight="1" x14ac:dyDescent="0.25">
      <c r="A112" s="102"/>
      <c r="B112" s="81" t="s">
        <v>23</v>
      </c>
      <c r="C112" s="82">
        <v>-1</v>
      </c>
      <c r="D112" s="92">
        <f>D101</f>
        <v>1.18</v>
      </c>
      <c r="E112" s="83"/>
      <c r="F112" s="83">
        <f>F101</f>
        <v>2.0699999999999998</v>
      </c>
      <c r="G112" s="79">
        <f t="shared" si="6"/>
        <v>-2.4425999999999997</v>
      </c>
      <c r="H112" s="84"/>
      <c r="I112" s="85"/>
      <c r="J112" s="86"/>
      <c r="K112" s="16"/>
      <c r="N112" s="21"/>
    </row>
    <row r="113" spans="1:14" ht="15" customHeight="1" x14ac:dyDescent="0.25">
      <c r="A113" s="102"/>
      <c r="B113" s="81" t="s">
        <v>56</v>
      </c>
      <c r="C113" s="82">
        <v>-1</v>
      </c>
      <c r="D113" s="92"/>
      <c r="E113" s="83">
        <f>E110</f>
        <v>3.555928070710149</v>
      </c>
      <c r="F113" s="83">
        <f>(2.5/12/3.281)*12</f>
        <v>0.76196281621456885</v>
      </c>
      <c r="G113" s="79">
        <f t="shared" si="6"/>
        <v>-2.7094849670147436</v>
      </c>
      <c r="H113" s="84"/>
      <c r="I113" s="85"/>
      <c r="J113" s="86"/>
      <c r="K113" s="16"/>
      <c r="N113" s="21"/>
    </row>
    <row r="114" spans="1:14" ht="15" customHeight="1" x14ac:dyDescent="0.25">
      <c r="A114" s="102"/>
      <c r="B114" s="81" t="s">
        <v>55</v>
      </c>
      <c r="C114" s="82">
        <v>1</v>
      </c>
      <c r="D114" s="92"/>
      <c r="E114" s="83">
        <f>78/12/3.281</f>
        <v>1.9811033221578787</v>
      </c>
      <c r="F114" s="83">
        <f>18.083/3.281</f>
        <v>5.5114294422432177</v>
      </c>
      <c r="G114" s="79">
        <f t="shared" si="6"/>
        <v>10.918711177866783</v>
      </c>
      <c r="H114" s="84"/>
      <c r="I114" s="85"/>
      <c r="J114" s="86"/>
      <c r="K114" s="16"/>
      <c r="N114" s="21"/>
    </row>
    <row r="115" spans="1:14" ht="15" customHeight="1" x14ac:dyDescent="0.25">
      <c r="A115" s="102"/>
      <c r="B115" s="81"/>
      <c r="C115" s="82">
        <v>1</v>
      </c>
      <c r="D115" s="92"/>
      <c r="E115" s="92">
        <f>92/12/3.281</f>
        <v>2.3366859697246776</v>
      </c>
      <c r="F115" s="83">
        <f>32/12/3.281</f>
        <v>0.81276033729553987</v>
      </c>
      <c r="G115" s="79">
        <f t="shared" si="6"/>
        <v>1.8991656769071845</v>
      </c>
      <c r="H115" s="84"/>
      <c r="I115" s="85"/>
      <c r="J115" s="86"/>
      <c r="K115" s="16"/>
      <c r="N115" s="21"/>
    </row>
    <row r="116" spans="1:14" ht="15" customHeight="1" x14ac:dyDescent="0.25">
      <c r="A116" s="102"/>
      <c r="B116" s="81"/>
      <c r="C116" s="82">
        <v>1</v>
      </c>
      <c r="D116" s="92"/>
      <c r="E116" s="83">
        <f>7.5/12/3.281</f>
        <v>0.19049070405364218</v>
      </c>
      <c r="F116" s="83">
        <v>0.9</v>
      </c>
      <c r="G116" s="79">
        <f t="shared" si="6"/>
        <v>0.17144163364827797</v>
      </c>
      <c r="H116" s="84"/>
      <c r="I116" s="85"/>
      <c r="J116" s="86"/>
      <c r="K116" s="16"/>
      <c r="N116" s="21"/>
    </row>
    <row r="117" spans="1:14" ht="15" customHeight="1" x14ac:dyDescent="0.25">
      <c r="A117" s="102"/>
      <c r="B117" s="81" t="s">
        <v>162</v>
      </c>
      <c r="C117" s="82">
        <v>-1</v>
      </c>
      <c r="D117" s="92">
        <f>2/3.281</f>
        <v>0.6095702529716549</v>
      </c>
      <c r="E117" s="83"/>
      <c r="F117" s="83">
        <f>14/12/3.281</f>
        <v>0.35558264756679875</v>
      </c>
      <c r="G117" s="79">
        <f t="shared" si="6"/>
        <v>-0.21675260442962432</v>
      </c>
      <c r="H117" s="84"/>
      <c r="I117" s="85"/>
      <c r="J117" s="86"/>
      <c r="K117" s="16"/>
      <c r="N117" s="21"/>
    </row>
    <row r="118" spans="1:14" ht="15" customHeight="1" x14ac:dyDescent="0.25">
      <c r="A118" s="102"/>
      <c r="B118" s="81"/>
      <c r="C118" s="82">
        <v>-1</v>
      </c>
      <c r="D118" s="92">
        <f>11/12/3.281</f>
        <v>0.27938636594534183</v>
      </c>
      <c r="E118" s="83"/>
      <c r="F118" s="83">
        <f>5.42/3.281</f>
        <v>1.6519353855531849</v>
      </c>
      <c r="G118" s="79">
        <f t="shared" si="6"/>
        <v>-0.46152822414622147</v>
      </c>
      <c r="H118" s="84"/>
      <c r="I118" s="85"/>
      <c r="J118" s="86"/>
      <c r="K118" s="16"/>
      <c r="N118" s="21"/>
    </row>
    <row r="119" spans="1:14" ht="15" customHeight="1" x14ac:dyDescent="0.25">
      <c r="A119" s="102"/>
      <c r="B119" s="101" t="s">
        <v>56</v>
      </c>
      <c r="C119" s="106">
        <v>-1</v>
      </c>
      <c r="D119" s="107"/>
      <c r="E119" s="108">
        <f>E114</f>
        <v>1.9811033221578787</v>
      </c>
      <c r="F119" s="109">
        <f>(2.5/12/3.281)*5</f>
        <v>0.31748450675607032</v>
      </c>
      <c r="G119" s="50">
        <f t="shared" si="6"/>
        <v>-0.62896961106810634</v>
      </c>
      <c r="H119" s="84"/>
      <c r="I119" s="85"/>
      <c r="J119" s="86"/>
      <c r="K119" s="16"/>
      <c r="N119" s="21"/>
    </row>
    <row r="120" spans="1:14" ht="15" customHeight="1" x14ac:dyDescent="0.25">
      <c r="A120" s="102"/>
      <c r="B120" s="87" t="s">
        <v>25</v>
      </c>
      <c r="C120" s="82"/>
      <c r="D120" s="92"/>
      <c r="E120" s="83"/>
      <c r="F120" s="83"/>
      <c r="G120" s="85">
        <f>SUM(G110:G119)</f>
        <v>25.002517260010912</v>
      </c>
      <c r="H120" s="84" t="s">
        <v>26</v>
      </c>
      <c r="I120" s="85">
        <f>5810.57/1.15</f>
        <v>5052.6695652173912</v>
      </c>
      <c r="J120" s="86">
        <f>G120*I120</f>
        <v>126329.45801347966</v>
      </c>
      <c r="K120" s="16"/>
      <c r="N120" s="21"/>
    </row>
    <row r="121" spans="1:14" ht="15" customHeight="1" x14ac:dyDescent="0.25">
      <c r="A121" s="102"/>
      <c r="B121" s="87" t="s">
        <v>44</v>
      </c>
      <c r="C121" s="82"/>
      <c r="D121" s="92"/>
      <c r="E121" s="83"/>
      <c r="F121" s="83"/>
      <c r="G121" s="85"/>
      <c r="H121" s="84"/>
      <c r="I121" s="85"/>
      <c r="J121" s="86">
        <f>G120*0.13*(309557.25/100)</f>
        <v>10061.623631912467</v>
      </c>
      <c r="K121" s="16"/>
      <c r="N121" s="21"/>
    </row>
    <row r="122" spans="1:14" ht="15" customHeight="1" x14ac:dyDescent="0.25">
      <c r="A122" s="102"/>
      <c r="B122" s="87"/>
      <c r="C122" s="82"/>
      <c r="D122" s="92"/>
      <c r="E122" s="83"/>
      <c r="F122" s="83"/>
      <c r="G122" s="85"/>
      <c r="H122" s="84"/>
      <c r="I122" s="85"/>
      <c r="J122" s="86"/>
      <c r="K122" s="16"/>
      <c r="N122" s="21"/>
    </row>
    <row r="123" spans="1:14" ht="47.25" x14ac:dyDescent="0.25">
      <c r="A123" s="102">
        <v>11</v>
      </c>
      <c r="B123" s="103" t="s">
        <v>67</v>
      </c>
      <c r="C123" s="82"/>
      <c r="D123" s="92"/>
      <c r="E123" s="83"/>
      <c r="F123" s="83"/>
      <c r="G123" s="85"/>
      <c r="H123" s="84"/>
      <c r="I123" s="85"/>
      <c r="J123" s="86"/>
      <c r="K123" s="16"/>
      <c r="N123" s="21"/>
    </row>
    <row r="124" spans="1:14" ht="15" customHeight="1" x14ac:dyDescent="0.25">
      <c r="A124" s="102"/>
      <c r="B124" s="87" t="s">
        <v>49</v>
      </c>
      <c r="C124" s="82">
        <v>2</v>
      </c>
      <c r="D124" s="92">
        <f>E110+E114</f>
        <v>5.5370313928680277</v>
      </c>
      <c r="E124" s="83"/>
      <c r="F124" s="83"/>
      <c r="G124" s="79">
        <f>PRODUCT(C124:F124)</f>
        <v>11.074062785736055</v>
      </c>
      <c r="H124" s="84"/>
      <c r="I124" s="85"/>
      <c r="J124" s="86"/>
      <c r="K124" s="16"/>
      <c r="N124" s="21"/>
    </row>
    <row r="125" spans="1:14" ht="15" customHeight="1" x14ac:dyDescent="0.25">
      <c r="A125" s="102"/>
      <c r="B125" s="87" t="s">
        <v>25</v>
      </c>
      <c r="C125" s="82"/>
      <c r="D125" s="92"/>
      <c r="E125" s="83"/>
      <c r="F125" s="83"/>
      <c r="G125" s="85">
        <f>SUM(G124:G124)</f>
        <v>11.074062785736055</v>
      </c>
      <c r="H125" s="84" t="s">
        <v>68</v>
      </c>
      <c r="I125" s="85">
        <f>396.86/1.15</f>
        <v>345.09565217391309</v>
      </c>
      <c r="J125" s="86">
        <f>G125*I125</f>
        <v>3821.6109192584449</v>
      </c>
      <c r="K125" s="16"/>
      <c r="N125" s="21"/>
    </row>
    <row r="126" spans="1:14" ht="15" customHeight="1" x14ac:dyDescent="0.25">
      <c r="A126" s="102"/>
      <c r="B126" s="87" t="s">
        <v>44</v>
      </c>
      <c r="C126" s="82"/>
      <c r="D126" s="92"/>
      <c r="E126" s="83"/>
      <c r="F126" s="83"/>
      <c r="G126" s="85"/>
      <c r="H126" s="84"/>
      <c r="I126" s="85"/>
      <c r="J126" s="86">
        <f>G125*0.13*(2182.61/10)</f>
        <v>314.21468229807988</v>
      </c>
      <c r="K126" s="16"/>
      <c r="N126" s="21"/>
    </row>
    <row r="127" spans="1:14" ht="15" customHeight="1" x14ac:dyDescent="0.25">
      <c r="A127" s="102"/>
      <c r="B127" s="87"/>
      <c r="C127" s="82"/>
      <c r="D127" s="92"/>
      <c r="E127" s="83"/>
      <c r="F127" s="83"/>
      <c r="G127" s="85"/>
      <c r="H127" s="84"/>
      <c r="I127" s="85"/>
      <c r="J127" s="86"/>
      <c r="K127" s="16"/>
      <c r="N127" s="21"/>
    </row>
    <row r="128" spans="1:14" ht="47.25" x14ac:dyDescent="0.25">
      <c r="A128" s="102">
        <v>12</v>
      </c>
      <c r="B128" s="103" t="s">
        <v>69</v>
      </c>
      <c r="C128" s="82"/>
      <c r="D128" s="92"/>
      <c r="E128" s="83"/>
      <c r="F128" s="83"/>
      <c r="G128" s="85"/>
      <c r="H128" s="84"/>
      <c r="I128" s="85"/>
      <c r="J128" s="86"/>
      <c r="K128" s="16"/>
      <c r="N128" s="21"/>
    </row>
    <row r="129" spans="1:14" ht="15" customHeight="1" x14ac:dyDescent="0.25">
      <c r="A129" s="102"/>
      <c r="B129" s="87" t="s">
        <v>49</v>
      </c>
      <c r="C129" s="82">
        <f>1</f>
        <v>1</v>
      </c>
      <c r="D129" s="92">
        <f>D124</f>
        <v>5.5370313928680277</v>
      </c>
      <c r="E129" s="83"/>
      <c r="F129" s="83"/>
      <c r="G129" s="79">
        <f>PRODUCT(C129:F129)</f>
        <v>5.5370313928680277</v>
      </c>
      <c r="H129" s="84"/>
      <c r="I129" s="85"/>
      <c r="J129" s="86"/>
      <c r="K129" s="16"/>
      <c r="N129" s="21"/>
    </row>
    <row r="130" spans="1:14" ht="15" customHeight="1" x14ac:dyDescent="0.25">
      <c r="A130" s="102"/>
      <c r="B130" s="87" t="s">
        <v>25</v>
      </c>
      <c r="C130" s="82"/>
      <c r="D130" s="92"/>
      <c r="E130" s="83"/>
      <c r="F130" s="83"/>
      <c r="G130" s="85">
        <f>SUM(G129:G129)</f>
        <v>5.5370313928680277</v>
      </c>
      <c r="H130" s="84" t="s">
        <v>68</v>
      </c>
      <c r="I130" s="85">
        <f>465.63/1.15</f>
        <v>404.89565217391305</v>
      </c>
      <c r="J130" s="86">
        <f>G130*I130</f>
        <v>2241.9199369227304</v>
      </c>
      <c r="K130" s="16"/>
      <c r="N130" s="21"/>
    </row>
    <row r="131" spans="1:14" ht="15" customHeight="1" x14ac:dyDescent="0.25">
      <c r="A131" s="102"/>
      <c r="B131" s="87" t="s">
        <v>44</v>
      </c>
      <c r="C131" s="82"/>
      <c r="D131" s="92"/>
      <c r="E131" s="83"/>
      <c r="F131" s="83"/>
      <c r="G131" s="85"/>
      <c r="H131" s="84"/>
      <c r="I131" s="85"/>
      <c r="J131" s="86">
        <f>G130*0.13*(2780.61/10)</f>
        <v>200.15222319719598</v>
      </c>
      <c r="K131" s="16"/>
      <c r="N131" s="21"/>
    </row>
    <row r="132" spans="1:14" ht="15" customHeight="1" x14ac:dyDescent="0.25">
      <c r="A132" s="12"/>
      <c r="B132" s="22"/>
      <c r="C132" s="14"/>
      <c r="D132" s="15"/>
      <c r="E132" s="16"/>
      <c r="F132" s="16"/>
      <c r="G132" s="19"/>
      <c r="H132" s="18"/>
      <c r="I132" s="19"/>
      <c r="J132" s="20"/>
      <c r="K132" s="16"/>
      <c r="N132" s="21"/>
    </row>
    <row r="133" spans="1:14" ht="47.25" x14ac:dyDescent="0.25">
      <c r="A133" s="102">
        <v>15</v>
      </c>
      <c r="B133" s="103" t="s">
        <v>72</v>
      </c>
      <c r="C133" s="82"/>
      <c r="D133" s="92"/>
      <c r="E133" s="83"/>
      <c r="F133" s="83"/>
      <c r="G133" s="85"/>
      <c r="H133" s="84"/>
      <c r="I133" s="85"/>
      <c r="J133" s="86"/>
      <c r="K133" s="16"/>
      <c r="N133" s="21"/>
    </row>
    <row r="134" spans="1:14" ht="15" customHeight="1" x14ac:dyDescent="0.25">
      <c r="A134" s="102"/>
      <c r="B134" s="87" t="s">
        <v>49</v>
      </c>
      <c r="C134" s="82">
        <f>1*2</f>
        <v>2</v>
      </c>
      <c r="D134" s="92">
        <f>D129</f>
        <v>5.5370313928680277</v>
      </c>
      <c r="E134" s="83"/>
      <c r="F134" s="83"/>
      <c r="G134" s="79">
        <f>PRODUCT(C134:F134)</f>
        <v>11.074062785736055</v>
      </c>
      <c r="H134" s="84"/>
      <c r="I134" s="85"/>
      <c r="J134" s="86"/>
      <c r="K134" s="16"/>
      <c r="N134" s="21"/>
    </row>
    <row r="135" spans="1:14" ht="15" customHeight="1" x14ac:dyDescent="0.25">
      <c r="A135" s="102"/>
      <c r="B135" s="87"/>
      <c r="C135" s="82">
        <v>1</v>
      </c>
      <c r="D135" s="92">
        <f>E114</f>
        <v>1.9811033221578787</v>
      </c>
      <c r="E135" s="83"/>
      <c r="F135" s="83"/>
      <c r="G135" s="79">
        <f>PRODUCT(C135:F135)</f>
        <v>1.9811033221578787</v>
      </c>
      <c r="H135" s="84"/>
      <c r="I135" s="85"/>
      <c r="J135" s="86"/>
      <c r="K135" s="16"/>
      <c r="N135" s="21"/>
    </row>
    <row r="136" spans="1:14" ht="15" customHeight="1" x14ac:dyDescent="0.25">
      <c r="A136" s="102"/>
      <c r="B136" s="87" t="s">
        <v>25</v>
      </c>
      <c r="C136" s="82"/>
      <c r="D136" s="92"/>
      <c r="E136" s="83"/>
      <c r="F136" s="83"/>
      <c r="G136" s="85">
        <f>SUM(G134:G135)</f>
        <v>13.055166107893934</v>
      </c>
      <c r="H136" s="84" t="s">
        <v>68</v>
      </c>
      <c r="I136" s="85">
        <f>469.79/1.15</f>
        <v>408.5130434782609</v>
      </c>
      <c r="J136" s="86">
        <f>G136*I136</f>
        <v>5333.2056398499926</v>
      </c>
      <c r="K136" s="16"/>
      <c r="N136" s="21"/>
    </row>
    <row r="137" spans="1:14" ht="15" customHeight="1" x14ac:dyDescent="0.25">
      <c r="A137" s="102"/>
      <c r="B137" s="87" t="s">
        <v>44</v>
      </c>
      <c r="C137" s="82"/>
      <c r="D137" s="92"/>
      <c r="E137" s="83"/>
      <c r="F137" s="83"/>
      <c r="G137" s="85"/>
      <c r="H137" s="84"/>
      <c r="I137" s="85"/>
      <c r="J137" s="86">
        <f>G136*0.13*(2140.61/10)</f>
        <v>363.2982485888449</v>
      </c>
      <c r="K137" s="16"/>
      <c r="N137" s="21"/>
    </row>
    <row r="138" spans="1:14" ht="15" customHeight="1" x14ac:dyDescent="0.25">
      <c r="A138" s="12"/>
      <c r="B138" s="30"/>
      <c r="C138" s="14"/>
      <c r="D138" s="15"/>
      <c r="E138" s="16"/>
      <c r="F138" s="16"/>
      <c r="G138" s="19"/>
      <c r="H138" s="18"/>
      <c r="I138" s="19"/>
      <c r="J138" s="20"/>
      <c r="K138" s="16"/>
      <c r="N138" s="21"/>
    </row>
    <row r="139" spans="1:14" ht="47.25" x14ac:dyDescent="0.25">
      <c r="A139" s="102">
        <v>18</v>
      </c>
      <c r="B139" s="103" t="s">
        <v>75</v>
      </c>
      <c r="C139" s="82"/>
      <c r="D139" s="92"/>
      <c r="E139" s="83"/>
      <c r="F139" s="83"/>
      <c r="G139" s="85"/>
      <c r="H139" s="84"/>
      <c r="I139" s="85"/>
      <c r="J139" s="86"/>
      <c r="K139" s="16"/>
      <c r="N139" s="21"/>
    </row>
    <row r="140" spans="1:14" ht="15" customHeight="1" x14ac:dyDescent="0.25">
      <c r="A140" s="102"/>
      <c r="B140" s="87" t="s">
        <v>49</v>
      </c>
      <c r="C140" s="82">
        <f>1*2</f>
        <v>2</v>
      </c>
      <c r="D140" s="92">
        <f>D134</f>
        <v>5.5370313928680277</v>
      </c>
      <c r="E140" s="83"/>
      <c r="F140" s="83"/>
      <c r="G140" s="79">
        <f>PRODUCT(C140:F140)</f>
        <v>11.074062785736055</v>
      </c>
      <c r="H140" s="84"/>
      <c r="I140" s="85"/>
      <c r="J140" s="86"/>
      <c r="K140" s="16"/>
      <c r="N140" s="21"/>
    </row>
    <row r="141" spans="1:14" ht="15" customHeight="1" x14ac:dyDescent="0.25">
      <c r="A141" s="102"/>
      <c r="B141" s="87"/>
      <c r="C141" s="82">
        <v>1</v>
      </c>
      <c r="D141" s="92">
        <f>E110</f>
        <v>3.555928070710149</v>
      </c>
      <c r="E141" s="83"/>
      <c r="F141" s="83"/>
      <c r="G141" s="79">
        <f>PRODUCT(C141:F141)</f>
        <v>3.555928070710149</v>
      </c>
      <c r="H141" s="84"/>
      <c r="I141" s="85"/>
      <c r="J141" s="86"/>
      <c r="K141" s="16"/>
      <c r="N141" s="21"/>
    </row>
    <row r="142" spans="1:14" ht="15" customHeight="1" x14ac:dyDescent="0.25">
      <c r="A142" s="102"/>
      <c r="B142" s="87" t="s">
        <v>25</v>
      </c>
      <c r="C142" s="82"/>
      <c r="D142" s="92"/>
      <c r="E142" s="83"/>
      <c r="F142" s="83"/>
      <c r="G142" s="85">
        <f>SUM(G140:G141)</f>
        <v>14.629990856446204</v>
      </c>
      <c r="H142" s="84" t="s">
        <v>68</v>
      </c>
      <c r="I142" s="85">
        <f>487.71/1.15</f>
        <v>424.09565217391304</v>
      </c>
      <c r="J142" s="86">
        <f>G142*I142</f>
        <v>6204.5155135629375</v>
      </c>
      <c r="K142" s="16"/>
      <c r="N142" s="21"/>
    </row>
    <row r="143" spans="1:14" ht="15" customHeight="1" x14ac:dyDescent="0.25">
      <c r="A143" s="102"/>
      <c r="B143" s="87" t="s">
        <v>44</v>
      </c>
      <c r="C143" s="82"/>
      <c r="D143" s="92"/>
      <c r="E143" s="83"/>
      <c r="F143" s="83"/>
      <c r="G143" s="85"/>
      <c r="H143" s="84"/>
      <c r="I143" s="85"/>
      <c r="J143" s="86">
        <f>G142*0.13*(2972.61/10)</f>
        <v>565.36034255714719</v>
      </c>
      <c r="K143" s="16"/>
      <c r="N143" s="21"/>
    </row>
    <row r="144" spans="1:14" ht="15" customHeight="1" x14ac:dyDescent="0.25">
      <c r="A144" s="12"/>
      <c r="B144" s="22"/>
      <c r="C144" s="14"/>
      <c r="D144" s="15"/>
      <c r="E144" s="16"/>
      <c r="F144" s="16"/>
      <c r="G144" s="19"/>
      <c r="H144" s="18"/>
      <c r="I144" s="19"/>
      <c r="J144" s="20"/>
      <c r="K144" s="16"/>
      <c r="N144" s="21"/>
    </row>
    <row r="145" spans="1:14" ht="47.25" x14ac:dyDescent="0.25">
      <c r="A145" s="102">
        <v>20</v>
      </c>
      <c r="B145" s="103" t="s">
        <v>77</v>
      </c>
      <c r="C145" s="82"/>
      <c r="D145" s="92"/>
      <c r="E145" s="83"/>
      <c r="F145" s="83"/>
      <c r="G145" s="85"/>
      <c r="H145" s="84"/>
      <c r="I145" s="85"/>
      <c r="J145" s="86"/>
      <c r="K145" s="16"/>
      <c r="N145" s="21"/>
    </row>
    <row r="146" spans="1:14" ht="15" customHeight="1" x14ac:dyDescent="0.25">
      <c r="A146" s="102"/>
      <c r="B146" s="87" t="s">
        <v>49</v>
      </c>
      <c r="C146" s="82">
        <f>2</f>
        <v>2</v>
      </c>
      <c r="D146" s="92">
        <f>E110</f>
        <v>3.555928070710149</v>
      </c>
      <c r="E146" s="83"/>
      <c r="F146" s="83"/>
      <c r="G146" s="79">
        <f>PRODUCT(C146:F146)</f>
        <v>7.1118561414202981</v>
      </c>
      <c r="H146" s="84"/>
      <c r="I146" s="85"/>
      <c r="J146" s="86"/>
      <c r="K146" s="16"/>
      <c r="N146" s="21"/>
    </row>
    <row r="147" spans="1:14" ht="15" customHeight="1" x14ac:dyDescent="0.25">
      <c r="A147" s="102"/>
      <c r="B147" s="87" t="s">
        <v>25</v>
      </c>
      <c r="C147" s="82"/>
      <c r="D147" s="92"/>
      <c r="E147" s="83"/>
      <c r="F147" s="83"/>
      <c r="G147" s="85">
        <f>SUM(G146:G146)</f>
        <v>7.1118561414202981</v>
      </c>
      <c r="H147" s="84" t="s">
        <v>68</v>
      </c>
      <c r="I147" s="85">
        <f>465.63/1.15</f>
        <v>404.89565217391305</v>
      </c>
      <c r="J147" s="86">
        <f>G147*I147</f>
        <v>2879.5596305474205</v>
      </c>
      <c r="K147" s="16"/>
      <c r="N147" s="21"/>
    </row>
    <row r="148" spans="1:14" ht="15" customHeight="1" x14ac:dyDescent="0.25">
      <c r="A148" s="102"/>
      <c r="B148" s="87" t="s">
        <v>44</v>
      </c>
      <c r="C148" s="82"/>
      <c r="D148" s="92"/>
      <c r="E148" s="83"/>
      <c r="F148" s="83"/>
      <c r="G148" s="85"/>
      <c r="H148" s="84"/>
      <c r="I148" s="85"/>
      <c r="J148" s="86">
        <f>G147*0.13*(2780.61/10)</f>
        <v>257.07887797013109</v>
      </c>
      <c r="K148" s="16"/>
      <c r="N148" s="21"/>
    </row>
    <row r="149" spans="1:14" ht="15" customHeight="1" x14ac:dyDescent="0.25">
      <c r="A149" s="12"/>
      <c r="B149" s="22"/>
      <c r="C149" s="14"/>
      <c r="D149" s="15"/>
      <c r="E149" s="16"/>
      <c r="F149" s="16"/>
      <c r="G149" s="19"/>
      <c r="H149" s="18"/>
      <c r="I149" s="19"/>
      <c r="J149" s="20"/>
      <c r="K149" s="16"/>
      <c r="N149" s="21"/>
    </row>
    <row r="150" spans="1:14" s="1" customFormat="1" ht="30" x14ac:dyDescent="0.25">
      <c r="A150" s="12">
        <v>15</v>
      </c>
      <c r="B150" s="54" t="s">
        <v>106</v>
      </c>
      <c r="C150" s="32">
        <v>0</v>
      </c>
      <c r="D150" s="33"/>
      <c r="E150" s="33"/>
      <c r="F150" s="33"/>
      <c r="G150" s="37">
        <f>PRODUCT(C150:F150)</f>
        <v>0</v>
      </c>
      <c r="H150" s="37" t="s">
        <v>107</v>
      </c>
      <c r="I150" s="37">
        <v>80000</v>
      </c>
      <c r="J150" s="39">
        <f>G150*I150</f>
        <v>0</v>
      </c>
      <c r="K150" s="34"/>
      <c r="M150"/>
    </row>
    <row r="151" spans="1:14" ht="15" customHeight="1" x14ac:dyDescent="0.25">
      <c r="A151" s="25"/>
      <c r="B151" s="41"/>
      <c r="C151" s="26"/>
      <c r="D151" s="17"/>
      <c r="E151" s="17"/>
      <c r="F151" s="17"/>
      <c r="G151" s="45"/>
      <c r="H151" s="45"/>
      <c r="I151" s="45"/>
      <c r="J151" s="39"/>
      <c r="K151" s="30"/>
    </row>
    <row r="152" spans="1:14" ht="15" customHeight="1" x14ac:dyDescent="0.25">
      <c r="A152" s="12">
        <v>16</v>
      </c>
      <c r="B152" s="61" t="s">
        <v>108</v>
      </c>
      <c r="C152" s="14">
        <v>1</v>
      </c>
      <c r="D152" s="15"/>
      <c r="E152" s="16"/>
      <c r="F152" s="16"/>
      <c r="G152" s="37">
        <f>PRODUCT(C152:F152)</f>
        <v>1</v>
      </c>
      <c r="H152" s="18" t="s">
        <v>90</v>
      </c>
      <c r="I152" s="19">
        <v>1000</v>
      </c>
      <c r="J152" s="37">
        <f>G152*I152</f>
        <v>1000</v>
      </c>
      <c r="K152" s="16"/>
      <c r="N152" s="21"/>
    </row>
    <row r="153" spans="1:14" ht="15" customHeight="1" x14ac:dyDescent="0.25">
      <c r="A153" s="12"/>
      <c r="B153" s="59"/>
      <c r="C153" s="14"/>
      <c r="D153" s="15"/>
      <c r="E153" s="16"/>
      <c r="F153" s="16"/>
      <c r="G153" s="19"/>
      <c r="H153" s="18"/>
      <c r="I153" s="19"/>
      <c r="J153" s="20"/>
      <c r="K153" s="16"/>
      <c r="N153" s="21"/>
    </row>
    <row r="154" spans="1:14" x14ac:dyDescent="0.25">
      <c r="A154" s="25"/>
      <c r="B154" s="62" t="s">
        <v>128</v>
      </c>
      <c r="C154" s="63"/>
      <c r="D154" s="64"/>
      <c r="E154" s="64"/>
      <c r="F154" s="64"/>
      <c r="G154" s="20"/>
      <c r="H154" s="20"/>
      <c r="I154" s="20"/>
      <c r="J154" s="20">
        <f>SUM(J37:J152)</f>
        <v>1114638.6512530155</v>
      </c>
      <c r="K154" s="30"/>
    </row>
    <row r="156" spans="1:14" s="1" customFormat="1" hidden="1" x14ac:dyDescent="0.25">
      <c r="B156" s="34" t="s">
        <v>110</v>
      </c>
      <c r="C156" s="132">
        <f>J154</f>
        <v>1114638.6512530155</v>
      </c>
      <c r="D156" s="132"/>
      <c r="E156" s="132"/>
      <c r="F156" s="65"/>
      <c r="G156" s="66"/>
      <c r="H156" s="65"/>
      <c r="I156" s="67"/>
      <c r="J156" s="68"/>
      <c r="K156" s="69"/>
      <c r="M156"/>
    </row>
    <row r="157" spans="1:14" hidden="1" x14ac:dyDescent="0.25">
      <c r="B157" s="74" t="s">
        <v>126</v>
      </c>
      <c r="C157" s="133">
        <f>C156*0.13</f>
        <v>144903.02466289201</v>
      </c>
      <c r="D157" s="133"/>
      <c r="E157" s="133"/>
    </row>
    <row r="158" spans="1:14" hidden="1" x14ac:dyDescent="0.25">
      <c r="B158" s="74" t="s">
        <v>127</v>
      </c>
      <c r="C158" s="133">
        <f>C156+C157</f>
        <v>1259541.6759159076</v>
      </c>
      <c r="D158" s="133"/>
      <c r="E158" s="133"/>
    </row>
    <row r="160" spans="1:14" s="1" customFormat="1" x14ac:dyDescent="0.25">
      <c r="B160" s="34" t="s">
        <v>110</v>
      </c>
      <c r="C160" s="127">
        <f>J154</f>
        <v>1114638.6512530155</v>
      </c>
      <c r="D160" s="128"/>
      <c r="E160" s="33">
        <v>100</v>
      </c>
      <c r="F160" s="65"/>
      <c r="G160" s="66"/>
      <c r="H160" s="65"/>
      <c r="I160" s="67"/>
      <c r="J160" s="68"/>
      <c r="K160" s="69"/>
      <c r="M160"/>
    </row>
    <row r="161" spans="2:5" x14ac:dyDescent="0.25">
      <c r="B161" s="34" t="s">
        <v>111</v>
      </c>
      <c r="C161" s="130">
        <v>1200000</v>
      </c>
      <c r="D161" s="131"/>
      <c r="E161" s="33"/>
    </row>
    <row r="162" spans="2:5" x14ac:dyDescent="0.25">
      <c r="B162" s="34" t="s">
        <v>112</v>
      </c>
      <c r="C162" s="130">
        <f>C161-C164-C165</f>
        <v>1140000</v>
      </c>
      <c r="D162" s="131"/>
      <c r="E162" s="33">
        <f>C162/C160*100</f>
        <v>102.27529780332618</v>
      </c>
    </row>
    <row r="163" spans="2:5" x14ac:dyDescent="0.25">
      <c r="B163" s="34" t="s">
        <v>113</v>
      </c>
      <c r="C163" s="132">
        <f>C160-C162</f>
        <v>-25361.348746984499</v>
      </c>
      <c r="D163" s="132"/>
      <c r="E163" s="33">
        <f>100-E162</f>
        <v>-2.2752978033261826</v>
      </c>
    </row>
    <row r="164" spans="2:5" x14ac:dyDescent="0.25">
      <c r="B164" s="34" t="s">
        <v>114</v>
      </c>
      <c r="C164" s="127">
        <f>C161*0.03</f>
        <v>36000</v>
      </c>
      <c r="D164" s="128"/>
      <c r="E164" s="33">
        <v>3</v>
      </c>
    </row>
    <row r="165" spans="2:5" x14ac:dyDescent="0.25">
      <c r="B165" s="34" t="s">
        <v>115</v>
      </c>
      <c r="C165" s="127">
        <f>C161*0.02</f>
        <v>24000</v>
      </c>
      <c r="D165" s="128"/>
      <c r="E165" s="33">
        <v>2</v>
      </c>
    </row>
  </sheetData>
  <mergeCells count="18">
    <mergeCell ref="C161:D161"/>
    <mergeCell ref="C162:D162"/>
    <mergeCell ref="C163:D163"/>
    <mergeCell ref="C164:D164"/>
    <mergeCell ref="C165:D165"/>
    <mergeCell ref="C160:D160"/>
    <mergeCell ref="A1:K1"/>
    <mergeCell ref="A2:K2"/>
    <mergeCell ref="A3:K3"/>
    <mergeCell ref="A4:K4"/>
    <mergeCell ref="A5:K5"/>
    <mergeCell ref="A6:F6"/>
    <mergeCell ref="H6:K6"/>
    <mergeCell ref="A7:F7"/>
    <mergeCell ref="H7:K7"/>
    <mergeCell ref="C156:E156"/>
    <mergeCell ref="C157:E157"/>
    <mergeCell ref="C158:E158"/>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
&amp;CChecked By:
&amp;RApproved By: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22</vt:i4>
      </vt:variant>
    </vt:vector>
  </HeadingPairs>
  <TitlesOfParts>
    <vt:vector size="36" baseType="lpstr">
      <vt:lpstr>final</vt:lpstr>
      <vt:lpstr>quotation</vt:lpstr>
      <vt:lpstr>quotation (2)</vt:lpstr>
      <vt:lpstr>with plastic felt</vt:lpstr>
      <vt:lpstr>with centre wood</vt:lpstr>
      <vt:lpstr>copper roof</vt:lpstr>
      <vt:lpstr>with brick</vt:lpstr>
      <vt:lpstr>V</vt:lpstr>
      <vt:lpstr>include wxclude wod</vt:lpstr>
      <vt:lpstr>roof and tundal</vt:lpstr>
      <vt:lpstr>final valuation merged</vt:lpstr>
      <vt:lpstr>Window only</vt:lpstr>
      <vt:lpstr>Door only</vt:lpstr>
      <vt:lpstr>dachi appa only</vt:lpstr>
      <vt:lpstr>'copper roof'!Print_Area</vt:lpstr>
      <vt:lpstr>'dachi appa only'!Print_Area</vt:lpstr>
      <vt:lpstr>'Door only'!Print_Area</vt:lpstr>
      <vt:lpstr>final!Print_Area</vt:lpstr>
      <vt:lpstr>'include wxclude wod'!Print_Area</vt:lpstr>
      <vt:lpstr>quotation!Print_Area</vt:lpstr>
      <vt:lpstr>'quotation (2)'!Print_Area</vt:lpstr>
      <vt:lpstr>'roof and tundal'!Print_Area</vt:lpstr>
      <vt:lpstr>V!Print_Area</vt:lpstr>
      <vt:lpstr>'Window only'!Print_Area</vt:lpstr>
      <vt:lpstr>'with brick'!Print_Area</vt:lpstr>
      <vt:lpstr>'with centre wood'!Print_Area</vt:lpstr>
      <vt:lpstr>'with plastic felt'!Print_Area</vt:lpstr>
      <vt:lpstr>'copper roof'!Print_Titles</vt:lpstr>
      <vt:lpstr>'dachi appa only'!Print_Titles</vt:lpstr>
      <vt:lpstr>'Door only'!Print_Titles</vt:lpstr>
      <vt:lpstr>final!Print_Titles</vt:lpstr>
      <vt:lpstr>'include wxclude wod'!Print_Titles</vt:lpstr>
      <vt:lpstr>'roof and tundal'!Print_Titles</vt:lpstr>
      <vt:lpstr>V!Print_Titles</vt:lpstr>
      <vt:lpstr>'Window only'!Print_Titles</vt:lpstr>
      <vt:lpstr>'with brick'!Print_Titles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2025-06-22T09:30:47Z</dcterms:modified>
</cp:coreProperties>
</file>