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bhaipari\"/>
    </mc:Choice>
  </mc:AlternateContent>
  <bookViews>
    <workbookView xWindow="-120" yWindow="-120" windowWidth="20730" windowHeight="11160" firstSheet="2" activeTab="5"/>
  </bookViews>
  <sheets>
    <sheet name="Estimate" sheetId="4" state="hidden" r:id="rId1"/>
    <sheet name="final" sheetId="10" state="hidden" r:id="rId2"/>
    <sheet name="ग्रावेल" sheetId="15" r:id="rId3"/>
    <sheet name="WCR" sheetId="6" r:id="rId4"/>
    <sheet name="V" sheetId="20" r:id="rId5"/>
    <sheet name="M" sheetId="21" r:id="rId6"/>
    <sheet name="Sheet4" sheetId="14" state="hidden" r:id="rId7"/>
    <sheet name="with dhalaan" sheetId="19" state="hidden" r:id="rId8"/>
    <sheet name="Sheet4 (2)" sheetId="17" state="hidden" r:id="rId9"/>
  </sheets>
  <externalReferences>
    <externalReference r:id="rId10"/>
    <externalReference r:id="rId11"/>
    <externalReference r:id="rId12"/>
    <externalReference r:id="rId13"/>
  </externalReferences>
  <definedNames>
    <definedName name="description_103">[1]Abstract!$B$16</definedName>
    <definedName name="description_124" localSheetId="1">#REF!</definedName>
    <definedName name="description_124" localSheetId="5">#REF!</definedName>
    <definedName name="description_124" localSheetId="8">#REF!</definedName>
    <definedName name="description_124" localSheetId="4">#REF!</definedName>
    <definedName name="description_124" localSheetId="7">#REF!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5">M!$A$1:$K$46</definedName>
    <definedName name="_xlnm.Print_Area" localSheetId="8">'Sheet4 (2)'!$A$1:$K$52</definedName>
    <definedName name="_xlnm.Print_Area" localSheetId="4">V!$A$1:$K$46</definedName>
    <definedName name="_xlnm.Print_Area" localSheetId="2">ग्रावेल!$A$1:$K$28</definedName>
    <definedName name="_xlnm.Print_Titles" localSheetId="0">Estimate!$1:$8</definedName>
    <definedName name="_xlnm.Print_Titles" localSheetId="1">final!$1:$8</definedName>
    <definedName name="_xlnm.Print_Titles" localSheetId="8">'Sheet4 (2)'!$1:$8</definedName>
    <definedName name="_xlnm.Print_Titles" localSheetId="3">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4" i="20" l="1"/>
  <c r="A9" i="6"/>
  <c r="A8" i="6"/>
  <c r="C46" i="21"/>
  <c r="C45" i="21"/>
  <c r="J37" i="21"/>
  <c r="G37" i="21"/>
  <c r="I34" i="21"/>
  <c r="R33" i="21"/>
  <c r="Q33" i="21"/>
  <c r="R32" i="21"/>
  <c r="F33" i="21" s="1"/>
  <c r="Q32" i="21"/>
  <c r="E33" i="21" s="1"/>
  <c r="E32" i="21"/>
  <c r="R31" i="21"/>
  <c r="F32" i="21" s="1"/>
  <c r="Q31" i="21"/>
  <c r="F31" i="21"/>
  <c r="E31" i="21"/>
  <c r="G31" i="21" s="1"/>
  <c r="R30" i="21"/>
  <c r="Q30" i="21"/>
  <c r="F30" i="21"/>
  <c r="R29" i="21"/>
  <c r="Q29" i="21"/>
  <c r="E30" i="21" s="1"/>
  <c r="G30" i="21" s="1"/>
  <c r="R28" i="21"/>
  <c r="F29" i="21" s="1"/>
  <c r="Q28" i="21"/>
  <c r="E29" i="21" s="1"/>
  <c r="E28" i="21"/>
  <c r="R27" i="21"/>
  <c r="F28" i="21" s="1"/>
  <c r="Q27" i="21"/>
  <c r="F27" i="21"/>
  <c r="E27" i="21"/>
  <c r="G27" i="21" s="1"/>
  <c r="R26" i="21"/>
  <c r="Q26" i="21"/>
  <c r="F26" i="21"/>
  <c r="R25" i="21"/>
  <c r="Q25" i="21"/>
  <c r="E26" i="21" s="1"/>
  <c r="G26" i="21" s="1"/>
  <c r="R24" i="21"/>
  <c r="F25" i="21" s="1"/>
  <c r="Q24" i="21"/>
  <c r="E25" i="21" s="1"/>
  <c r="E24" i="21"/>
  <c r="R23" i="21"/>
  <c r="F24" i="21" s="1"/>
  <c r="Q23" i="21"/>
  <c r="F23" i="21"/>
  <c r="E23" i="21"/>
  <c r="G23" i="21" s="1"/>
  <c r="R22" i="21"/>
  <c r="Q22" i="21"/>
  <c r="F22" i="21"/>
  <c r="R21" i="21"/>
  <c r="Q21" i="21"/>
  <c r="E22" i="21" s="1"/>
  <c r="G22" i="21" s="1"/>
  <c r="R20" i="21"/>
  <c r="F21" i="21" s="1"/>
  <c r="Q20" i="21"/>
  <c r="E21" i="21" s="1"/>
  <c r="E20" i="21"/>
  <c r="R19" i="21"/>
  <c r="F20" i="21" s="1"/>
  <c r="Q19" i="21"/>
  <c r="F19" i="21"/>
  <c r="E19" i="21"/>
  <c r="G19" i="21" s="1"/>
  <c r="R18" i="21"/>
  <c r="Q18" i="21"/>
  <c r="F18" i="21"/>
  <c r="R17" i="21"/>
  <c r="Q17" i="21"/>
  <c r="E18" i="21" s="1"/>
  <c r="G18" i="21" s="1"/>
  <c r="R16" i="21"/>
  <c r="F17" i="21" s="1"/>
  <c r="Q16" i="21"/>
  <c r="E17" i="21" s="1"/>
  <c r="E16" i="21"/>
  <c r="R15" i="21"/>
  <c r="F16" i="21" s="1"/>
  <c r="Q15" i="21"/>
  <c r="E10" i="21"/>
  <c r="G10" i="21" s="1"/>
  <c r="G11" i="21" s="1"/>
  <c r="R21" i="20"/>
  <c r="R31" i="20"/>
  <c r="R27" i="20"/>
  <c r="R24" i="20"/>
  <c r="R23" i="20"/>
  <c r="F21" i="20"/>
  <c r="G21" i="20" s="1"/>
  <c r="Q33" i="20"/>
  <c r="Q30" i="20"/>
  <c r="R16" i="20"/>
  <c r="F17" i="20" s="1"/>
  <c r="G17" i="20" s="1"/>
  <c r="F18" i="20"/>
  <c r="G18" i="20" s="1"/>
  <c r="F19" i="20"/>
  <c r="F20" i="20"/>
  <c r="F22" i="20"/>
  <c r="G22" i="20" s="1"/>
  <c r="F23" i="20"/>
  <c r="F24" i="20"/>
  <c r="F25" i="20"/>
  <c r="F26" i="20"/>
  <c r="F27" i="20"/>
  <c r="F28" i="20"/>
  <c r="F29" i="20"/>
  <c r="F30" i="20"/>
  <c r="F31" i="20"/>
  <c r="F32" i="20"/>
  <c r="F33" i="20"/>
  <c r="E17" i="20"/>
  <c r="E18" i="20"/>
  <c r="E19" i="20"/>
  <c r="E20" i="20"/>
  <c r="E21" i="20"/>
  <c r="E22" i="20"/>
  <c r="E23" i="20"/>
  <c r="E24" i="20"/>
  <c r="E25" i="20"/>
  <c r="E26" i="20"/>
  <c r="E27" i="20"/>
  <c r="E28" i="20"/>
  <c r="E29" i="20"/>
  <c r="E30" i="20"/>
  <c r="E31" i="20"/>
  <c r="E32" i="20"/>
  <c r="E33" i="20"/>
  <c r="Q22" i="20"/>
  <c r="H19" i="6"/>
  <c r="G19" i="6"/>
  <c r="E19" i="6"/>
  <c r="D19" i="6"/>
  <c r="C19" i="6"/>
  <c r="B19" i="6"/>
  <c r="A19" i="6"/>
  <c r="H16" i="6"/>
  <c r="F17" i="6"/>
  <c r="E16" i="6"/>
  <c r="D16" i="6"/>
  <c r="C16" i="6"/>
  <c r="H13" i="6"/>
  <c r="F14" i="6"/>
  <c r="E13" i="6"/>
  <c r="D13" i="6"/>
  <c r="C13" i="6"/>
  <c r="B17" i="6"/>
  <c r="B16" i="6"/>
  <c r="A16" i="6"/>
  <c r="B14" i="6"/>
  <c r="B13" i="6"/>
  <c r="A13" i="6"/>
  <c r="F16" i="6"/>
  <c r="G19" i="20"/>
  <c r="G23" i="20"/>
  <c r="G25" i="20"/>
  <c r="G26" i="20"/>
  <c r="G27" i="20"/>
  <c r="G29" i="20"/>
  <c r="G30" i="20"/>
  <c r="G31" i="20"/>
  <c r="G33" i="20"/>
  <c r="F16" i="20"/>
  <c r="G16" i="20" s="1"/>
  <c r="E16" i="20"/>
  <c r="R33" i="20"/>
  <c r="R32" i="20"/>
  <c r="Q32" i="20"/>
  <c r="Q31" i="20"/>
  <c r="R30" i="20"/>
  <c r="R29" i="20"/>
  <c r="Q29" i="20"/>
  <c r="R28" i="20"/>
  <c r="Q28" i="20"/>
  <c r="Q27" i="20"/>
  <c r="R26" i="20"/>
  <c r="Q26" i="20"/>
  <c r="R25" i="20"/>
  <c r="Q25" i="20"/>
  <c r="Q24" i="20"/>
  <c r="Q23" i="20"/>
  <c r="R22" i="20"/>
  <c r="Q21" i="20"/>
  <c r="R20" i="20"/>
  <c r="Q20" i="20"/>
  <c r="R19" i="20"/>
  <c r="Q19" i="20"/>
  <c r="R18" i="20"/>
  <c r="Q18" i="20"/>
  <c r="R17" i="20"/>
  <c r="Q17" i="20"/>
  <c r="Q16" i="20"/>
  <c r="R15" i="20"/>
  <c r="Q15" i="20"/>
  <c r="C46" i="20"/>
  <c r="C45" i="20"/>
  <c r="C43" i="20"/>
  <c r="G37" i="20"/>
  <c r="J37" i="20" s="1"/>
  <c r="I34" i="20"/>
  <c r="E10" i="20"/>
  <c r="C43" i="21" l="1"/>
  <c r="G16" i="21"/>
  <c r="G20" i="21"/>
  <c r="G24" i="21"/>
  <c r="G28" i="21"/>
  <c r="G32" i="21"/>
  <c r="J11" i="21"/>
  <c r="J12" i="21"/>
  <c r="G17" i="21"/>
  <c r="G21" i="21"/>
  <c r="G25" i="21"/>
  <c r="G29" i="21"/>
  <c r="G33" i="21"/>
  <c r="G32" i="20"/>
  <c r="G28" i="20"/>
  <c r="G24" i="20"/>
  <c r="G20" i="20"/>
  <c r="G10" i="20"/>
  <c r="G11" i="20" s="1"/>
  <c r="G13" i="6" s="1"/>
  <c r="E10" i="15"/>
  <c r="E15" i="15"/>
  <c r="G34" i="21" l="1"/>
  <c r="G16" i="6"/>
  <c r="I16" i="6" s="1"/>
  <c r="J16" i="6" s="1"/>
  <c r="J35" i="20"/>
  <c r="I17" i="6" s="1"/>
  <c r="J34" i="20"/>
  <c r="J11" i="20"/>
  <c r="J12" i="20"/>
  <c r="I14" i="6" s="1"/>
  <c r="F15" i="15"/>
  <c r="D15" i="15"/>
  <c r="I16" i="15"/>
  <c r="J34" i="21" l="1"/>
  <c r="J35" i="21"/>
  <c r="J39" i="20"/>
  <c r="C41" i="20" s="1"/>
  <c r="C37" i="17"/>
  <c r="D31" i="17"/>
  <c r="G12" i="17"/>
  <c r="D10" i="17"/>
  <c r="G41" i="17"/>
  <c r="J41" i="17"/>
  <c r="C32" i="17"/>
  <c r="D11" i="19"/>
  <c r="J39" i="21" l="1"/>
  <c r="C41" i="21" s="1"/>
  <c r="C44" i="20"/>
  <c r="E43" i="20"/>
  <c r="E44" i="20" s="1"/>
  <c r="J45" i="19"/>
  <c r="C43" i="19"/>
  <c r="G43" i="19" s="1"/>
  <c r="G44" i="19" s="1"/>
  <c r="D10" i="19"/>
  <c r="C38" i="19"/>
  <c r="G11" i="19"/>
  <c r="G13" i="19" s="1"/>
  <c r="P43" i="19"/>
  <c r="P44" i="19" s="1"/>
  <c r="O43" i="19"/>
  <c r="N43" i="19"/>
  <c r="C44" i="21" l="1"/>
  <c r="E43" i="21"/>
  <c r="E44" i="21" s="1"/>
  <c r="J44" i="19"/>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P34" i="19" l="1"/>
  <c r="C53" i="19"/>
  <c r="J14" i="19"/>
  <c r="G34" i="19"/>
  <c r="J35" i="19" s="1"/>
  <c r="J18" i="19"/>
  <c r="J19" i="19"/>
  <c r="J23" i="19"/>
  <c r="J24" i="19"/>
  <c r="J40" i="19"/>
  <c r="J39" i="19"/>
  <c r="G37" i="17"/>
  <c r="G38" i="17" s="1"/>
  <c r="C52" i="17"/>
  <c r="C51" i="17"/>
  <c r="G43" i="17"/>
  <c r="J43" i="17" s="1"/>
  <c r="P37" i="17"/>
  <c r="P38" i="17" s="1"/>
  <c r="O37" i="17"/>
  <c r="N37" i="17"/>
  <c r="O33" i="17"/>
  <c r="N33" i="17"/>
  <c r="P33" i="17" s="1"/>
  <c r="O32" i="17"/>
  <c r="N32" i="17"/>
  <c r="G32" i="17"/>
  <c r="G31" i="17"/>
  <c r="B31" i="17"/>
  <c r="G26" i="17"/>
  <c r="G27" i="17" s="1"/>
  <c r="J27" i="17" s="1"/>
  <c r="J28" i="17" s="1"/>
  <c r="G21" i="17"/>
  <c r="G22" i="17" s="1"/>
  <c r="C16" i="17"/>
  <c r="G16" i="17" s="1"/>
  <c r="G17" i="17" s="1"/>
  <c r="B16" i="17"/>
  <c r="B21" i="17" s="1"/>
  <c r="F11" i="17"/>
  <c r="G11" i="17" s="1"/>
  <c r="G10" i="17"/>
  <c r="J53" i="10"/>
  <c r="J43" i="14"/>
  <c r="C49" i="17" l="1"/>
  <c r="G33" i="17"/>
  <c r="J34" i="17" s="1"/>
  <c r="J13" i="19"/>
  <c r="J49" i="19" s="1"/>
  <c r="J34" i="19"/>
  <c r="J13" i="17"/>
  <c r="J12" i="17"/>
  <c r="J18" i="17"/>
  <c r="J17" i="17"/>
  <c r="J22" i="17"/>
  <c r="J23" i="17"/>
  <c r="J39" i="17"/>
  <c r="J38" i="17"/>
  <c r="P15" i="15"/>
  <c r="P16" i="15" s="1"/>
  <c r="O15" i="15"/>
  <c r="N15" i="15"/>
  <c r="G15" i="15"/>
  <c r="G16" i="15" s="1"/>
  <c r="J17" i="15" s="1"/>
  <c r="J33" i="17" l="1"/>
  <c r="C51" i="19"/>
  <c r="C54" i="19" s="1"/>
  <c r="J45" i="17"/>
  <c r="C47" i="17" s="1"/>
  <c r="J16" i="15"/>
  <c r="E53" i="19" l="1"/>
  <c r="E54" i="19" s="1"/>
  <c r="C50" i="17"/>
  <c r="E49" i="17"/>
  <c r="E50" i="17" s="1"/>
  <c r="C28" i="15"/>
  <c r="C27" i="15"/>
  <c r="G19" i="15"/>
  <c r="J19" i="15" s="1"/>
  <c r="G10" i="15"/>
  <c r="C37" i="14"/>
  <c r="P38" i="14"/>
  <c r="P37" i="14"/>
  <c r="G26" i="14"/>
  <c r="G27" i="14" s="1"/>
  <c r="P33" i="14"/>
  <c r="O33" i="14"/>
  <c r="N33" i="14"/>
  <c r="D31" i="14"/>
  <c r="O32" i="14"/>
  <c r="N32" i="14"/>
  <c r="F11" i="14"/>
  <c r="C50" i="14"/>
  <c r="C49" i="14"/>
  <c r="C47" i="14"/>
  <c r="G41" i="14"/>
  <c r="J41" i="14" s="1"/>
  <c r="O37" i="14"/>
  <c r="N37" i="14"/>
  <c r="G37" i="14"/>
  <c r="G38" i="14" s="1"/>
  <c r="C32" i="14"/>
  <c r="G32" i="14" s="1"/>
  <c r="G31" i="14"/>
  <c r="B31" i="14"/>
  <c r="G21" i="14"/>
  <c r="G22" i="14" s="1"/>
  <c r="C16" i="14"/>
  <c r="G16" i="14" s="1"/>
  <c r="G17" i="14" s="1"/>
  <c r="B16" i="14"/>
  <c r="B21" i="14" s="1"/>
  <c r="G11" i="14"/>
  <c r="D10" i="14"/>
  <c r="G10" i="14" s="1"/>
  <c r="C25" i="15" l="1"/>
  <c r="G11" i="15"/>
  <c r="J12" i="15" s="1"/>
  <c r="G33" i="14"/>
  <c r="G12" i="14"/>
  <c r="J13" i="14" s="1"/>
  <c r="J39" i="14"/>
  <c r="J38" i="14"/>
  <c r="J34" i="14"/>
  <c r="J33" i="14"/>
  <c r="J27" i="14"/>
  <c r="J28" i="14" s="1"/>
  <c r="J23" i="14"/>
  <c r="J22" i="14"/>
  <c r="J18" i="14"/>
  <c r="J17" i="14"/>
  <c r="C47" i="10"/>
  <c r="C37" i="10"/>
  <c r="C26" i="10"/>
  <c r="G21" i="10"/>
  <c r="G22" i="10" s="1"/>
  <c r="J23" i="10" s="1"/>
  <c r="B21" i="10"/>
  <c r="D10" i="10"/>
  <c r="C60" i="10"/>
  <c r="C59" i="10"/>
  <c r="C57" i="10" s="1"/>
  <c r="J11" i="15" l="1"/>
  <c r="J21" i="15" s="1"/>
  <c r="C23" i="15"/>
  <c r="J12" i="14"/>
  <c r="C45" i="14"/>
  <c r="C48" i="14" s="1"/>
  <c r="J22" i="10"/>
  <c r="O47" i="10"/>
  <c r="N47" i="10"/>
  <c r="G10" i="10"/>
  <c r="G36" i="10"/>
  <c r="D36" i="10"/>
  <c r="G37" i="10"/>
  <c r="B31" i="10"/>
  <c r="F26" i="10"/>
  <c r="G26" i="10" s="1"/>
  <c r="G27" i="10" s="1"/>
  <c r="J28" i="10" s="1"/>
  <c r="E26" i="10"/>
  <c r="C26" i="15" l="1"/>
  <c r="E25" i="15"/>
  <c r="E26" i="15" s="1"/>
  <c r="E47" i="14"/>
  <c r="E48" i="14" s="1"/>
  <c r="J27" i="10"/>
  <c r="B41" i="10" l="1"/>
  <c r="G11" i="10" l="1"/>
  <c r="C16" i="10"/>
  <c r="B16" i="10"/>
  <c r="B36" i="10" s="1"/>
  <c r="G47" i="10"/>
  <c r="G48" i="10" s="1"/>
  <c r="J49" i="10" s="1"/>
  <c r="C31" i="10" l="1"/>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J34" i="4"/>
  <c r="G33" i="4"/>
  <c r="J33" i="4" s="1"/>
  <c r="E48" i="4"/>
  <c r="E47" i="4"/>
  <c r="E42" i="4"/>
  <c r="D42" i="4"/>
  <c r="G42" i="4" s="1"/>
  <c r="G43" i="4" s="1"/>
  <c r="C42" i="4"/>
  <c r="B42" i="4"/>
  <c r="B41" i="4"/>
  <c r="B36" i="4"/>
  <c r="E24" i="4"/>
  <c r="E19" i="4"/>
  <c r="E12" i="4"/>
  <c r="N12" i="4"/>
  <c r="E10" i="4"/>
  <c r="E17" i="4" s="1"/>
  <c r="C19" i="4"/>
  <c r="D12" i="4"/>
  <c r="D24" i="4" s="1"/>
  <c r="D25" i="4" s="1"/>
  <c r="G25" i="4" s="1"/>
  <c r="C12" i="4"/>
  <c r="E26" i="4"/>
  <c r="D26" i="4"/>
  <c r="G26" i="4" s="1"/>
  <c r="C26" i="4"/>
  <c r="G18" i="4"/>
  <c r="E18" i="4"/>
  <c r="D18" i="4"/>
  <c r="C18" i="4"/>
  <c r="D17" i="4"/>
  <c r="G11" i="4"/>
  <c r="F11" i="4"/>
  <c r="E11" i="4"/>
  <c r="D11" i="4"/>
  <c r="B9" i="4"/>
  <c r="G32" i="4"/>
  <c r="C32" i="4"/>
  <c r="G31" i="4"/>
  <c r="F31" i="4"/>
  <c r="D31" i="4"/>
  <c r="B30" i="4"/>
  <c r="M59" i="4"/>
  <c r="J38" i="10" l="1"/>
  <c r="J43" i="10"/>
  <c r="J43" i="4"/>
  <c r="J44" i="4"/>
  <c r="G12" i="4"/>
  <c r="D37" i="4"/>
  <c r="G37" i="4" s="1"/>
  <c r="G38" i="4" s="1"/>
  <c r="D19" i="4"/>
  <c r="F48" i="4"/>
  <c r="G48" i="4" s="1"/>
  <c r="F47" i="4"/>
  <c r="G47" i="4" s="1"/>
  <c r="G19" i="4"/>
  <c r="G17" i="4"/>
  <c r="G20" i="4" s="1"/>
  <c r="J21" i="4" s="1"/>
  <c r="G24" i="4"/>
  <c r="G27" i="4" s="1"/>
  <c r="J32" i="10" l="1"/>
  <c r="J17" i="10"/>
  <c r="J12" i="10"/>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C78" i="4" l="1"/>
  <c r="C77" i="4"/>
  <c r="C75" i="4" l="1"/>
  <c r="G69" i="4" l="1"/>
  <c r="J69" i="4" s="1"/>
  <c r="I19" i="6" l="1"/>
  <c r="F19" i="6"/>
  <c r="G10" i="4"/>
  <c r="G13" i="4" s="1"/>
  <c r="J14" i="4" s="1"/>
  <c r="J13" i="4" l="1"/>
  <c r="J19" i="6"/>
  <c r="I13" i="6"/>
  <c r="I21" i="6" s="1"/>
  <c r="F13" i="6" l="1"/>
  <c r="J13" i="6" s="1"/>
  <c r="F21" i="6" l="1"/>
  <c r="J71" i="4" l="1"/>
  <c r="C73" i="4" l="1"/>
  <c r="J6" i="6"/>
  <c r="E75" i="4" l="1"/>
  <c r="E76" i="4" s="1"/>
  <c r="C76" i="4"/>
  <c r="J21" i="6"/>
  <c r="C6" i="6" l="1"/>
</calcChain>
</file>

<file path=xl/sharedStrings.xml><?xml version="1.0" encoding="utf-8"?>
<sst xmlns="http://schemas.openxmlformats.org/spreadsheetml/2006/main" count="513" uniqueCount="119">
  <si>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</si>
  <si>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</si>
  <si>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</si>
  <si>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</si>
  <si>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</si>
  <si>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</si>
  <si>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</si>
  <si>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</si>
  <si>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</si>
  <si>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</si>
  <si>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</si>
  <si>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</si>
  <si>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</si>
  <si>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</si>
  <si>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</si>
  <si>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</si>
  <si>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</si>
  <si>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</si>
  <si>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</si>
  <si>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</si>
  <si>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</si>
  <si>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</si>
  <si>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</si>
  <si>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</si>
  <si>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</si>
  <si>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</si>
  <si>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</si>
  <si>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</si>
  <si>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</si>
  <si>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</si>
  <si>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</si>
  <si>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</si>
  <si>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</si>
  <si>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</si>
  <si>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</si>
  <si>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</si>
  <si>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</si>
  <si>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</si>
  <si>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</si>
  <si>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</si>
  <si>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</si>
  <si>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</si>
  <si>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</si>
  <si>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</si>
  <si>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</si>
  <si>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</si>
  <si>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</si>
  <si>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</si>
  <si>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</si>
  <si>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</si>
  <si>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</si>
  <si>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</si>
  <si>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</si>
  <si>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</si>
  <si>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</si>
  <si>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</si>
  <si>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</si>
  <si>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</si>
  <si>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</si>
  <si>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</si>
  <si>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</si>
  <si>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</si>
  <si>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</si>
  <si>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</si>
  <si>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</si>
  <si>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</si>
  <si>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</si>
  <si>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</si>
  <si>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</si>
  <si>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</si>
  <si>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</si>
  <si>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</si>
  <si>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</si>
  <si>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</si>
  <si>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</si>
  <si>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</si>
  <si>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</si>
  <si>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</si>
  <si>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</si>
  <si>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</si>
  <si>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</si>
  <si>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</si>
  <si>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</si>
  <si>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-Rounded manhole cover medium duty 500mm (24")</t>
  </si>
  <si>
    <t>Providing and Laying Reinforced cement concrete NP3 Flush jointed pipe for culverts including fixing with cement mortar 1:2 as per Drawing and Technical Specifications., 450 mm  internal dia.</t>
  </si>
  <si>
    <t>Provisional sum for unforeseen works</t>
  </si>
  <si>
    <t>PS</t>
  </si>
  <si>
    <t>Date:2081/06/08</t>
  </si>
  <si>
    <t xml:space="preserve">Project:- सुन्दरबस्ती सडक ग्राबेल र ढलान (ढल निर्माण कार्य) </t>
  </si>
  <si>
    <t>Providing and laying  local/ washing sub-base   on prepared surface, mixing  at OMC, and compacting  to achieve the desired density, complete as per Drawing and Technical Specifications., By Mechanical means</t>
  </si>
  <si>
    <t>-road</t>
  </si>
  <si>
    <t>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t>
  </si>
  <si>
    <t>Project:-  सानागाउँ पासिखेल भित्री सडक ग्राबेल</t>
  </si>
  <si>
    <t>-Chanage 0+000</t>
  </si>
  <si>
    <t>-Chanage 0+000 to 0+005</t>
  </si>
  <si>
    <t>-Chanage 0+005 to 0+010</t>
  </si>
  <si>
    <t>-Chanage 0+010 to 0+015</t>
  </si>
  <si>
    <t>-Chanage 0+015 to 0+020</t>
  </si>
  <si>
    <t>-Chanage 0+020 to 0+025</t>
  </si>
  <si>
    <t>-Chanage 0+025 to 0+030</t>
  </si>
  <si>
    <t>-Chanage 0+030 to 0+035</t>
  </si>
  <si>
    <t>-Chanage 0+035 to 0+038</t>
  </si>
  <si>
    <t>-Chanage 0+038 to 0+043</t>
  </si>
  <si>
    <t>-Chanage 0+043 to 0+048</t>
  </si>
  <si>
    <t>-Chanage 0+048 to 0+053</t>
  </si>
  <si>
    <t>-Chanage 0+053 to 0+058</t>
  </si>
  <si>
    <t>-Chanage 0+058 to 0+063</t>
  </si>
  <si>
    <t>-Chanage 0+063 to 0+068</t>
  </si>
  <si>
    <t>-Chanage 0+068 to 0+073</t>
  </si>
  <si>
    <t>-Chanage 0+073 to 0+078</t>
  </si>
  <si>
    <t>-Chanage 0+078 to 0+083</t>
  </si>
  <si>
    <t>-Chanage 0+083 to 0+087.4</t>
  </si>
  <si>
    <t>Date: 2082/02/27</t>
  </si>
  <si>
    <t xml:space="preserve">F.Y.: 2081/2082 </t>
  </si>
  <si>
    <t>Detail Valuated Sheet</t>
  </si>
  <si>
    <t>Total Valuated</t>
  </si>
  <si>
    <t xml:space="preserve">F.Y:2081/2082             </t>
  </si>
  <si>
    <t xml:space="preserve">Date:2082/02/27        </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</si>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</sst>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40">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0" fontId="3" fillId="0" borderId="1" xfId="0" applyFont="1" applyBorder="1" applyAlignment="1">
      <alignment vertical="center"/>
    </xf>
    <xf numFmtId="0" fontId="6" fillId="0" borderId="0" xfId="0" applyFont="1" applyAlignment="1">
      <alignment horizontal="right"/>
    </xf>
    <xf numFmtId="0" fontId="6" fillId="0" borderId="4" xfId="0" applyFont="1" applyBorder="1" applyAlignment="1">
      <alignment horizontal="right"/>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1" fontId="6" fillId="0" borderId="1" xfId="0" applyNumberFormat="1" applyFont="1" applyFill="1" applyBorder="1" applyAlignment="1">
      <alignment horizontal="right" vertical="center" wrapText="1"/>
    </xf>
    <xf numFmtId="0" fontId="6" fillId="0" borderId="0" xfId="0" applyFont="1" applyAlignment="1"/>
    <xf numFmtId="0" fontId="6" fillId="0" borderId="4"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5" t="s">
        <v>0</v>
      </c>
      <c r="B1" s="115"/>
      <c r="C1" s="115"/>
      <c r="D1" s="115"/>
      <c r="E1" s="115"/>
      <c r="F1" s="115"/>
      <c r="G1" s="115"/>
      <c r="H1" s="115"/>
      <c r="I1" s="115"/>
      <c r="J1" s="115"/>
      <c r="K1" s="115"/>
    </row>
    <row r="2" spans="1:19" s="1" customFormat="1" ht="22.5" x14ac:dyDescent="0.25">
      <c r="A2" s="116" t="s">
        <v>1</v>
      </c>
      <c r="B2" s="116"/>
      <c r="C2" s="116"/>
      <c r="D2" s="116"/>
      <c r="E2" s="116"/>
      <c r="F2" s="116"/>
      <c r="G2" s="116"/>
      <c r="H2" s="116"/>
      <c r="I2" s="116"/>
      <c r="J2" s="116"/>
      <c r="K2" s="116"/>
    </row>
    <row r="3" spans="1:19" s="1" customFormat="1" x14ac:dyDescent="0.25">
      <c r="A3" s="117" t="s">
        <v>2</v>
      </c>
      <c r="B3" s="117"/>
      <c r="C3" s="117"/>
      <c r="D3" s="117"/>
      <c r="E3" s="117"/>
      <c r="F3" s="117"/>
      <c r="G3" s="117"/>
      <c r="H3" s="117"/>
      <c r="I3" s="117"/>
      <c r="J3" s="117"/>
      <c r="K3" s="117"/>
    </row>
    <row r="4" spans="1:19" s="1" customFormat="1" x14ac:dyDescent="0.25">
      <c r="A4" s="117" t="s">
        <v>3</v>
      </c>
      <c r="B4" s="117"/>
      <c r="C4" s="117"/>
      <c r="D4" s="117"/>
      <c r="E4" s="117"/>
      <c r="F4" s="117"/>
      <c r="G4" s="117"/>
      <c r="H4" s="117"/>
      <c r="I4" s="117"/>
      <c r="J4" s="117"/>
      <c r="K4" s="117"/>
    </row>
    <row r="5" spans="1:19" ht="18.75" x14ac:dyDescent="0.3">
      <c r="A5" s="118" t="s">
        <v>4</v>
      </c>
      <c r="B5" s="118"/>
      <c r="C5" s="118"/>
      <c r="D5" s="118"/>
      <c r="E5" s="118"/>
      <c r="F5" s="118"/>
      <c r="G5" s="118"/>
      <c r="H5" s="118"/>
      <c r="I5" s="118"/>
      <c r="J5" s="118"/>
      <c r="K5" s="118"/>
    </row>
    <row r="6" spans="1:19" ht="15.75" x14ac:dyDescent="0.25">
      <c r="A6" s="110" t="s">
        <v>41</v>
      </c>
      <c r="B6" s="110"/>
      <c r="C6" s="110"/>
      <c r="D6" s="110"/>
      <c r="E6" s="110"/>
      <c r="F6" s="110"/>
      <c r="G6" s="2"/>
      <c r="H6" s="111" t="s">
        <v>32</v>
      </c>
      <c r="I6" s="111"/>
      <c r="J6" s="111"/>
      <c r="K6" s="111"/>
    </row>
    <row r="7" spans="1:19" ht="15.75" x14ac:dyDescent="0.25">
      <c r="A7" s="112" t="s">
        <v>28</v>
      </c>
      <c r="B7" s="112"/>
      <c r="C7" s="112"/>
      <c r="D7" s="112"/>
      <c r="E7" s="112"/>
      <c r="F7" s="112"/>
      <c r="G7" s="3"/>
      <c r="H7" s="111" t="s">
        <v>30</v>
      </c>
      <c r="I7" s="111"/>
      <c r="J7" s="111"/>
      <c r="K7" s="111"/>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0" t="s">
        <v>53</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0" t="s">
        <v>51</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0" t="s">
        <v>55</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59" t="s">
        <v>49</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59" t="s">
        <v>42</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7" t="s">
        <v>50</v>
      </c>
      <c r="C16" s="47"/>
      <c r="D16" s="48"/>
      <c r="E16" s="48"/>
      <c r="F16" s="48"/>
      <c r="G16" s="48"/>
      <c r="H16" s="48"/>
      <c r="I16" s="48"/>
      <c r="J16" s="49"/>
      <c r="K16" s="5"/>
    </row>
    <row r="17" spans="1:19" ht="15" customHeight="1" x14ac:dyDescent="0.25">
      <c r="A17" s="11"/>
      <c r="B17" s="60" t="s">
        <v>53</v>
      </c>
      <c r="C17" s="47">
        <v>1</v>
      </c>
      <c r="D17" s="48">
        <f t="shared" ref="D17:E19" si="0">D10</f>
        <v>25</v>
      </c>
      <c r="E17" s="48">
        <f t="shared" si="0"/>
        <v>3.2530487804878052</v>
      </c>
      <c r="F17" s="48">
        <v>0.15</v>
      </c>
      <c r="G17" s="48">
        <f t="shared" ref="G17:G18" si="1">PRODUCT(C17:F17)</f>
        <v>12.198932926829269</v>
      </c>
      <c r="H17" s="48"/>
      <c r="I17" s="48"/>
      <c r="J17" s="49"/>
      <c r="K17" s="5"/>
    </row>
    <row r="18" spans="1:19" ht="15" customHeight="1" x14ac:dyDescent="0.25">
      <c r="A18" s="11"/>
      <c r="B18" s="60" t="s">
        <v>51</v>
      </c>
      <c r="C18" s="47">
        <f>C11</f>
        <v>5</v>
      </c>
      <c r="D18" s="48">
        <f t="shared" si="0"/>
        <v>1.0670731707317074</v>
      </c>
      <c r="E18" s="48">
        <f t="shared" si="0"/>
        <v>1.0670731707317074</v>
      </c>
      <c r="F18" s="48">
        <v>0.15</v>
      </c>
      <c r="G18" s="48">
        <f t="shared" si="1"/>
        <v>0.85398386377156466</v>
      </c>
      <c r="H18" s="48"/>
      <c r="I18" s="48"/>
      <c r="J18" s="49"/>
      <c r="K18" s="5"/>
    </row>
    <row r="19" spans="1:19" ht="19.5" x14ac:dyDescent="0.25">
      <c r="A19" s="29"/>
      <c r="B19" s="60" t="s">
        <v>55</v>
      </c>
      <c r="C19" s="30">
        <f>1</f>
        <v>1</v>
      </c>
      <c r="D19" s="31">
        <f t="shared" si="0"/>
        <v>25</v>
      </c>
      <c r="E19" s="31">
        <f t="shared" si="0"/>
        <v>1.0152439024390245</v>
      </c>
      <c r="F19">
        <v>0.15</v>
      </c>
      <c r="G19" s="62">
        <f>PRODUCT(C19:F19)</f>
        <v>3.8071646341463414</v>
      </c>
      <c r="H19" s="33"/>
      <c r="I19" s="34"/>
      <c r="J19" s="34"/>
      <c r="K19" s="32"/>
      <c r="M19" s="36"/>
      <c r="N19" s="1"/>
      <c r="O19" s="1"/>
      <c r="P19" s="1"/>
      <c r="Q19" s="1"/>
      <c r="R19" s="36"/>
      <c r="S19" s="36"/>
    </row>
    <row r="20" spans="1:19" ht="15" customHeight="1" x14ac:dyDescent="0.25">
      <c r="A20" s="11"/>
      <c r="B20" s="59" t="s">
        <v>49</v>
      </c>
      <c r="C20" s="47"/>
      <c r="D20" s="48"/>
      <c r="E20" s="48"/>
      <c r="F20" s="48"/>
      <c r="G20" s="51">
        <f>SUM(G17:G19)</f>
        <v>16.860081424747175</v>
      </c>
      <c r="H20" s="51" t="s">
        <v>47</v>
      </c>
      <c r="I20" s="52">
        <v>4370.5200000000004</v>
      </c>
      <c r="J20" s="49">
        <f>G20*I20</f>
        <v>73687.323068486032</v>
      </c>
      <c r="K20" s="5"/>
    </row>
    <row r="21" spans="1:19" ht="15" customHeight="1" x14ac:dyDescent="0.25">
      <c r="A21" s="11"/>
      <c r="B21" s="59" t="s">
        <v>42</v>
      </c>
      <c r="C21" s="47"/>
      <c r="D21" s="48"/>
      <c r="E21" s="48"/>
      <c r="F21" s="48"/>
      <c r="G21" s="53"/>
      <c r="H21" s="53"/>
      <c r="I21" s="53"/>
      <c r="J21" s="54">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54</v>
      </c>
      <c r="C23" s="30"/>
      <c r="D23" s="31"/>
      <c r="E23" s="32"/>
      <c r="F23" s="32"/>
      <c r="G23" s="34"/>
      <c r="H23" s="33"/>
      <c r="I23" s="34"/>
      <c r="J23" s="9"/>
      <c r="K23" s="32"/>
      <c r="M23" s="36"/>
      <c r="N23" s="1"/>
      <c r="O23" s="1"/>
      <c r="P23" s="1"/>
      <c r="Q23" s="1"/>
      <c r="R23" s="36"/>
      <c r="S23" s="36"/>
    </row>
    <row r="24" spans="1:19" ht="15" customHeight="1" x14ac:dyDescent="0.25">
      <c r="A24" s="11"/>
      <c r="B24" s="60" t="s">
        <v>55</v>
      </c>
      <c r="C24" s="47">
        <v>1</v>
      </c>
      <c r="D24" s="48">
        <f>D12</f>
        <v>25</v>
      </c>
      <c r="E24" s="48">
        <f>E12</f>
        <v>1.0152439024390245</v>
      </c>
      <c r="F24" s="48">
        <v>7.4999999999999997E-2</v>
      </c>
      <c r="G24" s="48">
        <f t="shared" ref="G24:G26" si="2">PRODUCT(C24:F24)</f>
        <v>1.9035823170731707</v>
      </c>
      <c r="H24" s="48"/>
      <c r="I24" s="48"/>
      <c r="J24" s="49"/>
      <c r="K24" s="5"/>
    </row>
    <row r="25" spans="1:19" ht="15" customHeight="1" x14ac:dyDescent="0.25">
      <c r="A25" s="11"/>
      <c r="B25" s="60" t="s">
        <v>56</v>
      </c>
      <c r="C25" s="47">
        <v>1</v>
      </c>
      <c r="D25" s="48">
        <f>D24</f>
        <v>25</v>
      </c>
      <c r="E25" s="48">
        <v>0.35</v>
      </c>
      <c r="F25" s="48">
        <v>0.05</v>
      </c>
      <c r="G25" s="48">
        <f t="shared" ref="G25" si="3">PRODUCT(C25:F25)</f>
        <v>0.4375</v>
      </c>
      <c r="H25" s="48"/>
      <c r="I25" s="48"/>
      <c r="J25" s="49"/>
      <c r="K25" s="5"/>
    </row>
    <row r="26" spans="1:19" ht="15" customHeight="1" x14ac:dyDescent="0.25">
      <c r="A26" s="11"/>
      <c r="B26" s="60" t="s">
        <v>51</v>
      </c>
      <c r="C26" s="47">
        <f>C18</f>
        <v>5</v>
      </c>
      <c r="D26" s="48">
        <f>D18</f>
        <v>1.0670731707317074</v>
      </c>
      <c r="E26" s="48">
        <f>E18</f>
        <v>1.0670731707317074</v>
      </c>
      <c r="F26" s="48">
        <v>7.4999999999999997E-2</v>
      </c>
      <c r="G26" s="48">
        <f t="shared" si="2"/>
        <v>0.42699193188578233</v>
      </c>
      <c r="H26" s="48"/>
      <c r="I26" s="48"/>
      <c r="J26" s="49"/>
      <c r="K26" s="5"/>
    </row>
    <row r="27" spans="1:19" ht="15" customHeight="1" x14ac:dyDescent="0.25">
      <c r="A27" s="11"/>
      <c r="B27" s="59" t="s">
        <v>49</v>
      </c>
      <c r="C27" s="47"/>
      <c r="D27" s="48"/>
      <c r="E27" s="48"/>
      <c r="F27" s="48"/>
      <c r="G27" s="51">
        <f>SUM(G24:G26)</f>
        <v>2.7680742489589529</v>
      </c>
      <c r="H27" s="51" t="s">
        <v>47</v>
      </c>
      <c r="I27" s="52">
        <v>4370.5200000000004</v>
      </c>
      <c r="J27" s="49">
        <f>G27*I27</f>
        <v>12097.923866560084</v>
      </c>
      <c r="K27" s="5"/>
    </row>
    <row r="28" spans="1:19" ht="15" customHeight="1" x14ac:dyDescent="0.25">
      <c r="A28" s="11"/>
      <c r="B28" s="59" t="s">
        <v>42</v>
      </c>
      <c r="C28" s="47"/>
      <c r="D28" s="48"/>
      <c r="E28" s="48"/>
      <c r="F28" s="48"/>
      <c r="G28" s="53"/>
      <c r="H28" s="53"/>
      <c r="I28" s="53"/>
      <c r="J28" s="54">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5"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1" t="s">
        <v>51</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1" t="s">
        <v>52</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59" t="s">
        <v>49</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59" t="s">
        <v>42</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59"/>
      <c r="C35" s="5"/>
      <c r="D35" s="5"/>
      <c r="E35" s="5"/>
      <c r="F35" s="5"/>
      <c r="G35" s="11"/>
      <c r="H35" s="11"/>
      <c r="I35" s="11"/>
      <c r="J35" s="11"/>
      <c r="K35" s="32"/>
      <c r="M35" s="36"/>
      <c r="N35" s="1"/>
      <c r="O35" s="1"/>
      <c r="P35" s="1"/>
      <c r="Q35" s="1"/>
      <c r="R35" s="36"/>
      <c r="S35" s="36"/>
    </row>
    <row r="36" spans="1:19" ht="94.5" x14ac:dyDescent="0.25">
      <c r="A36" s="29">
        <v>5</v>
      </c>
      <c r="B36" s="46"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59" t="s">
        <v>55</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59" t="s">
        <v>49</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59" t="s">
        <v>42</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59"/>
      <c r="C40" s="5"/>
      <c r="D40" s="5"/>
      <c r="E40" s="5"/>
      <c r="F40" s="5"/>
      <c r="G40" s="11"/>
      <c r="H40" s="11"/>
      <c r="I40" s="11"/>
      <c r="J40" s="11"/>
      <c r="K40" s="32"/>
      <c r="M40" s="36"/>
      <c r="N40" s="1"/>
      <c r="O40" s="1"/>
      <c r="P40" s="1"/>
      <c r="Q40" s="1"/>
      <c r="R40" s="36"/>
      <c r="S40" s="36"/>
    </row>
    <row r="41" spans="1:19" ht="78.75" x14ac:dyDescent="0.25">
      <c r="A41" s="29">
        <v>6</v>
      </c>
      <c r="B41" s="46"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59"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59" t="s">
        <v>49</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59" t="s">
        <v>42</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59"/>
      <c r="C45" s="5"/>
      <c r="D45" s="5"/>
      <c r="E45" s="5"/>
      <c r="F45" s="5"/>
      <c r="G45" s="11"/>
      <c r="H45" s="11"/>
      <c r="I45" s="11"/>
      <c r="J45" s="11"/>
      <c r="K45" s="32"/>
      <c r="M45" s="36"/>
      <c r="N45" s="1"/>
      <c r="O45" s="1"/>
      <c r="P45" s="1"/>
      <c r="Q45" s="1"/>
      <c r="R45" s="36"/>
      <c r="S45" s="36"/>
    </row>
    <row r="46" spans="1:19" ht="78.75" x14ac:dyDescent="0.25">
      <c r="A46" s="29">
        <v>7</v>
      </c>
      <c r="B46" s="45" t="s">
        <v>57</v>
      </c>
      <c r="C46" s="5"/>
      <c r="D46" s="63" t="s">
        <v>60</v>
      </c>
      <c r="E46" s="63" t="s">
        <v>61</v>
      </c>
      <c r="F46" s="63" t="s">
        <v>62</v>
      </c>
      <c r="G46" s="64"/>
      <c r="H46" s="11"/>
      <c r="I46" s="11"/>
      <c r="J46" s="11"/>
      <c r="K46" s="32"/>
      <c r="M46" s="36"/>
      <c r="N46" s="1"/>
      <c r="O46" s="1"/>
      <c r="P46" s="1"/>
      <c r="Q46" s="1"/>
      <c r="R46" s="36"/>
      <c r="S46" s="36"/>
    </row>
    <row r="47" spans="1:19" ht="15" customHeight="1" x14ac:dyDescent="0.25">
      <c r="A47" s="29"/>
      <c r="B47" s="61" t="s">
        <v>58</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1" t="s">
        <v>59</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59" t="s">
        <v>49</v>
      </c>
      <c r="C49" s="5"/>
      <c r="D49" s="8"/>
      <c r="E49" s="5"/>
      <c r="F49" s="5"/>
      <c r="G49" s="34">
        <f>SUM(G47:G48)</f>
        <v>0.52955549533273105</v>
      </c>
      <c r="H49" s="33" t="s">
        <v>63</v>
      </c>
      <c r="I49" s="9">
        <v>121218</v>
      </c>
      <c r="J49" s="9">
        <f>G49*I49</f>
        <v>64191.658033242995</v>
      </c>
      <c r="K49" s="32"/>
      <c r="M49" s="36"/>
      <c r="N49" s="1"/>
      <c r="O49" s="1"/>
      <c r="P49" s="1"/>
      <c r="Q49" s="1"/>
      <c r="R49" s="36"/>
      <c r="S49" s="36"/>
    </row>
    <row r="50" spans="1:19" ht="15" customHeight="1" x14ac:dyDescent="0.25">
      <c r="A50" s="29"/>
      <c r="B50" s="59" t="s">
        <v>42</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5"/>
      <c r="C51" s="30"/>
      <c r="D51" s="31"/>
      <c r="E51" s="32"/>
      <c r="F51" s="32"/>
      <c r="G51" s="34"/>
      <c r="H51" s="33"/>
      <c r="I51" s="34"/>
      <c r="J51" s="9"/>
      <c r="K51" s="32"/>
      <c r="M51" s="36"/>
      <c r="N51" s="1"/>
      <c r="O51" s="1"/>
      <c r="P51" s="1"/>
      <c r="Q51" s="1"/>
      <c r="R51" s="36"/>
      <c r="S51" s="36"/>
    </row>
    <row r="52" spans="1:19" ht="15" customHeight="1" x14ac:dyDescent="0.25">
      <c r="A52" s="11">
        <v>8</v>
      </c>
      <c r="B52" s="11" t="s">
        <v>44</v>
      </c>
      <c r="C52" s="47"/>
      <c r="D52" s="48"/>
      <c r="E52" s="48"/>
      <c r="F52" s="48"/>
      <c r="G52" s="48"/>
      <c r="H52" s="48"/>
      <c r="I52" s="48"/>
      <c r="J52" s="49"/>
      <c r="K52" s="5"/>
    </row>
    <row r="53" spans="1:19" ht="30" x14ac:dyDescent="0.25">
      <c r="A53" s="11">
        <v>8.1</v>
      </c>
      <c r="B53" s="57" t="s">
        <v>45</v>
      </c>
      <c r="C53" s="47"/>
      <c r="D53" s="48"/>
      <c r="E53" s="48"/>
      <c r="F53" s="48"/>
      <c r="G53" s="48"/>
      <c r="H53" s="48"/>
      <c r="I53" s="48"/>
      <c r="J53" s="49"/>
      <c r="K53" s="5"/>
    </row>
    <row r="54" spans="1:19" ht="15" customHeight="1" x14ac:dyDescent="0.25">
      <c r="A54" s="11"/>
      <c r="B54" s="5" t="s">
        <v>46</v>
      </c>
      <c r="C54" s="47">
        <v>1</v>
      </c>
      <c r="D54" s="48">
        <f>110-(5*2*0.45)</f>
        <v>105.5</v>
      </c>
      <c r="E54" s="48">
        <v>0.6</v>
      </c>
      <c r="F54" s="48">
        <v>0.6</v>
      </c>
      <c r="G54" s="48">
        <f t="shared" ref="G54" si="4">PRODUCT(C54:F54)</f>
        <v>37.979999999999997</v>
      </c>
      <c r="H54" s="48"/>
      <c r="I54" s="48"/>
      <c r="J54" s="49"/>
      <c r="K54" s="5"/>
    </row>
    <row r="55" spans="1:19" ht="15" customHeight="1" x14ac:dyDescent="0.25">
      <c r="A55" s="11"/>
      <c r="B55" s="59" t="s">
        <v>49</v>
      </c>
      <c r="C55" s="47"/>
      <c r="D55" s="48"/>
      <c r="E55" s="48"/>
      <c r="F55" s="48"/>
      <c r="G55" s="51">
        <f>SUM(G54:G54)</f>
        <v>37.979999999999997</v>
      </c>
      <c r="H55" s="51" t="s">
        <v>47</v>
      </c>
      <c r="I55" s="51">
        <v>67.209999999999994</v>
      </c>
      <c r="J55" s="49">
        <f>G55*I55</f>
        <v>2552.6357999999996</v>
      </c>
      <c r="K55" s="5"/>
    </row>
    <row r="56" spans="1:19" ht="15" customHeight="1" x14ac:dyDescent="0.25">
      <c r="A56" s="11"/>
      <c r="B56" s="59" t="s">
        <v>42</v>
      </c>
      <c r="C56" s="47"/>
      <c r="D56" s="48"/>
      <c r="E56" s="48"/>
      <c r="F56" s="48"/>
      <c r="G56" s="51"/>
      <c r="H56" s="51"/>
      <c r="I56" s="51"/>
      <c r="J56" s="9">
        <f>0.13*G55*20400/360</f>
        <v>279.786</v>
      </c>
      <c r="K56" s="5"/>
    </row>
    <row r="57" spans="1:19" ht="105" x14ac:dyDescent="0.25">
      <c r="A57" s="11">
        <v>8.1999999999999993</v>
      </c>
      <c r="B57" s="57" t="s">
        <v>50</v>
      </c>
      <c r="C57" s="47"/>
      <c r="D57" s="48"/>
      <c r="E57" s="48"/>
      <c r="F57" s="48"/>
      <c r="G57" s="48"/>
      <c r="H57" s="48"/>
      <c r="I57" s="48"/>
      <c r="J57" s="49"/>
      <c r="K57" s="5"/>
    </row>
    <row r="58" spans="1:19" ht="15" customHeight="1" x14ac:dyDescent="0.25">
      <c r="A58" s="11"/>
      <c r="B58" s="5" t="s">
        <v>46</v>
      </c>
      <c r="C58" s="47">
        <v>1</v>
      </c>
      <c r="D58" s="48">
        <f>110-(5*2*0.45)</f>
        <v>105.5</v>
      </c>
      <c r="E58" s="48">
        <v>0.6</v>
      </c>
      <c r="F58" s="48">
        <v>0.15</v>
      </c>
      <c r="G58" s="48">
        <f t="shared" ref="G58" si="5">PRODUCT(C58:F58)</f>
        <v>9.4949999999999992</v>
      </c>
      <c r="H58" s="48"/>
      <c r="I58" s="48"/>
      <c r="J58" s="49"/>
      <c r="K58" s="5"/>
    </row>
    <row r="59" spans="1:19" ht="15" customHeight="1" x14ac:dyDescent="0.25">
      <c r="A59" s="11"/>
      <c r="B59" s="59" t="s">
        <v>49</v>
      </c>
      <c r="C59" s="47"/>
      <c r="D59" s="48"/>
      <c r="E59" s="48"/>
      <c r="F59" s="48"/>
      <c r="G59" s="51">
        <f>SUM(G58:G58)</f>
        <v>9.4949999999999992</v>
      </c>
      <c r="H59" s="51" t="s">
        <v>47</v>
      </c>
      <c r="I59" s="52">
        <v>4370.5200000000004</v>
      </c>
      <c r="J59" s="49">
        <f>G59*I59</f>
        <v>41498.087400000004</v>
      </c>
      <c r="K59" s="5"/>
      <c r="M59">
        <f>10*0.45</f>
        <v>4.5</v>
      </c>
    </row>
    <row r="60" spans="1:19" ht="15" customHeight="1" x14ac:dyDescent="0.25">
      <c r="A60" s="11"/>
      <c r="B60" s="59" t="s">
        <v>42</v>
      </c>
      <c r="C60" s="47"/>
      <c r="D60" s="48"/>
      <c r="E60" s="48"/>
      <c r="F60" s="48"/>
      <c r="G60" s="53"/>
      <c r="H60" s="53"/>
      <c r="I60" s="53"/>
      <c r="J60" s="54">
        <f>0.13*G59*(14817.6/5)</f>
        <v>3658.0209119999995</v>
      </c>
      <c r="K60" s="5"/>
    </row>
    <row r="61" spans="1:19" ht="15" customHeight="1" x14ac:dyDescent="0.25">
      <c r="A61" s="11"/>
      <c r="B61" s="5"/>
      <c r="C61" s="47"/>
      <c r="D61" s="48"/>
      <c r="E61" s="48"/>
      <c r="F61" s="48"/>
      <c r="G61" s="53"/>
      <c r="H61" s="53"/>
      <c r="I61" s="53"/>
      <c r="J61" s="55"/>
      <c r="K61" s="5"/>
    </row>
    <row r="62" spans="1:19" ht="15" customHeight="1" x14ac:dyDescent="0.25">
      <c r="A62" s="11">
        <v>8.3000000000000007</v>
      </c>
      <c r="B62" s="50" t="s">
        <v>48</v>
      </c>
      <c r="C62" s="47"/>
      <c r="D62" s="48"/>
      <c r="E62" s="48"/>
      <c r="F62" s="48"/>
      <c r="G62" s="53"/>
      <c r="H62" s="53"/>
      <c r="I62" s="53"/>
      <c r="J62" s="55"/>
      <c r="K62" s="18"/>
    </row>
    <row r="63" spans="1:19" ht="105" x14ac:dyDescent="0.25">
      <c r="A63" s="11"/>
      <c r="B63" s="57" t="str">
        <f>description_247</f>
        <v>Providing and Laying Reinforced cement concrete NP3 Flush jointed pipe for culverts including fixing with cement mortar 1:2 as per Drawing and Technical Specifications., 450 mm  internal dia.</v>
      </c>
      <c r="C63" s="56">
        <f>110/2.5</f>
        <v>44</v>
      </c>
      <c r="D63" s="56">
        <v>2.5</v>
      </c>
      <c r="E63" s="32"/>
      <c r="F63" s="32"/>
      <c r="G63" s="43">
        <f>PRODUCT(C63:F63)</f>
        <v>110</v>
      </c>
      <c r="H63" s="43"/>
      <c r="I63" s="58"/>
      <c r="J63" s="58"/>
      <c r="K63" s="18"/>
    </row>
    <row r="64" spans="1:19" x14ac:dyDescent="0.25">
      <c r="A64" s="11"/>
      <c r="B64" s="59" t="s">
        <v>49</v>
      </c>
      <c r="C64" s="56"/>
      <c r="D64" s="56"/>
      <c r="E64" s="32"/>
      <c r="F64" s="32"/>
      <c r="G64" s="43">
        <f>SUM(G63)</f>
        <v>110</v>
      </c>
      <c r="H64" s="43" t="s">
        <v>43</v>
      </c>
      <c r="I64" s="58">
        <v>5129.82</v>
      </c>
      <c r="J64" s="58">
        <f>G64*I64</f>
        <v>564280.19999999995</v>
      </c>
      <c r="K64" s="18"/>
    </row>
    <row r="65" spans="1:19" ht="15" customHeight="1" x14ac:dyDescent="0.25">
      <c r="A65" s="11"/>
      <c r="B65" s="59" t="s">
        <v>42</v>
      </c>
      <c r="C65" s="30"/>
      <c r="D65" s="31"/>
      <c r="E65" s="32"/>
      <c r="F65" s="32"/>
      <c r="G65" s="34"/>
      <c r="H65" s="33"/>
      <c r="I65" s="34"/>
      <c r="J65" s="58">
        <f>0.13*(57525.6/12.5)*G64</f>
        <v>65809.286399999997</v>
      </c>
      <c r="K65" s="19"/>
    </row>
    <row r="66" spans="1:19" ht="15" customHeight="1" x14ac:dyDescent="0.25">
      <c r="A66" s="29"/>
      <c r="B66" s="45"/>
      <c r="C66" s="30"/>
      <c r="D66" s="31"/>
      <c r="E66" s="32"/>
      <c r="F66" s="32"/>
      <c r="G66" s="34"/>
      <c r="H66" s="33"/>
      <c r="I66" s="34"/>
      <c r="J66" s="9"/>
      <c r="K66" s="32"/>
      <c r="M66" s="36"/>
      <c r="N66" s="1"/>
      <c r="O66" s="1"/>
      <c r="P66" s="1"/>
      <c r="Q66" s="1"/>
      <c r="R66" s="36"/>
      <c r="S66" s="36"/>
    </row>
    <row r="67" spans="1:19" ht="15" customHeight="1" x14ac:dyDescent="0.25">
      <c r="A67" s="29"/>
      <c r="B67" s="45"/>
      <c r="C67" s="30"/>
      <c r="D67" s="31"/>
      <c r="E67" s="32"/>
      <c r="F67" s="32"/>
      <c r="G67" s="34"/>
      <c r="H67" s="33"/>
      <c r="I67" s="34"/>
      <c r="J67" s="9"/>
      <c r="K67" s="32"/>
      <c r="M67" s="36"/>
      <c r="N67" s="1"/>
      <c r="O67" s="1"/>
      <c r="P67" s="1"/>
      <c r="Q67" s="1"/>
      <c r="R67" s="36"/>
      <c r="S67" s="36"/>
    </row>
    <row r="68" spans="1:19" ht="15" customHeight="1" x14ac:dyDescent="0.25">
      <c r="A68" s="29"/>
      <c r="B68" s="45"/>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13">
        <f>J71</f>
        <v>1194331.7948368895</v>
      </c>
      <c r="D73" s="114"/>
      <c r="E73" s="16">
        <v>100</v>
      </c>
      <c r="F73" s="20"/>
      <c r="G73" s="21"/>
      <c r="H73" s="20"/>
      <c r="I73" s="22"/>
      <c r="J73" s="23"/>
      <c r="K73" s="24"/>
    </row>
    <row r="74" spans="1:19" x14ac:dyDescent="0.25">
      <c r="B74" s="18" t="s">
        <v>35</v>
      </c>
      <c r="C74" s="120">
        <v>1000000</v>
      </c>
      <c r="D74" s="121"/>
      <c r="E74" s="16"/>
    </row>
    <row r="75" spans="1:19" x14ac:dyDescent="0.25">
      <c r="B75" s="18" t="s">
        <v>36</v>
      </c>
      <c r="C75" s="120">
        <f>C74-C77-C78</f>
        <v>950000</v>
      </c>
      <c r="D75" s="121"/>
      <c r="E75" s="16">
        <f>C75/C73*100</f>
        <v>79.542385466656867</v>
      </c>
    </row>
    <row r="76" spans="1:19" x14ac:dyDescent="0.25">
      <c r="B76" s="18" t="s">
        <v>37</v>
      </c>
      <c r="C76" s="119">
        <f>C73-C75</f>
        <v>244331.79483688949</v>
      </c>
      <c r="D76" s="119"/>
      <c r="E76" s="16">
        <f>100-E75</f>
        <v>20.457614533343133</v>
      </c>
    </row>
    <row r="77" spans="1:19" x14ac:dyDescent="0.25">
      <c r="B77" s="18" t="s">
        <v>38</v>
      </c>
      <c r="C77" s="113">
        <f>C74*0.03</f>
        <v>30000</v>
      </c>
      <c r="D77" s="114"/>
      <c r="E77" s="16">
        <v>3</v>
      </c>
    </row>
    <row r="78" spans="1:19" x14ac:dyDescent="0.25">
      <c r="B78" s="18" t="s">
        <v>39</v>
      </c>
      <c r="C78" s="113">
        <f>C74*0.02</f>
        <v>20000</v>
      </c>
      <c r="D78" s="114"/>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5" t="s">
        <v>0</v>
      </c>
      <c r="B1" s="115"/>
      <c r="C1" s="115"/>
      <c r="D1" s="115"/>
      <c r="E1" s="115"/>
      <c r="F1" s="115"/>
      <c r="G1" s="115"/>
      <c r="H1" s="115"/>
      <c r="I1" s="115"/>
      <c r="J1" s="115"/>
      <c r="K1" s="115"/>
    </row>
    <row r="2" spans="1:19" s="1" customFormat="1" ht="22.5" x14ac:dyDescent="0.25">
      <c r="A2" s="116" t="s">
        <v>1</v>
      </c>
      <c r="B2" s="116"/>
      <c r="C2" s="116"/>
      <c r="D2" s="116"/>
      <c r="E2" s="116"/>
      <c r="F2" s="116"/>
      <c r="G2" s="116"/>
      <c r="H2" s="116"/>
      <c r="I2" s="116"/>
      <c r="J2" s="116"/>
      <c r="K2" s="116"/>
    </row>
    <row r="3" spans="1:19" s="1" customFormat="1" x14ac:dyDescent="0.25">
      <c r="A3" s="117" t="s">
        <v>2</v>
      </c>
      <c r="B3" s="117"/>
      <c r="C3" s="117"/>
      <c r="D3" s="117"/>
      <c r="E3" s="117"/>
      <c r="F3" s="117"/>
      <c r="G3" s="117"/>
      <c r="H3" s="117"/>
      <c r="I3" s="117"/>
      <c r="J3" s="117"/>
      <c r="K3" s="117"/>
    </row>
    <row r="4" spans="1:19" s="1" customFormat="1" x14ac:dyDescent="0.25">
      <c r="A4" s="117" t="s">
        <v>3</v>
      </c>
      <c r="B4" s="117"/>
      <c r="C4" s="117"/>
      <c r="D4" s="117"/>
      <c r="E4" s="117"/>
      <c r="F4" s="117"/>
      <c r="G4" s="117"/>
      <c r="H4" s="117"/>
      <c r="I4" s="117"/>
      <c r="J4" s="117"/>
      <c r="K4" s="117"/>
    </row>
    <row r="5" spans="1:19" ht="18.75" x14ac:dyDescent="0.3">
      <c r="A5" s="118" t="s">
        <v>4</v>
      </c>
      <c r="B5" s="118"/>
      <c r="C5" s="118"/>
      <c r="D5" s="118"/>
      <c r="E5" s="118"/>
      <c r="F5" s="118"/>
      <c r="G5" s="118"/>
      <c r="H5" s="118"/>
      <c r="I5" s="118"/>
      <c r="J5" s="118"/>
      <c r="K5" s="118"/>
    </row>
    <row r="6" spans="1:19" ht="15.75" x14ac:dyDescent="0.25">
      <c r="A6" s="110" t="s">
        <v>64</v>
      </c>
      <c r="B6" s="110"/>
      <c r="C6" s="110"/>
      <c r="D6" s="110"/>
      <c r="E6" s="110"/>
      <c r="F6" s="110"/>
      <c r="G6" s="2"/>
      <c r="H6" s="111" t="s">
        <v>32</v>
      </c>
      <c r="I6" s="111"/>
      <c r="J6" s="111"/>
      <c r="K6" s="111"/>
    </row>
    <row r="7" spans="1:19" ht="15.75" x14ac:dyDescent="0.25">
      <c r="A7" s="112" t="s">
        <v>28</v>
      </c>
      <c r="B7" s="112"/>
      <c r="C7" s="112"/>
      <c r="D7" s="112"/>
      <c r="E7" s="112"/>
      <c r="F7" s="112"/>
      <c r="G7" s="3"/>
      <c r="H7" s="111" t="s">
        <v>30</v>
      </c>
      <c r="I7" s="111"/>
      <c r="J7" s="111"/>
      <c r="K7" s="111"/>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5"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6"/>
      <c r="H9" s="33"/>
      <c r="I9" s="34"/>
      <c r="J9" s="34"/>
      <c r="K9" s="32"/>
      <c r="M9" s="67"/>
      <c r="R9" s="67"/>
      <c r="S9" s="67"/>
    </row>
    <row r="10" spans="1:19" ht="15" customHeight="1" x14ac:dyDescent="0.25">
      <c r="A10" s="29"/>
      <c r="B10" s="59" t="s">
        <v>65</v>
      </c>
      <c r="C10" s="5">
        <v>1</v>
      </c>
      <c r="D10" s="8">
        <f>20+24-4*1.2+20</f>
        <v>59.2</v>
      </c>
      <c r="E10" s="8">
        <v>0.75</v>
      </c>
      <c r="F10" s="8">
        <v>1.2</v>
      </c>
      <c r="G10" s="62">
        <f>PRODUCT(C10:F10)</f>
        <v>53.280000000000008</v>
      </c>
      <c r="H10" s="11"/>
      <c r="I10" s="11"/>
      <c r="J10" s="11"/>
      <c r="K10" s="32"/>
      <c r="M10" s="36"/>
      <c r="N10" s="1"/>
      <c r="O10" s="1"/>
      <c r="P10" s="1"/>
      <c r="Q10" s="1"/>
      <c r="R10" s="36"/>
      <c r="S10" s="36"/>
    </row>
    <row r="11" spans="1:19" ht="15" customHeight="1" x14ac:dyDescent="0.25">
      <c r="A11" s="29"/>
      <c r="B11" s="59" t="s">
        <v>51</v>
      </c>
      <c r="C11" s="5">
        <v>5</v>
      </c>
      <c r="D11" s="8">
        <v>1.2</v>
      </c>
      <c r="E11" s="8">
        <v>1.2</v>
      </c>
      <c r="F11" s="8">
        <v>1.5</v>
      </c>
      <c r="G11" s="62">
        <f>C11*(PI())*(D11*E11/4)*F11</f>
        <v>8.4823001646924414</v>
      </c>
      <c r="H11" s="11"/>
      <c r="I11" s="11"/>
      <c r="J11" s="11"/>
      <c r="K11" s="32"/>
      <c r="M11" s="36"/>
      <c r="N11" s="1"/>
      <c r="O11" s="1"/>
      <c r="P11" s="1"/>
      <c r="Q11" s="1"/>
      <c r="R11" s="36"/>
      <c r="S11" s="36"/>
    </row>
    <row r="12" spans="1:19" ht="15" customHeight="1" x14ac:dyDescent="0.25">
      <c r="A12" s="29"/>
      <c r="B12" s="59" t="s">
        <v>49</v>
      </c>
      <c r="C12" s="30"/>
      <c r="D12" s="31"/>
      <c r="E12" s="32"/>
      <c r="F12" s="32"/>
      <c r="G12" s="34">
        <f>SUM(G10:G11)</f>
        <v>61.762300164692448</v>
      </c>
      <c r="H12" s="33" t="s">
        <v>47</v>
      </c>
      <c r="I12" s="34">
        <v>64.63</v>
      </c>
      <c r="J12" s="9">
        <f>G12*I12</f>
        <v>3991.6974596440728</v>
      </c>
      <c r="K12" s="32"/>
      <c r="M12" s="36"/>
      <c r="N12" s="1"/>
      <c r="O12" s="1"/>
      <c r="P12" s="1"/>
      <c r="Q12" s="1"/>
      <c r="R12" s="36"/>
      <c r="S12" s="36"/>
    </row>
    <row r="13" spans="1:19" ht="15" customHeight="1" x14ac:dyDescent="0.25">
      <c r="A13" s="29"/>
      <c r="B13" s="59" t="s">
        <v>42</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71</v>
      </c>
      <c r="C15" s="30"/>
      <c r="D15" s="31"/>
      <c r="E15" s="32"/>
      <c r="F15" s="32"/>
      <c r="G15" s="34"/>
      <c r="H15" s="33"/>
      <c r="I15" s="34"/>
      <c r="J15" s="9"/>
      <c r="K15" s="32"/>
      <c r="M15" s="36"/>
      <c r="N15" s="1"/>
      <c r="O15" s="1"/>
      <c r="P15" s="1"/>
      <c r="Q15" s="1"/>
      <c r="R15" s="36"/>
      <c r="S15" s="36"/>
    </row>
    <row r="16" spans="1:19" ht="15" customHeight="1" x14ac:dyDescent="0.25">
      <c r="A16" s="29"/>
      <c r="B16" s="59" t="str">
        <f>B11</f>
        <v>-Manhole</v>
      </c>
      <c r="C16" s="5">
        <f>C11</f>
        <v>5</v>
      </c>
      <c r="D16" s="5">
        <v>1.2</v>
      </c>
      <c r="E16" s="5">
        <v>1.2</v>
      </c>
      <c r="F16" s="8">
        <v>0.15</v>
      </c>
      <c r="G16" s="62">
        <f>C16*(PI())*(D16*E16/4)*F16</f>
        <v>0.84823001646924412</v>
      </c>
      <c r="H16" s="11"/>
      <c r="I16" s="11"/>
      <c r="J16" s="11"/>
      <c r="K16" s="32"/>
      <c r="M16" s="36"/>
      <c r="N16" s="1"/>
      <c r="O16" s="1"/>
      <c r="P16" s="1"/>
      <c r="Q16" s="1"/>
      <c r="R16" s="36"/>
      <c r="S16" s="36"/>
    </row>
    <row r="17" spans="1:19" ht="15" customHeight="1" x14ac:dyDescent="0.25">
      <c r="A17" s="11"/>
      <c r="B17" s="59" t="s">
        <v>49</v>
      </c>
      <c r="C17" s="47"/>
      <c r="D17" s="48"/>
      <c r="E17" s="48"/>
      <c r="F17" s="48"/>
      <c r="G17" s="51">
        <f>SUM(G16:G16)</f>
        <v>0.84823001646924412</v>
      </c>
      <c r="H17" s="51" t="s">
        <v>47</v>
      </c>
      <c r="I17" s="52">
        <v>4561.53</v>
      </c>
      <c r="J17" s="49">
        <f>G17*I17</f>
        <v>3869.226667024951</v>
      </c>
      <c r="K17" s="5"/>
    </row>
    <row r="18" spans="1:19" x14ac:dyDescent="0.25">
      <c r="A18" s="11"/>
      <c r="B18" s="59" t="s">
        <v>42</v>
      </c>
      <c r="C18" s="47"/>
      <c r="D18" s="48"/>
      <c r="E18" s="48"/>
      <c r="F18" s="48"/>
      <c r="G18" s="53"/>
      <c r="H18" s="53"/>
      <c r="I18" s="53"/>
      <c r="J18" s="54">
        <f>0.13*G17*(15452.6/5)</f>
        <v>340.79133796480869</v>
      </c>
      <c r="K18" s="5"/>
    </row>
    <row r="19" spans="1:19" x14ac:dyDescent="0.25">
      <c r="A19" s="11"/>
      <c r="B19" s="59"/>
      <c r="C19" s="47"/>
      <c r="D19" s="48"/>
      <c r="E19" s="48"/>
      <c r="F19" s="48"/>
      <c r="G19" s="53"/>
      <c r="H19" s="53"/>
      <c r="I19" s="53"/>
      <c r="J19" s="54"/>
      <c r="K19" s="5"/>
    </row>
    <row r="20" spans="1:19" ht="75" x14ac:dyDescent="0.25">
      <c r="A20" s="29">
        <v>3</v>
      </c>
      <c r="B20" s="41" t="s">
        <v>54</v>
      </c>
      <c r="C20" s="30"/>
      <c r="D20" s="31"/>
      <c r="E20" s="32"/>
      <c r="F20" s="32"/>
      <c r="G20" s="34"/>
      <c r="H20" s="33"/>
      <c r="I20" s="34"/>
      <c r="J20" s="9"/>
      <c r="K20" s="32"/>
      <c r="M20" s="36"/>
      <c r="N20" s="1"/>
      <c r="O20" s="1"/>
      <c r="P20" s="1"/>
      <c r="Q20" s="1"/>
      <c r="R20" s="36"/>
      <c r="S20" s="36"/>
    </row>
    <row r="21" spans="1:19" ht="15" customHeight="1" x14ac:dyDescent="0.25">
      <c r="A21" s="29"/>
      <c r="B21" s="59" t="str">
        <f>B16</f>
        <v>-Manhole</v>
      </c>
      <c r="C21" s="5">
        <v>5</v>
      </c>
      <c r="D21" s="5">
        <v>1.2</v>
      </c>
      <c r="E21" s="5">
        <v>1.2</v>
      </c>
      <c r="F21" s="60">
        <v>7.4999999999999997E-2</v>
      </c>
      <c r="G21" s="62">
        <f>C21*(PI())*(D21*E21/4)*F21</f>
        <v>0.42411500823462206</v>
      </c>
      <c r="H21" s="11"/>
      <c r="I21" s="11"/>
      <c r="J21" s="11"/>
      <c r="K21" s="32"/>
      <c r="M21" s="36"/>
      <c r="N21" s="1"/>
      <c r="O21" s="1"/>
      <c r="P21" s="1"/>
      <c r="Q21" s="1"/>
      <c r="R21" s="36"/>
      <c r="S21" s="36"/>
    </row>
    <row r="22" spans="1:19" ht="15" customHeight="1" x14ac:dyDescent="0.25">
      <c r="A22" s="11"/>
      <c r="B22" s="59" t="s">
        <v>49</v>
      </c>
      <c r="C22" s="47"/>
      <c r="D22" s="48"/>
      <c r="E22" s="48"/>
      <c r="F22" s="48"/>
      <c r="G22" s="51">
        <f>SUM(G21:G21)</f>
        <v>0.42411500823462206</v>
      </c>
      <c r="H22" s="51" t="s">
        <v>47</v>
      </c>
      <c r="I22" s="52">
        <v>10634.5</v>
      </c>
      <c r="J22" s="49">
        <f>G22*I22</f>
        <v>4510.2510550710886</v>
      </c>
      <c r="K22" s="5"/>
    </row>
    <row r="23" spans="1:19" ht="15" customHeight="1" x14ac:dyDescent="0.25">
      <c r="A23" s="11"/>
      <c r="B23" s="59" t="s">
        <v>42</v>
      </c>
      <c r="C23" s="47"/>
      <c r="D23" s="48"/>
      <c r="E23" s="48"/>
      <c r="F23" s="48"/>
      <c r="G23" s="53"/>
      <c r="H23" s="53"/>
      <c r="I23" s="53"/>
      <c r="J23" s="54">
        <f>0.13*G22*((114907.3+6135.3)/15)</f>
        <v>444.91185522974729</v>
      </c>
      <c r="K23" s="5"/>
    </row>
    <row r="24" spans="1:19" ht="15" customHeight="1" x14ac:dyDescent="0.25">
      <c r="A24" s="11"/>
      <c r="B24" s="59"/>
      <c r="C24" s="47"/>
      <c r="D24" s="48"/>
      <c r="E24" s="48"/>
      <c r="F24" s="48"/>
      <c r="G24" s="53"/>
      <c r="H24" s="53"/>
      <c r="I24" s="53"/>
      <c r="J24" s="54"/>
      <c r="K24" s="5"/>
    </row>
    <row r="25" spans="1:19" ht="75" x14ac:dyDescent="0.25">
      <c r="A25" s="29">
        <v>4</v>
      </c>
      <c r="B25" s="41" t="s">
        <v>57</v>
      </c>
      <c r="C25" s="30" t="s">
        <v>7</v>
      </c>
      <c r="D25" s="70" t="s">
        <v>73</v>
      </c>
      <c r="E25" s="71" t="s">
        <v>74</v>
      </c>
      <c r="F25" s="71" t="s">
        <v>62</v>
      </c>
      <c r="G25" s="34"/>
      <c r="H25" s="33"/>
      <c r="I25" s="34"/>
      <c r="J25" s="9"/>
      <c r="K25" s="32"/>
      <c r="M25" s="36"/>
      <c r="N25" s="1"/>
      <c r="O25" s="1"/>
      <c r="P25" s="1"/>
      <c r="Q25" s="1"/>
      <c r="R25" s="36"/>
      <c r="S25" s="36"/>
    </row>
    <row r="26" spans="1:19" ht="15" customHeight="1" x14ac:dyDescent="0.25">
      <c r="A26" s="29"/>
      <c r="B26" s="59" t="s">
        <v>66</v>
      </c>
      <c r="C26" s="60">
        <f>5*2*TRUNC(D26/0.15,0)+1</f>
        <v>61</v>
      </c>
      <c r="D26" s="60">
        <v>0.9</v>
      </c>
      <c r="E26" s="60">
        <f>12*12/162</f>
        <v>0.88888888888888884</v>
      </c>
      <c r="F26" s="60">
        <f>PRODUCT(C26:E26)</f>
        <v>48.8</v>
      </c>
      <c r="G26" s="68">
        <f>F26/1000</f>
        <v>4.8799999999999996E-2</v>
      </c>
      <c r="H26" s="11"/>
      <c r="I26" s="11"/>
      <c r="J26" s="11"/>
      <c r="K26" s="32"/>
      <c r="M26" s="36"/>
      <c r="N26" s="1"/>
      <c r="O26" s="1"/>
      <c r="P26" s="1"/>
      <c r="Q26" s="1"/>
      <c r="R26" s="36"/>
      <c r="S26" s="36"/>
    </row>
    <row r="27" spans="1:19" ht="15" customHeight="1" x14ac:dyDescent="0.25">
      <c r="A27" s="11"/>
      <c r="B27" s="59" t="s">
        <v>49</v>
      </c>
      <c r="C27" s="47"/>
      <c r="D27" s="48"/>
      <c r="E27" s="48"/>
      <c r="F27" s="48"/>
      <c r="G27" s="69">
        <f>SUM(G25:G26)</f>
        <v>4.8799999999999996E-2</v>
      </c>
      <c r="H27" s="51" t="s">
        <v>63</v>
      </c>
      <c r="I27" s="52">
        <v>124140</v>
      </c>
      <c r="J27" s="49">
        <f>G27*I27</f>
        <v>6058.0319999999992</v>
      </c>
      <c r="K27" s="5"/>
    </row>
    <row r="28" spans="1:19" ht="15" customHeight="1" x14ac:dyDescent="0.25">
      <c r="A28" s="11"/>
      <c r="B28" s="59" t="s">
        <v>42</v>
      </c>
      <c r="C28" s="47"/>
      <c r="D28" s="48"/>
      <c r="E28" s="48"/>
      <c r="F28" s="48"/>
      <c r="G28" s="53"/>
      <c r="H28" s="53"/>
      <c r="I28" s="53"/>
      <c r="J28" s="54">
        <f>0.13*G27*110960</f>
        <v>703.93024000000003</v>
      </c>
      <c r="K28" s="5"/>
    </row>
    <row r="29" spans="1:19" ht="15" customHeight="1" x14ac:dyDescent="0.25">
      <c r="A29" s="11"/>
      <c r="B29" s="59"/>
      <c r="C29" s="47"/>
      <c r="D29" s="48"/>
      <c r="E29" s="48"/>
      <c r="F29" s="48"/>
      <c r="G29" s="53"/>
      <c r="H29" s="53"/>
      <c r="I29" s="53"/>
      <c r="J29" s="54"/>
      <c r="K29" s="5"/>
    </row>
    <row r="30" spans="1:19" ht="75" x14ac:dyDescent="0.25">
      <c r="A30" s="29">
        <v>5</v>
      </c>
      <c r="B30" s="41" t="s">
        <v>72</v>
      </c>
      <c r="C30" s="30"/>
      <c r="D30" s="31"/>
      <c r="E30" s="32"/>
      <c r="F30" s="32"/>
      <c r="G30" s="34"/>
      <c r="H30" s="33"/>
      <c r="I30" s="34"/>
      <c r="J30" s="9"/>
      <c r="K30" s="32"/>
      <c r="M30" s="36"/>
      <c r="N30" s="1"/>
      <c r="O30" s="1"/>
      <c r="P30" s="1"/>
      <c r="Q30" s="1"/>
      <c r="R30" s="36"/>
      <c r="S30" s="36"/>
    </row>
    <row r="31" spans="1:19" ht="15" customHeight="1" x14ac:dyDescent="0.25">
      <c r="A31" s="29"/>
      <c r="B31" s="59" t="str">
        <f>B26</f>
        <v>-Manhole cover</v>
      </c>
      <c r="C31" s="60">
        <f>C16</f>
        <v>5</v>
      </c>
      <c r="D31" s="60">
        <v>1</v>
      </c>
      <c r="E31" s="60">
        <v>1</v>
      </c>
      <c r="F31" s="60">
        <v>0.1</v>
      </c>
      <c r="G31" s="62">
        <f>C31*(PI())*(D31*E31/4)*F31</f>
        <v>0.39269908169872414</v>
      </c>
      <c r="H31" s="11"/>
      <c r="I31" s="11"/>
      <c r="J31" s="11"/>
      <c r="K31" s="32"/>
      <c r="M31" s="36"/>
      <c r="N31" s="1"/>
      <c r="O31" s="1"/>
      <c r="P31" s="1"/>
      <c r="Q31" s="1"/>
      <c r="R31" s="36"/>
      <c r="S31" s="36"/>
    </row>
    <row r="32" spans="1:19" ht="15" customHeight="1" x14ac:dyDescent="0.25">
      <c r="A32" s="11"/>
      <c r="B32" s="59" t="s">
        <v>49</v>
      </c>
      <c r="C32" s="47"/>
      <c r="D32" s="48"/>
      <c r="E32" s="48"/>
      <c r="F32" s="48"/>
      <c r="G32" s="51">
        <f>SUM(G31:G31)</f>
        <v>0.39269908169872414</v>
      </c>
      <c r="H32" s="51" t="s">
        <v>47</v>
      </c>
      <c r="I32" s="52">
        <v>11588.17</v>
      </c>
      <c r="J32" s="49">
        <f>G32*I32</f>
        <v>4550.6637175687038</v>
      </c>
      <c r="K32" s="5"/>
    </row>
    <row r="33" spans="1:19" ht="15" customHeight="1" x14ac:dyDescent="0.25">
      <c r="A33" s="11"/>
      <c r="B33" s="59" t="s">
        <v>42</v>
      </c>
      <c r="C33" s="47"/>
      <c r="D33" s="48"/>
      <c r="E33" s="48"/>
      <c r="F33" s="48"/>
      <c r="G33" s="53"/>
      <c r="H33" s="53"/>
      <c r="I33" s="53"/>
      <c r="J33" s="54">
        <f>0.13*G32*((128662.2+6685.5)/15)</f>
        <v>460.64128500029824</v>
      </c>
      <c r="K33" s="5"/>
    </row>
    <row r="34" spans="1:19" ht="15" customHeight="1" x14ac:dyDescent="0.25">
      <c r="A34" s="11"/>
      <c r="B34" s="59"/>
      <c r="C34" s="47"/>
      <c r="D34" s="48"/>
      <c r="E34" s="48"/>
      <c r="F34" s="48"/>
      <c r="G34" s="53"/>
      <c r="H34" s="53"/>
      <c r="I34" s="53"/>
      <c r="J34" s="54"/>
      <c r="K34" s="5"/>
    </row>
    <row r="35" spans="1:19" ht="30.75" x14ac:dyDescent="0.25">
      <c r="A35" s="29">
        <v>6</v>
      </c>
      <c r="B35" s="73" t="s">
        <v>75</v>
      </c>
      <c r="C35" s="30"/>
      <c r="D35" s="31"/>
      <c r="E35" s="32"/>
      <c r="F35" s="32"/>
      <c r="G35" s="34"/>
      <c r="H35" s="33"/>
      <c r="I35" s="34"/>
      <c r="J35" s="9"/>
      <c r="K35" s="32"/>
      <c r="M35" s="36"/>
      <c r="N35" s="1"/>
      <c r="O35" s="1"/>
      <c r="P35" s="1"/>
      <c r="Q35" s="1"/>
      <c r="R35" s="36"/>
      <c r="S35" s="36"/>
    </row>
    <row r="36" spans="1:19" ht="15" customHeight="1" x14ac:dyDescent="0.25">
      <c r="A36" s="29"/>
      <c r="B36" s="59" t="str">
        <f>B31</f>
        <v>-Manhole cover</v>
      </c>
      <c r="C36" s="60">
        <v>5</v>
      </c>
      <c r="D36" s="60">
        <f>1.2-0.23</f>
        <v>0.97</v>
      </c>
      <c r="E36" s="60">
        <v>0.23</v>
      </c>
      <c r="F36" s="60">
        <v>1.5</v>
      </c>
      <c r="G36" s="62">
        <f>C36*(PI())*(D36)*E36*F36</f>
        <v>5.2566699076191217</v>
      </c>
      <c r="H36" s="11"/>
      <c r="I36" s="11"/>
      <c r="J36" s="11"/>
      <c r="K36" s="32"/>
      <c r="M36" s="36"/>
      <c r="N36" s="1"/>
      <c r="O36" s="1"/>
      <c r="P36" s="1"/>
      <c r="Q36" s="1"/>
      <c r="R36" s="36"/>
      <c r="S36" s="36"/>
    </row>
    <row r="37" spans="1:19" ht="15" customHeight="1" x14ac:dyDescent="0.25">
      <c r="A37" s="29"/>
      <c r="B37" s="59" t="s">
        <v>69</v>
      </c>
      <c r="C37" s="60">
        <f>-2*5</f>
        <v>-10</v>
      </c>
      <c r="D37" s="60">
        <v>0.6</v>
      </c>
      <c r="E37" s="60">
        <v>0.23</v>
      </c>
      <c r="F37" s="60">
        <v>0.6</v>
      </c>
      <c r="G37" s="62">
        <f>C37*(PI())*(D37*F37/4)*E37</f>
        <v>-0.65030967929308725</v>
      </c>
      <c r="H37" s="11"/>
      <c r="I37" s="11"/>
      <c r="J37" s="11"/>
      <c r="K37" s="32"/>
      <c r="M37" s="36"/>
      <c r="N37" s="1"/>
      <c r="O37" s="1"/>
      <c r="P37" s="1"/>
      <c r="Q37" s="1"/>
      <c r="R37" s="36"/>
      <c r="S37" s="36"/>
    </row>
    <row r="38" spans="1:19" ht="15" customHeight="1" x14ac:dyDescent="0.25">
      <c r="A38" s="11"/>
      <c r="B38" s="59" t="s">
        <v>49</v>
      </c>
      <c r="C38" s="47"/>
      <c r="D38" s="48"/>
      <c r="E38" s="48"/>
      <c r="F38" s="48"/>
      <c r="G38" s="51">
        <f>SUM(G36:G37)</f>
        <v>4.6063602283260341</v>
      </c>
      <c r="H38" s="51" t="s">
        <v>47</v>
      </c>
      <c r="I38" s="52">
        <v>14362.76</v>
      </c>
      <c r="J38" s="49">
        <f>G38*I38</f>
        <v>66160.046432992036</v>
      </c>
      <c r="K38" s="5"/>
    </row>
    <row r="39" spans="1:19" ht="15" customHeight="1" x14ac:dyDescent="0.25">
      <c r="A39" s="11"/>
      <c r="B39" s="59" t="s">
        <v>42</v>
      </c>
      <c r="C39" s="47"/>
      <c r="D39" s="48"/>
      <c r="E39" s="48"/>
      <c r="F39" s="48"/>
      <c r="G39" s="53"/>
      <c r="H39" s="53"/>
      <c r="I39" s="53"/>
      <c r="J39" s="54">
        <f>0.13*G38*10311.74</f>
        <v>6174.946572709031</v>
      </c>
      <c r="K39" s="5"/>
    </row>
    <row r="40" spans="1:19" ht="15" customHeight="1" x14ac:dyDescent="0.25">
      <c r="A40" s="11"/>
      <c r="B40" s="59"/>
      <c r="C40" s="47"/>
      <c r="D40" s="48"/>
      <c r="E40" s="48"/>
      <c r="F40" s="48"/>
      <c r="G40" s="53"/>
      <c r="H40" s="53"/>
      <c r="I40" s="53"/>
      <c r="J40" s="54"/>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59" t="s">
        <v>68</v>
      </c>
      <c r="C42" s="5">
        <v>0</v>
      </c>
      <c r="D42" s="8">
        <v>2.5</v>
      </c>
      <c r="E42" s="8"/>
      <c r="F42" s="8"/>
      <c r="G42" s="62">
        <f>PRODUCT(C42:F42)</f>
        <v>0</v>
      </c>
      <c r="H42" s="11"/>
      <c r="I42" s="11"/>
      <c r="J42" s="11"/>
      <c r="K42" s="32"/>
      <c r="M42" s="36"/>
      <c r="N42" s="1"/>
      <c r="O42" s="1"/>
      <c r="P42" s="1"/>
      <c r="Q42" s="1"/>
      <c r="R42" s="36"/>
      <c r="S42" s="36"/>
    </row>
    <row r="43" spans="1:19" ht="15" hidden="1" customHeight="1" x14ac:dyDescent="0.25">
      <c r="A43" s="29"/>
      <c r="B43" s="59" t="s">
        <v>49</v>
      </c>
      <c r="C43" s="5"/>
      <c r="D43" s="8"/>
      <c r="E43" s="8"/>
      <c r="F43" s="8"/>
      <c r="G43" s="43">
        <f>SUM(G42:G42)</f>
        <v>0</v>
      </c>
      <c r="H43" s="11" t="s">
        <v>43</v>
      </c>
      <c r="I43" s="11">
        <v>5129.82</v>
      </c>
      <c r="J43" s="11">
        <f>G43*I43</f>
        <v>0</v>
      </c>
      <c r="K43" s="32"/>
      <c r="M43" s="36"/>
      <c r="N43" s="1"/>
      <c r="O43" s="1"/>
      <c r="P43" s="1"/>
      <c r="Q43" s="1"/>
      <c r="R43" s="36"/>
      <c r="S43" s="36"/>
    </row>
    <row r="44" spans="1:19" ht="15" hidden="1" customHeight="1" x14ac:dyDescent="0.25">
      <c r="A44" s="29"/>
      <c r="B44" s="59" t="s">
        <v>42</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59"/>
      <c r="C45" s="5"/>
      <c r="D45" s="8"/>
      <c r="E45" s="8"/>
      <c r="F45" s="8"/>
      <c r="G45" s="9"/>
      <c r="H45" s="11"/>
      <c r="I45" s="11"/>
      <c r="J45" s="11"/>
      <c r="K45" s="32"/>
      <c r="M45" s="36"/>
      <c r="N45" s="1"/>
      <c r="O45" s="1"/>
      <c r="P45" s="1"/>
      <c r="Q45" s="1"/>
      <c r="R45" s="36"/>
      <c r="S45" s="36"/>
    </row>
    <row r="46" spans="1:19" ht="105" x14ac:dyDescent="0.25">
      <c r="A46" s="29">
        <v>7</v>
      </c>
      <c r="B46" s="41" t="s">
        <v>70</v>
      </c>
      <c r="C46" s="5"/>
      <c r="D46" s="8"/>
      <c r="E46" s="8"/>
      <c r="F46" s="8"/>
      <c r="G46" s="9"/>
      <c r="H46" s="11"/>
      <c r="I46" s="11"/>
      <c r="J46" s="11"/>
      <c r="K46" s="32"/>
      <c r="M46" s="36"/>
      <c r="N46" s="1"/>
      <c r="O46" s="1"/>
      <c r="P46" s="1"/>
      <c r="Q46" s="1"/>
      <c r="R46" s="36"/>
      <c r="S46" s="36"/>
    </row>
    <row r="47" spans="1:19" ht="15" customHeight="1" x14ac:dyDescent="0.25">
      <c r="A47" s="29"/>
      <c r="B47" s="59" t="s">
        <v>67</v>
      </c>
      <c r="C47" s="5">
        <f>(45+15)/2.5</f>
        <v>24</v>
      </c>
      <c r="D47" s="8">
        <v>2.5</v>
      </c>
      <c r="E47" s="8"/>
      <c r="F47" s="8"/>
      <c r="G47" s="62">
        <f>PRODUCT(C47:F47)</f>
        <v>60</v>
      </c>
      <c r="H47" s="11"/>
      <c r="I47" s="11"/>
      <c r="J47" s="11"/>
      <c r="K47" s="32"/>
      <c r="M47" s="36"/>
      <c r="N47" s="1">
        <f>44/2.5</f>
        <v>17.600000000000001</v>
      </c>
      <c r="O47" s="1">
        <f>45/2.5</f>
        <v>18</v>
      </c>
      <c r="P47" s="1"/>
      <c r="Q47" s="1"/>
      <c r="R47" s="36"/>
      <c r="S47" s="36"/>
    </row>
    <row r="48" spans="1:19" ht="15" customHeight="1" x14ac:dyDescent="0.25">
      <c r="A48" s="29"/>
      <c r="B48" s="59" t="s">
        <v>49</v>
      </c>
      <c r="C48" s="5"/>
      <c r="D48" s="8"/>
      <c r="E48" s="8"/>
      <c r="F48" s="8"/>
      <c r="G48" s="43">
        <f>SUM(G47:G47)</f>
        <v>60</v>
      </c>
      <c r="H48" s="11" t="s">
        <v>43</v>
      </c>
      <c r="I48" s="11">
        <v>6932.79</v>
      </c>
      <c r="J48" s="11">
        <f>G48*I48</f>
        <v>415967.4</v>
      </c>
      <c r="K48" s="32"/>
      <c r="M48" s="36"/>
      <c r="N48" s="1"/>
      <c r="O48" s="1"/>
      <c r="P48" s="1"/>
      <c r="Q48" s="1"/>
      <c r="R48" s="36"/>
      <c r="S48" s="36"/>
    </row>
    <row r="49" spans="1:19" ht="15" customHeight="1" x14ac:dyDescent="0.25">
      <c r="A49" s="29"/>
      <c r="B49" s="59" t="s">
        <v>42</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59"/>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13">
        <f>J53</f>
        <v>563311.92829411826</v>
      </c>
      <c r="D55" s="114"/>
      <c r="E55" s="16">
        <v>100</v>
      </c>
      <c r="F55" s="20"/>
      <c r="G55" s="21"/>
      <c r="H55" s="20"/>
      <c r="I55" s="22"/>
      <c r="J55" s="23"/>
      <c r="K55" s="24"/>
    </row>
    <row r="56" spans="1:19" x14ac:dyDescent="0.25">
      <c r="A56" s="72"/>
      <c r="B56" s="18" t="s">
        <v>35</v>
      </c>
      <c r="C56" s="120">
        <v>500000</v>
      </c>
      <c r="D56" s="121"/>
      <c r="E56" s="16"/>
    </row>
    <row r="57" spans="1:19" x14ac:dyDescent="0.25">
      <c r="A57" s="72"/>
      <c r="B57" s="18" t="s">
        <v>36</v>
      </c>
      <c r="C57" s="120">
        <f>C56-C59-C60</f>
        <v>475000</v>
      </c>
      <c r="D57" s="121"/>
      <c r="E57" s="16">
        <f>C57/C55*100</f>
        <v>84.322730647377924</v>
      </c>
    </row>
    <row r="58" spans="1:19" x14ac:dyDescent="0.25">
      <c r="A58" s="72"/>
      <c r="B58" s="18" t="s">
        <v>37</v>
      </c>
      <c r="C58" s="119">
        <f>C55-C57</f>
        <v>88311.928294118261</v>
      </c>
      <c r="D58" s="119"/>
      <c r="E58" s="16">
        <f>100-E57</f>
        <v>15.677269352622076</v>
      </c>
    </row>
    <row r="59" spans="1:19" x14ac:dyDescent="0.25">
      <c r="A59" s="72"/>
      <c r="B59" s="18" t="s">
        <v>38</v>
      </c>
      <c r="C59" s="113">
        <f>C56*0.03</f>
        <v>15000</v>
      </c>
      <c r="D59" s="114"/>
      <c r="E59" s="16">
        <v>3</v>
      </c>
    </row>
    <row r="60" spans="1:19" x14ac:dyDescent="0.25">
      <c r="A60" s="72"/>
      <c r="B60" s="18" t="s">
        <v>39</v>
      </c>
      <c r="C60" s="113">
        <f>C56*0.02</f>
        <v>10000</v>
      </c>
      <c r="D60" s="114"/>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view="pageBreakPreview" zoomScale="60" zoomScaleNormal="100" workbookViewId="0">
      <selection activeCell="I9" sqref="I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bestFit="1" customWidth="1"/>
    <col min="10" max="10" width="10" customWidth="1"/>
  </cols>
  <sheetData>
    <row r="1" spans="1:19" s="1" customFormat="1" x14ac:dyDescent="0.25">
      <c r="A1" s="115" t="s">
        <v>0</v>
      </c>
      <c r="B1" s="115"/>
      <c r="C1" s="115"/>
      <c r="D1" s="115"/>
      <c r="E1" s="115"/>
      <c r="F1" s="115"/>
      <c r="G1" s="115"/>
      <c r="H1" s="115"/>
      <c r="I1" s="115"/>
      <c r="J1" s="115"/>
      <c r="K1" s="115"/>
    </row>
    <row r="2" spans="1:19" s="1" customFormat="1" ht="22.5" x14ac:dyDescent="0.25">
      <c r="A2" s="116" t="s">
        <v>1</v>
      </c>
      <c r="B2" s="116"/>
      <c r="C2" s="116"/>
      <c r="D2" s="116"/>
      <c r="E2" s="116"/>
      <c r="F2" s="116"/>
      <c r="G2" s="116"/>
      <c r="H2" s="116"/>
      <c r="I2" s="116"/>
      <c r="J2" s="116"/>
      <c r="K2" s="116"/>
    </row>
    <row r="3" spans="1:19" s="1" customFormat="1" x14ac:dyDescent="0.25">
      <c r="A3" s="117" t="s">
        <v>2</v>
      </c>
      <c r="B3" s="117"/>
      <c r="C3" s="117"/>
      <c r="D3" s="117"/>
      <c r="E3" s="117"/>
      <c r="F3" s="117"/>
      <c r="G3" s="117"/>
      <c r="H3" s="117"/>
      <c r="I3" s="117"/>
      <c r="J3" s="117"/>
      <c r="K3" s="117"/>
    </row>
    <row r="4" spans="1:19" s="1" customFormat="1" x14ac:dyDescent="0.25">
      <c r="A4" s="117" t="s">
        <v>3</v>
      </c>
      <c r="B4" s="117"/>
      <c r="C4" s="117"/>
      <c r="D4" s="117"/>
      <c r="E4" s="117"/>
      <c r="F4" s="117"/>
      <c r="G4" s="117"/>
      <c r="H4" s="117"/>
      <c r="I4" s="117"/>
      <c r="J4" s="117"/>
      <c r="K4" s="117"/>
    </row>
    <row r="5" spans="1:19" ht="18.75" x14ac:dyDescent="0.3">
      <c r="A5" s="118" t="s">
        <v>4</v>
      </c>
      <c r="B5" s="118"/>
      <c r="C5" s="118"/>
      <c r="D5" s="118"/>
      <c r="E5" s="118"/>
      <c r="F5" s="118"/>
      <c r="G5" s="118"/>
      <c r="H5" s="118"/>
      <c r="I5" s="118"/>
      <c r="J5" s="118"/>
      <c r="K5" s="118"/>
    </row>
    <row r="6" spans="1:19" ht="15.75" x14ac:dyDescent="0.25">
      <c r="A6" s="110" t="s">
        <v>92</v>
      </c>
      <c r="B6" s="110"/>
      <c r="C6" s="110"/>
      <c r="D6" s="110"/>
      <c r="E6" s="110"/>
      <c r="F6" s="110"/>
      <c r="G6" s="2"/>
      <c r="H6" s="111" t="s">
        <v>77</v>
      </c>
      <c r="I6" s="111"/>
      <c r="J6" s="111"/>
      <c r="K6" s="111"/>
    </row>
    <row r="7" spans="1:19" ht="15.75" x14ac:dyDescent="0.25">
      <c r="A7" s="133" t="s">
        <v>28</v>
      </c>
      <c r="B7" s="133"/>
      <c r="C7" s="133"/>
      <c r="D7" s="133"/>
      <c r="E7" s="133"/>
      <c r="F7" s="133"/>
      <c r="G7" s="3"/>
      <c r="H7" s="134" t="s">
        <v>78</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65" x14ac:dyDescent="0.25">
      <c r="A9" s="107">
        <v>1</v>
      </c>
      <c r="B9" s="41" t="s">
        <v>91</v>
      </c>
      <c r="C9" s="75"/>
      <c r="D9" s="75"/>
      <c r="E9" s="75"/>
      <c r="F9" s="75"/>
      <c r="G9" s="75"/>
      <c r="H9" s="75"/>
      <c r="I9" s="75"/>
      <c r="J9" s="75"/>
      <c r="K9" s="75"/>
    </row>
    <row r="10" spans="1:19" ht="15" customHeight="1" x14ac:dyDescent="0.25">
      <c r="A10" s="29"/>
      <c r="B10" s="76" t="s">
        <v>90</v>
      </c>
      <c r="C10" s="75">
        <v>1</v>
      </c>
      <c r="D10" s="77">
        <v>80</v>
      </c>
      <c r="E10" s="77">
        <f>(8-2)/3.281</f>
        <v>1.8287107589149649</v>
      </c>
      <c r="F10" s="77">
        <v>0.15</v>
      </c>
      <c r="G10" s="78">
        <f>PRODUCT(C10:F10)</f>
        <v>21.944529106979576</v>
      </c>
      <c r="H10" s="79"/>
      <c r="I10" s="79"/>
      <c r="J10" s="79"/>
      <c r="K10" s="32"/>
      <c r="M10" s="36"/>
      <c r="N10" s="1"/>
      <c r="O10" s="1"/>
      <c r="P10" s="1"/>
      <c r="Q10" s="1"/>
      <c r="R10" s="36"/>
      <c r="S10" s="36"/>
    </row>
    <row r="11" spans="1:19" ht="15" customHeight="1" x14ac:dyDescent="0.25">
      <c r="A11" s="29"/>
      <c r="B11" s="76" t="s">
        <v>49</v>
      </c>
      <c r="C11" s="30"/>
      <c r="D11" s="31"/>
      <c r="E11" s="32"/>
      <c r="F11" s="32"/>
      <c r="G11" s="34">
        <f>SUM(G10:G10)</f>
        <v>21.944529106979576</v>
      </c>
      <c r="H11" s="33" t="s">
        <v>29</v>
      </c>
      <c r="I11" s="34">
        <v>64.63</v>
      </c>
      <c r="J11" s="80">
        <f>G11*I11</f>
        <v>1418.27491618409</v>
      </c>
      <c r="K11" s="32"/>
      <c r="M11" s="36"/>
      <c r="N11" s="1"/>
      <c r="O11" s="1"/>
      <c r="P11" s="1"/>
      <c r="Q11" s="1"/>
      <c r="R11" s="36"/>
      <c r="S11" s="36"/>
    </row>
    <row r="12" spans="1:19" ht="15" customHeight="1" x14ac:dyDescent="0.25">
      <c r="A12" s="29"/>
      <c r="B12" s="76" t="s">
        <v>42</v>
      </c>
      <c r="C12" s="30"/>
      <c r="D12" s="31"/>
      <c r="E12" s="32"/>
      <c r="F12" s="32"/>
      <c r="G12" s="34"/>
      <c r="H12" s="33"/>
      <c r="I12" s="34"/>
      <c r="J12" s="80">
        <f>0.13*G11*19284/360</f>
        <v>152.81438585797014</v>
      </c>
      <c r="K12" s="32"/>
      <c r="M12" s="36"/>
      <c r="N12" s="1"/>
      <c r="O12" s="1"/>
      <c r="P12" s="1"/>
      <c r="Q12" s="1"/>
      <c r="R12" s="36"/>
      <c r="S12" s="36"/>
    </row>
    <row r="13" spans="1:19" ht="15" customHeight="1" x14ac:dyDescent="0.25">
      <c r="A13" s="29"/>
      <c r="B13" s="35"/>
      <c r="C13" s="30"/>
      <c r="D13" s="31"/>
      <c r="E13" s="32"/>
      <c r="F13" s="32"/>
      <c r="G13" s="34"/>
      <c r="H13" s="33"/>
      <c r="I13" s="34"/>
      <c r="J13" s="80"/>
      <c r="K13" s="32"/>
      <c r="M13" s="36"/>
      <c r="N13" s="1"/>
      <c r="O13" s="1"/>
      <c r="P13" s="1"/>
      <c r="Q13" s="1"/>
      <c r="R13" s="36"/>
      <c r="S13" s="36"/>
    </row>
    <row r="14" spans="1:19" ht="105" x14ac:dyDescent="0.25">
      <c r="A14" s="29">
        <v>2</v>
      </c>
      <c r="B14" s="41" t="s">
        <v>89</v>
      </c>
      <c r="C14" s="75"/>
      <c r="D14" s="77"/>
      <c r="E14" s="77"/>
      <c r="F14" s="77"/>
      <c r="G14" s="80"/>
      <c r="H14" s="79"/>
      <c r="I14" s="79"/>
      <c r="J14" s="79"/>
      <c r="K14" s="32"/>
      <c r="M14" s="36"/>
      <c r="N14" s="1"/>
      <c r="O14" s="1"/>
      <c r="P14" s="1"/>
      <c r="Q14" s="1"/>
      <c r="R14" s="36"/>
      <c r="S14" s="36"/>
    </row>
    <row r="15" spans="1:19" ht="15" customHeight="1" x14ac:dyDescent="0.25">
      <c r="A15" s="29"/>
      <c r="B15" s="76" t="s">
        <v>90</v>
      </c>
      <c r="C15" s="75">
        <v>1</v>
      </c>
      <c r="D15" s="77">
        <f>D10</f>
        <v>80</v>
      </c>
      <c r="E15" s="77">
        <f>E10</f>
        <v>1.8287107589149649</v>
      </c>
      <c r="F15" s="77">
        <f>F10</f>
        <v>0.15</v>
      </c>
      <c r="G15" s="78">
        <f>PRODUCT(C15:F15)</f>
        <v>21.944529106979576</v>
      </c>
      <c r="H15" s="79"/>
      <c r="I15" s="79"/>
      <c r="J15" s="79"/>
      <c r="K15" s="32"/>
      <c r="M15" s="36"/>
      <c r="N15" s="1">
        <f>44/2.5</f>
        <v>17.600000000000001</v>
      </c>
      <c r="O15" s="1">
        <f>45/2.5</f>
        <v>18</v>
      </c>
      <c r="P15" s="1">
        <f>45+12.5</f>
        <v>57.5</v>
      </c>
      <c r="Q15" s="1"/>
      <c r="R15" s="36"/>
      <c r="S15" s="36"/>
    </row>
    <row r="16" spans="1:19" ht="15" customHeight="1" x14ac:dyDescent="0.25">
      <c r="A16" s="29"/>
      <c r="B16" s="76" t="s">
        <v>49</v>
      </c>
      <c r="C16" s="75"/>
      <c r="D16" s="77"/>
      <c r="E16" s="77"/>
      <c r="F16" s="77"/>
      <c r="G16" s="58">
        <f>SUM(G15:G15)</f>
        <v>21.944529106979576</v>
      </c>
      <c r="H16" s="79" t="s">
        <v>29</v>
      </c>
      <c r="I16" s="79">
        <f>1693.85</f>
        <v>1693.85</v>
      </c>
      <c r="J16" s="80">
        <f>G16*I16</f>
        <v>37170.740627857354</v>
      </c>
      <c r="K16" s="32"/>
      <c r="M16" s="36"/>
      <c r="N16" s="1"/>
      <c r="O16" s="1"/>
      <c r="P16" s="1">
        <f>P15/2.5</f>
        <v>23</v>
      </c>
      <c r="Q16" s="1"/>
      <c r="R16" s="36"/>
      <c r="S16" s="36"/>
    </row>
    <row r="17" spans="1:19" ht="15" customHeight="1" x14ac:dyDescent="0.25">
      <c r="A17" s="29"/>
      <c r="B17" s="76" t="s">
        <v>42</v>
      </c>
      <c r="C17" s="75"/>
      <c r="D17" s="77"/>
      <c r="E17" s="77"/>
      <c r="F17" s="77"/>
      <c r="G17" s="80"/>
      <c r="H17" s="79"/>
      <c r="I17" s="79"/>
      <c r="J17" s="80">
        <f>0.13*G16*(446551.8+48114)/300</f>
        <v>4703.9234867418463</v>
      </c>
      <c r="K17" s="32"/>
      <c r="M17" s="36"/>
      <c r="N17" s="1"/>
      <c r="O17" s="1"/>
      <c r="P17" s="1"/>
      <c r="Q17" s="1"/>
      <c r="R17" s="36"/>
      <c r="S17" s="36"/>
    </row>
    <row r="18" spans="1:19" ht="15" customHeight="1" x14ac:dyDescent="0.25">
      <c r="A18" s="29"/>
      <c r="B18" s="76"/>
      <c r="C18" s="75"/>
      <c r="D18" s="77"/>
      <c r="E18" s="77"/>
      <c r="F18" s="77"/>
      <c r="G18" s="80"/>
      <c r="H18" s="79"/>
      <c r="I18" s="79"/>
      <c r="J18" s="79"/>
      <c r="K18" s="32"/>
      <c r="M18" s="36"/>
      <c r="N18" s="1"/>
      <c r="O18" s="1"/>
      <c r="P18" s="1"/>
      <c r="Q18" s="1"/>
      <c r="R18" s="36"/>
      <c r="S18" s="36"/>
    </row>
    <row r="19" spans="1:19" ht="15" customHeight="1" x14ac:dyDescent="0.25">
      <c r="A19" s="29">
        <v>3</v>
      </c>
      <c r="B19" s="41" t="s">
        <v>33</v>
      </c>
      <c r="C19" s="30">
        <v>1</v>
      </c>
      <c r="D19" s="31"/>
      <c r="E19" s="32"/>
      <c r="F19" s="32"/>
      <c r="G19" s="58">
        <f t="shared" ref="G19" si="0">PRODUCT(C19:F19)</f>
        <v>1</v>
      </c>
      <c r="H19" s="33" t="s">
        <v>34</v>
      </c>
      <c r="I19" s="34">
        <v>500</v>
      </c>
      <c r="J19" s="58">
        <f>G19*I19</f>
        <v>500</v>
      </c>
      <c r="K19" s="32"/>
      <c r="M19" s="36"/>
      <c r="N19" s="1"/>
      <c r="O19" s="1"/>
      <c r="P19" s="1"/>
      <c r="Q19" s="1"/>
      <c r="R19" s="36"/>
      <c r="S19" s="36"/>
    </row>
    <row r="20" spans="1:19" ht="15" customHeight="1" x14ac:dyDescent="0.25">
      <c r="A20" s="29"/>
      <c r="B20" s="35"/>
      <c r="C20" s="30"/>
      <c r="D20" s="31"/>
      <c r="E20" s="32"/>
      <c r="F20" s="32"/>
      <c r="G20" s="34"/>
      <c r="H20" s="33"/>
      <c r="I20" s="34"/>
      <c r="J20" s="80"/>
      <c r="K20" s="32"/>
      <c r="M20" s="36"/>
      <c r="N20" s="1"/>
      <c r="O20" s="1"/>
      <c r="P20" s="1"/>
      <c r="Q20" s="1"/>
      <c r="R20" s="36"/>
      <c r="S20" s="36"/>
    </row>
    <row r="21" spans="1:19" x14ac:dyDescent="0.25">
      <c r="A21" s="79"/>
      <c r="B21" s="86" t="s">
        <v>17</v>
      </c>
      <c r="C21" s="87"/>
      <c r="D21" s="77"/>
      <c r="E21" s="77"/>
      <c r="F21" s="77"/>
      <c r="G21" s="80"/>
      <c r="H21" s="80"/>
      <c r="I21" s="80"/>
      <c r="J21" s="80">
        <f>SUM(J11:J19)</f>
        <v>43945.753416641266</v>
      </c>
      <c r="K21" s="75"/>
    </row>
    <row r="22" spans="1:19" x14ac:dyDescent="0.25">
      <c r="A22" s="88"/>
      <c r="B22" s="89"/>
      <c r="C22" s="89"/>
      <c r="D22" s="89"/>
      <c r="E22" s="89"/>
      <c r="F22" s="89"/>
      <c r="G22" s="88"/>
      <c r="H22" s="88"/>
      <c r="I22" s="88"/>
      <c r="J22" s="88"/>
      <c r="K22" s="89"/>
    </row>
    <row r="23" spans="1:19" s="1" customFormat="1" x14ac:dyDescent="0.25">
      <c r="A23" s="90"/>
      <c r="B23" s="40" t="s">
        <v>27</v>
      </c>
      <c r="C23" s="135">
        <f>J21</f>
        <v>43945.753416641266</v>
      </c>
      <c r="D23" s="135"/>
      <c r="E23" s="78">
        <v>100</v>
      </c>
      <c r="F23" s="91"/>
      <c r="G23" s="92"/>
      <c r="H23" s="91"/>
      <c r="I23" s="93"/>
      <c r="J23" s="94"/>
      <c r="K23" s="95"/>
    </row>
    <row r="24" spans="1:19" x14ac:dyDescent="0.25">
      <c r="A24" s="96"/>
      <c r="B24" s="40" t="s">
        <v>35</v>
      </c>
      <c r="C24" s="136">
        <v>35000</v>
      </c>
      <c r="D24" s="136"/>
      <c r="E24" s="78"/>
      <c r="F24" s="89"/>
      <c r="G24" s="88"/>
      <c r="H24" s="88"/>
      <c r="I24" s="88"/>
      <c r="J24" s="88"/>
      <c r="K24" s="89"/>
    </row>
    <row r="25" spans="1:19" x14ac:dyDescent="0.25">
      <c r="A25" s="96"/>
      <c r="B25" s="40" t="s">
        <v>36</v>
      </c>
      <c r="C25" s="136">
        <f>C24-C27-C28</f>
        <v>33250</v>
      </c>
      <c r="D25" s="136"/>
      <c r="E25" s="78">
        <f>C25/C23*100</f>
        <v>75.661463087828125</v>
      </c>
      <c r="F25" s="89"/>
      <c r="G25" s="88"/>
      <c r="H25" s="88"/>
      <c r="I25" s="88"/>
      <c r="J25" s="88"/>
      <c r="K25" s="89"/>
    </row>
    <row r="26" spans="1:19" x14ac:dyDescent="0.25">
      <c r="A26" s="96"/>
      <c r="B26" s="40" t="s">
        <v>37</v>
      </c>
      <c r="C26" s="135">
        <f>C23-C25</f>
        <v>10695.753416641266</v>
      </c>
      <c r="D26" s="135"/>
      <c r="E26" s="78">
        <f>100-E25</f>
        <v>24.338536912171875</v>
      </c>
      <c r="F26" s="89"/>
      <c r="G26" s="88"/>
      <c r="H26" s="88"/>
      <c r="I26" s="88"/>
      <c r="J26" s="88"/>
      <c r="K26" s="89"/>
    </row>
    <row r="27" spans="1:19" x14ac:dyDescent="0.25">
      <c r="A27" s="96"/>
      <c r="B27" s="40" t="s">
        <v>38</v>
      </c>
      <c r="C27" s="135">
        <f>C24*0.03</f>
        <v>1050</v>
      </c>
      <c r="D27" s="135"/>
      <c r="E27" s="78">
        <v>3</v>
      </c>
      <c r="F27" s="89"/>
      <c r="G27" s="88"/>
      <c r="H27" s="88"/>
      <c r="I27" s="88"/>
      <c r="J27" s="88"/>
      <c r="K27" s="89"/>
    </row>
    <row r="28" spans="1:19" x14ac:dyDescent="0.25">
      <c r="A28" s="96"/>
      <c r="B28" s="40" t="s">
        <v>39</v>
      </c>
      <c r="C28" s="135">
        <f>C24*0.02</f>
        <v>700</v>
      </c>
      <c r="D28" s="135"/>
      <c r="E28" s="78">
        <v>2</v>
      </c>
      <c r="F28" s="89"/>
      <c r="G28" s="88"/>
      <c r="H28" s="88"/>
      <c r="I28" s="88"/>
      <c r="J28" s="88"/>
      <c r="K28" s="89"/>
    </row>
    <row r="29" spans="1:19" s="74" customFormat="1" x14ac:dyDescent="0.25">
      <c r="A29" s="97"/>
      <c r="B29" s="97"/>
      <c r="C29" s="97"/>
      <c r="D29" s="97"/>
      <c r="E29" s="97"/>
      <c r="F29" s="97"/>
      <c r="G29" s="97"/>
      <c r="H29" s="97"/>
      <c r="I29" s="97"/>
      <c r="J29" s="97"/>
      <c r="K29" s="97"/>
    </row>
    <row r="30" spans="1:19" s="74" customFormat="1" x14ac:dyDescent="0.25"/>
    <row r="31" spans="1:19" s="74" customFormat="1" x14ac:dyDescent="0.25"/>
    <row r="32" spans="1:19" s="74" customFormat="1" x14ac:dyDescent="0.25"/>
    <row r="33" s="74" customFormat="1" x14ac:dyDescent="0.25"/>
    <row r="34" s="74" customFormat="1" x14ac:dyDescent="0.25"/>
    <row r="35" s="74" customFormat="1" x14ac:dyDescent="0.25"/>
    <row r="36" s="74" customFormat="1" x14ac:dyDescent="0.25"/>
    <row r="37" s="74" customFormat="1" x14ac:dyDescent="0.25"/>
    <row r="38" s="74" customFormat="1" x14ac:dyDescent="0.25"/>
    <row r="39" s="74" customFormat="1" x14ac:dyDescent="0.25"/>
    <row r="40" s="74" customFormat="1" x14ac:dyDescent="0.25"/>
    <row r="41" s="74" customFormat="1" x14ac:dyDescent="0.25"/>
    <row r="42" s="74" customFormat="1" x14ac:dyDescent="0.25"/>
    <row r="43" s="74" customFormat="1" x14ac:dyDescent="0.25"/>
    <row r="44" s="74" customFormat="1" x14ac:dyDescent="0.25"/>
    <row r="45" s="74" customFormat="1" x14ac:dyDescent="0.25"/>
    <row r="46" s="74" customFormat="1" x14ac:dyDescent="0.25"/>
    <row r="47" s="74" customFormat="1" x14ac:dyDescent="0.25"/>
    <row r="48" s="74" customFormat="1" x14ac:dyDescent="0.25"/>
    <row r="49" s="74" customFormat="1" x14ac:dyDescent="0.25"/>
    <row r="50" s="74" customFormat="1" x14ac:dyDescent="0.25"/>
    <row r="51" s="74" customFormat="1" x14ac:dyDescent="0.25"/>
    <row r="52" s="74" customFormat="1" x14ac:dyDescent="0.25"/>
    <row r="53" s="74" customFormat="1" x14ac:dyDescent="0.25"/>
    <row r="54" s="74" customFormat="1" x14ac:dyDescent="0.25"/>
    <row r="55" s="74" customFormat="1" x14ac:dyDescent="0.25"/>
    <row r="56" s="74" customFormat="1" x14ac:dyDescent="0.25"/>
    <row r="57" s="74" customFormat="1" x14ac:dyDescent="0.25"/>
    <row r="58" s="74" customFormat="1" x14ac:dyDescent="0.25"/>
    <row r="59" s="74" customFormat="1" x14ac:dyDescent="0.25"/>
    <row r="60" s="74" customFormat="1" x14ac:dyDescent="0.25"/>
    <row r="61" s="74" customFormat="1" x14ac:dyDescent="0.25"/>
    <row r="62" s="74" customFormat="1" x14ac:dyDescent="0.25"/>
    <row r="63" s="74" customFormat="1" x14ac:dyDescent="0.25"/>
    <row r="64"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sheetData>
  <mergeCells count="15">
    <mergeCell ref="A6:F6"/>
    <mergeCell ref="H6:K6"/>
    <mergeCell ref="A1:K1"/>
    <mergeCell ref="A2:K2"/>
    <mergeCell ref="A3:K3"/>
    <mergeCell ref="A4:K4"/>
    <mergeCell ref="A5:K5"/>
    <mergeCell ref="C27:D27"/>
    <mergeCell ref="C28:D28"/>
    <mergeCell ref="A7:F7"/>
    <mergeCell ref="H7:K7"/>
    <mergeCell ref="C23:D23"/>
    <mergeCell ref="C24:D24"/>
    <mergeCell ref="C25:D25"/>
    <mergeCell ref="C26:D26"/>
  </mergeCells>
  <pageMargins left="0.7" right="0.7" top="0.75" bottom="0.75" header="0.3" footer="0.3"/>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6" zoomScaleNormal="100" workbookViewId="0">
      <selection activeCell="G13" sqref="G1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24" t="s">
        <v>0</v>
      </c>
      <c r="B1" s="124"/>
      <c r="C1" s="124"/>
      <c r="D1" s="124"/>
      <c r="E1" s="124"/>
      <c r="F1" s="124"/>
      <c r="G1" s="124"/>
      <c r="H1" s="124"/>
      <c r="I1" s="124"/>
      <c r="J1" s="124"/>
      <c r="K1" s="124"/>
    </row>
    <row r="2" spans="1:11" ht="25.5" x14ac:dyDescent="0.35">
      <c r="A2" s="125" t="s">
        <v>1</v>
      </c>
      <c r="B2" s="125"/>
      <c r="C2" s="125"/>
      <c r="D2" s="125"/>
      <c r="E2" s="125"/>
      <c r="F2" s="125"/>
      <c r="G2" s="125"/>
      <c r="H2" s="125"/>
      <c r="I2" s="125"/>
      <c r="J2" s="125"/>
      <c r="K2" s="125"/>
    </row>
    <row r="3" spans="1:11" s="1" customFormat="1" x14ac:dyDescent="0.25">
      <c r="A3" s="117" t="s">
        <v>2</v>
      </c>
      <c r="B3" s="117"/>
      <c r="C3" s="117"/>
      <c r="D3" s="117"/>
      <c r="E3" s="117"/>
      <c r="F3" s="117"/>
      <c r="G3" s="117"/>
      <c r="H3" s="117"/>
      <c r="I3" s="117"/>
      <c r="J3" s="117"/>
      <c r="K3" s="117"/>
    </row>
    <row r="4" spans="1:11" s="1" customFormat="1" x14ac:dyDescent="0.25">
      <c r="A4" s="117" t="s">
        <v>3</v>
      </c>
      <c r="B4" s="117"/>
      <c r="C4" s="117"/>
      <c r="D4" s="117"/>
      <c r="E4" s="117"/>
      <c r="F4" s="117"/>
      <c r="G4" s="117"/>
      <c r="H4" s="117"/>
      <c r="I4" s="117"/>
      <c r="J4" s="117"/>
      <c r="K4" s="117"/>
    </row>
    <row r="5" spans="1:11" ht="18.75" x14ac:dyDescent="0.3">
      <c r="A5" s="126" t="s">
        <v>18</v>
      </c>
      <c r="B5" s="126"/>
      <c r="C5" s="126"/>
      <c r="D5" s="126"/>
      <c r="E5" s="126"/>
      <c r="F5" s="126"/>
      <c r="G5" s="126"/>
      <c r="H5" s="126"/>
      <c r="I5" s="126"/>
      <c r="J5" s="126"/>
      <c r="K5" s="126"/>
    </row>
    <row r="6" spans="1:11" ht="18.75" x14ac:dyDescent="0.3">
      <c r="A6" s="12" t="s">
        <v>19</v>
      </c>
      <c r="B6" s="12"/>
      <c r="C6" s="122">
        <f>F21</f>
        <v>43945.753416641266</v>
      </c>
      <c r="D6" s="123"/>
      <c r="E6" s="13"/>
      <c r="F6" s="12"/>
      <c r="G6" s="12"/>
      <c r="H6" s="12" t="s">
        <v>20</v>
      </c>
      <c r="I6" s="12"/>
      <c r="J6" s="122">
        <f>I21</f>
        <v>44008.678183712153</v>
      </c>
      <c r="K6" s="123"/>
    </row>
    <row r="7" spans="1:11" x14ac:dyDescent="0.25">
      <c r="A7" s="37" t="s">
        <v>31</v>
      </c>
      <c r="B7" s="14"/>
      <c r="C7" s="14"/>
      <c r="D7" s="14"/>
      <c r="F7" s="129"/>
      <c r="G7" s="129"/>
      <c r="I7" s="130" t="s">
        <v>40</v>
      </c>
      <c r="J7" s="130"/>
      <c r="K7" s="130"/>
    </row>
    <row r="8" spans="1:11" ht="15.75" x14ac:dyDescent="0.25">
      <c r="A8" s="110" t="str">
        <f>ग्रावेल!A6</f>
        <v>Project:-  सानागाउँ पासिखेल भित्री सडक ग्राबेल</v>
      </c>
      <c r="B8" s="110"/>
      <c r="C8" s="110"/>
      <c r="D8" s="110"/>
      <c r="E8" s="110"/>
      <c r="F8" s="110"/>
      <c r="I8" s="131" t="s">
        <v>116</v>
      </c>
      <c r="J8" s="131"/>
      <c r="K8" s="131"/>
    </row>
    <row r="9" spans="1:11" ht="15.75" x14ac:dyDescent="0.25">
      <c r="A9" s="110" t="str">
        <f>ग्रावेल!A7</f>
        <v>Location:- Shankharapur Municipality 9</v>
      </c>
      <c r="B9" s="110"/>
      <c r="C9" s="110"/>
      <c r="D9" s="110"/>
      <c r="E9" s="110"/>
      <c r="F9" s="110"/>
      <c r="I9" s="131" t="s">
        <v>117</v>
      </c>
      <c r="J9" s="131"/>
      <c r="K9" s="131"/>
    </row>
    <row r="11" spans="1:11" x14ac:dyDescent="0.25">
      <c r="A11" s="127" t="s">
        <v>21</v>
      </c>
      <c r="B11" s="127" t="s">
        <v>22</v>
      </c>
      <c r="C11" s="127" t="s">
        <v>12</v>
      </c>
      <c r="D11" s="132" t="s">
        <v>23</v>
      </c>
      <c r="E11" s="132"/>
      <c r="F11" s="132"/>
      <c r="G11" s="132" t="s">
        <v>24</v>
      </c>
      <c r="H11" s="132"/>
      <c r="I11" s="132"/>
      <c r="J11" s="127" t="s">
        <v>25</v>
      </c>
      <c r="K11" s="128" t="s">
        <v>15</v>
      </c>
    </row>
    <row r="12" spans="1:11" x14ac:dyDescent="0.25">
      <c r="A12" s="127"/>
      <c r="B12" s="127"/>
      <c r="C12" s="127"/>
      <c r="D12" s="15" t="s">
        <v>26</v>
      </c>
      <c r="E12" s="15" t="s">
        <v>13</v>
      </c>
      <c r="F12" s="15" t="s">
        <v>14</v>
      </c>
      <c r="G12" s="15" t="s">
        <v>26</v>
      </c>
      <c r="H12" s="15" t="s">
        <v>13</v>
      </c>
      <c r="I12" s="15" t="s">
        <v>14</v>
      </c>
      <c r="J12" s="127"/>
      <c r="K12" s="128"/>
    </row>
    <row r="13" spans="1:11" s="1" customFormat="1" ht="141.75" x14ac:dyDescent="0.25">
      <c r="A13" s="38">
        <f>ग्रावेल!A9</f>
        <v>1</v>
      </c>
      <c r="B13" s="44" t="str">
        <f>ग्रावेल!B9</f>
        <v>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v>
      </c>
      <c r="C13" s="16" t="str">
        <f>ग्रावेल!H11</f>
        <v>cum</v>
      </c>
      <c r="D13" s="16">
        <f>ग्रावेल!G11</f>
        <v>21.944529106979576</v>
      </c>
      <c r="E13" s="16">
        <f>ग्रावेल!I11</f>
        <v>64.63</v>
      </c>
      <c r="F13" s="16">
        <f>D13*E13</f>
        <v>1418.27491618409</v>
      </c>
      <c r="G13" s="16">
        <f>V!G11</f>
        <v>0</v>
      </c>
      <c r="H13" s="16">
        <f>V!I11</f>
        <v>64.63</v>
      </c>
      <c r="I13" s="16">
        <f>G13*H13</f>
        <v>0</v>
      </c>
      <c r="J13" s="39">
        <f>I13-F13</f>
        <v>-1418.27491618409</v>
      </c>
      <c r="K13" s="19"/>
    </row>
    <row r="14" spans="1:11" s="1" customFormat="1" ht="15.75" x14ac:dyDescent="0.25">
      <c r="A14" s="38"/>
      <c r="B14" s="137" t="str">
        <f>ग्रावेल!B12</f>
        <v>VAT calculation</v>
      </c>
      <c r="C14" s="16"/>
      <c r="D14" s="16"/>
      <c r="E14" s="16"/>
      <c r="F14" s="16">
        <f>ग्रावेल!J12</f>
        <v>152.81438585797014</v>
      </c>
      <c r="G14" s="16"/>
      <c r="H14" s="16"/>
      <c r="I14" s="16">
        <f>V!J12</f>
        <v>0</v>
      </c>
      <c r="J14" s="39"/>
      <c r="K14" s="19"/>
    </row>
    <row r="15" spans="1:11" s="1" customFormat="1" x14ac:dyDescent="0.25">
      <c r="A15" s="40"/>
      <c r="B15" s="40"/>
      <c r="C15" s="16"/>
      <c r="D15" s="16"/>
      <c r="E15" s="16"/>
      <c r="F15" s="16"/>
      <c r="G15" s="16"/>
      <c r="H15" s="16"/>
      <c r="I15" s="16"/>
      <c r="J15" s="39"/>
      <c r="K15" s="19"/>
    </row>
    <row r="16" spans="1:11" s="1" customFormat="1" ht="94.5" x14ac:dyDescent="0.25">
      <c r="A16" s="38">
        <f>ग्रावेल!A14</f>
        <v>2</v>
      </c>
      <c r="B16" s="44" t="str">
        <f>ग्रावेल!B14</f>
        <v>Providing and laying  local/ washing sub-base   on prepared surface, mixing  at OMC, and compacting  to achieve the desired density, complete as per Drawing and Technical Specifications., By Mechanical means</v>
      </c>
      <c r="C16" s="16" t="str">
        <f>ग्रावेल!H16</f>
        <v>cum</v>
      </c>
      <c r="D16" s="16">
        <f>ग्रावेल!G16</f>
        <v>21.944529106979576</v>
      </c>
      <c r="E16" s="16">
        <f>ग्रावेल!I16</f>
        <v>1693.85</v>
      </c>
      <c r="F16" s="16">
        <f>D16*E16</f>
        <v>37170.740627857354</v>
      </c>
      <c r="G16" s="16">
        <f>V!G34</f>
        <v>22.800838526029025</v>
      </c>
      <c r="H16" s="16">
        <f>V!I34</f>
        <v>1693.85</v>
      </c>
      <c r="I16" s="16">
        <f>G16*H16</f>
        <v>38621.200337314265</v>
      </c>
      <c r="J16" s="39">
        <f>I16-F16</f>
        <v>1450.4597094569108</v>
      </c>
      <c r="K16" s="19"/>
    </row>
    <row r="17" spans="1:11" s="1" customFormat="1" ht="15.75" x14ac:dyDescent="0.25">
      <c r="A17" s="38"/>
      <c r="B17" s="137" t="str">
        <f>ग्रावेल!B17</f>
        <v>VAT calculation</v>
      </c>
      <c r="C17" s="16"/>
      <c r="D17" s="16"/>
      <c r="E17" s="16"/>
      <c r="F17" s="16">
        <f>ग्रावेल!J17</f>
        <v>4703.9234867418463</v>
      </c>
      <c r="G17" s="16"/>
      <c r="H17" s="16"/>
      <c r="I17" s="16">
        <f>V!J35</f>
        <v>4887.4778463978864</v>
      </c>
      <c r="J17" s="39"/>
      <c r="K17" s="19"/>
    </row>
    <row r="18" spans="1:11" s="1" customFormat="1" ht="15.75" x14ac:dyDescent="0.25">
      <c r="A18" s="38"/>
      <c r="B18" s="44"/>
      <c r="C18" s="16"/>
      <c r="D18" s="16"/>
      <c r="E18" s="16"/>
      <c r="F18" s="16"/>
      <c r="G18" s="16"/>
      <c r="H18" s="16"/>
      <c r="I18" s="16"/>
      <c r="J18" s="39"/>
      <c r="K18" s="19"/>
    </row>
    <row r="19" spans="1:11" s="1" customFormat="1" x14ac:dyDescent="0.25">
      <c r="A19" s="38">
        <f>ग्रावेल!A19</f>
        <v>3</v>
      </c>
      <c r="B19" s="42" t="str">
        <f>ग्रावेल!B19</f>
        <v>Information board (सुचना पाटि)</v>
      </c>
      <c r="C19" s="16" t="str">
        <f>ग्रावेल!H19</f>
        <v>no.</v>
      </c>
      <c r="D19" s="16">
        <f>ग्रावेल!G19</f>
        <v>1</v>
      </c>
      <c r="E19" s="16">
        <f>ग्रावेल!I19</f>
        <v>500</v>
      </c>
      <c r="F19" s="16">
        <f>D19*E19</f>
        <v>500</v>
      </c>
      <c r="G19" s="16">
        <f>V!G37</f>
        <v>1</v>
      </c>
      <c r="H19" s="16">
        <f>V!I37</f>
        <v>500</v>
      </c>
      <c r="I19" s="16">
        <f>G19*H19</f>
        <v>500</v>
      </c>
      <c r="J19" s="39">
        <f>I19-F19</f>
        <v>0</v>
      </c>
      <c r="K19" s="19"/>
    </row>
    <row r="20" spans="1:11" s="1" customFormat="1" x14ac:dyDescent="0.25">
      <c r="A20" s="40"/>
      <c r="B20" s="40"/>
      <c r="C20" s="16"/>
      <c r="D20" s="16"/>
      <c r="E20" s="16"/>
      <c r="F20" s="16"/>
      <c r="G20" s="16"/>
      <c r="H20" s="16"/>
      <c r="I20" s="16"/>
      <c r="J20" s="39"/>
      <c r="K20" s="19"/>
    </row>
    <row r="21" spans="1:11" x14ac:dyDescent="0.25">
      <c r="A21" s="5"/>
      <c r="B21" s="6" t="s">
        <v>16</v>
      </c>
      <c r="C21" s="6"/>
      <c r="D21" s="9"/>
      <c r="E21" s="9"/>
      <c r="F21" s="9">
        <f>SUM(F13:F19)</f>
        <v>43945.753416641266</v>
      </c>
      <c r="G21" s="9"/>
      <c r="H21" s="9"/>
      <c r="I21" s="9">
        <f>SUM(I13:I19)</f>
        <v>44008.678183712153</v>
      </c>
      <c r="J21" s="17">
        <f>I21-F21</f>
        <v>62.924767070886446</v>
      </c>
      <c r="K21"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topLeftCell="A15" zoomScaleNormal="100" workbookViewId="0">
      <selection activeCell="G35" sqref="G35"/>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bestFit="1" customWidth="1"/>
    <col min="10" max="10" width="10" customWidth="1"/>
  </cols>
  <sheetData>
    <row r="1" spans="1:19" s="1" customFormat="1" x14ac:dyDescent="0.25">
      <c r="A1" s="115" t="s">
        <v>0</v>
      </c>
      <c r="B1" s="115"/>
      <c r="C1" s="115"/>
      <c r="D1" s="115"/>
      <c r="E1" s="115"/>
      <c r="F1" s="115"/>
      <c r="G1" s="115"/>
      <c r="H1" s="115"/>
      <c r="I1" s="115"/>
      <c r="J1" s="115"/>
      <c r="K1" s="115"/>
    </row>
    <row r="2" spans="1:19" s="1" customFormat="1" ht="22.5" x14ac:dyDescent="0.25">
      <c r="A2" s="116" t="s">
        <v>1</v>
      </c>
      <c r="B2" s="116"/>
      <c r="C2" s="116"/>
      <c r="D2" s="116"/>
      <c r="E2" s="116"/>
      <c r="F2" s="116"/>
      <c r="G2" s="116"/>
      <c r="H2" s="116"/>
      <c r="I2" s="116"/>
      <c r="J2" s="116"/>
      <c r="K2" s="116"/>
    </row>
    <row r="3" spans="1:19" s="1" customFormat="1" x14ac:dyDescent="0.25">
      <c r="A3" s="117" t="s">
        <v>2</v>
      </c>
      <c r="B3" s="117"/>
      <c r="C3" s="117"/>
      <c r="D3" s="117"/>
      <c r="E3" s="117"/>
      <c r="F3" s="117"/>
      <c r="G3" s="117"/>
      <c r="H3" s="117"/>
      <c r="I3" s="117"/>
      <c r="J3" s="117"/>
      <c r="K3" s="117"/>
    </row>
    <row r="4" spans="1:19" s="1" customFormat="1" x14ac:dyDescent="0.25">
      <c r="A4" s="117" t="s">
        <v>3</v>
      </c>
      <c r="B4" s="117"/>
      <c r="C4" s="117"/>
      <c r="D4" s="117"/>
      <c r="E4" s="117"/>
      <c r="F4" s="117"/>
      <c r="G4" s="117"/>
      <c r="H4" s="117"/>
      <c r="I4" s="117"/>
      <c r="J4" s="117"/>
      <c r="K4" s="117"/>
    </row>
    <row r="5" spans="1:19" ht="18.75" x14ac:dyDescent="0.3">
      <c r="A5" s="118" t="s">
        <v>114</v>
      </c>
      <c r="B5" s="118"/>
      <c r="C5" s="118"/>
      <c r="D5" s="118"/>
      <c r="E5" s="118"/>
      <c r="F5" s="118"/>
      <c r="G5" s="118"/>
      <c r="H5" s="118"/>
      <c r="I5" s="118"/>
      <c r="J5" s="118"/>
      <c r="K5" s="118"/>
    </row>
    <row r="6" spans="1:19" ht="15.75" x14ac:dyDescent="0.25">
      <c r="A6" s="110" t="s">
        <v>92</v>
      </c>
      <c r="B6" s="110"/>
      <c r="C6" s="110"/>
      <c r="D6" s="110"/>
      <c r="E6" s="110"/>
      <c r="F6" s="110"/>
      <c r="G6" s="2"/>
      <c r="H6" s="111" t="s">
        <v>113</v>
      </c>
      <c r="I6" s="111"/>
      <c r="J6" s="111"/>
      <c r="K6" s="111"/>
    </row>
    <row r="7" spans="1:19" ht="15.75" x14ac:dyDescent="0.25">
      <c r="A7" s="133" t="s">
        <v>28</v>
      </c>
      <c r="B7" s="133"/>
      <c r="C7" s="133"/>
      <c r="D7" s="133"/>
      <c r="E7" s="133"/>
      <c r="F7" s="133"/>
      <c r="G7" s="3"/>
      <c r="H7" s="134" t="s">
        <v>112</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65" x14ac:dyDescent="0.25">
      <c r="A9" s="107">
        <v>1</v>
      </c>
      <c r="B9" s="41" t="s">
        <v>91</v>
      </c>
      <c r="C9" s="75"/>
      <c r="D9" s="75"/>
      <c r="E9" s="75"/>
      <c r="F9" s="75"/>
      <c r="G9" s="75"/>
      <c r="H9" s="75"/>
      <c r="I9" s="75"/>
      <c r="J9" s="75"/>
      <c r="K9" s="75"/>
    </row>
    <row r="10" spans="1:19" ht="15" customHeight="1" x14ac:dyDescent="0.25">
      <c r="A10" s="29"/>
      <c r="B10" s="76" t="s">
        <v>90</v>
      </c>
      <c r="C10" s="75">
        <v>0</v>
      </c>
      <c r="D10" s="77">
        <v>80</v>
      </c>
      <c r="E10" s="77">
        <f>(8-2)/3.281</f>
        <v>1.8287107589149649</v>
      </c>
      <c r="F10" s="77">
        <v>0.15</v>
      </c>
      <c r="G10" s="78">
        <f>PRODUCT(C10:F10)</f>
        <v>0</v>
      </c>
      <c r="H10" s="79"/>
      <c r="I10" s="79"/>
      <c r="J10" s="79"/>
      <c r="K10" s="32"/>
      <c r="M10" s="36"/>
      <c r="N10" s="1"/>
      <c r="O10" s="1"/>
      <c r="P10" s="1"/>
      <c r="Q10" s="1"/>
      <c r="R10" s="36"/>
      <c r="S10" s="36"/>
    </row>
    <row r="11" spans="1:19" ht="15" customHeight="1" x14ac:dyDescent="0.25">
      <c r="A11" s="29"/>
      <c r="B11" s="76" t="s">
        <v>49</v>
      </c>
      <c r="C11" s="30"/>
      <c r="D11" s="31"/>
      <c r="E11" s="32"/>
      <c r="F11" s="32"/>
      <c r="G11" s="34">
        <f>SUM(G10:G10)</f>
        <v>0</v>
      </c>
      <c r="H11" s="33" t="s">
        <v>29</v>
      </c>
      <c r="I11" s="34">
        <v>64.63</v>
      </c>
      <c r="J11" s="80">
        <f>G11*I11</f>
        <v>0</v>
      </c>
      <c r="K11" s="32"/>
      <c r="M11" s="36"/>
      <c r="N11" s="1"/>
      <c r="O11" s="1"/>
      <c r="P11" s="1"/>
      <c r="Q11" s="1"/>
      <c r="R11" s="36"/>
      <c r="S11" s="36"/>
    </row>
    <row r="12" spans="1:19" ht="15" customHeight="1" x14ac:dyDescent="0.25">
      <c r="A12" s="29"/>
      <c r="B12" s="76" t="s">
        <v>42</v>
      </c>
      <c r="C12" s="30"/>
      <c r="D12" s="31"/>
      <c r="E12" s="32"/>
      <c r="F12" s="32"/>
      <c r="G12" s="34"/>
      <c r="H12" s="33"/>
      <c r="I12" s="34"/>
      <c r="J12" s="80">
        <f>0.13*G11*19284/360</f>
        <v>0</v>
      </c>
      <c r="K12" s="32"/>
      <c r="M12" s="36"/>
      <c r="N12" s="1"/>
      <c r="O12" s="1"/>
      <c r="P12" s="1"/>
      <c r="Q12" s="1"/>
      <c r="R12" s="36"/>
      <c r="S12" s="36"/>
    </row>
    <row r="13" spans="1:19" ht="15" customHeight="1" x14ac:dyDescent="0.25">
      <c r="A13" s="29"/>
      <c r="B13" s="35"/>
      <c r="C13" s="30"/>
      <c r="D13" s="31"/>
      <c r="E13" s="32"/>
      <c r="F13" s="32"/>
      <c r="G13" s="34"/>
      <c r="H13" s="33"/>
      <c r="I13" s="34"/>
      <c r="J13" s="80"/>
      <c r="K13" s="32"/>
      <c r="M13" s="36"/>
      <c r="N13" s="1"/>
      <c r="O13" s="1"/>
      <c r="P13" s="1"/>
      <c r="Q13" s="1"/>
      <c r="R13" s="36"/>
      <c r="S13" s="36"/>
    </row>
    <row r="14" spans="1:19" ht="105" x14ac:dyDescent="0.25">
      <c r="A14" s="29">
        <v>2</v>
      </c>
      <c r="B14" s="41" t="s">
        <v>89</v>
      </c>
      <c r="C14" s="75"/>
      <c r="D14" s="77"/>
      <c r="E14" s="77"/>
      <c r="F14" s="77"/>
      <c r="G14" s="80"/>
      <c r="H14" s="79"/>
      <c r="I14" s="79"/>
      <c r="J14" s="79"/>
      <c r="K14" s="32"/>
      <c r="M14" s="36"/>
      <c r="N14" s="1"/>
      <c r="O14" s="1"/>
      <c r="P14" s="1"/>
      <c r="Q14" s="1"/>
      <c r="R14" s="36"/>
      <c r="S14" s="36"/>
    </row>
    <row r="15" spans="1:19" ht="15" customHeight="1" x14ac:dyDescent="0.25">
      <c r="A15" s="29"/>
      <c r="B15" s="76" t="s">
        <v>93</v>
      </c>
      <c r="C15" s="75"/>
      <c r="D15" s="77"/>
      <c r="E15" s="77"/>
      <c r="F15" s="77"/>
      <c r="G15" s="78"/>
      <c r="H15" s="79"/>
      <c r="I15" s="79"/>
      <c r="J15" s="79"/>
      <c r="K15" s="32"/>
      <c r="M15" s="36"/>
      <c r="N15" s="1"/>
      <c r="O15" s="1"/>
      <c r="P15" s="1">
        <v>0</v>
      </c>
      <c r="Q15" s="77">
        <f>6/3.281</f>
        <v>1.8287107589149649</v>
      </c>
      <c r="R15" s="77">
        <f>3/12/3.281</f>
        <v>7.6196281621456863E-2</v>
      </c>
      <c r="S15" s="36"/>
    </row>
    <row r="16" spans="1:19" ht="15" customHeight="1" x14ac:dyDescent="0.25">
      <c r="A16" s="29"/>
      <c r="B16" s="76" t="s">
        <v>94</v>
      </c>
      <c r="C16" s="75">
        <v>1</v>
      </c>
      <c r="D16" s="77">
        <v>5</v>
      </c>
      <c r="E16" s="77">
        <f>(Q15+Q16)/2</f>
        <v>2.1334958854007922</v>
      </c>
      <c r="F16" s="77">
        <f>(R15+R16)/2</f>
        <v>7.6196281621456863E-2</v>
      </c>
      <c r="G16" s="78">
        <f>PRODUCT(C16:F16)</f>
        <v>0.81282226661109114</v>
      </c>
      <c r="H16" s="79"/>
      <c r="I16" s="79"/>
      <c r="J16" s="79"/>
      <c r="K16" s="32"/>
      <c r="M16" s="36"/>
      <c r="N16" s="1"/>
      <c r="O16" s="1"/>
      <c r="P16" s="77">
        <v>5</v>
      </c>
      <c r="Q16" s="77">
        <f>8/3.281</f>
        <v>2.4382810118866196</v>
      </c>
      <c r="R16" s="77">
        <f>3/12/3.281</f>
        <v>7.6196281621456863E-2</v>
      </c>
      <c r="S16" s="36"/>
    </row>
    <row r="17" spans="1:19" ht="15" customHeight="1" x14ac:dyDescent="0.25">
      <c r="A17" s="29"/>
      <c r="B17" s="76" t="s">
        <v>95</v>
      </c>
      <c r="C17" s="75">
        <v>1</v>
      </c>
      <c r="D17" s="77">
        <v>5</v>
      </c>
      <c r="E17" s="77">
        <f t="shared" ref="E17:E33" si="0">(Q16+Q17)/2</f>
        <v>2.4382810118866196</v>
      </c>
      <c r="F17" s="77">
        <f t="shared" ref="F17:F33" si="1">(R16+R17)/2</f>
        <v>7.6196281621456863E-2</v>
      </c>
      <c r="G17" s="78">
        <f t="shared" ref="G17:G33" si="2">PRODUCT(C17:F17)</f>
        <v>0.92893973326981838</v>
      </c>
      <c r="H17" s="79"/>
      <c r="I17" s="79"/>
      <c r="J17" s="79"/>
      <c r="K17" s="32"/>
      <c r="M17" s="36"/>
      <c r="N17" s="1"/>
      <c r="O17" s="1"/>
      <c r="P17" s="77">
        <v>5</v>
      </c>
      <c r="Q17" s="77">
        <f>8/3.281</f>
        <v>2.4382810118866196</v>
      </c>
      <c r="R17" s="77">
        <f>3/12/3.281</f>
        <v>7.6196281621456863E-2</v>
      </c>
      <c r="S17" s="36"/>
    </row>
    <row r="18" spans="1:19" ht="15" customHeight="1" x14ac:dyDescent="0.25">
      <c r="A18" s="29"/>
      <c r="B18" s="76" t="s">
        <v>96</v>
      </c>
      <c r="C18" s="75">
        <v>1</v>
      </c>
      <c r="D18" s="77">
        <v>5</v>
      </c>
      <c r="E18" s="77">
        <f t="shared" si="0"/>
        <v>2.3620847302651629</v>
      </c>
      <c r="F18" s="77">
        <f t="shared" si="1"/>
        <v>8.8895661891699673E-2</v>
      </c>
      <c r="G18" s="78">
        <f t="shared" si="2"/>
        <v>1.0498954277059926</v>
      </c>
      <c r="H18" s="79"/>
      <c r="I18" s="79"/>
      <c r="J18" s="79"/>
      <c r="K18" s="32"/>
      <c r="M18" s="36"/>
      <c r="N18" s="1"/>
      <c r="O18" s="1"/>
      <c r="P18" s="77">
        <v>5</v>
      </c>
      <c r="Q18" s="77">
        <f>7.5/3.281</f>
        <v>2.2858884486437061</v>
      </c>
      <c r="R18" s="77">
        <f>4/12/3.281</f>
        <v>0.10159504216194248</v>
      </c>
      <c r="S18" s="36"/>
    </row>
    <row r="19" spans="1:19" ht="15" customHeight="1" x14ac:dyDescent="0.25">
      <c r="A19" s="29"/>
      <c r="B19" s="76" t="s">
        <v>97</v>
      </c>
      <c r="C19" s="75">
        <v>1</v>
      </c>
      <c r="D19" s="77">
        <v>5</v>
      </c>
      <c r="E19" s="77">
        <f t="shared" si="0"/>
        <v>2.3620847302651629</v>
      </c>
      <c r="F19" s="77">
        <f t="shared" si="1"/>
        <v>0.10159504216194248</v>
      </c>
      <c r="G19" s="78">
        <f t="shared" si="2"/>
        <v>1.1998804888068488</v>
      </c>
      <c r="H19" s="79"/>
      <c r="I19" s="79"/>
      <c r="J19" s="79"/>
      <c r="K19" s="32"/>
      <c r="M19" s="36"/>
      <c r="N19" s="1"/>
      <c r="O19" s="1"/>
      <c r="P19" s="77">
        <v>5</v>
      </c>
      <c r="Q19" s="77">
        <f>8/3.281</f>
        <v>2.4382810118866196</v>
      </c>
      <c r="R19" s="77">
        <f>4/12/3.281</f>
        <v>0.10159504216194248</v>
      </c>
      <c r="S19" s="36"/>
    </row>
    <row r="20" spans="1:19" ht="15" customHeight="1" x14ac:dyDescent="0.25">
      <c r="A20" s="29"/>
      <c r="B20" s="76" t="s">
        <v>98</v>
      </c>
      <c r="C20" s="75">
        <v>1</v>
      </c>
      <c r="D20" s="77">
        <v>5</v>
      </c>
      <c r="E20" s="77">
        <f t="shared" si="0"/>
        <v>2.4382810118866196</v>
      </c>
      <c r="F20" s="77">
        <f t="shared" si="1"/>
        <v>0.10159504216194248</v>
      </c>
      <c r="G20" s="78">
        <f t="shared" si="2"/>
        <v>1.2385863110264246</v>
      </c>
      <c r="H20" s="79"/>
      <c r="I20" s="79"/>
      <c r="J20" s="79"/>
      <c r="K20" s="32"/>
      <c r="M20" s="36"/>
      <c r="N20" s="1"/>
      <c r="O20" s="1"/>
      <c r="P20" s="77">
        <v>5</v>
      </c>
      <c r="Q20" s="77">
        <f>8/3.281</f>
        <v>2.4382810118866196</v>
      </c>
      <c r="R20" s="77">
        <f>4/12/3.281</f>
        <v>0.10159504216194248</v>
      </c>
      <c r="S20" s="36"/>
    </row>
    <row r="21" spans="1:19" ht="15" customHeight="1" x14ac:dyDescent="0.25">
      <c r="A21" s="29"/>
      <c r="B21" s="76" t="s">
        <v>99</v>
      </c>
      <c r="C21" s="75">
        <v>1</v>
      </c>
      <c r="D21" s="77">
        <v>5</v>
      </c>
      <c r="E21" s="77">
        <f t="shared" si="0"/>
        <v>2.4382810118866196</v>
      </c>
      <c r="F21" s="77">
        <f t="shared" si="1"/>
        <v>9.8420197094381795E-2</v>
      </c>
      <c r="G21" s="78">
        <f t="shared" si="2"/>
        <v>1.1998804888068488</v>
      </c>
      <c r="H21" s="79"/>
      <c r="I21" s="79"/>
      <c r="J21" s="79"/>
      <c r="K21" s="32"/>
      <c r="M21" s="36"/>
      <c r="N21" s="1"/>
      <c r="O21" s="1"/>
      <c r="P21" s="77">
        <v>5</v>
      </c>
      <c r="Q21" s="77">
        <f>8/3.281</f>
        <v>2.4382810118866196</v>
      </c>
      <c r="R21" s="77">
        <f>3.75/12/3.281</f>
        <v>9.5245352026821092E-2</v>
      </c>
      <c r="S21" s="36"/>
    </row>
    <row r="22" spans="1:19" ht="15" customHeight="1" x14ac:dyDescent="0.25">
      <c r="A22" s="29"/>
      <c r="B22" s="76" t="s">
        <v>100</v>
      </c>
      <c r="C22" s="75">
        <v>1</v>
      </c>
      <c r="D22" s="77">
        <v>5</v>
      </c>
      <c r="E22" s="77">
        <f t="shared" si="0"/>
        <v>3.0097531240475464</v>
      </c>
      <c r="F22" s="77">
        <f t="shared" si="1"/>
        <v>9.8420197094381795E-2</v>
      </c>
      <c r="G22" s="78">
        <f t="shared" si="2"/>
        <v>1.4811024783709541</v>
      </c>
      <c r="H22" s="79"/>
      <c r="I22" s="79"/>
      <c r="J22" s="79"/>
      <c r="K22" s="32"/>
      <c r="M22" s="36"/>
      <c r="N22" s="1"/>
      <c r="O22" s="1"/>
      <c r="P22" s="77">
        <v>5</v>
      </c>
      <c r="Q22" s="77">
        <f>11.75/3.281</f>
        <v>3.5812252362084727</v>
      </c>
      <c r="R22" s="77">
        <f>4/12/3.281</f>
        <v>0.10159504216194248</v>
      </c>
      <c r="S22" s="36"/>
    </row>
    <row r="23" spans="1:19" ht="15" customHeight="1" x14ac:dyDescent="0.25">
      <c r="A23" s="29"/>
      <c r="B23" s="76" t="s">
        <v>101</v>
      </c>
      <c r="C23" s="75">
        <v>1</v>
      </c>
      <c r="D23" s="77">
        <v>3</v>
      </c>
      <c r="E23" s="77">
        <f t="shared" si="0"/>
        <v>3.2383419689119171</v>
      </c>
      <c r="F23" s="77">
        <f t="shared" si="1"/>
        <v>9.5245352026821078E-2</v>
      </c>
      <c r="G23" s="78">
        <f t="shared" si="2"/>
        <v>0.92531106243673322</v>
      </c>
      <c r="H23" s="79"/>
      <c r="I23" s="79"/>
      <c r="J23" s="79"/>
      <c r="K23" s="32"/>
      <c r="M23" s="36"/>
      <c r="N23" s="1"/>
      <c r="O23" s="1"/>
      <c r="P23" s="77">
        <v>3</v>
      </c>
      <c r="Q23" s="77">
        <f>9.5/3.281</f>
        <v>2.895458701615361</v>
      </c>
      <c r="R23" s="77">
        <f>3.5/12/3.281</f>
        <v>8.8895661891699687E-2</v>
      </c>
      <c r="S23" s="36"/>
    </row>
    <row r="24" spans="1:19" ht="15" customHeight="1" x14ac:dyDescent="0.25">
      <c r="A24" s="29"/>
      <c r="B24" s="76" t="s">
        <v>102</v>
      </c>
      <c r="C24" s="75">
        <v>1</v>
      </c>
      <c r="D24" s="77">
        <v>5</v>
      </c>
      <c r="E24" s="77">
        <f t="shared" si="0"/>
        <v>2.6668698567509903</v>
      </c>
      <c r="F24" s="77">
        <f t="shared" si="1"/>
        <v>8.8895661891699687E-2</v>
      </c>
      <c r="G24" s="78">
        <f t="shared" si="2"/>
        <v>1.185365805474508</v>
      </c>
      <c r="H24" s="79"/>
      <c r="I24" s="79"/>
      <c r="J24" s="79"/>
      <c r="K24" s="32"/>
      <c r="M24" s="36"/>
      <c r="N24" s="1"/>
      <c r="O24" s="1"/>
      <c r="P24" s="77">
        <v>5</v>
      </c>
      <c r="Q24" s="77">
        <f>8/3.281</f>
        <v>2.4382810118866196</v>
      </c>
      <c r="R24" s="77">
        <f>3.5/12/3.281</f>
        <v>8.8895661891699687E-2</v>
      </c>
      <c r="S24" s="36"/>
    </row>
    <row r="25" spans="1:19" ht="15" customHeight="1" x14ac:dyDescent="0.25">
      <c r="A25" s="29"/>
      <c r="B25" s="76" t="s">
        <v>103</v>
      </c>
      <c r="C25" s="75">
        <v>1</v>
      </c>
      <c r="D25" s="77">
        <v>5</v>
      </c>
      <c r="E25" s="77">
        <f t="shared" si="0"/>
        <v>2.2858884486437061</v>
      </c>
      <c r="F25" s="77">
        <f t="shared" si="1"/>
        <v>0.1206441125673067</v>
      </c>
      <c r="G25" s="78">
        <f t="shared" si="2"/>
        <v>1.3788949165723869</v>
      </c>
      <c r="H25" s="79"/>
      <c r="I25" s="79"/>
      <c r="J25" s="79"/>
      <c r="K25" s="32"/>
      <c r="M25" s="36"/>
      <c r="N25" s="1"/>
      <c r="O25" s="1"/>
      <c r="P25" s="77">
        <v>5</v>
      </c>
      <c r="Q25" s="77">
        <f>7/3.281</f>
        <v>2.1334958854007922</v>
      </c>
      <c r="R25" s="77">
        <f>6/12/3.281</f>
        <v>0.15239256324291373</v>
      </c>
      <c r="S25" s="36"/>
    </row>
    <row r="26" spans="1:19" ht="15" customHeight="1" x14ac:dyDescent="0.25">
      <c r="A26" s="29"/>
      <c r="B26" s="76" t="s">
        <v>104</v>
      </c>
      <c r="C26" s="75">
        <v>1</v>
      </c>
      <c r="D26" s="77">
        <v>5</v>
      </c>
      <c r="E26" s="77">
        <f t="shared" si="0"/>
        <v>2.2858884486437061</v>
      </c>
      <c r="F26" s="77">
        <f t="shared" si="1"/>
        <v>0.13969318297267092</v>
      </c>
      <c r="G26" s="78">
        <f t="shared" si="2"/>
        <v>1.5966151665575006</v>
      </c>
      <c r="H26" s="79"/>
      <c r="I26" s="79"/>
      <c r="J26" s="79"/>
      <c r="K26" s="32"/>
      <c r="M26" s="36"/>
      <c r="N26" s="1"/>
      <c r="O26" s="1"/>
      <c r="P26" s="77">
        <v>5</v>
      </c>
      <c r="Q26" s="77">
        <f>8/3.281</f>
        <v>2.4382810118866196</v>
      </c>
      <c r="R26" s="77">
        <f>5/12/3.281</f>
        <v>0.12699380270242813</v>
      </c>
      <c r="S26" s="36"/>
    </row>
    <row r="27" spans="1:19" ht="15" customHeight="1" x14ac:dyDescent="0.25">
      <c r="A27" s="29"/>
      <c r="B27" s="76" t="s">
        <v>105</v>
      </c>
      <c r="C27" s="75">
        <v>1</v>
      </c>
      <c r="D27" s="77">
        <v>5</v>
      </c>
      <c r="E27" s="77">
        <f t="shared" si="0"/>
        <v>2.4382810118866196</v>
      </c>
      <c r="F27" s="77">
        <f t="shared" si="1"/>
        <v>0.12699380270242813</v>
      </c>
      <c r="G27" s="78">
        <f t="shared" si="2"/>
        <v>1.548232888783031</v>
      </c>
      <c r="H27" s="79"/>
      <c r="I27" s="79"/>
      <c r="J27" s="79"/>
      <c r="K27" s="32"/>
      <c r="M27" s="36"/>
      <c r="N27" s="1"/>
      <c r="O27" s="1"/>
      <c r="P27" s="77">
        <v>5</v>
      </c>
      <c r="Q27" s="77">
        <f>8/3.281</f>
        <v>2.4382810118866196</v>
      </c>
      <c r="R27" s="77">
        <f>5/12/3.281</f>
        <v>0.12699380270242813</v>
      </c>
      <c r="S27" s="36"/>
    </row>
    <row r="28" spans="1:19" ht="15" customHeight="1" x14ac:dyDescent="0.25">
      <c r="A28" s="29"/>
      <c r="B28" s="76" t="s">
        <v>106</v>
      </c>
      <c r="C28" s="75">
        <v>1</v>
      </c>
      <c r="D28" s="77">
        <v>5</v>
      </c>
      <c r="E28" s="77">
        <f t="shared" si="0"/>
        <v>2.4382810118866196</v>
      </c>
      <c r="F28" s="77">
        <f t="shared" si="1"/>
        <v>0.13969318297267092</v>
      </c>
      <c r="G28" s="78">
        <f t="shared" si="2"/>
        <v>1.7030561776613338</v>
      </c>
      <c r="H28" s="79"/>
      <c r="I28" s="79"/>
      <c r="J28" s="79"/>
      <c r="K28" s="32"/>
      <c r="M28" s="36"/>
      <c r="N28" s="1"/>
      <c r="O28" s="1"/>
      <c r="P28" s="77">
        <v>5</v>
      </c>
      <c r="Q28" s="77">
        <f>8/3.281</f>
        <v>2.4382810118866196</v>
      </c>
      <c r="R28" s="77">
        <f>6/12/3.281</f>
        <v>0.15239256324291373</v>
      </c>
      <c r="S28" s="36"/>
    </row>
    <row r="29" spans="1:19" ht="15" customHeight="1" x14ac:dyDescent="0.25">
      <c r="A29" s="29"/>
      <c r="B29" s="76" t="s">
        <v>107</v>
      </c>
      <c r="C29" s="75">
        <v>1</v>
      </c>
      <c r="D29" s="77">
        <v>5</v>
      </c>
      <c r="E29" s="77">
        <f t="shared" si="0"/>
        <v>2.4382810118866196</v>
      </c>
      <c r="F29" s="77">
        <f t="shared" si="1"/>
        <v>0.13969318297267092</v>
      </c>
      <c r="G29" s="78">
        <f t="shared" si="2"/>
        <v>1.7030561776613338</v>
      </c>
      <c r="H29" s="79"/>
      <c r="I29" s="79"/>
      <c r="J29" s="79"/>
      <c r="K29" s="32"/>
      <c r="M29" s="36"/>
      <c r="N29" s="1"/>
      <c r="O29" s="1"/>
      <c r="P29" s="77">
        <v>5</v>
      </c>
      <c r="Q29" s="77">
        <f>8/3.281</f>
        <v>2.4382810118866196</v>
      </c>
      <c r="R29" s="77">
        <f>5/12/3.281</f>
        <v>0.12699380270242813</v>
      </c>
      <c r="S29" s="36"/>
    </row>
    <row r="30" spans="1:19" ht="15" customHeight="1" x14ac:dyDescent="0.25">
      <c r="A30" s="29"/>
      <c r="B30" s="76" t="s">
        <v>108</v>
      </c>
      <c r="C30" s="75">
        <v>1</v>
      </c>
      <c r="D30" s="77">
        <v>5</v>
      </c>
      <c r="E30" s="77">
        <f t="shared" si="0"/>
        <v>2.3747333130143247</v>
      </c>
      <c r="F30" s="77">
        <f t="shared" si="1"/>
        <v>0.11429442243218531</v>
      </c>
      <c r="G30" s="78">
        <f t="shared" si="2"/>
        <v>1.3570938622072108</v>
      </c>
      <c r="H30" s="79"/>
      <c r="I30" s="79"/>
      <c r="J30" s="79"/>
      <c r="K30" s="32"/>
      <c r="M30" s="36"/>
      <c r="N30" s="1"/>
      <c r="O30" s="1"/>
      <c r="P30" s="77">
        <v>5</v>
      </c>
      <c r="Q30" s="77">
        <f>7.583/3.281</f>
        <v>2.3111856141420297</v>
      </c>
      <c r="R30" s="77">
        <f>4/12/3.281</f>
        <v>0.10159504216194248</v>
      </c>
      <c r="S30" s="36"/>
    </row>
    <row r="31" spans="1:19" ht="15" customHeight="1" x14ac:dyDescent="0.25">
      <c r="A31" s="29"/>
      <c r="B31" s="76" t="s">
        <v>109</v>
      </c>
      <c r="C31" s="75">
        <v>1</v>
      </c>
      <c r="D31" s="77">
        <v>5</v>
      </c>
      <c r="E31" s="77">
        <f t="shared" si="0"/>
        <v>2.3747333130143247</v>
      </c>
      <c r="F31" s="77">
        <f t="shared" si="1"/>
        <v>9.5245352026821078E-2</v>
      </c>
      <c r="G31" s="78">
        <f t="shared" si="2"/>
        <v>1.1309115518393422</v>
      </c>
      <c r="H31" s="79"/>
      <c r="I31" s="79"/>
      <c r="J31" s="79"/>
      <c r="K31" s="32"/>
      <c r="M31" s="36"/>
      <c r="N31" s="1"/>
      <c r="O31" s="1"/>
      <c r="P31" s="77">
        <v>5</v>
      </c>
      <c r="Q31" s="77">
        <f>8/3.281</f>
        <v>2.4382810118866196</v>
      </c>
      <c r="R31" s="77">
        <f>3.5/12/3.281</f>
        <v>8.8895661891699687E-2</v>
      </c>
      <c r="S31" s="36"/>
    </row>
    <row r="32" spans="1:19" ht="15" customHeight="1" x14ac:dyDescent="0.25">
      <c r="A32" s="29"/>
      <c r="B32" s="76" t="s">
        <v>110</v>
      </c>
      <c r="C32" s="75">
        <v>1</v>
      </c>
      <c r="D32" s="77">
        <v>5</v>
      </c>
      <c r="E32" s="77">
        <f t="shared" si="0"/>
        <v>2.5144772935080768</v>
      </c>
      <c r="F32" s="77">
        <f t="shared" si="1"/>
        <v>9.5245352026821078E-2</v>
      </c>
      <c r="G32" s="78">
        <f t="shared" si="2"/>
        <v>1.1974613749181253</v>
      </c>
      <c r="H32" s="79"/>
      <c r="I32" s="79"/>
      <c r="J32" s="79"/>
      <c r="K32" s="32"/>
      <c r="M32" s="36"/>
      <c r="N32" s="1"/>
      <c r="O32" s="1"/>
      <c r="P32" s="77">
        <v>5</v>
      </c>
      <c r="Q32" s="77">
        <f>8.5/3.281</f>
        <v>2.5906735751295336</v>
      </c>
      <c r="R32" s="77">
        <f>4/12/3.281</f>
        <v>0.10159504216194248</v>
      </c>
      <c r="S32" s="36"/>
    </row>
    <row r="33" spans="1:19" ht="15" customHeight="1" x14ac:dyDescent="0.25">
      <c r="A33" s="29"/>
      <c r="B33" s="76" t="s">
        <v>111</v>
      </c>
      <c r="C33" s="75">
        <v>1</v>
      </c>
      <c r="D33" s="77">
        <v>4.4000000000000004</v>
      </c>
      <c r="E33" s="77">
        <f t="shared" si="0"/>
        <v>2.6033221578786954</v>
      </c>
      <c r="F33" s="77">
        <f t="shared" si="1"/>
        <v>0.10159504216194248</v>
      </c>
      <c r="G33" s="78">
        <f t="shared" si="2"/>
        <v>1.1637323473195427</v>
      </c>
      <c r="H33" s="79"/>
      <c r="I33" s="79"/>
      <c r="J33" s="79"/>
      <c r="K33" s="32"/>
      <c r="M33" s="36"/>
      <c r="N33" s="1"/>
      <c r="O33" s="1"/>
      <c r="P33" s="77">
        <v>4.4000000000000004</v>
      </c>
      <c r="Q33" s="77">
        <f>8.583/3.281</f>
        <v>2.6159707406278572</v>
      </c>
      <c r="R33" s="77">
        <f>4/12/3.281</f>
        <v>0.10159504216194248</v>
      </c>
      <c r="S33" s="36"/>
    </row>
    <row r="34" spans="1:19" ht="15" customHeight="1" x14ac:dyDescent="0.25">
      <c r="A34" s="29"/>
      <c r="B34" s="76" t="s">
        <v>49</v>
      </c>
      <c r="C34" s="75"/>
      <c r="D34" s="77"/>
      <c r="E34" s="77"/>
      <c r="F34" s="77"/>
      <c r="G34" s="58">
        <f>SUM(G16:G33)</f>
        <v>22.800838526029025</v>
      </c>
      <c r="H34" s="79" t="s">
        <v>29</v>
      </c>
      <c r="I34" s="79">
        <f>1693.85</f>
        <v>1693.85</v>
      </c>
      <c r="J34" s="80">
        <f>G34*I34</f>
        <v>38621.200337314265</v>
      </c>
      <c r="K34" s="32"/>
      <c r="M34" s="36"/>
      <c r="N34" s="1"/>
      <c r="O34" s="1"/>
      <c r="P34" s="1"/>
      <c r="Q34" s="1"/>
      <c r="R34" s="36"/>
      <c r="S34" s="36"/>
    </row>
    <row r="35" spans="1:19" ht="15" customHeight="1" x14ac:dyDescent="0.25">
      <c r="A35" s="29"/>
      <c r="B35" s="76" t="s">
        <v>42</v>
      </c>
      <c r="C35" s="75"/>
      <c r="D35" s="77"/>
      <c r="E35" s="77"/>
      <c r="F35" s="77"/>
      <c r="G35" s="80"/>
      <c r="H35" s="79"/>
      <c r="I35" s="79"/>
      <c r="J35" s="80">
        <f>0.13*G34*(446551.8+48114)/300</f>
        <v>4887.4778463978864</v>
      </c>
      <c r="K35" s="32"/>
      <c r="M35" s="36"/>
      <c r="N35" s="1"/>
      <c r="O35" s="1"/>
      <c r="P35" s="1"/>
      <c r="Q35" s="1"/>
      <c r="R35" s="36"/>
      <c r="S35" s="36"/>
    </row>
    <row r="36" spans="1:19" ht="15" customHeight="1" x14ac:dyDescent="0.25">
      <c r="A36" s="29"/>
      <c r="B36" s="76"/>
      <c r="C36" s="75"/>
      <c r="D36" s="77"/>
      <c r="E36" s="77"/>
      <c r="F36" s="77"/>
      <c r="G36" s="80"/>
      <c r="H36" s="79"/>
      <c r="I36" s="79"/>
      <c r="J36" s="79"/>
      <c r="K36" s="32"/>
      <c r="M36" s="36"/>
      <c r="N36" s="1"/>
      <c r="O36" s="1"/>
      <c r="P36" s="1"/>
      <c r="Q36" s="1"/>
      <c r="R36" s="36"/>
      <c r="S36" s="36"/>
    </row>
    <row r="37" spans="1:19" ht="15" customHeight="1" x14ac:dyDescent="0.25">
      <c r="A37" s="29">
        <v>3</v>
      </c>
      <c r="B37" s="41" t="s">
        <v>33</v>
      </c>
      <c r="C37" s="30">
        <v>1</v>
      </c>
      <c r="D37" s="31"/>
      <c r="E37" s="32"/>
      <c r="F37" s="32"/>
      <c r="G37" s="58">
        <f t="shared" ref="G37" si="3">PRODUCT(C37:F37)</f>
        <v>1</v>
      </c>
      <c r="H37" s="33" t="s">
        <v>34</v>
      </c>
      <c r="I37" s="34">
        <v>500</v>
      </c>
      <c r="J37" s="58">
        <f>G37*I37</f>
        <v>500</v>
      </c>
      <c r="K37" s="32"/>
      <c r="M37" s="36"/>
      <c r="N37" s="1"/>
      <c r="O37" s="1"/>
      <c r="P37" s="1"/>
      <c r="Q37" s="1"/>
      <c r="R37" s="36"/>
      <c r="S37" s="36"/>
    </row>
    <row r="38" spans="1:19" ht="15" customHeight="1" x14ac:dyDescent="0.25">
      <c r="A38" s="29"/>
      <c r="B38" s="35"/>
      <c r="C38" s="30"/>
      <c r="D38" s="31"/>
      <c r="E38" s="32"/>
      <c r="F38" s="32"/>
      <c r="G38" s="34"/>
      <c r="H38" s="33"/>
      <c r="I38" s="34"/>
      <c r="J38" s="80"/>
      <c r="K38" s="32"/>
      <c r="M38" s="36"/>
      <c r="N38" s="1"/>
      <c r="O38" s="1"/>
      <c r="P38" s="1"/>
      <c r="Q38" s="1"/>
      <c r="R38" s="36"/>
      <c r="S38" s="36"/>
    </row>
    <row r="39" spans="1:19" x14ac:dyDescent="0.25">
      <c r="A39" s="79"/>
      <c r="B39" s="86" t="s">
        <v>17</v>
      </c>
      <c r="C39" s="87"/>
      <c r="D39" s="77"/>
      <c r="E39" s="77"/>
      <c r="F39" s="77"/>
      <c r="G39" s="80"/>
      <c r="H39" s="80"/>
      <c r="I39" s="80"/>
      <c r="J39" s="80">
        <f>SUM(J11:J37)</f>
        <v>44008.678183712153</v>
      </c>
      <c r="K39" s="75"/>
    </row>
    <row r="40" spans="1:19" x14ac:dyDescent="0.25">
      <c r="A40" s="88"/>
      <c r="B40" s="89"/>
      <c r="C40" s="89"/>
      <c r="D40" s="89"/>
      <c r="E40" s="89"/>
      <c r="F40" s="89"/>
      <c r="G40" s="88"/>
      <c r="H40" s="88"/>
      <c r="I40" s="88"/>
      <c r="J40" s="88"/>
      <c r="K40" s="89"/>
    </row>
    <row r="41" spans="1:19" s="1" customFormat="1" x14ac:dyDescent="0.25">
      <c r="A41" s="90"/>
      <c r="B41" s="40" t="s">
        <v>115</v>
      </c>
      <c r="C41" s="135">
        <f>J39</f>
        <v>44008.678183712153</v>
      </c>
      <c r="D41" s="135"/>
      <c r="E41" s="78">
        <v>100</v>
      </c>
      <c r="F41" s="91"/>
      <c r="G41" s="92"/>
      <c r="H41" s="91"/>
      <c r="I41" s="93"/>
      <c r="J41" s="94"/>
      <c r="K41" s="95"/>
    </row>
    <row r="42" spans="1:19" x14ac:dyDescent="0.25">
      <c r="A42" s="96"/>
      <c r="B42" s="40" t="s">
        <v>35</v>
      </c>
      <c r="C42" s="136">
        <v>35000</v>
      </c>
      <c r="D42" s="136"/>
      <c r="E42" s="78"/>
      <c r="F42" s="89"/>
      <c r="G42" s="88"/>
      <c r="H42" s="88"/>
      <c r="I42" s="88"/>
      <c r="J42" s="88"/>
      <c r="K42" s="89"/>
    </row>
    <row r="43" spans="1:19" x14ac:dyDescent="0.25">
      <c r="A43" s="96"/>
      <c r="B43" s="40" t="s">
        <v>36</v>
      </c>
      <c r="C43" s="136">
        <f>C42-C45-C46</f>
        <v>33250</v>
      </c>
      <c r="D43" s="136"/>
      <c r="E43" s="78">
        <f>C43/C41*100</f>
        <v>75.553280335299874</v>
      </c>
      <c r="F43" s="89"/>
      <c r="G43" s="88"/>
      <c r="H43" s="88"/>
      <c r="I43" s="88"/>
      <c r="J43" s="88"/>
      <c r="K43" s="89"/>
    </row>
    <row r="44" spans="1:19" x14ac:dyDescent="0.25">
      <c r="A44" s="96"/>
      <c r="B44" s="40" t="s">
        <v>37</v>
      </c>
      <c r="C44" s="135">
        <f>C41-C43</f>
        <v>10758.678183712153</v>
      </c>
      <c r="D44" s="135"/>
      <c r="E44" s="78">
        <f>100-E43</f>
        <v>24.446719664700126</v>
      </c>
      <c r="F44" s="89"/>
      <c r="G44" s="88"/>
      <c r="H44" s="88"/>
      <c r="I44" s="88"/>
      <c r="J44" s="88"/>
      <c r="K44" s="89"/>
    </row>
    <row r="45" spans="1:19" x14ac:dyDescent="0.25">
      <c r="A45" s="96"/>
      <c r="B45" s="40" t="s">
        <v>38</v>
      </c>
      <c r="C45" s="135">
        <f>C42*0.03</f>
        <v>1050</v>
      </c>
      <c r="D45" s="135"/>
      <c r="E45" s="78">
        <v>3</v>
      </c>
      <c r="F45" s="89"/>
      <c r="G45" s="88"/>
      <c r="H45" s="88"/>
      <c r="I45" s="88"/>
      <c r="J45" s="88"/>
      <c r="K45" s="89"/>
    </row>
    <row r="46" spans="1:19" x14ac:dyDescent="0.25">
      <c r="A46" s="96"/>
      <c r="B46" s="40" t="s">
        <v>39</v>
      </c>
      <c r="C46" s="135">
        <f>C42*0.02</f>
        <v>700</v>
      </c>
      <c r="D46" s="135"/>
      <c r="E46" s="78">
        <v>2</v>
      </c>
      <c r="F46" s="89"/>
      <c r="G46" s="88"/>
      <c r="H46" s="88"/>
      <c r="I46" s="88"/>
      <c r="J46" s="88"/>
      <c r="K46" s="89"/>
    </row>
    <row r="47" spans="1:19" s="74" customFormat="1" x14ac:dyDescent="0.25">
      <c r="A47" s="97"/>
      <c r="B47" s="97"/>
      <c r="C47" s="97"/>
      <c r="D47" s="97"/>
      <c r="E47" s="97"/>
      <c r="F47" s="97"/>
      <c r="G47" s="97"/>
      <c r="H47" s="97"/>
      <c r="I47" s="97"/>
      <c r="J47" s="97"/>
      <c r="K47" s="97"/>
    </row>
    <row r="48" spans="1:19" s="74" customFormat="1" x14ac:dyDescent="0.25"/>
    <row r="49" s="74" customFormat="1" x14ac:dyDescent="0.25"/>
    <row r="50" s="74" customFormat="1" x14ac:dyDescent="0.25"/>
    <row r="51" s="74" customFormat="1" x14ac:dyDescent="0.25"/>
    <row r="52" s="74" customFormat="1" x14ac:dyDescent="0.25"/>
    <row r="53" s="74" customFormat="1" x14ac:dyDescent="0.25"/>
    <row r="54" s="74" customFormat="1" x14ac:dyDescent="0.25"/>
    <row r="55" s="74" customFormat="1" x14ac:dyDescent="0.25"/>
    <row r="56" s="74" customFormat="1" x14ac:dyDescent="0.25"/>
    <row r="57" s="74" customFormat="1" x14ac:dyDescent="0.25"/>
    <row r="58" s="74" customFormat="1" x14ac:dyDescent="0.25"/>
    <row r="59" s="74" customFormat="1" x14ac:dyDescent="0.25"/>
    <row r="60" s="74" customFormat="1" x14ac:dyDescent="0.25"/>
    <row r="61" s="74" customFormat="1" x14ac:dyDescent="0.25"/>
    <row r="62" s="74" customFormat="1" x14ac:dyDescent="0.25"/>
    <row r="63" s="74" customFormat="1" x14ac:dyDescent="0.25"/>
    <row r="64"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sheetData>
  <mergeCells count="15">
    <mergeCell ref="C45:D45"/>
    <mergeCell ref="C46:D46"/>
    <mergeCell ref="A7:F7"/>
    <mergeCell ref="H7:K7"/>
    <mergeCell ref="C41:D41"/>
    <mergeCell ref="C42:D42"/>
    <mergeCell ref="C43:D43"/>
    <mergeCell ref="C44:D44"/>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tabSelected="1" zoomScaleNormal="100" workbookViewId="0">
      <selection activeCell="L9" sqref="L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hidden="1" customWidth="1"/>
    <col min="10" max="10" width="10" hidden="1" customWidth="1"/>
  </cols>
  <sheetData>
    <row r="1" spans="1:19" s="1" customFormat="1" x14ac:dyDescent="0.25">
      <c r="A1" s="115" t="s">
        <v>0</v>
      </c>
      <c r="B1" s="115"/>
      <c r="C1" s="115"/>
      <c r="D1" s="115"/>
      <c r="E1" s="115"/>
      <c r="F1" s="115"/>
      <c r="G1" s="115"/>
      <c r="H1" s="115"/>
      <c r="I1" s="115"/>
      <c r="J1" s="115"/>
      <c r="K1" s="115"/>
    </row>
    <row r="2" spans="1:19" s="1" customFormat="1" ht="22.5" x14ac:dyDescent="0.25">
      <c r="A2" s="116" t="s">
        <v>1</v>
      </c>
      <c r="B2" s="116"/>
      <c r="C2" s="116"/>
      <c r="D2" s="116"/>
      <c r="E2" s="116"/>
      <c r="F2" s="116"/>
      <c r="G2" s="116"/>
      <c r="H2" s="116"/>
      <c r="I2" s="116"/>
      <c r="J2" s="116"/>
      <c r="K2" s="116"/>
    </row>
    <row r="3" spans="1:19" s="1" customFormat="1" x14ac:dyDescent="0.25">
      <c r="A3" s="117" t="s">
        <v>2</v>
      </c>
      <c r="B3" s="117"/>
      <c r="C3" s="117"/>
      <c r="D3" s="117"/>
      <c r="E3" s="117"/>
      <c r="F3" s="117"/>
      <c r="G3" s="117"/>
      <c r="H3" s="117"/>
      <c r="I3" s="117"/>
      <c r="J3" s="117"/>
      <c r="K3" s="117"/>
    </row>
    <row r="4" spans="1:19" s="1" customFormat="1" x14ac:dyDescent="0.25">
      <c r="A4" s="117" t="s">
        <v>3</v>
      </c>
      <c r="B4" s="117"/>
      <c r="C4" s="117"/>
      <c r="D4" s="117"/>
      <c r="E4" s="117"/>
      <c r="F4" s="117"/>
      <c r="G4" s="117"/>
      <c r="H4" s="117"/>
      <c r="I4" s="117"/>
      <c r="J4" s="117"/>
      <c r="K4" s="117"/>
    </row>
    <row r="5" spans="1:19" ht="18.75" x14ac:dyDescent="0.3">
      <c r="A5" s="118" t="s">
        <v>118</v>
      </c>
      <c r="B5" s="118"/>
      <c r="C5" s="118"/>
      <c r="D5" s="118"/>
      <c r="E5" s="118"/>
      <c r="F5" s="118"/>
      <c r="G5" s="118"/>
      <c r="H5" s="118"/>
      <c r="I5" s="118"/>
      <c r="J5" s="118"/>
      <c r="K5" s="118"/>
    </row>
    <row r="6" spans="1:19" ht="15.75" x14ac:dyDescent="0.25">
      <c r="A6" s="110" t="s">
        <v>92</v>
      </c>
      <c r="B6" s="110"/>
      <c r="C6" s="110"/>
      <c r="D6" s="110"/>
      <c r="E6" s="110"/>
      <c r="F6" s="110"/>
      <c r="G6" s="2"/>
      <c r="I6" s="138"/>
      <c r="J6" s="138"/>
      <c r="K6" s="108" t="s">
        <v>113</v>
      </c>
    </row>
    <row r="7" spans="1:19" ht="15.75" x14ac:dyDescent="0.25">
      <c r="A7" s="133" t="s">
        <v>28</v>
      </c>
      <c r="B7" s="133"/>
      <c r="C7" s="133"/>
      <c r="D7" s="133"/>
      <c r="E7" s="133"/>
      <c r="F7" s="133"/>
      <c r="G7" s="3"/>
      <c r="I7" s="139"/>
      <c r="J7" s="139"/>
      <c r="K7" s="109" t="s">
        <v>112</v>
      </c>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65" x14ac:dyDescent="0.25">
      <c r="A9" s="107">
        <v>1</v>
      </c>
      <c r="B9" s="41" t="s">
        <v>91</v>
      </c>
      <c r="C9" s="75"/>
      <c r="D9" s="75"/>
      <c r="E9" s="75"/>
      <c r="F9" s="75"/>
      <c r="G9" s="75"/>
      <c r="H9" s="75"/>
      <c r="I9" s="75"/>
      <c r="J9" s="75"/>
      <c r="K9" s="75"/>
    </row>
    <row r="10" spans="1:19" ht="15" customHeight="1" x14ac:dyDescent="0.25">
      <c r="A10" s="29"/>
      <c r="B10" s="76" t="s">
        <v>90</v>
      </c>
      <c r="C10" s="75">
        <v>0</v>
      </c>
      <c r="D10" s="77">
        <v>80</v>
      </c>
      <c r="E10" s="77">
        <f>(8-2)/3.281</f>
        <v>1.8287107589149649</v>
      </c>
      <c r="F10" s="77">
        <v>0.15</v>
      </c>
      <c r="G10" s="78">
        <f>PRODUCT(C10:F10)</f>
        <v>0</v>
      </c>
      <c r="H10" s="79"/>
      <c r="I10" s="79"/>
      <c r="J10" s="79"/>
      <c r="K10" s="32"/>
      <c r="M10" s="36"/>
      <c r="N10" s="1"/>
      <c r="O10" s="1"/>
      <c r="P10" s="1"/>
      <c r="Q10" s="1"/>
      <c r="R10" s="36"/>
      <c r="S10" s="36"/>
    </row>
    <row r="11" spans="1:19" ht="15" customHeight="1" x14ac:dyDescent="0.25">
      <c r="A11" s="29"/>
      <c r="B11" s="76" t="s">
        <v>49</v>
      </c>
      <c r="C11" s="30"/>
      <c r="D11" s="31"/>
      <c r="E11" s="32"/>
      <c r="F11" s="32"/>
      <c r="G11" s="34">
        <f>SUM(G10:G10)</f>
        <v>0</v>
      </c>
      <c r="H11" s="33" t="s">
        <v>29</v>
      </c>
      <c r="I11" s="34">
        <v>64.63</v>
      </c>
      <c r="J11" s="80">
        <f>G11*I11</f>
        <v>0</v>
      </c>
      <c r="K11" s="32"/>
      <c r="M11" s="36"/>
      <c r="N11" s="1"/>
      <c r="O11" s="1"/>
      <c r="P11" s="1"/>
      <c r="Q11" s="1"/>
      <c r="R11" s="36"/>
      <c r="S11" s="36"/>
    </row>
    <row r="12" spans="1:19" ht="15" hidden="1" customHeight="1" x14ac:dyDescent="0.25">
      <c r="A12" s="29"/>
      <c r="B12" s="76" t="s">
        <v>42</v>
      </c>
      <c r="C12" s="30"/>
      <c r="D12" s="31"/>
      <c r="E12" s="32"/>
      <c r="F12" s="32"/>
      <c r="G12" s="34"/>
      <c r="H12" s="33"/>
      <c r="I12" s="34"/>
      <c r="J12" s="80">
        <f>0.13*G11*19284/360</f>
        <v>0</v>
      </c>
      <c r="K12" s="32"/>
      <c r="M12" s="36"/>
      <c r="N12" s="1"/>
      <c r="O12" s="1"/>
      <c r="P12" s="1"/>
      <c r="Q12" s="1"/>
      <c r="R12" s="36"/>
      <c r="S12" s="36"/>
    </row>
    <row r="13" spans="1:19" ht="15" customHeight="1" x14ac:dyDescent="0.25">
      <c r="A13" s="29"/>
      <c r="B13" s="35"/>
      <c r="C13" s="30"/>
      <c r="D13" s="31"/>
      <c r="E13" s="32"/>
      <c r="F13" s="32"/>
      <c r="G13" s="34"/>
      <c r="H13" s="33"/>
      <c r="I13" s="34"/>
      <c r="J13" s="80"/>
      <c r="K13" s="32"/>
      <c r="M13" s="36"/>
      <c r="N13" s="1"/>
      <c r="O13" s="1"/>
      <c r="P13" s="1"/>
      <c r="Q13" s="1"/>
      <c r="R13" s="36"/>
      <c r="S13" s="36"/>
    </row>
    <row r="14" spans="1:19" ht="105" x14ac:dyDescent="0.25">
      <c r="A14" s="29">
        <v>2</v>
      </c>
      <c r="B14" s="41" t="s">
        <v>89</v>
      </c>
      <c r="C14" s="75"/>
      <c r="D14" s="77"/>
      <c r="E14" s="77"/>
      <c r="F14" s="77"/>
      <c r="G14" s="80"/>
      <c r="H14" s="79"/>
      <c r="I14" s="79"/>
      <c r="J14" s="79"/>
      <c r="K14" s="32"/>
      <c r="M14" s="36"/>
      <c r="N14" s="1"/>
      <c r="O14" s="1"/>
      <c r="P14" s="1"/>
      <c r="Q14" s="1"/>
      <c r="R14" s="36"/>
      <c r="S14" s="36"/>
    </row>
    <row r="15" spans="1:19" ht="15" customHeight="1" x14ac:dyDescent="0.25">
      <c r="A15" s="29"/>
      <c r="B15" s="76" t="s">
        <v>93</v>
      </c>
      <c r="C15" s="75"/>
      <c r="D15" s="77"/>
      <c r="E15" s="77"/>
      <c r="F15" s="77"/>
      <c r="G15" s="78"/>
      <c r="H15" s="79"/>
      <c r="I15" s="79"/>
      <c r="J15" s="79"/>
      <c r="K15" s="32"/>
      <c r="M15" s="36"/>
      <c r="N15" s="1"/>
      <c r="O15" s="1"/>
      <c r="P15" s="1">
        <v>0</v>
      </c>
      <c r="Q15" s="77">
        <f>6/3.281</f>
        <v>1.8287107589149649</v>
      </c>
      <c r="R15" s="77">
        <f>3/12/3.281</f>
        <v>7.6196281621456863E-2</v>
      </c>
      <c r="S15" s="36"/>
    </row>
    <row r="16" spans="1:19" ht="15" customHeight="1" x14ac:dyDescent="0.25">
      <c r="A16" s="29"/>
      <c r="B16" s="76" t="s">
        <v>94</v>
      </c>
      <c r="C16" s="75">
        <v>1</v>
      </c>
      <c r="D16" s="77">
        <v>5</v>
      </c>
      <c r="E16" s="77">
        <f>(Q15+Q16)/2</f>
        <v>2.1334958854007922</v>
      </c>
      <c r="F16" s="77">
        <f>(R15+R16)/2</f>
        <v>7.6196281621456863E-2</v>
      </c>
      <c r="G16" s="78">
        <f>PRODUCT(C16:F16)</f>
        <v>0.81282226661109114</v>
      </c>
      <c r="H16" s="79"/>
      <c r="I16" s="79"/>
      <c r="J16" s="79"/>
      <c r="K16" s="32"/>
      <c r="M16" s="36"/>
      <c r="N16" s="1"/>
      <c r="O16" s="1"/>
      <c r="P16" s="77">
        <v>5</v>
      </c>
      <c r="Q16" s="77">
        <f>8/3.281</f>
        <v>2.4382810118866196</v>
      </c>
      <c r="R16" s="77">
        <f>3/12/3.281</f>
        <v>7.6196281621456863E-2</v>
      </c>
      <c r="S16" s="36"/>
    </row>
    <row r="17" spans="1:19" ht="15" customHeight="1" x14ac:dyDescent="0.25">
      <c r="A17" s="29"/>
      <c r="B17" s="76" t="s">
        <v>95</v>
      </c>
      <c r="C17" s="75">
        <v>1</v>
      </c>
      <c r="D17" s="77">
        <v>5</v>
      </c>
      <c r="E17" s="77">
        <f t="shared" ref="E17:F33" si="0">(Q16+Q17)/2</f>
        <v>2.4382810118866196</v>
      </c>
      <c r="F17" s="77">
        <f t="shared" si="0"/>
        <v>7.6196281621456863E-2</v>
      </c>
      <c r="G17" s="78">
        <f t="shared" ref="G17:G33" si="1">PRODUCT(C17:F17)</f>
        <v>0.92893973326981838</v>
      </c>
      <c r="H17" s="79"/>
      <c r="I17" s="79"/>
      <c r="J17" s="79"/>
      <c r="K17" s="32"/>
      <c r="M17" s="36"/>
      <c r="N17" s="1"/>
      <c r="O17" s="1"/>
      <c r="P17" s="77">
        <v>5</v>
      </c>
      <c r="Q17" s="77">
        <f>8/3.281</f>
        <v>2.4382810118866196</v>
      </c>
      <c r="R17" s="77">
        <f>3/12/3.281</f>
        <v>7.6196281621456863E-2</v>
      </c>
      <c r="S17" s="36"/>
    </row>
    <row r="18" spans="1:19" ht="15" customHeight="1" x14ac:dyDescent="0.25">
      <c r="A18" s="29"/>
      <c r="B18" s="76" t="s">
        <v>96</v>
      </c>
      <c r="C18" s="75">
        <v>1</v>
      </c>
      <c r="D18" s="77">
        <v>5</v>
      </c>
      <c r="E18" s="77">
        <f t="shared" si="0"/>
        <v>2.3620847302651629</v>
      </c>
      <c r="F18" s="77">
        <f t="shared" si="0"/>
        <v>8.8895661891699673E-2</v>
      </c>
      <c r="G18" s="78">
        <f t="shared" si="1"/>
        <v>1.0498954277059926</v>
      </c>
      <c r="H18" s="79"/>
      <c r="I18" s="79"/>
      <c r="J18" s="79"/>
      <c r="K18" s="32"/>
      <c r="M18" s="36"/>
      <c r="N18" s="1"/>
      <c r="O18" s="1"/>
      <c r="P18" s="77">
        <v>5</v>
      </c>
      <c r="Q18" s="77">
        <f>7.5/3.281</f>
        <v>2.2858884486437061</v>
      </c>
      <c r="R18" s="77">
        <f>4/12/3.281</f>
        <v>0.10159504216194248</v>
      </c>
      <c r="S18" s="36"/>
    </row>
    <row r="19" spans="1:19" ht="15" customHeight="1" x14ac:dyDescent="0.25">
      <c r="A19" s="29"/>
      <c r="B19" s="76" t="s">
        <v>97</v>
      </c>
      <c r="C19" s="75">
        <v>1</v>
      </c>
      <c r="D19" s="77">
        <v>5</v>
      </c>
      <c r="E19" s="77">
        <f t="shared" si="0"/>
        <v>2.3620847302651629</v>
      </c>
      <c r="F19" s="77">
        <f t="shared" si="0"/>
        <v>0.10159504216194248</v>
      </c>
      <c r="G19" s="78">
        <f t="shared" si="1"/>
        <v>1.1998804888068488</v>
      </c>
      <c r="H19" s="79"/>
      <c r="I19" s="79"/>
      <c r="J19" s="79"/>
      <c r="K19" s="32"/>
      <c r="M19" s="36"/>
      <c r="N19" s="1"/>
      <c r="O19" s="1"/>
      <c r="P19" s="77">
        <v>5</v>
      </c>
      <c r="Q19" s="77">
        <f>8/3.281</f>
        <v>2.4382810118866196</v>
      </c>
      <c r="R19" s="77">
        <f>4/12/3.281</f>
        <v>0.10159504216194248</v>
      </c>
      <c r="S19" s="36"/>
    </row>
    <row r="20" spans="1:19" ht="15" customHeight="1" x14ac:dyDescent="0.25">
      <c r="A20" s="29"/>
      <c r="B20" s="76" t="s">
        <v>98</v>
      </c>
      <c r="C20" s="75">
        <v>1</v>
      </c>
      <c r="D20" s="77">
        <v>5</v>
      </c>
      <c r="E20" s="77">
        <f t="shared" si="0"/>
        <v>2.4382810118866196</v>
      </c>
      <c r="F20" s="77">
        <f t="shared" si="0"/>
        <v>0.10159504216194248</v>
      </c>
      <c r="G20" s="78">
        <f t="shared" si="1"/>
        <v>1.2385863110264246</v>
      </c>
      <c r="H20" s="79"/>
      <c r="I20" s="79"/>
      <c r="J20" s="79"/>
      <c r="K20" s="32"/>
      <c r="M20" s="36"/>
      <c r="N20" s="1"/>
      <c r="O20" s="1"/>
      <c r="P20" s="77">
        <v>5</v>
      </c>
      <c r="Q20" s="77">
        <f>8/3.281</f>
        <v>2.4382810118866196</v>
      </c>
      <c r="R20" s="77">
        <f>4/12/3.281</f>
        <v>0.10159504216194248</v>
      </c>
      <c r="S20" s="36"/>
    </row>
    <row r="21" spans="1:19" ht="15" customHeight="1" x14ac:dyDescent="0.25">
      <c r="A21" s="29"/>
      <c r="B21" s="76" t="s">
        <v>99</v>
      </c>
      <c r="C21" s="75">
        <v>1</v>
      </c>
      <c r="D21" s="77">
        <v>5</v>
      </c>
      <c r="E21" s="77">
        <f t="shared" si="0"/>
        <v>2.4382810118866196</v>
      </c>
      <c r="F21" s="77">
        <f t="shared" si="0"/>
        <v>9.8420197094381795E-2</v>
      </c>
      <c r="G21" s="78">
        <f t="shared" si="1"/>
        <v>1.1998804888068488</v>
      </c>
      <c r="H21" s="79"/>
      <c r="I21" s="79"/>
      <c r="J21" s="79"/>
      <c r="K21" s="32"/>
      <c r="M21" s="36"/>
      <c r="N21" s="1"/>
      <c r="O21" s="1"/>
      <c r="P21" s="77">
        <v>5</v>
      </c>
      <c r="Q21" s="77">
        <f>8/3.281</f>
        <v>2.4382810118866196</v>
      </c>
      <c r="R21" s="77">
        <f>3.75/12/3.281</f>
        <v>9.5245352026821092E-2</v>
      </c>
      <c r="S21" s="36"/>
    </row>
    <row r="22" spans="1:19" ht="15" customHeight="1" x14ac:dyDescent="0.25">
      <c r="A22" s="29"/>
      <c r="B22" s="76" t="s">
        <v>100</v>
      </c>
      <c r="C22" s="75">
        <v>1</v>
      </c>
      <c r="D22" s="77">
        <v>5</v>
      </c>
      <c r="E22" s="77">
        <f t="shared" si="0"/>
        <v>3.0097531240475464</v>
      </c>
      <c r="F22" s="77">
        <f t="shared" si="0"/>
        <v>9.8420197094381795E-2</v>
      </c>
      <c r="G22" s="78">
        <f t="shared" si="1"/>
        <v>1.4811024783709541</v>
      </c>
      <c r="H22" s="79"/>
      <c r="I22" s="79"/>
      <c r="J22" s="79"/>
      <c r="K22" s="32"/>
      <c r="M22" s="36"/>
      <c r="N22" s="1"/>
      <c r="O22" s="1"/>
      <c r="P22" s="77">
        <v>5</v>
      </c>
      <c r="Q22" s="77">
        <f>11.75/3.281</f>
        <v>3.5812252362084727</v>
      </c>
      <c r="R22" s="77">
        <f>4/12/3.281</f>
        <v>0.10159504216194248</v>
      </c>
      <c r="S22" s="36"/>
    </row>
    <row r="23" spans="1:19" ht="15" customHeight="1" x14ac:dyDescent="0.25">
      <c r="A23" s="29"/>
      <c r="B23" s="76" t="s">
        <v>101</v>
      </c>
      <c r="C23" s="75">
        <v>1</v>
      </c>
      <c r="D23" s="77">
        <v>3</v>
      </c>
      <c r="E23" s="77">
        <f t="shared" si="0"/>
        <v>3.2383419689119171</v>
      </c>
      <c r="F23" s="77">
        <f t="shared" si="0"/>
        <v>9.5245352026821078E-2</v>
      </c>
      <c r="G23" s="78">
        <f t="shared" si="1"/>
        <v>0.92531106243673322</v>
      </c>
      <c r="H23" s="79"/>
      <c r="I23" s="79"/>
      <c r="J23" s="79"/>
      <c r="K23" s="32"/>
      <c r="M23" s="36"/>
      <c r="N23" s="1"/>
      <c r="O23" s="1"/>
      <c r="P23" s="77">
        <v>3</v>
      </c>
      <c r="Q23" s="77">
        <f>9.5/3.281</f>
        <v>2.895458701615361</v>
      </c>
      <c r="R23" s="77">
        <f>3.5/12/3.281</f>
        <v>8.8895661891699687E-2</v>
      </c>
      <c r="S23" s="36"/>
    </row>
    <row r="24" spans="1:19" ht="15" customHeight="1" x14ac:dyDescent="0.25">
      <c r="A24" s="29"/>
      <c r="B24" s="76" t="s">
        <v>102</v>
      </c>
      <c r="C24" s="75">
        <v>1</v>
      </c>
      <c r="D24" s="77">
        <v>5</v>
      </c>
      <c r="E24" s="77">
        <f t="shared" si="0"/>
        <v>2.6668698567509903</v>
      </c>
      <c r="F24" s="77">
        <f t="shared" si="0"/>
        <v>8.8895661891699687E-2</v>
      </c>
      <c r="G24" s="78">
        <f t="shared" si="1"/>
        <v>1.185365805474508</v>
      </c>
      <c r="H24" s="79"/>
      <c r="I24" s="79"/>
      <c r="J24" s="79"/>
      <c r="K24" s="32"/>
      <c r="M24" s="36"/>
      <c r="N24" s="1"/>
      <c r="O24" s="1"/>
      <c r="P24" s="77">
        <v>5</v>
      </c>
      <c r="Q24" s="77">
        <f>8/3.281</f>
        <v>2.4382810118866196</v>
      </c>
      <c r="R24" s="77">
        <f>3.5/12/3.281</f>
        <v>8.8895661891699687E-2</v>
      </c>
      <c r="S24" s="36"/>
    </row>
    <row r="25" spans="1:19" ht="15" customHeight="1" x14ac:dyDescent="0.25">
      <c r="A25" s="29"/>
      <c r="B25" s="76" t="s">
        <v>103</v>
      </c>
      <c r="C25" s="75">
        <v>1</v>
      </c>
      <c r="D25" s="77">
        <v>5</v>
      </c>
      <c r="E25" s="77">
        <f t="shared" si="0"/>
        <v>2.2858884486437061</v>
      </c>
      <c r="F25" s="77">
        <f t="shared" si="0"/>
        <v>0.1206441125673067</v>
      </c>
      <c r="G25" s="78">
        <f t="shared" si="1"/>
        <v>1.3788949165723869</v>
      </c>
      <c r="H25" s="79"/>
      <c r="I25" s="79"/>
      <c r="J25" s="79"/>
      <c r="K25" s="32"/>
      <c r="M25" s="36"/>
      <c r="N25" s="1"/>
      <c r="O25" s="1"/>
      <c r="P25" s="77">
        <v>5</v>
      </c>
      <c r="Q25" s="77">
        <f>7/3.281</f>
        <v>2.1334958854007922</v>
      </c>
      <c r="R25" s="77">
        <f>6/12/3.281</f>
        <v>0.15239256324291373</v>
      </c>
      <c r="S25" s="36"/>
    </row>
    <row r="26" spans="1:19" ht="15" customHeight="1" x14ac:dyDescent="0.25">
      <c r="A26" s="29"/>
      <c r="B26" s="76" t="s">
        <v>104</v>
      </c>
      <c r="C26" s="75">
        <v>1</v>
      </c>
      <c r="D26" s="77">
        <v>5</v>
      </c>
      <c r="E26" s="77">
        <f t="shared" si="0"/>
        <v>2.2858884486437061</v>
      </c>
      <c r="F26" s="77">
        <f t="shared" si="0"/>
        <v>0.13969318297267092</v>
      </c>
      <c r="G26" s="78">
        <f t="shared" si="1"/>
        <v>1.5966151665575006</v>
      </c>
      <c r="H26" s="79"/>
      <c r="I26" s="79"/>
      <c r="J26" s="79"/>
      <c r="K26" s="32"/>
      <c r="M26" s="36"/>
      <c r="N26" s="1"/>
      <c r="O26" s="1"/>
      <c r="P26" s="77">
        <v>5</v>
      </c>
      <c r="Q26" s="77">
        <f>8/3.281</f>
        <v>2.4382810118866196</v>
      </c>
      <c r="R26" s="77">
        <f>5/12/3.281</f>
        <v>0.12699380270242813</v>
      </c>
      <c r="S26" s="36"/>
    </row>
    <row r="27" spans="1:19" ht="15" customHeight="1" x14ac:dyDescent="0.25">
      <c r="A27" s="29"/>
      <c r="B27" s="76" t="s">
        <v>105</v>
      </c>
      <c r="C27" s="75">
        <v>1</v>
      </c>
      <c r="D27" s="77">
        <v>5</v>
      </c>
      <c r="E27" s="77">
        <f t="shared" si="0"/>
        <v>2.4382810118866196</v>
      </c>
      <c r="F27" s="77">
        <f t="shared" si="0"/>
        <v>0.12699380270242813</v>
      </c>
      <c r="G27" s="78">
        <f t="shared" si="1"/>
        <v>1.548232888783031</v>
      </c>
      <c r="H27" s="79"/>
      <c r="I27" s="79"/>
      <c r="J27" s="79"/>
      <c r="K27" s="32"/>
      <c r="M27" s="36"/>
      <c r="N27" s="1"/>
      <c r="O27" s="1"/>
      <c r="P27" s="77">
        <v>5</v>
      </c>
      <c r="Q27" s="77">
        <f>8/3.281</f>
        <v>2.4382810118866196</v>
      </c>
      <c r="R27" s="77">
        <f>5/12/3.281</f>
        <v>0.12699380270242813</v>
      </c>
      <c r="S27" s="36"/>
    </row>
    <row r="28" spans="1:19" ht="15" customHeight="1" x14ac:dyDescent="0.25">
      <c r="A28" s="29"/>
      <c r="B28" s="76" t="s">
        <v>106</v>
      </c>
      <c r="C28" s="75">
        <v>1</v>
      </c>
      <c r="D28" s="77">
        <v>5</v>
      </c>
      <c r="E28" s="77">
        <f t="shared" si="0"/>
        <v>2.4382810118866196</v>
      </c>
      <c r="F28" s="77">
        <f t="shared" si="0"/>
        <v>0.13969318297267092</v>
      </c>
      <c r="G28" s="78">
        <f t="shared" si="1"/>
        <v>1.7030561776613338</v>
      </c>
      <c r="H28" s="79"/>
      <c r="I28" s="79"/>
      <c r="J28" s="79"/>
      <c r="K28" s="32"/>
      <c r="M28" s="36"/>
      <c r="N28" s="1"/>
      <c r="O28" s="1"/>
      <c r="P28" s="77">
        <v>5</v>
      </c>
      <c r="Q28" s="77">
        <f>8/3.281</f>
        <v>2.4382810118866196</v>
      </c>
      <c r="R28" s="77">
        <f>6/12/3.281</f>
        <v>0.15239256324291373</v>
      </c>
      <c r="S28" s="36"/>
    </row>
    <row r="29" spans="1:19" ht="15" customHeight="1" x14ac:dyDescent="0.25">
      <c r="A29" s="29"/>
      <c r="B29" s="76" t="s">
        <v>107</v>
      </c>
      <c r="C29" s="75">
        <v>1</v>
      </c>
      <c r="D29" s="77">
        <v>5</v>
      </c>
      <c r="E29" s="77">
        <f t="shared" si="0"/>
        <v>2.4382810118866196</v>
      </c>
      <c r="F29" s="77">
        <f t="shared" si="0"/>
        <v>0.13969318297267092</v>
      </c>
      <c r="G29" s="78">
        <f t="shared" si="1"/>
        <v>1.7030561776613338</v>
      </c>
      <c r="H29" s="79"/>
      <c r="I29" s="79"/>
      <c r="J29" s="79"/>
      <c r="K29" s="32"/>
      <c r="M29" s="36"/>
      <c r="N29" s="1"/>
      <c r="O29" s="1"/>
      <c r="P29" s="77">
        <v>5</v>
      </c>
      <c r="Q29" s="77">
        <f>8/3.281</f>
        <v>2.4382810118866196</v>
      </c>
      <c r="R29" s="77">
        <f>5/12/3.281</f>
        <v>0.12699380270242813</v>
      </c>
      <c r="S29" s="36"/>
    </row>
    <row r="30" spans="1:19" ht="15" customHeight="1" x14ac:dyDescent="0.25">
      <c r="A30" s="29"/>
      <c r="B30" s="76" t="s">
        <v>108</v>
      </c>
      <c r="C30" s="75">
        <v>1</v>
      </c>
      <c r="D30" s="77">
        <v>5</v>
      </c>
      <c r="E30" s="77">
        <f t="shared" si="0"/>
        <v>2.3747333130143247</v>
      </c>
      <c r="F30" s="77">
        <f t="shared" si="0"/>
        <v>0.11429442243218531</v>
      </c>
      <c r="G30" s="78">
        <f t="shared" si="1"/>
        <v>1.3570938622072108</v>
      </c>
      <c r="H30" s="79"/>
      <c r="I30" s="79"/>
      <c r="J30" s="79"/>
      <c r="K30" s="32"/>
      <c r="M30" s="36"/>
      <c r="N30" s="1"/>
      <c r="O30" s="1"/>
      <c r="P30" s="77">
        <v>5</v>
      </c>
      <c r="Q30" s="77">
        <f>7.583/3.281</f>
        <v>2.3111856141420297</v>
      </c>
      <c r="R30" s="77">
        <f>4/12/3.281</f>
        <v>0.10159504216194248</v>
      </c>
      <c r="S30" s="36"/>
    </row>
    <row r="31" spans="1:19" ht="15" customHeight="1" x14ac:dyDescent="0.25">
      <c r="A31" s="29"/>
      <c r="B31" s="76" t="s">
        <v>109</v>
      </c>
      <c r="C31" s="75">
        <v>1</v>
      </c>
      <c r="D31" s="77">
        <v>5</v>
      </c>
      <c r="E31" s="77">
        <f t="shared" si="0"/>
        <v>2.3747333130143247</v>
      </c>
      <c r="F31" s="77">
        <f t="shared" si="0"/>
        <v>9.5245352026821078E-2</v>
      </c>
      <c r="G31" s="78">
        <f t="shared" si="1"/>
        <v>1.1309115518393422</v>
      </c>
      <c r="H31" s="79"/>
      <c r="I31" s="79"/>
      <c r="J31" s="79"/>
      <c r="K31" s="32"/>
      <c r="M31" s="36"/>
      <c r="N31" s="1"/>
      <c r="O31" s="1"/>
      <c r="P31" s="77">
        <v>5</v>
      </c>
      <c r="Q31" s="77">
        <f>8/3.281</f>
        <v>2.4382810118866196</v>
      </c>
      <c r="R31" s="77">
        <f>3.5/12/3.281</f>
        <v>8.8895661891699687E-2</v>
      </c>
      <c r="S31" s="36"/>
    </row>
    <row r="32" spans="1:19" ht="15" customHeight="1" x14ac:dyDescent="0.25">
      <c r="A32" s="29"/>
      <c r="B32" s="76" t="s">
        <v>110</v>
      </c>
      <c r="C32" s="75">
        <v>1</v>
      </c>
      <c r="D32" s="77">
        <v>5</v>
      </c>
      <c r="E32" s="77">
        <f t="shared" si="0"/>
        <v>2.5144772935080768</v>
      </c>
      <c r="F32" s="77">
        <f t="shared" si="0"/>
        <v>9.5245352026821078E-2</v>
      </c>
      <c r="G32" s="78">
        <f t="shared" si="1"/>
        <v>1.1974613749181253</v>
      </c>
      <c r="H32" s="79"/>
      <c r="I32" s="79"/>
      <c r="J32" s="79"/>
      <c r="K32" s="32"/>
      <c r="M32" s="36"/>
      <c r="N32" s="1"/>
      <c r="O32" s="1"/>
      <c r="P32" s="77">
        <v>5</v>
      </c>
      <c r="Q32" s="77">
        <f>8.5/3.281</f>
        <v>2.5906735751295336</v>
      </c>
      <c r="R32" s="77">
        <f>4/12/3.281</f>
        <v>0.10159504216194248</v>
      </c>
      <c r="S32" s="36"/>
    </row>
    <row r="33" spans="1:19" ht="15" customHeight="1" x14ac:dyDescent="0.25">
      <c r="A33" s="29"/>
      <c r="B33" s="76" t="s">
        <v>111</v>
      </c>
      <c r="C33" s="75">
        <v>1</v>
      </c>
      <c r="D33" s="77">
        <v>4.4000000000000004</v>
      </c>
      <c r="E33" s="77">
        <f t="shared" si="0"/>
        <v>2.6033221578786954</v>
      </c>
      <c r="F33" s="77">
        <f t="shared" si="0"/>
        <v>0.10159504216194248</v>
      </c>
      <c r="G33" s="78">
        <f t="shared" si="1"/>
        <v>1.1637323473195427</v>
      </c>
      <c r="H33" s="79"/>
      <c r="I33" s="79"/>
      <c r="J33" s="79"/>
      <c r="K33" s="32"/>
      <c r="M33" s="36"/>
      <c r="N33" s="1"/>
      <c r="O33" s="1"/>
      <c r="P33" s="77">
        <v>4.4000000000000004</v>
      </c>
      <c r="Q33" s="77">
        <f>8.583/3.281</f>
        <v>2.6159707406278572</v>
      </c>
      <c r="R33" s="77">
        <f>4/12/3.281</f>
        <v>0.10159504216194248</v>
      </c>
      <c r="S33" s="36"/>
    </row>
    <row r="34" spans="1:19" ht="15" customHeight="1" x14ac:dyDescent="0.25">
      <c r="A34" s="29"/>
      <c r="B34" s="76" t="s">
        <v>49</v>
      </c>
      <c r="C34" s="75"/>
      <c r="D34" s="77"/>
      <c r="E34" s="77"/>
      <c r="F34" s="77"/>
      <c r="G34" s="58">
        <f>SUM(G16:G33)</f>
        <v>22.800838526029025</v>
      </c>
      <c r="H34" s="79" t="s">
        <v>29</v>
      </c>
      <c r="I34" s="79">
        <f>1693.85</f>
        <v>1693.85</v>
      </c>
      <c r="J34" s="80">
        <f>G34*I34</f>
        <v>38621.200337314265</v>
      </c>
      <c r="K34" s="32"/>
      <c r="M34" s="36"/>
      <c r="N34" s="1"/>
      <c r="O34" s="1"/>
      <c r="P34" s="1"/>
      <c r="Q34" s="1"/>
      <c r="R34" s="36"/>
      <c r="S34" s="36"/>
    </row>
    <row r="35" spans="1:19" ht="15" hidden="1" customHeight="1" x14ac:dyDescent="0.25">
      <c r="A35" s="29"/>
      <c r="B35" s="76" t="s">
        <v>42</v>
      </c>
      <c r="C35" s="75"/>
      <c r="D35" s="77"/>
      <c r="E35" s="77"/>
      <c r="F35" s="77"/>
      <c r="G35" s="80"/>
      <c r="H35" s="79"/>
      <c r="I35" s="79"/>
      <c r="J35" s="80">
        <f>0.13*G34*(446551.8+48114)/300</f>
        <v>4887.4778463978864</v>
      </c>
      <c r="K35" s="32"/>
      <c r="M35" s="36"/>
      <c r="N35" s="1"/>
      <c r="O35" s="1"/>
      <c r="P35" s="1"/>
      <c r="Q35" s="1"/>
      <c r="R35" s="36"/>
      <c r="S35" s="36"/>
    </row>
    <row r="36" spans="1:19" ht="15" customHeight="1" x14ac:dyDescent="0.25">
      <c r="A36" s="29"/>
      <c r="B36" s="76"/>
      <c r="C36" s="75"/>
      <c r="D36" s="77"/>
      <c r="E36" s="77"/>
      <c r="F36" s="77"/>
      <c r="G36" s="80"/>
      <c r="H36" s="79"/>
      <c r="I36" s="79"/>
      <c r="J36" s="79"/>
      <c r="K36" s="32"/>
      <c r="M36" s="36"/>
      <c r="N36" s="1"/>
      <c r="O36" s="1"/>
      <c r="P36" s="1"/>
      <c r="Q36" s="1"/>
      <c r="R36" s="36"/>
      <c r="S36" s="36"/>
    </row>
    <row r="37" spans="1:19" ht="15" customHeight="1" x14ac:dyDescent="0.25">
      <c r="A37" s="29">
        <v>3</v>
      </c>
      <c r="B37" s="41" t="s">
        <v>33</v>
      </c>
      <c r="C37" s="30">
        <v>1</v>
      </c>
      <c r="D37" s="31"/>
      <c r="E37" s="32"/>
      <c r="F37" s="32"/>
      <c r="G37" s="58">
        <f t="shared" ref="G37" si="2">PRODUCT(C37:F37)</f>
        <v>1</v>
      </c>
      <c r="H37" s="33" t="s">
        <v>34</v>
      </c>
      <c r="I37" s="34">
        <v>500</v>
      </c>
      <c r="J37" s="58">
        <f>G37*I37</f>
        <v>500</v>
      </c>
      <c r="K37" s="32"/>
      <c r="M37" s="36"/>
      <c r="N37" s="1"/>
      <c r="O37" s="1"/>
      <c r="P37" s="1"/>
      <c r="Q37" s="1"/>
      <c r="R37" s="36"/>
      <c r="S37" s="36"/>
    </row>
    <row r="38" spans="1:19" ht="15" customHeight="1" x14ac:dyDescent="0.25">
      <c r="A38" s="29"/>
      <c r="B38" s="35"/>
      <c r="C38" s="30"/>
      <c r="D38" s="31"/>
      <c r="E38" s="32"/>
      <c r="F38" s="32"/>
      <c r="G38" s="34"/>
      <c r="H38" s="33"/>
      <c r="I38" s="34"/>
      <c r="J38" s="80"/>
      <c r="K38" s="32"/>
      <c r="M38" s="36"/>
      <c r="N38" s="1"/>
      <c r="O38" s="1"/>
      <c r="P38" s="1"/>
      <c r="Q38" s="1"/>
      <c r="R38" s="36"/>
      <c r="S38" s="36"/>
    </row>
    <row r="39" spans="1:19" x14ac:dyDescent="0.25">
      <c r="A39" s="79"/>
      <c r="B39" s="86" t="s">
        <v>17</v>
      </c>
      <c r="C39" s="87"/>
      <c r="D39" s="77"/>
      <c r="E39" s="77"/>
      <c r="F39" s="77"/>
      <c r="G39" s="80"/>
      <c r="H39" s="80"/>
      <c r="I39" s="80"/>
      <c r="J39" s="80">
        <f>SUM(J11:J37)</f>
        <v>44008.678183712153</v>
      </c>
      <c r="K39" s="75"/>
    </row>
    <row r="40" spans="1:19" x14ac:dyDescent="0.25">
      <c r="A40" s="88"/>
      <c r="B40" s="89"/>
      <c r="C40" s="89"/>
      <c r="D40" s="89"/>
      <c r="E40" s="89"/>
      <c r="F40" s="89"/>
      <c r="G40" s="88"/>
      <c r="H40" s="88"/>
      <c r="I40" s="88"/>
      <c r="J40" s="88"/>
      <c r="K40" s="89"/>
    </row>
    <row r="41" spans="1:19" s="1" customFormat="1" hidden="1" x14ac:dyDescent="0.25">
      <c r="A41" s="90"/>
      <c r="B41" s="40" t="s">
        <v>27</v>
      </c>
      <c r="C41" s="135">
        <f>J39</f>
        <v>44008.678183712153</v>
      </c>
      <c r="D41" s="135"/>
      <c r="E41" s="78">
        <v>100</v>
      </c>
      <c r="F41" s="91"/>
      <c r="G41" s="92"/>
      <c r="H41" s="91"/>
      <c r="I41" s="93"/>
      <c r="J41" s="94"/>
      <c r="K41" s="95"/>
    </row>
    <row r="42" spans="1:19" hidden="1" x14ac:dyDescent="0.25">
      <c r="A42" s="96"/>
      <c r="B42" s="40" t="s">
        <v>35</v>
      </c>
      <c r="C42" s="136">
        <v>35000</v>
      </c>
      <c r="D42" s="136"/>
      <c r="E42" s="78"/>
      <c r="F42" s="89"/>
      <c r="G42" s="88"/>
      <c r="H42" s="88"/>
      <c r="I42" s="88"/>
      <c r="J42" s="88"/>
      <c r="K42" s="89"/>
    </row>
    <row r="43" spans="1:19" hidden="1" x14ac:dyDescent="0.25">
      <c r="A43" s="96"/>
      <c r="B43" s="40" t="s">
        <v>36</v>
      </c>
      <c r="C43" s="136">
        <f>C42-C45-C46</f>
        <v>33250</v>
      </c>
      <c r="D43" s="136"/>
      <c r="E43" s="78">
        <f>C43/C41*100</f>
        <v>75.553280335299874</v>
      </c>
      <c r="F43" s="89"/>
      <c r="G43" s="88"/>
      <c r="H43" s="88"/>
      <c r="I43" s="88"/>
      <c r="J43" s="88"/>
      <c r="K43" s="89"/>
    </row>
    <row r="44" spans="1:19" hidden="1" x14ac:dyDescent="0.25">
      <c r="A44" s="96"/>
      <c r="B44" s="40" t="s">
        <v>37</v>
      </c>
      <c r="C44" s="135">
        <f>C41-C43</f>
        <v>10758.678183712153</v>
      </c>
      <c r="D44" s="135"/>
      <c r="E44" s="78">
        <f>100-E43</f>
        <v>24.446719664700126</v>
      </c>
      <c r="F44" s="89"/>
      <c r="G44" s="88"/>
      <c r="H44" s="88"/>
      <c r="I44" s="88"/>
      <c r="J44" s="88"/>
      <c r="K44" s="89"/>
    </row>
    <row r="45" spans="1:19" hidden="1" x14ac:dyDescent="0.25">
      <c r="A45" s="96"/>
      <c r="B45" s="40" t="s">
        <v>38</v>
      </c>
      <c r="C45" s="135">
        <f>C42*0.03</f>
        <v>1050</v>
      </c>
      <c r="D45" s="135"/>
      <c r="E45" s="78">
        <v>3</v>
      </c>
      <c r="F45" s="89"/>
      <c r="G45" s="88"/>
      <c r="H45" s="88"/>
      <c r="I45" s="88"/>
      <c r="J45" s="88"/>
      <c r="K45" s="89"/>
    </row>
    <row r="46" spans="1:19" hidden="1" x14ac:dyDescent="0.25">
      <c r="A46" s="96"/>
      <c r="B46" s="40" t="s">
        <v>39</v>
      </c>
      <c r="C46" s="135">
        <f>C42*0.02</f>
        <v>700</v>
      </c>
      <c r="D46" s="135"/>
      <c r="E46" s="78">
        <v>2</v>
      </c>
      <c r="F46" s="89"/>
      <c r="G46" s="88"/>
      <c r="H46" s="88"/>
      <c r="I46" s="88"/>
      <c r="J46" s="88"/>
      <c r="K46" s="89"/>
    </row>
    <row r="47" spans="1:19" s="74" customFormat="1" x14ac:dyDescent="0.25">
      <c r="A47" s="97"/>
      <c r="B47" s="97"/>
      <c r="C47" s="97"/>
      <c r="D47" s="97"/>
      <c r="E47" s="97"/>
      <c r="F47" s="97"/>
      <c r="G47" s="97"/>
      <c r="H47" s="97"/>
      <c r="I47" s="97"/>
      <c r="J47" s="97"/>
      <c r="K47" s="97"/>
    </row>
    <row r="48" spans="1:19" s="74" customFormat="1" x14ac:dyDescent="0.25"/>
    <row r="49" s="74" customFormat="1" x14ac:dyDescent="0.25"/>
    <row r="50" s="74" customFormat="1" x14ac:dyDescent="0.25"/>
    <row r="51" s="74" customFormat="1" x14ac:dyDescent="0.25"/>
    <row r="52" s="74" customFormat="1" x14ac:dyDescent="0.25"/>
    <row r="53" s="74" customFormat="1" x14ac:dyDescent="0.25"/>
    <row r="54" s="74" customFormat="1" x14ac:dyDescent="0.25"/>
    <row r="55" s="74" customFormat="1" x14ac:dyDescent="0.25"/>
    <row r="56" s="74" customFormat="1" x14ac:dyDescent="0.25"/>
    <row r="57" s="74" customFormat="1" x14ac:dyDescent="0.25"/>
    <row r="58" s="74" customFormat="1" x14ac:dyDescent="0.25"/>
    <row r="59" s="74" customFormat="1" x14ac:dyDescent="0.25"/>
    <row r="60" s="74" customFormat="1" x14ac:dyDescent="0.25"/>
    <row r="61" s="74" customFormat="1" x14ac:dyDescent="0.25"/>
    <row r="62" s="74" customFormat="1" x14ac:dyDescent="0.25"/>
    <row r="63" s="74" customFormat="1" x14ac:dyDescent="0.25"/>
    <row r="64"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sheetData>
  <mergeCells count="13">
    <mergeCell ref="C45:D45"/>
    <mergeCell ref="C46:D46"/>
    <mergeCell ref="A7:F7"/>
    <mergeCell ref="C41:D41"/>
    <mergeCell ref="C42:D42"/>
    <mergeCell ref="C43:D43"/>
    <mergeCell ref="C44:D44"/>
    <mergeCell ref="A1:K1"/>
    <mergeCell ref="A2:K2"/>
    <mergeCell ref="A3:K3"/>
    <mergeCell ref="A4:K4"/>
    <mergeCell ref="A5:K5"/>
    <mergeCell ref="A6:F6"/>
  </mergeCells>
  <pageMargins left="0.7" right="0.7" top="0.75" bottom="0.75" header="0.3" footer="0.3"/>
  <pageSetup paperSize="9" scale="80" orientation="portrait" r:id="rId1"/>
  <headerFooter>
    <oddFooter>&amp;LPrepared By:&amp;CChecked By:&amp;RApproved By: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27"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5" t="s">
        <v>0</v>
      </c>
      <c r="B1" s="115"/>
      <c r="C1" s="115"/>
      <c r="D1" s="115"/>
      <c r="E1" s="115"/>
      <c r="F1" s="115"/>
      <c r="G1" s="115"/>
      <c r="H1" s="115"/>
      <c r="I1" s="115"/>
      <c r="J1" s="115"/>
      <c r="K1" s="115"/>
    </row>
    <row r="2" spans="1:19" s="1" customFormat="1" ht="22.5" x14ac:dyDescent="0.25">
      <c r="A2" s="116" t="s">
        <v>1</v>
      </c>
      <c r="B2" s="116"/>
      <c r="C2" s="116"/>
      <c r="D2" s="116"/>
      <c r="E2" s="116"/>
      <c r="F2" s="116"/>
      <c r="G2" s="116"/>
      <c r="H2" s="116"/>
      <c r="I2" s="116"/>
      <c r="J2" s="116"/>
      <c r="K2" s="116"/>
    </row>
    <row r="3" spans="1:19" s="1" customFormat="1" x14ac:dyDescent="0.25">
      <c r="A3" s="117" t="s">
        <v>2</v>
      </c>
      <c r="B3" s="117"/>
      <c r="C3" s="117"/>
      <c r="D3" s="117"/>
      <c r="E3" s="117"/>
      <c r="F3" s="117"/>
      <c r="G3" s="117"/>
      <c r="H3" s="117"/>
      <c r="I3" s="117"/>
      <c r="J3" s="117"/>
      <c r="K3" s="117"/>
    </row>
    <row r="4" spans="1:19" s="1" customFormat="1" x14ac:dyDescent="0.25">
      <c r="A4" s="117" t="s">
        <v>3</v>
      </c>
      <c r="B4" s="117"/>
      <c r="C4" s="117"/>
      <c r="D4" s="117"/>
      <c r="E4" s="117"/>
      <c r="F4" s="117"/>
      <c r="G4" s="117"/>
      <c r="H4" s="117"/>
      <c r="I4" s="117"/>
      <c r="J4" s="117"/>
      <c r="K4" s="117"/>
    </row>
    <row r="5" spans="1:19" ht="18.75" x14ac:dyDescent="0.3">
      <c r="A5" s="118" t="s">
        <v>4</v>
      </c>
      <c r="B5" s="118"/>
      <c r="C5" s="118"/>
      <c r="D5" s="118"/>
      <c r="E5" s="118"/>
      <c r="F5" s="118"/>
      <c r="G5" s="118"/>
      <c r="H5" s="118"/>
      <c r="I5" s="118"/>
      <c r="J5" s="118"/>
      <c r="K5" s="118"/>
    </row>
    <row r="6" spans="1:19" ht="15.75" x14ac:dyDescent="0.25">
      <c r="A6" s="110" t="s">
        <v>82</v>
      </c>
      <c r="B6" s="110"/>
      <c r="C6" s="110"/>
      <c r="D6" s="110"/>
      <c r="E6" s="110"/>
      <c r="F6" s="110"/>
      <c r="G6" s="2"/>
      <c r="H6" s="111" t="s">
        <v>77</v>
      </c>
      <c r="I6" s="111"/>
      <c r="J6" s="111"/>
      <c r="K6" s="111"/>
    </row>
    <row r="7" spans="1:19" ht="15.75" x14ac:dyDescent="0.25">
      <c r="A7" s="133" t="s">
        <v>28</v>
      </c>
      <c r="B7" s="133"/>
      <c r="C7" s="133"/>
      <c r="D7" s="133"/>
      <c r="E7" s="133"/>
      <c r="F7" s="133"/>
      <c r="G7" s="3"/>
      <c r="H7" s="134" t="s">
        <v>78</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76</v>
      </c>
      <c r="C9" s="75"/>
      <c r="D9" s="75"/>
      <c r="E9" s="75"/>
      <c r="F9" s="75"/>
      <c r="G9" s="75"/>
      <c r="H9" s="75"/>
      <c r="I9" s="75"/>
      <c r="J9" s="75"/>
      <c r="K9" s="75"/>
    </row>
    <row r="10" spans="1:19" ht="15" customHeight="1" x14ac:dyDescent="0.25">
      <c r="A10" s="29"/>
      <c r="B10" s="76" t="s">
        <v>65</v>
      </c>
      <c r="C10" s="75">
        <v>1</v>
      </c>
      <c r="D10" s="77">
        <f>20+24-4*1.2+20</f>
        <v>59.2</v>
      </c>
      <c r="E10" s="77">
        <v>0.75</v>
      </c>
      <c r="F10" s="77">
        <v>1.2</v>
      </c>
      <c r="G10" s="78">
        <f>PRODUCT(C10:F10)</f>
        <v>53.280000000000008</v>
      </c>
      <c r="H10" s="79"/>
      <c r="I10" s="79"/>
      <c r="J10" s="79"/>
      <c r="K10" s="32"/>
      <c r="M10" s="36"/>
      <c r="N10" s="1"/>
      <c r="O10" s="1"/>
      <c r="P10" s="1"/>
      <c r="Q10" s="1"/>
      <c r="R10" s="36"/>
      <c r="S10" s="36"/>
    </row>
    <row r="11" spans="1:19" ht="15" customHeight="1" x14ac:dyDescent="0.25">
      <c r="A11" s="29"/>
      <c r="B11" s="76" t="s">
        <v>51</v>
      </c>
      <c r="C11" s="75">
        <v>5</v>
      </c>
      <c r="D11" s="77">
        <v>1.5</v>
      </c>
      <c r="E11" s="77">
        <v>1.5</v>
      </c>
      <c r="F11" s="77">
        <f>1.5+0.2</f>
        <v>1.7</v>
      </c>
      <c r="G11" s="78">
        <f>C11*(PI())*(D11*E11/4)*F11</f>
        <v>15.020739874976199</v>
      </c>
      <c r="H11" s="79"/>
      <c r="I11" s="79"/>
      <c r="J11" s="79"/>
      <c r="K11" s="32"/>
      <c r="M11" s="36"/>
      <c r="N11" s="1"/>
      <c r="O11" s="1"/>
      <c r="P11" s="1"/>
      <c r="Q11" s="1"/>
      <c r="R11" s="36"/>
      <c r="S11" s="36"/>
    </row>
    <row r="12" spans="1:19" ht="15" customHeight="1" x14ac:dyDescent="0.25">
      <c r="A12" s="29"/>
      <c r="B12" s="76" t="s">
        <v>49</v>
      </c>
      <c r="C12" s="30"/>
      <c r="D12" s="31"/>
      <c r="E12" s="32"/>
      <c r="F12" s="32"/>
      <c r="G12" s="34">
        <f>SUM(G10:G11)</f>
        <v>68.300739874976202</v>
      </c>
      <c r="H12" s="33" t="s">
        <v>47</v>
      </c>
      <c r="I12" s="34">
        <v>64.63</v>
      </c>
      <c r="J12" s="80">
        <f>G12*I12</f>
        <v>4414.2768181197116</v>
      </c>
      <c r="K12" s="32"/>
      <c r="M12" s="36"/>
      <c r="N12" s="1"/>
      <c r="O12" s="1"/>
      <c r="P12" s="1"/>
      <c r="Q12" s="1"/>
      <c r="R12" s="36"/>
      <c r="S12" s="36"/>
    </row>
    <row r="13" spans="1:19" ht="15" customHeight="1" x14ac:dyDescent="0.25">
      <c r="A13" s="29"/>
      <c r="B13" s="76" t="s">
        <v>42</v>
      </c>
      <c r="C13" s="30"/>
      <c r="D13" s="31"/>
      <c r="E13" s="32"/>
      <c r="F13" s="32"/>
      <c r="G13" s="34"/>
      <c r="H13" s="33"/>
      <c r="I13" s="34"/>
      <c r="J13" s="80">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0"/>
      <c r="K14" s="32"/>
      <c r="M14" s="36"/>
      <c r="N14" s="1"/>
      <c r="O14" s="1"/>
      <c r="P14" s="1"/>
      <c r="Q14" s="1"/>
      <c r="R14" s="36"/>
      <c r="S14" s="36"/>
    </row>
    <row r="15" spans="1:19" ht="90" x14ac:dyDescent="0.25">
      <c r="A15" s="29">
        <v>2</v>
      </c>
      <c r="B15" s="41" t="s">
        <v>71</v>
      </c>
      <c r="C15" s="30"/>
      <c r="D15" s="31"/>
      <c r="E15" s="32"/>
      <c r="F15" s="32"/>
      <c r="G15" s="34"/>
      <c r="H15" s="33"/>
      <c r="I15" s="34"/>
      <c r="J15" s="80"/>
      <c r="K15" s="32"/>
      <c r="M15" s="36"/>
      <c r="N15" s="1"/>
      <c r="O15" s="1"/>
      <c r="P15" s="1"/>
      <c r="Q15" s="1"/>
      <c r="R15" s="36"/>
      <c r="S15" s="36"/>
    </row>
    <row r="16" spans="1:19" ht="15" customHeight="1" x14ac:dyDescent="0.25">
      <c r="A16" s="29"/>
      <c r="B16" s="76" t="str">
        <f>B11</f>
        <v>-Manhole</v>
      </c>
      <c r="C16" s="75">
        <f>C11</f>
        <v>5</v>
      </c>
      <c r="D16" s="75">
        <v>1.5</v>
      </c>
      <c r="E16" s="75">
        <v>1.5</v>
      </c>
      <c r="F16" s="77">
        <v>0.15</v>
      </c>
      <c r="G16" s="78">
        <f>C16*(PI())*(D16*E16/4)*F16</f>
        <v>1.3253594007331939</v>
      </c>
      <c r="H16" s="79"/>
      <c r="I16" s="79"/>
      <c r="J16" s="79"/>
      <c r="K16" s="32"/>
      <c r="M16" s="36"/>
      <c r="N16" s="1"/>
      <c r="O16" s="1"/>
      <c r="P16" s="1"/>
      <c r="Q16" s="1"/>
      <c r="R16" s="36"/>
      <c r="S16" s="36"/>
    </row>
    <row r="17" spans="1:19" ht="15" customHeight="1" x14ac:dyDescent="0.25">
      <c r="A17" s="79"/>
      <c r="B17" s="76" t="s">
        <v>49</v>
      </c>
      <c r="C17" s="81"/>
      <c r="D17" s="82"/>
      <c r="E17" s="82"/>
      <c r="F17" s="82"/>
      <c r="G17" s="52">
        <f>SUM(G16:G16)</f>
        <v>1.3253594007331939</v>
      </c>
      <c r="H17" s="52" t="s">
        <v>47</v>
      </c>
      <c r="I17" s="52">
        <v>4561.53</v>
      </c>
      <c r="J17" s="83">
        <f>G17*I17</f>
        <v>6045.6666672264855</v>
      </c>
      <c r="K17" s="75"/>
    </row>
    <row r="18" spans="1:19" x14ac:dyDescent="0.25">
      <c r="A18" s="79"/>
      <c r="B18" s="76" t="s">
        <v>42</v>
      </c>
      <c r="C18" s="81"/>
      <c r="D18" s="82"/>
      <c r="E18" s="82"/>
      <c r="F18" s="82"/>
      <c r="G18" s="82"/>
      <c r="H18" s="82"/>
      <c r="I18" s="82"/>
      <c r="J18" s="84">
        <f>0.13*G17*(15452.6/5)</f>
        <v>532.48646557001359</v>
      </c>
      <c r="K18" s="75"/>
    </row>
    <row r="19" spans="1:19" x14ac:dyDescent="0.25">
      <c r="A19" s="79"/>
      <c r="B19" s="76"/>
      <c r="C19" s="81"/>
      <c r="D19" s="82"/>
      <c r="E19" s="82"/>
      <c r="F19" s="82"/>
      <c r="G19" s="82"/>
      <c r="H19" s="82"/>
      <c r="I19" s="82"/>
      <c r="J19" s="84"/>
      <c r="K19" s="75"/>
    </row>
    <row r="20" spans="1:19" ht="75" x14ac:dyDescent="0.25">
      <c r="A20" s="29">
        <v>3</v>
      </c>
      <c r="B20" s="41" t="s">
        <v>54</v>
      </c>
      <c r="C20" s="30"/>
      <c r="D20" s="31"/>
      <c r="E20" s="32"/>
      <c r="F20" s="32"/>
      <c r="G20" s="34"/>
      <c r="H20" s="33"/>
      <c r="I20" s="34"/>
      <c r="J20" s="80"/>
      <c r="K20" s="32"/>
      <c r="M20" s="36"/>
      <c r="N20" s="1"/>
      <c r="O20" s="1"/>
      <c r="P20" s="1"/>
      <c r="Q20" s="1"/>
      <c r="R20" s="36"/>
      <c r="S20" s="36"/>
    </row>
    <row r="21" spans="1:19" ht="15" customHeight="1" x14ac:dyDescent="0.25">
      <c r="A21" s="29"/>
      <c r="B21" s="76" t="str">
        <f>B16</f>
        <v>-Manhole</v>
      </c>
      <c r="C21" s="75">
        <v>5</v>
      </c>
      <c r="D21" s="75">
        <v>1.5</v>
      </c>
      <c r="E21" s="75">
        <v>1.5</v>
      </c>
      <c r="F21" s="85">
        <v>7.4999999999999997E-2</v>
      </c>
      <c r="G21" s="78">
        <f>C21*(PI())*(D21*E21/4)*F21</f>
        <v>0.66267970036659696</v>
      </c>
      <c r="H21" s="79"/>
      <c r="I21" s="79"/>
      <c r="J21" s="79"/>
      <c r="K21" s="32"/>
      <c r="M21" s="36"/>
      <c r="N21" s="1"/>
      <c r="O21" s="1"/>
      <c r="P21" s="1"/>
      <c r="Q21" s="1"/>
      <c r="R21" s="36"/>
      <c r="S21" s="36"/>
    </row>
    <row r="22" spans="1:19" ht="15" customHeight="1" x14ac:dyDescent="0.25">
      <c r="A22" s="79"/>
      <c r="B22" s="76" t="s">
        <v>49</v>
      </c>
      <c r="C22" s="81"/>
      <c r="D22" s="82"/>
      <c r="E22" s="82"/>
      <c r="F22" s="82"/>
      <c r="G22" s="52">
        <f>SUM(G21:G21)</f>
        <v>0.66267970036659696</v>
      </c>
      <c r="H22" s="52" t="s">
        <v>47</v>
      </c>
      <c r="I22" s="52">
        <v>10634.5</v>
      </c>
      <c r="J22" s="83">
        <f>G22*I22</f>
        <v>7047.2672735485758</v>
      </c>
      <c r="K22" s="75"/>
    </row>
    <row r="23" spans="1:19" ht="15" customHeight="1" x14ac:dyDescent="0.25">
      <c r="A23" s="79"/>
      <c r="B23" s="76" t="s">
        <v>42</v>
      </c>
      <c r="C23" s="81"/>
      <c r="D23" s="82"/>
      <c r="E23" s="82"/>
      <c r="F23" s="82"/>
      <c r="G23" s="82"/>
      <c r="H23" s="82"/>
      <c r="I23" s="82"/>
      <c r="J23" s="84">
        <f>0.13*G22*((114907.3+6135.3)/15)</f>
        <v>695.17477379648005</v>
      </c>
      <c r="K23" s="75"/>
    </row>
    <row r="24" spans="1:19" ht="15" customHeight="1" x14ac:dyDescent="0.25">
      <c r="A24" s="79"/>
      <c r="B24" s="76"/>
      <c r="C24" s="81"/>
      <c r="D24" s="82"/>
      <c r="E24" s="82"/>
      <c r="F24" s="82"/>
      <c r="G24" s="82"/>
      <c r="H24" s="82"/>
      <c r="I24" s="82"/>
      <c r="J24" s="84"/>
      <c r="K24" s="75"/>
    </row>
    <row r="25" spans="1:19" ht="30" x14ac:dyDescent="0.25">
      <c r="A25" s="29">
        <v>5</v>
      </c>
      <c r="B25" s="41" t="s">
        <v>79</v>
      </c>
      <c r="C25" s="30"/>
      <c r="D25" s="31"/>
      <c r="E25" s="32"/>
      <c r="F25" s="32"/>
      <c r="G25" s="34"/>
      <c r="H25" s="33"/>
      <c r="I25" s="34"/>
      <c r="J25" s="80"/>
      <c r="K25" s="32"/>
      <c r="M25" s="36"/>
      <c r="N25" s="1"/>
      <c r="O25" s="1"/>
      <c r="P25" s="1"/>
      <c r="Q25" s="1"/>
      <c r="R25" s="36"/>
      <c r="S25" s="36"/>
    </row>
    <row r="26" spans="1:19" ht="30" x14ac:dyDescent="0.25">
      <c r="A26" s="29"/>
      <c r="B26" s="76" t="s">
        <v>80</v>
      </c>
      <c r="C26" s="98">
        <v>5</v>
      </c>
      <c r="D26" s="98"/>
      <c r="E26" s="98"/>
      <c r="F26" s="98"/>
      <c r="G26" s="78">
        <f>PRODUCT(C26:F26)</f>
        <v>5</v>
      </c>
      <c r="H26" s="79"/>
      <c r="I26" s="79"/>
      <c r="J26" s="79"/>
      <c r="K26" s="32"/>
      <c r="M26" s="36"/>
      <c r="N26" s="1"/>
      <c r="O26" s="1"/>
      <c r="P26" s="1"/>
      <c r="Q26" s="1"/>
      <c r="R26" s="36"/>
      <c r="S26" s="36"/>
    </row>
    <row r="27" spans="1:19" ht="15" customHeight="1" x14ac:dyDescent="0.25">
      <c r="A27" s="79"/>
      <c r="B27" s="76" t="s">
        <v>49</v>
      </c>
      <c r="C27" s="81"/>
      <c r="D27" s="82"/>
      <c r="E27" s="82"/>
      <c r="F27" s="82"/>
      <c r="G27" s="52">
        <f>SUM(G26:G26)</f>
        <v>5</v>
      </c>
      <c r="H27" s="52" t="s">
        <v>81</v>
      </c>
      <c r="I27" s="52">
        <v>4487</v>
      </c>
      <c r="J27" s="83">
        <f>G27*I27</f>
        <v>22435</v>
      </c>
      <c r="K27" s="75"/>
    </row>
    <row r="28" spans="1:19" ht="15" customHeight="1" x14ac:dyDescent="0.25">
      <c r="A28" s="79"/>
      <c r="B28" s="76" t="s">
        <v>42</v>
      </c>
      <c r="C28" s="81"/>
      <c r="D28" s="82"/>
      <c r="E28" s="82"/>
      <c r="F28" s="82"/>
      <c r="G28" s="82"/>
      <c r="H28" s="82"/>
      <c r="I28" s="82"/>
      <c r="J28" s="84">
        <f>0.13*J27</f>
        <v>2916.55</v>
      </c>
      <c r="K28" s="75"/>
    </row>
    <row r="29" spans="1:19" ht="15" customHeight="1" x14ac:dyDescent="0.25">
      <c r="A29" s="79"/>
      <c r="B29" s="76"/>
      <c r="C29" s="81"/>
      <c r="D29" s="82"/>
      <c r="E29" s="82"/>
      <c r="F29" s="82"/>
      <c r="G29" s="82"/>
      <c r="H29" s="82"/>
      <c r="I29" s="82"/>
      <c r="J29" s="84"/>
      <c r="K29" s="75"/>
    </row>
    <row r="30" spans="1:19" ht="30.75" x14ac:dyDescent="0.25">
      <c r="A30" s="29">
        <v>6</v>
      </c>
      <c r="B30" s="73" t="s">
        <v>75</v>
      </c>
      <c r="C30" s="30"/>
      <c r="D30" s="31"/>
      <c r="E30" s="32"/>
      <c r="F30" s="32"/>
      <c r="G30" s="34"/>
      <c r="H30" s="33"/>
      <c r="I30" s="34"/>
      <c r="J30" s="80"/>
      <c r="K30" s="32"/>
      <c r="M30" s="36"/>
      <c r="N30" s="1"/>
      <c r="O30" s="1"/>
      <c r="P30" s="1"/>
      <c r="Q30" s="1"/>
      <c r="R30" s="36"/>
      <c r="S30" s="36"/>
    </row>
    <row r="31" spans="1:19" ht="15" customHeight="1" x14ac:dyDescent="0.25">
      <c r="A31" s="29"/>
      <c r="B31" s="76" t="str">
        <f>B26</f>
        <v>-Rounded manhole cover medium duty 450mm (22")</v>
      </c>
      <c r="C31" s="98">
        <v>5</v>
      </c>
      <c r="D31" s="99">
        <f>((1.5-0.23)+((22/12/3.281)-0.23))/2</f>
        <v>0.79938636594534185</v>
      </c>
      <c r="E31" s="98">
        <v>0.23</v>
      </c>
      <c r="F31" s="98">
        <v>1.5</v>
      </c>
      <c r="G31" s="78">
        <f>C31*(PI())*(D31)*E31*F31</f>
        <v>4.3320724272431805</v>
      </c>
      <c r="H31" s="79"/>
      <c r="I31" s="79"/>
      <c r="J31" s="79"/>
      <c r="K31" s="32"/>
      <c r="M31" s="36"/>
      <c r="N31" s="1"/>
      <c r="O31" s="1"/>
      <c r="P31" s="1"/>
      <c r="Q31" s="1"/>
      <c r="R31" s="36"/>
      <c r="S31" s="36"/>
    </row>
    <row r="32" spans="1:19" ht="15" customHeight="1" x14ac:dyDescent="0.25">
      <c r="A32" s="29"/>
      <c r="B32" s="76" t="s">
        <v>69</v>
      </c>
      <c r="C32" s="98">
        <f>-2*5</f>
        <v>-10</v>
      </c>
      <c r="D32" s="98">
        <v>0.6</v>
      </c>
      <c r="E32" s="98">
        <v>0.23</v>
      </c>
      <c r="F32" s="98">
        <v>0.6</v>
      </c>
      <c r="G32" s="78">
        <f>C32*(PI())*(D32*F32/4)*E32</f>
        <v>-0.65030967929308725</v>
      </c>
      <c r="H32" s="79"/>
      <c r="I32" s="79"/>
      <c r="J32" s="79"/>
      <c r="K32" s="32"/>
      <c r="M32" s="36"/>
      <c r="N32" s="1">
        <f>(1.5-0.23+0.6-0.23)/2</f>
        <v>0.82000000000000006</v>
      </c>
      <c r="O32" s="1">
        <f>22/12/3.281</f>
        <v>0.55877273189068366</v>
      </c>
      <c r="P32" s="1"/>
      <c r="Q32" s="1"/>
      <c r="R32" s="36"/>
      <c r="S32" s="36"/>
    </row>
    <row r="33" spans="1:19" ht="15" customHeight="1" x14ac:dyDescent="0.25">
      <c r="A33" s="79"/>
      <c r="B33" s="76" t="s">
        <v>49</v>
      </c>
      <c r="C33" s="81"/>
      <c r="D33" s="82"/>
      <c r="E33" s="82"/>
      <c r="F33" s="82"/>
      <c r="G33" s="52">
        <f>SUM(G31:G32)</f>
        <v>3.6817627479500934</v>
      </c>
      <c r="H33" s="52" t="s">
        <v>47</v>
      </c>
      <c r="I33" s="52">
        <v>14362.76</v>
      </c>
      <c r="J33" s="83">
        <f>G33*I33</f>
        <v>52880.274725747688</v>
      </c>
      <c r="K33" s="75"/>
      <c r="N33">
        <f>1.667/3.281</f>
        <v>0.50807680585187442</v>
      </c>
      <c r="O33">
        <f>2.17/3.281</f>
        <v>0.66138372447424565</v>
      </c>
      <c r="P33">
        <f>(N33+O33)/2</f>
        <v>0.58473026516306004</v>
      </c>
    </row>
    <row r="34" spans="1:19" ht="15" customHeight="1" x14ac:dyDescent="0.25">
      <c r="A34" s="79"/>
      <c r="B34" s="76" t="s">
        <v>42</v>
      </c>
      <c r="C34" s="81"/>
      <c r="D34" s="82"/>
      <c r="E34" s="82"/>
      <c r="F34" s="82"/>
      <c r="G34" s="82"/>
      <c r="H34" s="82"/>
      <c r="I34" s="82"/>
      <c r="J34" s="84">
        <f>0.13*G33*10311.74</f>
        <v>4935.4994258110964</v>
      </c>
      <c r="K34" s="75"/>
    </row>
    <row r="35" spans="1:19" ht="15" customHeight="1" x14ac:dyDescent="0.25">
      <c r="A35" s="79"/>
      <c r="B35" s="76"/>
      <c r="C35" s="81"/>
      <c r="D35" s="82"/>
      <c r="E35" s="82"/>
      <c r="F35" s="82"/>
      <c r="G35" s="82"/>
      <c r="H35" s="82"/>
      <c r="I35" s="82"/>
      <c r="J35" s="84"/>
      <c r="K35" s="75"/>
    </row>
    <row r="36" spans="1:19" ht="105" x14ac:dyDescent="0.25">
      <c r="A36" s="29">
        <v>7</v>
      </c>
      <c r="B36" s="41" t="s">
        <v>70</v>
      </c>
      <c r="C36" s="75"/>
      <c r="D36" s="77"/>
      <c r="E36" s="77"/>
      <c r="F36" s="77"/>
      <c r="G36" s="80"/>
      <c r="H36" s="79"/>
      <c r="I36" s="79"/>
      <c r="J36" s="79"/>
      <c r="K36" s="32"/>
      <c r="M36" s="36"/>
      <c r="N36" s="1"/>
      <c r="O36" s="1"/>
      <c r="P36" s="1"/>
      <c r="Q36" s="1"/>
      <c r="R36" s="36"/>
      <c r="S36" s="36"/>
    </row>
    <row r="37" spans="1:19" ht="15" customHeight="1" x14ac:dyDescent="0.25">
      <c r="A37" s="29"/>
      <c r="B37" s="76" t="s">
        <v>67</v>
      </c>
      <c r="C37" s="75">
        <f>(45+15)/2.5</f>
        <v>24</v>
      </c>
      <c r="D37" s="77">
        <v>2.5</v>
      </c>
      <c r="E37" s="77"/>
      <c r="F37" s="77"/>
      <c r="G37" s="78">
        <f>PRODUCT(C37:F37)</f>
        <v>60</v>
      </c>
      <c r="H37" s="79"/>
      <c r="I37" s="79"/>
      <c r="J37" s="79"/>
      <c r="K37" s="32"/>
      <c r="M37" s="36"/>
      <c r="N37" s="1">
        <f>44/2.5</f>
        <v>17.600000000000001</v>
      </c>
      <c r="O37" s="1">
        <f>45/2.5</f>
        <v>18</v>
      </c>
      <c r="P37" s="1">
        <f>45+12.5</f>
        <v>57.5</v>
      </c>
      <c r="Q37" s="1"/>
      <c r="R37" s="36"/>
      <c r="S37" s="36"/>
    </row>
    <row r="38" spans="1:19" ht="15" customHeight="1" x14ac:dyDescent="0.25">
      <c r="A38" s="29"/>
      <c r="B38" s="76" t="s">
        <v>49</v>
      </c>
      <c r="C38" s="75"/>
      <c r="D38" s="77"/>
      <c r="E38" s="77"/>
      <c r="F38" s="77"/>
      <c r="G38" s="58">
        <f>SUM(G37:G37)</f>
        <v>60</v>
      </c>
      <c r="H38" s="79" t="s">
        <v>43</v>
      </c>
      <c r="I38" s="79">
        <v>6932.79</v>
      </c>
      <c r="J38" s="79">
        <f>G38*I38</f>
        <v>415967.4</v>
      </c>
      <c r="K38" s="32"/>
      <c r="M38" s="36"/>
      <c r="N38" s="1"/>
      <c r="O38" s="1"/>
      <c r="P38" s="1">
        <f>P37/2.5</f>
        <v>23</v>
      </c>
      <c r="Q38" s="1"/>
      <c r="R38" s="36"/>
      <c r="S38" s="36"/>
    </row>
    <row r="39" spans="1:19" ht="15" customHeight="1" x14ac:dyDescent="0.25">
      <c r="A39" s="29"/>
      <c r="B39" s="76" t="s">
        <v>42</v>
      </c>
      <c r="C39" s="75"/>
      <c r="D39" s="77"/>
      <c r="E39" s="77"/>
      <c r="F39" s="77"/>
      <c r="G39" s="80"/>
      <c r="H39" s="79"/>
      <c r="I39" s="79"/>
      <c r="J39" s="79">
        <f>0.13*G38*((78764.9)/12.5)</f>
        <v>49149.297599999998</v>
      </c>
      <c r="K39" s="32"/>
      <c r="M39" s="36"/>
      <c r="N39" s="1"/>
      <c r="O39" s="1"/>
      <c r="P39" s="1"/>
      <c r="Q39" s="1"/>
      <c r="R39" s="36"/>
      <c r="S39" s="36"/>
    </row>
    <row r="40" spans="1:19" ht="15" customHeight="1" x14ac:dyDescent="0.25">
      <c r="A40" s="29"/>
      <c r="B40" s="76"/>
      <c r="C40" s="75"/>
      <c r="D40" s="77"/>
      <c r="E40" s="77"/>
      <c r="F40" s="77"/>
      <c r="G40" s="80"/>
      <c r="H40" s="79"/>
      <c r="I40" s="79"/>
      <c r="J40" s="79"/>
      <c r="K40" s="32"/>
      <c r="M40" s="36"/>
      <c r="N40" s="1"/>
      <c r="O40" s="1"/>
      <c r="P40" s="1"/>
      <c r="Q40" s="1"/>
      <c r="R40" s="36"/>
      <c r="S40" s="36"/>
    </row>
    <row r="41" spans="1:19" ht="15" customHeight="1" x14ac:dyDescent="0.25">
      <c r="A41" s="29">
        <v>8</v>
      </c>
      <c r="B41" s="41" t="s">
        <v>33</v>
      </c>
      <c r="C41" s="30">
        <v>1</v>
      </c>
      <c r="D41" s="31"/>
      <c r="E41" s="32"/>
      <c r="F41" s="32"/>
      <c r="G41" s="58">
        <f t="shared" ref="G41" si="0">PRODUCT(C41:F41)</f>
        <v>1</v>
      </c>
      <c r="H41" s="33" t="s">
        <v>34</v>
      </c>
      <c r="I41" s="34">
        <v>500</v>
      </c>
      <c r="J41" s="58">
        <f>G41*I41</f>
        <v>500</v>
      </c>
      <c r="K41" s="32"/>
      <c r="M41" s="36"/>
      <c r="N41" s="1"/>
      <c r="O41" s="1"/>
      <c r="P41" s="1"/>
      <c r="Q41" s="1"/>
      <c r="R41" s="36"/>
      <c r="S41" s="36"/>
    </row>
    <row r="42" spans="1:19" ht="15" customHeight="1" x14ac:dyDescent="0.25">
      <c r="A42" s="29"/>
      <c r="B42" s="35"/>
      <c r="C42" s="30"/>
      <c r="D42" s="31"/>
      <c r="E42" s="32"/>
      <c r="F42" s="32"/>
      <c r="G42" s="34"/>
      <c r="H42" s="33"/>
      <c r="I42" s="34"/>
      <c r="J42" s="80"/>
      <c r="K42" s="32"/>
      <c r="M42" s="36"/>
      <c r="N42" s="1"/>
      <c r="O42" s="1"/>
      <c r="P42" s="1"/>
      <c r="Q42" s="1"/>
      <c r="R42" s="36"/>
      <c r="S42" s="36"/>
    </row>
    <row r="43" spans="1:19" x14ac:dyDescent="0.25">
      <c r="A43" s="79"/>
      <c r="B43" s="86" t="s">
        <v>17</v>
      </c>
      <c r="C43" s="87"/>
      <c r="D43" s="77"/>
      <c r="E43" s="77"/>
      <c r="F43" s="77"/>
      <c r="G43" s="80"/>
      <c r="H43" s="80"/>
      <c r="I43" s="80"/>
      <c r="J43" s="80">
        <f>SUM(J10:J41)</f>
        <v>567994.51733539614</v>
      </c>
      <c r="K43" s="75"/>
    </row>
    <row r="44" spans="1:19" x14ac:dyDescent="0.25">
      <c r="A44" s="88"/>
      <c r="B44" s="89"/>
      <c r="C44" s="89"/>
      <c r="D44" s="89"/>
      <c r="E44" s="89"/>
      <c r="F44" s="89"/>
      <c r="G44" s="88"/>
      <c r="H44" s="88"/>
      <c r="I44" s="88"/>
      <c r="J44" s="88"/>
      <c r="K44" s="89"/>
    </row>
    <row r="45" spans="1:19" s="1" customFormat="1" x14ac:dyDescent="0.25">
      <c r="A45" s="90"/>
      <c r="B45" s="40" t="s">
        <v>27</v>
      </c>
      <c r="C45" s="135">
        <f>J43</f>
        <v>567994.51733539614</v>
      </c>
      <c r="D45" s="135"/>
      <c r="E45" s="78">
        <v>100</v>
      </c>
      <c r="F45" s="91"/>
      <c r="G45" s="92"/>
      <c r="H45" s="91"/>
      <c r="I45" s="93"/>
      <c r="J45" s="94"/>
      <c r="K45" s="95"/>
    </row>
    <row r="46" spans="1:19" x14ac:dyDescent="0.25">
      <c r="A46" s="96"/>
      <c r="B46" s="40" t="s">
        <v>35</v>
      </c>
      <c r="C46" s="136">
        <v>500000</v>
      </c>
      <c r="D46" s="136"/>
      <c r="E46" s="78"/>
      <c r="F46" s="89"/>
      <c r="G46" s="88"/>
      <c r="H46" s="88"/>
      <c r="I46" s="88"/>
      <c r="J46" s="88"/>
      <c r="K46" s="89"/>
    </row>
    <row r="47" spans="1:19" x14ac:dyDescent="0.25">
      <c r="A47" s="96"/>
      <c r="B47" s="40" t="s">
        <v>36</v>
      </c>
      <c r="C47" s="136">
        <f>C46-C49-C50</f>
        <v>475000</v>
      </c>
      <c r="D47" s="136"/>
      <c r="E47" s="78">
        <f>C47/C45*100</f>
        <v>83.627567785045414</v>
      </c>
      <c r="F47" s="89"/>
      <c r="G47" s="88"/>
      <c r="H47" s="88"/>
      <c r="I47" s="88"/>
      <c r="J47" s="88"/>
      <c r="K47" s="89"/>
    </row>
    <row r="48" spans="1:19" x14ac:dyDescent="0.25">
      <c r="A48" s="96"/>
      <c r="B48" s="40" t="s">
        <v>37</v>
      </c>
      <c r="C48" s="135">
        <f>C45-C47</f>
        <v>92994.517335396144</v>
      </c>
      <c r="D48" s="135"/>
      <c r="E48" s="78">
        <f>100-E47</f>
        <v>16.372432214954586</v>
      </c>
      <c r="F48" s="89"/>
      <c r="G48" s="88"/>
      <c r="H48" s="88"/>
      <c r="I48" s="88"/>
      <c r="J48" s="88"/>
      <c r="K48" s="89"/>
    </row>
    <row r="49" spans="1:11" x14ac:dyDescent="0.25">
      <c r="A49" s="96"/>
      <c r="B49" s="40" t="s">
        <v>38</v>
      </c>
      <c r="C49" s="135">
        <f>C46*0.03</f>
        <v>15000</v>
      </c>
      <c r="D49" s="135"/>
      <c r="E49" s="78">
        <v>3</v>
      </c>
      <c r="F49" s="89"/>
      <c r="G49" s="88"/>
      <c r="H49" s="88"/>
      <c r="I49" s="88"/>
      <c r="J49" s="88"/>
      <c r="K49" s="89"/>
    </row>
    <row r="50" spans="1:11" x14ac:dyDescent="0.25">
      <c r="A50" s="96"/>
      <c r="B50" s="40" t="s">
        <v>39</v>
      </c>
      <c r="C50" s="135">
        <f>C46*0.02</f>
        <v>10000</v>
      </c>
      <c r="D50" s="135"/>
      <c r="E50" s="78">
        <v>2</v>
      </c>
      <c r="F50" s="89"/>
      <c r="G50" s="88"/>
      <c r="H50" s="88"/>
      <c r="I50" s="88"/>
      <c r="J50" s="88"/>
      <c r="K50" s="89"/>
    </row>
    <row r="51" spans="1:11" s="74" customFormat="1" x14ac:dyDescent="0.25">
      <c r="A51" s="97"/>
      <c r="B51" s="97"/>
      <c r="C51" s="97"/>
      <c r="D51" s="97"/>
      <c r="E51" s="97"/>
      <c r="F51" s="97"/>
      <c r="G51" s="97"/>
      <c r="H51" s="97"/>
      <c r="I51" s="97"/>
      <c r="J51" s="97"/>
      <c r="K51" s="97"/>
    </row>
    <row r="52" spans="1:11" s="74" customFormat="1" x14ac:dyDescent="0.25"/>
    <row r="53" spans="1:11" s="74" customFormat="1" x14ac:dyDescent="0.25"/>
    <row r="54" spans="1:11" s="74" customFormat="1" x14ac:dyDescent="0.25"/>
    <row r="55" spans="1:11" s="74" customFormat="1" x14ac:dyDescent="0.25"/>
    <row r="56" spans="1:11" s="74" customFormat="1" x14ac:dyDescent="0.25"/>
    <row r="57" spans="1:11" s="74" customFormat="1" x14ac:dyDescent="0.25"/>
    <row r="58" spans="1:11" s="74" customFormat="1" x14ac:dyDescent="0.25"/>
    <row r="59" spans="1:11" s="74" customFormat="1" x14ac:dyDescent="0.25"/>
    <row r="60" spans="1:11" s="74" customFormat="1" x14ac:dyDescent="0.25"/>
    <row r="61" spans="1:11" s="74" customFormat="1" x14ac:dyDescent="0.25"/>
    <row r="62" spans="1:11" s="74" customFormat="1" x14ac:dyDescent="0.25"/>
    <row r="63" spans="1:11" s="74" customFormat="1" x14ac:dyDescent="0.25"/>
    <row r="64" spans="1:11"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row r="98" s="74" customFormat="1" x14ac:dyDescent="0.25"/>
    <row r="99" s="74" customFormat="1" x14ac:dyDescent="0.25"/>
    <row r="100" s="74" customFormat="1" x14ac:dyDescent="0.25"/>
    <row r="101" s="74" customFormat="1" x14ac:dyDescent="0.25"/>
    <row r="102" s="74" customFormat="1" x14ac:dyDescent="0.25"/>
    <row r="103" s="74" customFormat="1" x14ac:dyDescent="0.25"/>
    <row r="104" s="74" customFormat="1" x14ac:dyDescent="0.25"/>
    <row r="105" s="74" customFormat="1" x14ac:dyDescent="0.25"/>
    <row r="106" s="74" customFormat="1" x14ac:dyDescent="0.25"/>
    <row r="107" s="74"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2"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5" t="s">
        <v>0</v>
      </c>
      <c r="B1" s="115"/>
      <c r="C1" s="115"/>
      <c r="D1" s="115"/>
      <c r="E1" s="115"/>
      <c r="F1" s="115"/>
      <c r="G1" s="115"/>
      <c r="H1" s="115"/>
      <c r="I1" s="115"/>
      <c r="J1" s="115"/>
      <c r="K1" s="115"/>
    </row>
    <row r="2" spans="1:19" s="1" customFormat="1" ht="22.5" x14ac:dyDescent="0.25">
      <c r="A2" s="116" t="s">
        <v>1</v>
      </c>
      <c r="B2" s="116"/>
      <c r="C2" s="116"/>
      <c r="D2" s="116"/>
      <c r="E2" s="116"/>
      <c r="F2" s="116"/>
      <c r="G2" s="116"/>
      <c r="H2" s="116"/>
      <c r="I2" s="116"/>
      <c r="J2" s="116"/>
      <c r="K2" s="116"/>
    </row>
    <row r="3" spans="1:19" s="1" customFormat="1" x14ac:dyDescent="0.25">
      <c r="A3" s="117" t="s">
        <v>2</v>
      </c>
      <c r="B3" s="117"/>
      <c r="C3" s="117"/>
      <c r="D3" s="117"/>
      <c r="E3" s="117"/>
      <c r="F3" s="117"/>
      <c r="G3" s="117"/>
      <c r="H3" s="117"/>
      <c r="I3" s="117"/>
      <c r="J3" s="117"/>
      <c r="K3" s="117"/>
    </row>
    <row r="4" spans="1:19" s="1" customFormat="1" x14ac:dyDescent="0.25">
      <c r="A4" s="117" t="s">
        <v>3</v>
      </c>
      <c r="B4" s="117"/>
      <c r="C4" s="117"/>
      <c r="D4" s="117"/>
      <c r="E4" s="117"/>
      <c r="F4" s="117"/>
      <c r="G4" s="117"/>
      <c r="H4" s="117"/>
      <c r="I4" s="117"/>
      <c r="J4" s="117"/>
      <c r="K4" s="117"/>
    </row>
    <row r="5" spans="1:19" ht="18.75" x14ac:dyDescent="0.3">
      <c r="A5" s="118" t="s">
        <v>4</v>
      </c>
      <c r="B5" s="118"/>
      <c r="C5" s="118"/>
      <c r="D5" s="118"/>
      <c r="E5" s="118"/>
      <c r="F5" s="118"/>
      <c r="G5" s="118"/>
      <c r="H5" s="118"/>
      <c r="I5" s="118"/>
      <c r="J5" s="118"/>
      <c r="K5" s="118"/>
    </row>
    <row r="6" spans="1:19" ht="15.75" x14ac:dyDescent="0.25">
      <c r="A6" s="110" t="s">
        <v>82</v>
      </c>
      <c r="B6" s="110"/>
      <c r="C6" s="110"/>
      <c r="D6" s="110"/>
      <c r="E6" s="110"/>
      <c r="F6" s="110"/>
      <c r="G6" s="2"/>
      <c r="H6" s="111" t="s">
        <v>77</v>
      </c>
      <c r="I6" s="111"/>
      <c r="J6" s="111"/>
      <c r="K6" s="111"/>
    </row>
    <row r="7" spans="1:19" ht="15.75" x14ac:dyDescent="0.25">
      <c r="A7" s="133" t="s">
        <v>28</v>
      </c>
      <c r="B7" s="133"/>
      <c r="C7" s="133"/>
      <c r="D7" s="133"/>
      <c r="E7" s="133"/>
      <c r="F7" s="133"/>
      <c r="G7" s="3"/>
      <c r="H7" s="134" t="s">
        <v>78</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76</v>
      </c>
      <c r="C9" s="75"/>
      <c r="D9" s="75"/>
      <c r="E9" s="75"/>
      <c r="F9" s="75"/>
      <c r="G9" s="75"/>
      <c r="H9" s="75"/>
      <c r="I9" s="75"/>
      <c r="J9" s="75"/>
      <c r="K9" s="75"/>
    </row>
    <row r="10" spans="1:19" ht="15" customHeight="1" x14ac:dyDescent="0.25">
      <c r="A10" s="29"/>
      <c r="B10" s="76" t="s">
        <v>65</v>
      </c>
      <c r="C10" s="75">
        <v>1</v>
      </c>
      <c r="D10" s="77">
        <f>30+2.5</f>
        <v>32.5</v>
      </c>
      <c r="E10" s="77">
        <v>0.75</v>
      </c>
      <c r="F10" s="77">
        <v>1.2</v>
      </c>
      <c r="G10" s="78">
        <f>PRODUCT(C10:F10)</f>
        <v>29.25</v>
      </c>
      <c r="H10" s="79"/>
      <c r="I10" s="79"/>
      <c r="J10" s="79"/>
      <c r="K10" s="32"/>
      <c r="M10" s="36"/>
      <c r="N10" s="100">
        <f>D10/2.5</f>
        <v>13</v>
      </c>
      <c r="O10" s="1"/>
      <c r="P10" s="1"/>
      <c r="Q10" s="1"/>
      <c r="R10" s="36"/>
      <c r="S10" s="36"/>
    </row>
    <row r="11" spans="1:19" ht="15" customHeight="1" x14ac:dyDescent="0.25">
      <c r="A11" s="29"/>
      <c r="B11" s="76"/>
      <c r="C11" s="75">
        <v>1</v>
      </c>
      <c r="D11" s="77">
        <f>25+8*2.5</f>
        <v>45</v>
      </c>
      <c r="E11" s="77">
        <v>0.6</v>
      </c>
      <c r="F11" s="77">
        <v>1.2</v>
      </c>
      <c r="G11" s="78">
        <f>PRODUCT(C11:F11)</f>
        <v>32.4</v>
      </c>
      <c r="H11" s="79"/>
      <c r="I11" s="79"/>
      <c r="J11" s="79"/>
      <c r="K11" s="32"/>
      <c r="M11" s="36"/>
      <c r="N11" s="100"/>
      <c r="O11" s="1"/>
      <c r="P11" s="1"/>
      <c r="Q11" s="1"/>
      <c r="R11" s="36"/>
      <c r="S11" s="36"/>
    </row>
    <row r="12" spans="1:19" ht="15" customHeight="1" x14ac:dyDescent="0.25">
      <c r="A12" s="29"/>
      <c r="B12" s="76" t="s">
        <v>51</v>
      </c>
      <c r="C12" s="75">
        <v>2</v>
      </c>
      <c r="D12" s="77">
        <v>1.5</v>
      </c>
      <c r="E12" s="77">
        <v>1.5</v>
      </c>
      <c r="F12" s="77">
        <f>1.5+0.2</f>
        <v>1.7</v>
      </c>
      <c r="G12" s="78">
        <f>C12*(PI())*(D12*E12/4)*F12</f>
        <v>6.0082959499904796</v>
      </c>
      <c r="H12" s="79"/>
      <c r="I12" s="79"/>
      <c r="J12" s="79"/>
      <c r="K12" s="32"/>
      <c r="M12" s="36"/>
      <c r="N12" s="1"/>
      <c r="O12" s="1"/>
      <c r="P12" s="1"/>
      <c r="Q12" s="1"/>
      <c r="R12" s="36"/>
      <c r="S12" s="36"/>
    </row>
    <row r="13" spans="1:19" ht="15" customHeight="1" x14ac:dyDescent="0.25">
      <c r="A13" s="29"/>
      <c r="B13" s="76" t="s">
        <v>49</v>
      </c>
      <c r="C13" s="30"/>
      <c r="D13" s="31"/>
      <c r="E13" s="32"/>
      <c r="F13" s="32"/>
      <c r="G13" s="34">
        <f>SUM(G10:G12)</f>
        <v>67.658295949990475</v>
      </c>
      <c r="H13" s="33" t="s">
        <v>47</v>
      </c>
      <c r="I13" s="34">
        <v>64.63</v>
      </c>
      <c r="J13" s="80">
        <f>G13*I13</f>
        <v>4372.755667247884</v>
      </c>
      <c r="K13" s="32"/>
      <c r="M13" s="36"/>
      <c r="N13" s="1"/>
      <c r="O13" s="1"/>
      <c r="P13" s="1"/>
      <c r="Q13" s="1"/>
      <c r="R13" s="36"/>
      <c r="S13" s="36"/>
    </row>
    <row r="14" spans="1:19" ht="15" customHeight="1" x14ac:dyDescent="0.25">
      <c r="A14" s="29"/>
      <c r="B14" s="76" t="s">
        <v>42</v>
      </c>
      <c r="C14" s="30"/>
      <c r="D14" s="31"/>
      <c r="E14" s="32"/>
      <c r="F14" s="32"/>
      <c r="G14" s="34"/>
      <c r="H14" s="33"/>
      <c r="I14" s="34"/>
      <c r="J14" s="80">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0"/>
      <c r="K15" s="32"/>
      <c r="M15" s="36"/>
      <c r="N15" s="1"/>
      <c r="O15" s="1"/>
      <c r="P15" s="1"/>
      <c r="Q15" s="1"/>
      <c r="R15" s="36"/>
      <c r="S15" s="36"/>
    </row>
    <row r="16" spans="1:19" ht="90" x14ac:dyDescent="0.25">
      <c r="A16" s="29">
        <v>2</v>
      </c>
      <c r="B16" s="41" t="s">
        <v>71</v>
      </c>
      <c r="C16" s="30"/>
      <c r="D16" s="31"/>
      <c r="E16" s="32"/>
      <c r="F16" s="32"/>
      <c r="G16" s="34"/>
      <c r="H16" s="33"/>
      <c r="I16" s="34"/>
      <c r="J16" s="80"/>
      <c r="K16" s="32"/>
      <c r="M16" s="36"/>
      <c r="N16" s="1"/>
      <c r="O16" s="1"/>
      <c r="P16" s="1"/>
      <c r="Q16" s="1"/>
      <c r="R16" s="36"/>
      <c r="S16" s="36"/>
    </row>
    <row r="17" spans="1:19" ht="15" customHeight="1" x14ac:dyDescent="0.25">
      <c r="A17" s="29"/>
      <c r="B17" s="76" t="str">
        <f>B12</f>
        <v>-Manhole</v>
      </c>
      <c r="C17" s="75">
        <f>C12</f>
        <v>2</v>
      </c>
      <c r="D17" s="77">
        <v>1.5</v>
      </c>
      <c r="E17" s="77">
        <v>1.5</v>
      </c>
      <c r="F17" s="77">
        <v>0.15</v>
      </c>
      <c r="G17" s="78">
        <f>C17*(PI())*(D17*E17/4)*F17</f>
        <v>0.53014376029327759</v>
      </c>
      <c r="H17" s="79"/>
      <c r="I17" s="79"/>
      <c r="J17" s="79"/>
      <c r="K17" s="32"/>
      <c r="M17" s="36"/>
      <c r="N17" s="1"/>
      <c r="O17" s="1"/>
      <c r="P17" s="1"/>
      <c r="Q17" s="1"/>
      <c r="R17" s="36"/>
      <c r="S17" s="36"/>
    </row>
    <row r="18" spans="1:19" ht="15" customHeight="1" x14ac:dyDescent="0.25">
      <c r="A18" s="79"/>
      <c r="B18" s="76" t="s">
        <v>49</v>
      </c>
      <c r="C18" s="81"/>
      <c r="D18" s="82"/>
      <c r="E18" s="82"/>
      <c r="F18" s="82"/>
      <c r="G18" s="52">
        <f>SUM(G17:G17)</f>
        <v>0.53014376029327759</v>
      </c>
      <c r="H18" s="52" t="s">
        <v>47</v>
      </c>
      <c r="I18" s="52">
        <v>4561.53</v>
      </c>
      <c r="J18" s="83">
        <f>G18*I18</f>
        <v>2418.2666668905945</v>
      </c>
      <c r="K18" s="75"/>
    </row>
    <row r="19" spans="1:19" x14ac:dyDescent="0.25">
      <c r="A19" s="79"/>
      <c r="B19" s="76" t="s">
        <v>42</v>
      </c>
      <c r="C19" s="81"/>
      <c r="D19" s="82"/>
      <c r="E19" s="82"/>
      <c r="F19" s="82"/>
      <c r="G19" s="82"/>
      <c r="H19" s="82"/>
      <c r="I19" s="82"/>
      <c r="J19" s="84">
        <f>0.13*G18*(15452.6/5)</f>
        <v>212.99458622800543</v>
      </c>
      <c r="K19" s="75"/>
    </row>
    <row r="20" spans="1:19" x14ac:dyDescent="0.25">
      <c r="A20" s="79"/>
      <c r="B20" s="76"/>
      <c r="C20" s="81"/>
      <c r="D20" s="82"/>
      <c r="E20" s="82"/>
      <c r="F20" s="82"/>
      <c r="G20" s="82"/>
      <c r="H20" s="82"/>
      <c r="I20" s="82"/>
      <c r="J20" s="84"/>
      <c r="K20" s="75"/>
    </row>
    <row r="21" spans="1:19" ht="75" x14ac:dyDescent="0.25">
      <c r="A21" s="29">
        <v>3</v>
      </c>
      <c r="B21" s="41" t="s">
        <v>54</v>
      </c>
      <c r="C21" s="30"/>
      <c r="D21" s="31"/>
      <c r="E21" s="32"/>
      <c r="F21" s="32"/>
      <c r="G21" s="34"/>
      <c r="H21" s="33"/>
      <c r="I21" s="34"/>
      <c r="J21" s="80"/>
      <c r="K21" s="32"/>
      <c r="M21" s="36"/>
      <c r="N21" s="1"/>
      <c r="O21" s="1"/>
      <c r="P21" s="1"/>
      <c r="Q21" s="1"/>
      <c r="R21" s="36"/>
      <c r="S21" s="36"/>
    </row>
    <row r="22" spans="1:19" ht="15" customHeight="1" x14ac:dyDescent="0.25">
      <c r="A22" s="29"/>
      <c r="B22" s="76" t="str">
        <f>B17</f>
        <v>-Manhole</v>
      </c>
      <c r="C22" s="75">
        <v>2</v>
      </c>
      <c r="D22" s="75">
        <v>1.5</v>
      </c>
      <c r="E22" s="75">
        <v>1.5</v>
      </c>
      <c r="F22" s="77">
        <v>7.4999999999999997E-2</v>
      </c>
      <c r="G22" s="78">
        <f>C22*(PI())*(D22*E22/4)*F22</f>
        <v>0.26507188014663879</v>
      </c>
      <c r="H22" s="79"/>
      <c r="I22" s="79"/>
      <c r="J22" s="79"/>
      <c r="K22" s="32"/>
      <c r="M22" s="36"/>
      <c r="N22" s="1"/>
      <c r="O22" s="1"/>
      <c r="P22" s="1"/>
      <c r="Q22" s="1"/>
      <c r="R22" s="36"/>
      <c r="S22" s="36"/>
    </row>
    <row r="23" spans="1:19" ht="15" customHeight="1" x14ac:dyDescent="0.25">
      <c r="A23" s="79"/>
      <c r="B23" s="76" t="s">
        <v>49</v>
      </c>
      <c r="C23" s="81"/>
      <c r="D23" s="82"/>
      <c r="E23" s="82"/>
      <c r="F23" s="82"/>
      <c r="G23" s="52">
        <f>SUM(G22:G22)</f>
        <v>0.26507188014663879</v>
      </c>
      <c r="H23" s="52" t="s">
        <v>47</v>
      </c>
      <c r="I23" s="52">
        <v>10634.5</v>
      </c>
      <c r="J23" s="83">
        <f>G23*I23</f>
        <v>2818.9069094194301</v>
      </c>
      <c r="K23" s="75"/>
    </row>
    <row r="24" spans="1:19" ht="15" customHeight="1" x14ac:dyDescent="0.25">
      <c r="A24" s="79"/>
      <c r="B24" s="76" t="s">
        <v>42</v>
      </c>
      <c r="C24" s="81"/>
      <c r="D24" s="82"/>
      <c r="E24" s="82"/>
      <c r="F24" s="82"/>
      <c r="G24" s="82"/>
      <c r="H24" s="82"/>
      <c r="I24" s="82"/>
      <c r="J24" s="84">
        <f>0.13*G23*((114907.3+6135.3)/15)</f>
        <v>278.06990951859206</v>
      </c>
      <c r="K24" s="75"/>
    </row>
    <row r="25" spans="1:19" ht="15" customHeight="1" x14ac:dyDescent="0.25">
      <c r="A25" s="79"/>
      <c r="B25" s="76"/>
      <c r="C25" s="81"/>
      <c r="D25" s="82"/>
      <c r="E25" s="82"/>
      <c r="F25" s="82"/>
      <c r="G25" s="82"/>
      <c r="H25" s="82"/>
      <c r="I25" s="82"/>
      <c r="J25" s="84"/>
      <c r="K25" s="75"/>
    </row>
    <row r="26" spans="1:19" ht="30" x14ac:dyDescent="0.25">
      <c r="A26" s="29">
        <v>5</v>
      </c>
      <c r="B26" s="41" t="s">
        <v>79</v>
      </c>
      <c r="C26" s="30"/>
      <c r="D26" s="31"/>
      <c r="E26" s="32"/>
      <c r="F26" s="32"/>
      <c r="G26" s="34"/>
      <c r="H26" s="33"/>
      <c r="I26" s="34"/>
      <c r="J26" s="80"/>
      <c r="K26" s="32"/>
      <c r="M26" s="36"/>
      <c r="N26" s="1"/>
      <c r="O26" s="1"/>
      <c r="P26" s="1"/>
      <c r="Q26" s="1"/>
      <c r="R26" s="36"/>
      <c r="S26" s="36"/>
    </row>
    <row r="27" spans="1:19" ht="30" x14ac:dyDescent="0.25">
      <c r="A27" s="29"/>
      <c r="B27" s="76" t="s">
        <v>83</v>
      </c>
      <c r="C27" s="98">
        <v>2</v>
      </c>
      <c r="D27" s="98"/>
      <c r="E27" s="98"/>
      <c r="F27" s="98"/>
      <c r="G27" s="78">
        <f>PRODUCT(C27:F27)</f>
        <v>2</v>
      </c>
      <c r="H27" s="79"/>
      <c r="I27" s="79"/>
      <c r="J27" s="79"/>
      <c r="K27" s="32"/>
      <c r="M27" s="36"/>
      <c r="N27" s="1"/>
      <c r="O27" s="1"/>
      <c r="P27" s="1"/>
      <c r="Q27" s="1"/>
      <c r="R27" s="36"/>
      <c r="S27" s="36"/>
    </row>
    <row r="28" spans="1:19" ht="15" customHeight="1" x14ac:dyDescent="0.25">
      <c r="A28" s="79"/>
      <c r="B28" s="76" t="s">
        <v>49</v>
      </c>
      <c r="C28" s="81"/>
      <c r="D28" s="82"/>
      <c r="E28" s="82"/>
      <c r="F28" s="82"/>
      <c r="G28" s="52">
        <f>SUM(G27:G27)</f>
        <v>2</v>
      </c>
      <c r="H28" s="52" t="s">
        <v>81</v>
      </c>
      <c r="I28" s="52">
        <v>7063</v>
      </c>
      <c r="J28" s="83">
        <f>G28*I28</f>
        <v>14126</v>
      </c>
      <c r="K28" s="75"/>
    </row>
    <row r="29" spans="1:19" ht="15" customHeight="1" x14ac:dyDescent="0.25">
      <c r="A29" s="79"/>
      <c r="B29" s="76" t="s">
        <v>42</v>
      </c>
      <c r="C29" s="81"/>
      <c r="D29" s="82"/>
      <c r="E29" s="82"/>
      <c r="F29" s="82"/>
      <c r="G29" s="82"/>
      <c r="H29" s="82"/>
      <c r="I29" s="82"/>
      <c r="J29" s="84">
        <f>0.13*J28</f>
        <v>1836.38</v>
      </c>
      <c r="K29" s="75"/>
    </row>
    <row r="30" spans="1:19" ht="15" customHeight="1" x14ac:dyDescent="0.25">
      <c r="A30" s="79"/>
      <c r="B30" s="76"/>
      <c r="C30" s="81"/>
      <c r="D30" s="82"/>
      <c r="E30" s="82"/>
      <c r="F30" s="82"/>
      <c r="G30" s="82"/>
      <c r="H30" s="82"/>
      <c r="I30" s="82"/>
      <c r="J30" s="84"/>
      <c r="K30" s="75"/>
    </row>
    <row r="31" spans="1:19" ht="30.75" x14ac:dyDescent="0.25">
      <c r="A31" s="29">
        <v>6</v>
      </c>
      <c r="B31" s="73" t="s">
        <v>75</v>
      </c>
      <c r="C31" s="30"/>
      <c r="D31" s="31"/>
      <c r="E31" s="32"/>
      <c r="F31" s="32"/>
      <c r="G31" s="34"/>
      <c r="H31" s="33"/>
      <c r="I31" s="34"/>
      <c r="J31" s="80"/>
      <c r="K31" s="32"/>
      <c r="M31" s="36"/>
      <c r="N31" s="1"/>
      <c r="O31" s="1"/>
      <c r="P31" s="1"/>
      <c r="Q31" s="1"/>
      <c r="R31" s="36"/>
      <c r="S31" s="36"/>
    </row>
    <row r="32" spans="1:19" ht="15" customHeight="1" x14ac:dyDescent="0.25">
      <c r="A32" s="29"/>
      <c r="B32" s="76" t="str">
        <f>B27</f>
        <v>-Rounded manhole cover medium duty 500mm (24")</v>
      </c>
      <c r="C32" s="98">
        <v>2</v>
      </c>
      <c r="D32" s="99">
        <f>((1.5-0.23)+((24/12/3.281)-0.23))/2</f>
        <v>0.82478512648582747</v>
      </c>
      <c r="E32" s="98">
        <v>0.23</v>
      </c>
      <c r="F32" s="98">
        <v>1.5</v>
      </c>
      <c r="G32" s="78">
        <f>C32*(PI())*(D32)*E32*F32</f>
        <v>1.7878858369690229</v>
      </c>
      <c r="H32" s="79"/>
      <c r="I32" s="79"/>
      <c r="J32" s="79"/>
      <c r="K32" s="32"/>
      <c r="M32" s="36"/>
      <c r="N32" s="1"/>
      <c r="O32" s="1"/>
      <c r="P32" s="1"/>
      <c r="Q32" s="1"/>
      <c r="R32" s="36"/>
      <c r="S32" s="36"/>
    </row>
    <row r="33" spans="1:19" ht="15" customHeight="1" x14ac:dyDescent="0.25">
      <c r="A33" s="29"/>
      <c r="B33" s="76" t="s">
        <v>69</v>
      </c>
      <c r="C33" s="98">
        <f>-5</f>
        <v>-5</v>
      </c>
      <c r="D33" s="98">
        <v>0.6</v>
      </c>
      <c r="E33" s="98">
        <v>0.23</v>
      </c>
      <c r="F33" s="98">
        <v>0.6</v>
      </c>
      <c r="G33" s="78">
        <f>C33*(PI())*(D33*F33/4)*E33</f>
        <v>-0.32515483964654363</v>
      </c>
      <c r="H33" s="79"/>
      <c r="I33" s="79"/>
      <c r="J33" s="79"/>
      <c r="K33" s="32"/>
      <c r="M33" s="36"/>
      <c r="N33" s="1">
        <f>(1.5-0.23+0.6-0.23)/2</f>
        <v>0.82000000000000006</v>
      </c>
      <c r="O33" s="1">
        <f>22/12/3.281</f>
        <v>0.55877273189068366</v>
      </c>
      <c r="P33" s="1"/>
      <c r="Q33" s="1"/>
      <c r="R33" s="36"/>
      <c r="S33" s="36"/>
    </row>
    <row r="34" spans="1:19" ht="15" customHeight="1" x14ac:dyDescent="0.25">
      <c r="A34" s="79"/>
      <c r="B34" s="76" t="s">
        <v>49</v>
      </c>
      <c r="C34" s="81"/>
      <c r="D34" s="82"/>
      <c r="E34" s="82"/>
      <c r="F34" s="82"/>
      <c r="G34" s="52">
        <f>SUM(G32:G33)</f>
        <v>1.4627309973224794</v>
      </c>
      <c r="H34" s="52" t="s">
        <v>47</v>
      </c>
      <c r="I34" s="52">
        <v>14362.76</v>
      </c>
      <c r="J34" s="83">
        <f>G34*I34</f>
        <v>21008.854259103413</v>
      </c>
      <c r="K34" s="75"/>
      <c r="N34">
        <f>1.667/3.281</f>
        <v>0.50807680585187442</v>
      </c>
      <c r="O34">
        <f>2.17/3.281</f>
        <v>0.66138372447424565</v>
      </c>
      <c r="P34">
        <f>(N34+O34)/2</f>
        <v>0.58473026516306004</v>
      </c>
    </row>
    <row r="35" spans="1:19" ht="15" customHeight="1" x14ac:dyDescent="0.25">
      <c r="A35" s="79"/>
      <c r="B35" s="76" t="s">
        <v>42</v>
      </c>
      <c r="C35" s="81"/>
      <c r="D35" s="82"/>
      <c r="E35" s="82"/>
      <c r="F35" s="82"/>
      <c r="G35" s="82"/>
      <c r="H35" s="82"/>
      <c r="I35" s="82"/>
      <c r="J35" s="84">
        <f>0.13*G34*10311.74</f>
        <v>1960.8292254629134</v>
      </c>
      <c r="K35" s="75"/>
    </row>
    <row r="36" spans="1:19" ht="15" customHeight="1" x14ac:dyDescent="0.25">
      <c r="A36" s="79"/>
      <c r="B36" s="76"/>
      <c r="C36" s="81"/>
      <c r="D36" s="82"/>
      <c r="E36" s="82"/>
      <c r="F36" s="82"/>
      <c r="G36" s="82"/>
      <c r="H36" s="82"/>
      <c r="I36" s="82"/>
      <c r="J36" s="84"/>
      <c r="K36" s="75"/>
    </row>
    <row r="37" spans="1:19" ht="105" x14ac:dyDescent="0.25">
      <c r="A37" s="29">
        <v>7</v>
      </c>
      <c r="B37" s="41" t="s">
        <v>70</v>
      </c>
      <c r="C37" s="75"/>
      <c r="D37" s="77"/>
      <c r="E37" s="77"/>
      <c r="F37" s="77"/>
      <c r="G37" s="80"/>
      <c r="H37" s="79"/>
      <c r="I37" s="79"/>
      <c r="J37" s="79"/>
      <c r="K37" s="32"/>
      <c r="M37" s="36"/>
      <c r="N37" s="1"/>
      <c r="O37" s="1"/>
      <c r="P37" s="1"/>
      <c r="Q37" s="1"/>
      <c r="R37" s="36"/>
      <c r="S37" s="36"/>
    </row>
    <row r="38" spans="1:19" ht="15" customHeight="1" x14ac:dyDescent="0.25">
      <c r="A38" s="29"/>
      <c r="B38" s="76" t="s">
        <v>67</v>
      </c>
      <c r="C38" s="75">
        <f>D10/2.5</f>
        <v>13</v>
      </c>
      <c r="D38" s="77">
        <v>2.5</v>
      </c>
      <c r="E38" s="77"/>
      <c r="F38" s="77"/>
      <c r="G38" s="78">
        <f>PRODUCT(C38:F38)</f>
        <v>32.5</v>
      </c>
      <c r="H38" s="79"/>
      <c r="I38" s="79"/>
      <c r="J38" s="79"/>
      <c r="K38" s="32"/>
      <c r="M38" s="36"/>
      <c r="N38" s="1">
        <f>44/2.5</f>
        <v>17.600000000000001</v>
      </c>
      <c r="O38" s="1">
        <f>45/2.5</f>
        <v>18</v>
      </c>
      <c r="P38" s="1">
        <f>45+12.5</f>
        <v>57.5</v>
      </c>
      <c r="Q38" s="1"/>
      <c r="R38" s="36"/>
      <c r="S38" s="36"/>
    </row>
    <row r="39" spans="1:19" ht="15" customHeight="1" x14ac:dyDescent="0.25">
      <c r="A39" s="29"/>
      <c r="B39" s="76" t="s">
        <v>49</v>
      </c>
      <c r="C39" s="75"/>
      <c r="D39" s="77"/>
      <c r="E39" s="77"/>
      <c r="F39" s="77"/>
      <c r="G39" s="58">
        <f>SUM(G38:G38)</f>
        <v>32.5</v>
      </c>
      <c r="H39" s="79" t="s">
        <v>43</v>
      </c>
      <c r="I39" s="79">
        <v>6932.79</v>
      </c>
      <c r="J39" s="79">
        <f>G39*I39</f>
        <v>225315.67499999999</v>
      </c>
      <c r="K39" s="32"/>
      <c r="M39" s="36"/>
      <c r="N39" s="1"/>
      <c r="O39" s="1"/>
      <c r="P39" s="1">
        <f>P38/2.5</f>
        <v>23</v>
      </c>
      <c r="Q39" s="1"/>
      <c r="R39" s="36"/>
      <c r="S39" s="36"/>
    </row>
    <row r="40" spans="1:19" ht="15" customHeight="1" x14ac:dyDescent="0.25">
      <c r="A40" s="29"/>
      <c r="B40" s="76" t="s">
        <v>42</v>
      </c>
      <c r="C40" s="75"/>
      <c r="D40" s="77"/>
      <c r="E40" s="77"/>
      <c r="F40" s="77"/>
      <c r="G40" s="80"/>
      <c r="H40" s="79"/>
      <c r="I40" s="79"/>
      <c r="J40" s="79">
        <f>0.13*G39*((78764.9)/12.5)</f>
        <v>26622.536199999999</v>
      </c>
      <c r="K40" s="32"/>
      <c r="M40" s="36"/>
      <c r="N40" s="1"/>
      <c r="O40" s="1"/>
      <c r="P40" s="1"/>
      <c r="Q40" s="1"/>
      <c r="R40" s="36"/>
      <c r="S40" s="36"/>
    </row>
    <row r="41" spans="1:19" ht="15" customHeight="1" x14ac:dyDescent="0.25">
      <c r="A41" s="29"/>
      <c r="B41" s="76"/>
      <c r="C41" s="75"/>
      <c r="D41" s="77"/>
      <c r="E41" s="77"/>
      <c r="F41" s="77"/>
      <c r="G41" s="80"/>
      <c r="H41" s="79"/>
      <c r="I41" s="79"/>
      <c r="J41" s="79"/>
      <c r="K41" s="32"/>
      <c r="M41" s="36"/>
      <c r="N41" s="1"/>
      <c r="O41" s="1"/>
      <c r="P41" s="1"/>
      <c r="Q41" s="1"/>
      <c r="R41" s="36"/>
      <c r="S41" s="36"/>
    </row>
    <row r="42" spans="1:19" ht="105" x14ac:dyDescent="0.25">
      <c r="A42" s="29">
        <v>8</v>
      </c>
      <c r="B42" s="41" t="s">
        <v>84</v>
      </c>
      <c r="C42" s="75"/>
      <c r="D42" s="77"/>
      <c r="E42" s="77"/>
      <c r="F42" s="77"/>
      <c r="G42" s="80"/>
      <c r="H42" s="79"/>
      <c r="I42" s="79"/>
      <c r="J42" s="79"/>
      <c r="K42" s="32"/>
      <c r="M42" s="36"/>
      <c r="N42" s="1"/>
      <c r="O42" s="1"/>
      <c r="P42" s="1"/>
      <c r="Q42" s="1"/>
      <c r="R42" s="36"/>
      <c r="S42" s="36"/>
    </row>
    <row r="43" spans="1:19" ht="15" customHeight="1" x14ac:dyDescent="0.25">
      <c r="A43" s="29"/>
      <c r="B43" s="76" t="s">
        <v>68</v>
      </c>
      <c r="C43" s="75">
        <f>(25/2.5)+8</f>
        <v>18</v>
      </c>
      <c r="D43" s="77">
        <v>2.5</v>
      </c>
      <c r="E43" s="77"/>
      <c r="F43" s="77"/>
      <c r="G43" s="78">
        <f>PRODUCT(C43:F43)</f>
        <v>45</v>
      </c>
      <c r="H43" s="79"/>
      <c r="I43" s="79"/>
      <c r="J43" s="79"/>
      <c r="K43" s="32"/>
      <c r="M43" s="36"/>
      <c r="N43" s="1">
        <f>44/2.5</f>
        <v>17.600000000000001</v>
      </c>
      <c r="O43" s="1">
        <f>45/2.5</f>
        <v>18</v>
      </c>
      <c r="P43" s="1">
        <f>45+12.5</f>
        <v>57.5</v>
      </c>
      <c r="Q43" s="1"/>
      <c r="R43" s="36"/>
      <c r="S43" s="36"/>
    </row>
    <row r="44" spans="1:19" ht="15" customHeight="1" x14ac:dyDescent="0.25">
      <c r="A44" s="29"/>
      <c r="B44" s="76" t="s">
        <v>49</v>
      </c>
      <c r="C44" s="75"/>
      <c r="D44" s="77"/>
      <c r="E44" s="77"/>
      <c r="F44" s="77"/>
      <c r="G44" s="58">
        <f>SUM(G43:G43)</f>
        <v>45</v>
      </c>
      <c r="H44" s="79" t="s">
        <v>43</v>
      </c>
      <c r="I44" s="79">
        <v>5144.96</v>
      </c>
      <c r="J44" s="79">
        <f>G44*I44</f>
        <v>231523.20000000001</v>
      </c>
      <c r="K44" s="32"/>
      <c r="M44" s="36"/>
      <c r="N44" s="1"/>
      <c r="O44" s="1"/>
      <c r="P44" s="1">
        <f>P43/2.5</f>
        <v>23</v>
      </c>
      <c r="Q44" s="1"/>
      <c r="R44" s="36"/>
      <c r="S44" s="36"/>
    </row>
    <row r="45" spans="1:19" ht="15" customHeight="1" x14ac:dyDescent="0.25">
      <c r="A45" s="29"/>
      <c r="B45" s="76" t="s">
        <v>42</v>
      </c>
      <c r="C45" s="75"/>
      <c r="D45" s="77"/>
      <c r="E45" s="77"/>
      <c r="F45" s="77"/>
      <c r="G45" s="80"/>
      <c r="H45" s="79"/>
      <c r="I45" s="79"/>
      <c r="J45" s="79">
        <f>0.13*G44*((57364.6)/12.5)</f>
        <v>26846.632799999999</v>
      </c>
      <c r="K45" s="32"/>
      <c r="M45" s="36"/>
      <c r="N45" s="1"/>
      <c r="O45" s="1"/>
      <c r="P45" s="1"/>
      <c r="Q45" s="1"/>
      <c r="R45" s="36"/>
      <c r="S45" s="36"/>
    </row>
    <row r="46" spans="1:19" ht="15" customHeight="1" x14ac:dyDescent="0.25">
      <c r="A46" s="29"/>
      <c r="B46" s="76"/>
      <c r="C46" s="75"/>
      <c r="D46" s="77"/>
      <c r="E46" s="77"/>
      <c r="F46" s="77"/>
      <c r="G46" s="80"/>
      <c r="H46" s="79"/>
      <c r="I46" s="79"/>
      <c r="J46" s="79"/>
      <c r="K46" s="32"/>
      <c r="M46" s="36"/>
      <c r="N46" s="1"/>
      <c r="O46" s="1"/>
      <c r="P46" s="1"/>
      <c r="Q46" s="1"/>
      <c r="R46" s="36"/>
      <c r="S46" s="36"/>
    </row>
    <row r="47" spans="1:19" ht="15" customHeight="1" x14ac:dyDescent="0.25">
      <c r="A47" s="29">
        <v>9</v>
      </c>
      <c r="B47" s="41" t="s">
        <v>33</v>
      </c>
      <c r="C47" s="30">
        <v>1</v>
      </c>
      <c r="D47" s="31"/>
      <c r="E47" s="32"/>
      <c r="F47" s="32"/>
      <c r="G47" s="58">
        <f t="shared" ref="G47" si="0">PRODUCT(C47:F47)</f>
        <v>1</v>
      </c>
      <c r="H47" s="33" t="s">
        <v>34</v>
      </c>
      <c r="I47" s="34">
        <v>500</v>
      </c>
      <c r="J47" s="58">
        <f>G47*I47</f>
        <v>500</v>
      </c>
      <c r="K47" s="32"/>
      <c r="M47" s="36"/>
      <c r="N47" s="1"/>
      <c r="O47" s="1"/>
      <c r="P47" s="1"/>
      <c r="Q47" s="1"/>
      <c r="R47" s="36"/>
      <c r="S47" s="36"/>
    </row>
    <row r="48" spans="1:19" ht="15" customHeight="1" x14ac:dyDescent="0.25">
      <c r="A48" s="29"/>
      <c r="B48" s="35"/>
      <c r="C48" s="30"/>
      <c r="D48" s="31"/>
      <c r="E48" s="32"/>
      <c r="F48" s="32"/>
      <c r="G48" s="34"/>
      <c r="H48" s="33"/>
      <c r="I48" s="34"/>
      <c r="J48" s="80"/>
      <c r="K48" s="32"/>
      <c r="M48" s="36"/>
      <c r="N48" s="1"/>
      <c r="O48" s="1"/>
      <c r="P48" s="1"/>
      <c r="Q48" s="1"/>
      <c r="R48" s="36"/>
      <c r="S48" s="36"/>
    </row>
    <row r="49" spans="1:11" x14ac:dyDescent="0.25">
      <c r="A49" s="79"/>
      <c r="B49" s="86" t="s">
        <v>17</v>
      </c>
      <c r="C49" s="87"/>
      <c r="D49" s="77"/>
      <c r="E49" s="77"/>
      <c r="F49" s="77"/>
      <c r="G49" s="80"/>
      <c r="H49" s="80"/>
      <c r="I49" s="80"/>
      <c r="J49" s="80">
        <f>SUM(J10:J47)</f>
        <v>560312.25104410131</v>
      </c>
      <c r="K49" s="75"/>
    </row>
    <row r="50" spans="1:11" x14ac:dyDescent="0.25">
      <c r="A50" s="88"/>
      <c r="B50" s="89"/>
      <c r="C50" s="89"/>
      <c r="D50" s="89"/>
      <c r="E50" s="89"/>
      <c r="F50" s="89"/>
      <c r="G50" s="88"/>
      <c r="H50" s="88"/>
      <c r="I50" s="88"/>
      <c r="J50" s="88"/>
      <c r="K50" s="89"/>
    </row>
    <row r="51" spans="1:11" s="1" customFormat="1" x14ac:dyDescent="0.25">
      <c r="A51" s="90"/>
      <c r="B51" s="40" t="s">
        <v>27</v>
      </c>
      <c r="C51" s="135">
        <f>J49</f>
        <v>560312.25104410131</v>
      </c>
      <c r="D51" s="135"/>
      <c r="E51" s="78">
        <v>100</v>
      </c>
      <c r="F51" s="91"/>
      <c r="G51" s="92"/>
      <c r="H51" s="91"/>
      <c r="I51" s="93"/>
      <c r="J51" s="94"/>
      <c r="K51" s="95"/>
    </row>
    <row r="52" spans="1:11" x14ac:dyDescent="0.25">
      <c r="A52" s="96"/>
      <c r="B52" s="40" t="s">
        <v>35</v>
      </c>
      <c r="C52" s="136">
        <v>500000</v>
      </c>
      <c r="D52" s="136"/>
      <c r="E52" s="78"/>
      <c r="F52" s="89"/>
      <c r="G52" s="88"/>
      <c r="H52" s="88"/>
      <c r="I52" s="88"/>
      <c r="J52" s="88"/>
      <c r="K52" s="89"/>
    </row>
    <row r="53" spans="1:11" x14ac:dyDescent="0.25">
      <c r="A53" s="96"/>
      <c r="B53" s="40" t="s">
        <v>36</v>
      </c>
      <c r="C53" s="136">
        <f>C52-C55-C56</f>
        <v>475000</v>
      </c>
      <c r="D53" s="136"/>
      <c r="E53" s="78">
        <f>C53/C51*100</f>
        <v>84.774159250466482</v>
      </c>
      <c r="F53" s="89"/>
      <c r="G53" s="88"/>
      <c r="H53" s="88"/>
      <c r="I53" s="88"/>
      <c r="J53" s="88"/>
      <c r="K53" s="89"/>
    </row>
    <row r="54" spans="1:11" x14ac:dyDescent="0.25">
      <c r="A54" s="96"/>
      <c r="B54" s="40" t="s">
        <v>37</v>
      </c>
      <c r="C54" s="135">
        <f>C51-C53</f>
        <v>85312.251044101315</v>
      </c>
      <c r="D54" s="135"/>
      <c r="E54" s="78">
        <f>100-E53</f>
        <v>15.225840749533518</v>
      </c>
      <c r="F54" s="89"/>
      <c r="G54" s="88"/>
      <c r="H54" s="88"/>
      <c r="I54" s="88"/>
      <c r="J54" s="88"/>
      <c r="K54" s="89"/>
    </row>
    <row r="55" spans="1:11" x14ac:dyDescent="0.25">
      <c r="A55" s="96"/>
      <c r="B55" s="40" t="s">
        <v>38</v>
      </c>
      <c r="C55" s="135">
        <f>C52*0.03</f>
        <v>15000</v>
      </c>
      <c r="D55" s="135"/>
      <c r="E55" s="78">
        <v>3</v>
      </c>
      <c r="F55" s="89"/>
      <c r="G55" s="88"/>
      <c r="H55" s="88"/>
      <c r="I55" s="88"/>
      <c r="J55" s="88"/>
      <c r="K55" s="89"/>
    </row>
    <row r="56" spans="1:11" x14ac:dyDescent="0.25">
      <c r="A56" s="96"/>
      <c r="B56" s="40" t="s">
        <v>39</v>
      </c>
      <c r="C56" s="135">
        <f>C52*0.02</f>
        <v>10000</v>
      </c>
      <c r="D56" s="135"/>
      <c r="E56" s="78">
        <v>2</v>
      </c>
      <c r="F56" s="89"/>
      <c r="G56" s="88"/>
      <c r="H56" s="88"/>
      <c r="I56" s="88"/>
      <c r="J56" s="88"/>
      <c r="K56" s="89"/>
    </row>
    <row r="57" spans="1:11" s="74" customFormat="1" x14ac:dyDescent="0.25">
      <c r="A57" s="97"/>
      <c r="B57" s="97"/>
      <c r="C57" s="97"/>
      <c r="D57" s="97"/>
      <c r="E57" s="97"/>
      <c r="F57" s="97"/>
      <c r="G57" s="97"/>
      <c r="H57" s="97"/>
      <c r="I57" s="97"/>
      <c r="J57" s="97"/>
      <c r="K57" s="97"/>
    </row>
    <row r="58" spans="1:11" s="74" customFormat="1" x14ac:dyDescent="0.25"/>
    <row r="59" spans="1:11" s="74" customFormat="1" x14ac:dyDescent="0.25"/>
    <row r="60" spans="1:11" s="74" customFormat="1" x14ac:dyDescent="0.25"/>
    <row r="61" spans="1:11" s="74" customFormat="1" x14ac:dyDescent="0.25"/>
    <row r="62" spans="1:11" s="74" customFormat="1" x14ac:dyDescent="0.25"/>
    <row r="63" spans="1:11" s="74" customFormat="1" x14ac:dyDescent="0.25"/>
    <row r="64" spans="1:11"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row r="98" s="74" customFormat="1" x14ac:dyDescent="0.25"/>
    <row r="99" s="74" customFormat="1" x14ac:dyDescent="0.25"/>
    <row r="100" s="74" customFormat="1" x14ac:dyDescent="0.25"/>
    <row r="101" s="74" customFormat="1" x14ac:dyDescent="0.25"/>
    <row r="102" s="74" customFormat="1" x14ac:dyDescent="0.25"/>
    <row r="103" s="74" customFormat="1" x14ac:dyDescent="0.25"/>
    <row r="104" s="74" customFormat="1" x14ac:dyDescent="0.25"/>
    <row r="105" s="74" customFormat="1" x14ac:dyDescent="0.25"/>
    <row r="106" s="74" customFormat="1" x14ac:dyDescent="0.25"/>
    <row r="107" s="74" customFormat="1" x14ac:dyDescent="0.25"/>
    <row r="108" s="74" customFormat="1" x14ac:dyDescent="0.25"/>
    <row r="109" s="74" customFormat="1" x14ac:dyDescent="0.25"/>
    <row r="110" s="74" customFormat="1" x14ac:dyDescent="0.25"/>
    <row r="111" s="74" customFormat="1" x14ac:dyDescent="0.25"/>
    <row r="112" s="74" customFormat="1" x14ac:dyDescent="0.25"/>
    <row r="113" s="74" customFormat="1" x14ac:dyDescent="0.25"/>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19" zoomScaleNormal="100" workbookViewId="0">
      <selection activeCell="A7" sqref="A7:F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115" t="s">
        <v>0</v>
      </c>
      <c r="B1" s="115"/>
      <c r="C1" s="115"/>
      <c r="D1" s="115"/>
      <c r="E1" s="115"/>
      <c r="F1" s="115"/>
      <c r="G1" s="115"/>
      <c r="H1" s="115"/>
      <c r="I1" s="115"/>
      <c r="J1" s="115"/>
      <c r="K1" s="115"/>
    </row>
    <row r="2" spans="1:19" s="1" customFormat="1" ht="22.5" x14ac:dyDescent="0.25">
      <c r="A2" s="116" t="s">
        <v>1</v>
      </c>
      <c r="B2" s="116"/>
      <c r="C2" s="116"/>
      <c r="D2" s="116"/>
      <c r="E2" s="116"/>
      <c r="F2" s="116"/>
      <c r="G2" s="116"/>
      <c r="H2" s="116"/>
      <c r="I2" s="116"/>
      <c r="J2" s="116"/>
      <c r="K2" s="116"/>
    </row>
    <row r="3" spans="1:19" s="1" customFormat="1" x14ac:dyDescent="0.25">
      <c r="A3" s="117" t="s">
        <v>2</v>
      </c>
      <c r="B3" s="117"/>
      <c r="C3" s="117"/>
      <c r="D3" s="117"/>
      <c r="E3" s="117"/>
      <c r="F3" s="117"/>
      <c r="G3" s="117"/>
      <c r="H3" s="117"/>
      <c r="I3" s="117"/>
      <c r="J3" s="117"/>
      <c r="K3" s="117"/>
    </row>
    <row r="4" spans="1:19" s="1" customFormat="1" x14ac:dyDescent="0.25">
      <c r="A4" s="117" t="s">
        <v>3</v>
      </c>
      <c r="B4" s="117"/>
      <c r="C4" s="117"/>
      <c r="D4" s="117"/>
      <c r="E4" s="117"/>
      <c r="F4" s="117"/>
      <c r="G4" s="117"/>
      <c r="H4" s="117"/>
      <c r="I4" s="117"/>
      <c r="J4" s="117"/>
      <c r="K4" s="117"/>
    </row>
    <row r="5" spans="1:19" ht="18.75" x14ac:dyDescent="0.3">
      <c r="A5" s="118" t="s">
        <v>4</v>
      </c>
      <c r="B5" s="118"/>
      <c r="C5" s="118"/>
      <c r="D5" s="118"/>
      <c r="E5" s="118"/>
      <c r="F5" s="118"/>
      <c r="G5" s="118"/>
      <c r="H5" s="118"/>
      <c r="I5" s="118"/>
      <c r="J5" s="118"/>
      <c r="K5" s="118"/>
    </row>
    <row r="6" spans="1:19" ht="15.75" x14ac:dyDescent="0.25">
      <c r="A6" s="110" t="s">
        <v>88</v>
      </c>
      <c r="B6" s="110"/>
      <c r="C6" s="110"/>
      <c r="D6" s="110"/>
      <c r="E6" s="110"/>
      <c r="F6" s="110"/>
      <c r="G6" s="2"/>
      <c r="H6" s="111" t="s">
        <v>77</v>
      </c>
      <c r="I6" s="111"/>
      <c r="J6" s="111"/>
      <c r="K6" s="111"/>
    </row>
    <row r="7" spans="1:19" ht="15.75" x14ac:dyDescent="0.25">
      <c r="A7" s="133" t="s">
        <v>28</v>
      </c>
      <c r="B7" s="133"/>
      <c r="C7" s="133"/>
      <c r="D7" s="133"/>
      <c r="E7" s="133"/>
      <c r="F7" s="133"/>
      <c r="G7" s="3"/>
      <c r="H7" s="134" t="s">
        <v>87</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76</v>
      </c>
      <c r="C9" s="75"/>
      <c r="D9" s="75"/>
      <c r="E9" s="75"/>
      <c r="F9" s="75"/>
      <c r="G9" s="75"/>
      <c r="H9" s="75"/>
      <c r="I9" s="75"/>
      <c r="J9" s="75"/>
      <c r="K9" s="75"/>
    </row>
    <row r="10" spans="1:19" ht="15" customHeight="1" x14ac:dyDescent="0.25">
      <c r="A10" s="29"/>
      <c r="B10" s="76" t="s">
        <v>65</v>
      </c>
      <c r="C10" s="75">
        <v>1</v>
      </c>
      <c r="D10" s="77">
        <f>20+25-4*1.2+20</f>
        <v>60.2</v>
      </c>
      <c r="E10" s="77">
        <v>0.75</v>
      </c>
      <c r="F10" s="77">
        <v>1.2</v>
      </c>
      <c r="G10" s="78">
        <f>PRODUCT(C10:F10)</f>
        <v>54.180000000000007</v>
      </c>
      <c r="H10" s="79"/>
      <c r="I10" s="79"/>
      <c r="J10" s="79"/>
      <c r="K10" s="32"/>
      <c r="M10" s="36"/>
      <c r="N10" s="1"/>
      <c r="O10" s="1"/>
      <c r="P10" s="1"/>
      <c r="Q10" s="1"/>
      <c r="R10" s="36"/>
      <c r="S10" s="36"/>
    </row>
    <row r="11" spans="1:19" ht="15" customHeight="1" x14ac:dyDescent="0.25">
      <c r="A11" s="29"/>
      <c r="B11" s="76" t="s">
        <v>51</v>
      </c>
      <c r="C11" s="75">
        <v>2</v>
      </c>
      <c r="D11" s="77">
        <v>1.5</v>
      </c>
      <c r="E11" s="77">
        <v>1.5</v>
      </c>
      <c r="F11" s="77">
        <f>1.5+0.2</f>
        <v>1.7</v>
      </c>
      <c r="G11" s="78">
        <f>C11*(PI())*(D11*E11/4)*F11</f>
        <v>6.0082959499904796</v>
      </c>
      <c r="H11" s="79"/>
      <c r="I11" s="79"/>
      <c r="J11" s="79"/>
      <c r="K11" s="32"/>
      <c r="M11" s="36"/>
      <c r="N11" s="1"/>
      <c r="O11" s="1"/>
      <c r="P11" s="1"/>
      <c r="Q11" s="1"/>
      <c r="R11" s="36"/>
      <c r="S11" s="36"/>
    </row>
    <row r="12" spans="1:19" ht="15" customHeight="1" x14ac:dyDescent="0.25">
      <c r="A12" s="29"/>
      <c r="B12" s="76" t="s">
        <v>49</v>
      </c>
      <c r="C12" s="30"/>
      <c r="D12" s="31"/>
      <c r="E12" s="32"/>
      <c r="F12" s="32"/>
      <c r="G12" s="34">
        <f>SUM(G10:G11)</f>
        <v>60.18829594999049</v>
      </c>
      <c r="H12" s="33" t="s">
        <v>47</v>
      </c>
      <c r="I12" s="34">
        <v>64.63</v>
      </c>
      <c r="J12" s="80">
        <f>G12*I12</f>
        <v>3889.9695672478852</v>
      </c>
      <c r="K12" s="32"/>
      <c r="M12" s="36"/>
      <c r="N12" s="1"/>
      <c r="O12" s="1"/>
      <c r="P12" s="1"/>
      <c r="Q12" s="1"/>
      <c r="R12" s="36"/>
      <c r="S12" s="36"/>
    </row>
    <row r="13" spans="1:19" ht="15" customHeight="1" x14ac:dyDescent="0.25">
      <c r="A13" s="29"/>
      <c r="B13" s="76" t="s">
        <v>42</v>
      </c>
      <c r="C13" s="30"/>
      <c r="D13" s="31"/>
      <c r="E13" s="32"/>
      <c r="F13" s="32"/>
      <c r="G13" s="34"/>
      <c r="H13" s="33"/>
      <c r="I13" s="34"/>
      <c r="J13" s="80">
        <f>0.13*G12*19284/360</f>
        <v>419.13123023041715</v>
      </c>
      <c r="K13" s="32"/>
      <c r="M13" s="36"/>
      <c r="N13" s="1"/>
      <c r="O13" s="1"/>
      <c r="P13" s="1"/>
      <c r="Q13" s="1"/>
      <c r="R13" s="36"/>
      <c r="S13" s="36"/>
    </row>
    <row r="14" spans="1:19" ht="15" customHeight="1" x14ac:dyDescent="0.25">
      <c r="A14" s="29"/>
      <c r="B14" s="35"/>
      <c r="C14" s="30"/>
      <c r="D14" s="31"/>
      <c r="E14" s="32"/>
      <c r="F14" s="32"/>
      <c r="G14" s="34"/>
      <c r="H14" s="33"/>
      <c r="I14" s="34"/>
      <c r="J14" s="80"/>
      <c r="K14" s="32"/>
      <c r="M14" s="36"/>
      <c r="N14" s="1"/>
      <c r="O14" s="1"/>
      <c r="P14" s="1"/>
      <c r="Q14" s="1"/>
      <c r="R14" s="36"/>
      <c r="S14" s="36"/>
    </row>
    <row r="15" spans="1:19" ht="90" x14ac:dyDescent="0.25">
      <c r="A15" s="29">
        <v>2</v>
      </c>
      <c r="B15" s="41" t="s">
        <v>71</v>
      </c>
      <c r="C15" s="30"/>
      <c r="D15" s="31"/>
      <c r="E15" s="32"/>
      <c r="F15" s="32"/>
      <c r="G15" s="34"/>
      <c r="H15" s="33"/>
      <c r="I15" s="34"/>
      <c r="J15" s="80"/>
      <c r="K15" s="32"/>
      <c r="M15" s="36"/>
      <c r="N15" s="1"/>
      <c r="O15" s="1"/>
      <c r="P15" s="1"/>
      <c r="Q15" s="1"/>
      <c r="R15" s="36"/>
      <c r="S15" s="36"/>
    </row>
    <row r="16" spans="1:19" ht="15" customHeight="1" x14ac:dyDescent="0.25">
      <c r="A16" s="29"/>
      <c r="B16" s="76" t="str">
        <f>B11</f>
        <v>-Manhole</v>
      </c>
      <c r="C16" s="75">
        <f>C11</f>
        <v>2</v>
      </c>
      <c r="D16" s="75">
        <v>1.5</v>
      </c>
      <c r="E16" s="75">
        <v>1.5</v>
      </c>
      <c r="F16" s="77">
        <v>0.15</v>
      </c>
      <c r="G16" s="78">
        <f>C16*(PI())*(D16*E16/4)*F16</f>
        <v>0.53014376029327759</v>
      </c>
      <c r="H16" s="79"/>
      <c r="I16" s="79"/>
      <c r="J16" s="79"/>
      <c r="K16" s="32"/>
      <c r="M16" s="36"/>
      <c r="N16" s="1"/>
      <c r="O16" s="1"/>
      <c r="P16" s="1"/>
      <c r="Q16" s="1"/>
      <c r="R16" s="36"/>
      <c r="S16" s="36"/>
    </row>
    <row r="17" spans="1:19" ht="15" customHeight="1" x14ac:dyDescent="0.25">
      <c r="A17" s="79"/>
      <c r="B17" s="76" t="s">
        <v>49</v>
      </c>
      <c r="C17" s="81"/>
      <c r="D17" s="82"/>
      <c r="E17" s="82"/>
      <c r="F17" s="82"/>
      <c r="G17" s="52">
        <f>SUM(G16:G16)</f>
        <v>0.53014376029327759</v>
      </c>
      <c r="H17" s="52" t="s">
        <v>47</v>
      </c>
      <c r="I17" s="52">
        <v>4561.53</v>
      </c>
      <c r="J17" s="83">
        <f>G17*I17</f>
        <v>2418.2666668905945</v>
      </c>
      <c r="K17" s="75"/>
    </row>
    <row r="18" spans="1:19" x14ac:dyDescent="0.25">
      <c r="A18" s="79"/>
      <c r="B18" s="76" t="s">
        <v>42</v>
      </c>
      <c r="C18" s="81"/>
      <c r="D18" s="82"/>
      <c r="E18" s="82"/>
      <c r="F18" s="82"/>
      <c r="G18" s="82"/>
      <c r="H18" s="82"/>
      <c r="I18" s="82"/>
      <c r="J18" s="84">
        <f>0.13*G17*(15452.6/5)</f>
        <v>212.99458622800543</v>
      </c>
      <c r="K18" s="75"/>
    </row>
    <row r="19" spans="1:19" x14ac:dyDescent="0.25">
      <c r="A19" s="79"/>
      <c r="B19" s="76"/>
      <c r="C19" s="81"/>
      <c r="D19" s="82"/>
      <c r="E19" s="82"/>
      <c r="F19" s="82"/>
      <c r="G19" s="82"/>
      <c r="H19" s="82"/>
      <c r="I19" s="82"/>
      <c r="J19" s="84"/>
      <c r="K19" s="75"/>
    </row>
    <row r="20" spans="1:19" ht="75" x14ac:dyDescent="0.25">
      <c r="A20" s="29">
        <v>3</v>
      </c>
      <c r="B20" s="41" t="s">
        <v>54</v>
      </c>
      <c r="C20" s="30"/>
      <c r="D20" s="31"/>
      <c r="E20" s="32"/>
      <c r="F20" s="32"/>
      <c r="G20" s="34"/>
      <c r="H20" s="33"/>
      <c r="I20" s="34"/>
      <c r="J20" s="80"/>
      <c r="K20" s="32"/>
      <c r="M20" s="36"/>
      <c r="N20" s="1"/>
      <c r="O20" s="1"/>
      <c r="P20" s="1"/>
      <c r="Q20" s="1"/>
      <c r="R20" s="36"/>
      <c r="S20" s="36"/>
    </row>
    <row r="21" spans="1:19" ht="15" customHeight="1" x14ac:dyDescent="0.25">
      <c r="A21" s="29"/>
      <c r="B21" s="76" t="str">
        <f>B16</f>
        <v>-Manhole</v>
      </c>
      <c r="C21" s="75">
        <v>2</v>
      </c>
      <c r="D21" s="75">
        <v>1.5</v>
      </c>
      <c r="E21" s="75">
        <v>1.5</v>
      </c>
      <c r="F21" s="77">
        <v>7.4999999999999997E-2</v>
      </c>
      <c r="G21" s="78">
        <f>C21*(PI())*(D21*E21/4)*F21</f>
        <v>0.26507188014663879</v>
      </c>
      <c r="H21" s="79"/>
      <c r="I21" s="79"/>
      <c r="J21" s="79"/>
      <c r="K21" s="32"/>
      <c r="M21" s="36"/>
      <c r="N21" s="1"/>
      <c r="O21" s="1"/>
      <c r="P21" s="1"/>
      <c r="Q21" s="1"/>
      <c r="R21" s="36"/>
      <c r="S21" s="36"/>
    </row>
    <row r="22" spans="1:19" ht="15" customHeight="1" x14ac:dyDescent="0.25">
      <c r="A22" s="79"/>
      <c r="B22" s="76" t="s">
        <v>49</v>
      </c>
      <c r="C22" s="81"/>
      <c r="D22" s="82"/>
      <c r="E22" s="82"/>
      <c r="F22" s="82"/>
      <c r="G22" s="52">
        <f>SUM(G21:G21)</f>
        <v>0.26507188014663879</v>
      </c>
      <c r="H22" s="52" t="s">
        <v>47</v>
      </c>
      <c r="I22" s="52">
        <v>10634.5</v>
      </c>
      <c r="J22" s="83">
        <f>G22*I22</f>
        <v>2818.9069094194301</v>
      </c>
      <c r="K22" s="75"/>
    </row>
    <row r="23" spans="1:19" ht="15" customHeight="1" x14ac:dyDescent="0.25">
      <c r="A23" s="79"/>
      <c r="B23" s="76" t="s">
        <v>42</v>
      </c>
      <c r="C23" s="81"/>
      <c r="D23" s="82"/>
      <c r="E23" s="82"/>
      <c r="F23" s="82"/>
      <c r="G23" s="82"/>
      <c r="H23" s="82"/>
      <c r="I23" s="82"/>
      <c r="J23" s="84">
        <f>0.13*G22*((114907.3+6135.3)/15)</f>
        <v>278.06990951859206</v>
      </c>
      <c r="K23" s="75"/>
    </row>
    <row r="24" spans="1:19" ht="15" customHeight="1" x14ac:dyDescent="0.25">
      <c r="A24" s="79"/>
      <c r="B24" s="76"/>
      <c r="C24" s="81"/>
      <c r="D24" s="82"/>
      <c r="E24" s="82"/>
      <c r="F24" s="82"/>
      <c r="G24" s="82"/>
      <c r="H24" s="82"/>
      <c r="I24" s="82"/>
      <c r="J24" s="84"/>
      <c r="K24" s="75"/>
    </row>
    <row r="25" spans="1:19" ht="30" x14ac:dyDescent="0.25">
      <c r="A25" s="29">
        <v>5</v>
      </c>
      <c r="B25" s="41" t="s">
        <v>79</v>
      </c>
      <c r="C25" s="30"/>
      <c r="D25" s="31"/>
      <c r="E25" s="32"/>
      <c r="F25" s="32"/>
      <c r="G25" s="34"/>
      <c r="H25" s="33"/>
      <c r="I25" s="34"/>
      <c r="J25" s="80"/>
      <c r="K25" s="32"/>
      <c r="M25" s="36"/>
      <c r="N25" s="1"/>
      <c r="O25" s="1"/>
      <c r="P25" s="1"/>
      <c r="Q25" s="1"/>
      <c r="R25" s="36"/>
      <c r="S25" s="36"/>
    </row>
    <row r="26" spans="1:19" ht="30" x14ac:dyDescent="0.25">
      <c r="A26" s="29"/>
      <c r="B26" s="76" t="s">
        <v>83</v>
      </c>
      <c r="C26" s="98">
        <v>2</v>
      </c>
      <c r="D26" s="98"/>
      <c r="E26" s="98"/>
      <c r="F26" s="98"/>
      <c r="G26" s="78">
        <f>PRODUCT(C26:F26)</f>
        <v>2</v>
      </c>
      <c r="H26" s="79"/>
      <c r="I26" s="79"/>
      <c r="J26" s="79"/>
      <c r="K26" s="32"/>
      <c r="M26" s="36"/>
      <c r="N26" s="1"/>
      <c r="O26" s="1"/>
      <c r="P26" s="1"/>
      <c r="Q26" s="1"/>
      <c r="R26" s="36"/>
      <c r="S26" s="36"/>
    </row>
    <row r="27" spans="1:19" ht="15" customHeight="1" x14ac:dyDescent="0.25">
      <c r="A27" s="79"/>
      <c r="B27" s="76" t="s">
        <v>49</v>
      </c>
      <c r="C27" s="81"/>
      <c r="D27" s="82"/>
      <c r="E27" s="82"/>
      <c r="F27" s="82"/>
      <c r="G27" s="52">
        <f>SUM(G26:G26)</f>
        <v>2</v>
      </c>
      <c r="H27" s="52" t="s">
        <v>81</v>
      </c>
      <c r="I27" s="52">
        <v>7063</v>
      </c>
      <c r="J27" s="83">
        <f>G27*I27</f>
        <v>14126</v>
      </c>
      <c r="K27" s="75"/>
    </row>
    <row r="28" spans="1:19" ht="15" customHeight="1" x14ac:dyDescent="0.25">
      <c r="A28" s="79"/>
      <c r="B28" s="76" t="s">
        <v>42</v>
      </c>
      <c r="C28" s="81"/>
      <c r="D28" s="82"/>
      <c r="E28" s="82"/>
      <c r="F28" s="82"/>
      <c r="G28" s="82"/>
      <c r="H28" s="82"/>
      <c r="I28" s="82"/>
      <c r="J28" s="84">
        <f>0.13*J27</f>
        <v>1836.38</v>
      </c>
      <c r="K28" s="75"/>
    </row>
    <row r="29" spans="1:19" ht="15" customHeight="1" x14ac:dyDescent="0.25">
      <c r="A29" s="79"/>
      <c r="B29" s="76"/>
      <c r="C29" s="81"/>
      <c r="D29" s="82"/>
      <c r="E29" s="82"/>
      <c r="F29" s="82"/>
      <c r="G29" s="82"/>
      <c r="H29" s="82"/>
      <c r="I29" s="82"/>
      <c r="J29" s="84"/>
      <c r="K29" s="75"/>
    </row>
    <row r="30" spans="1:19" ht="30.75" x14ac:dyDescent="0.25">
      <c r="A30" s="29">
        <v>6</v>
      </c>
      <c r="B30" s="73" t="s">
        <v>75</v>
      </c>
      <c r="C30" s="30"/>
      <c r="D30" s="31"/>
      <c r="E30" s="32"/>
      <c r="F30" s="32"/>
      <c r="G30" s="34"/>
      <c r="H30" s="33"/>
      <c r="I30" s="34"/>
      <c r="J30" s="80"/>
      <c r="K30" s="32"/>
      <c r="M30" s="36"/>
      <c r="N30" s="1"/>
      <c r="O30" s="1"/>
      <c r="P30" s="1"/>
      <c r="Q30" s="1"/>
      <c r="R30" s="36"/>
      <c r="S30" s="36"/>
    </row>
    <row r="31" spans="1:19" ht="15" customHeight="1" x14ac:dyDescent="0.25">
      <c r="A31" s="29"/>
      <c r="B31" s="76" t="str">
        <f>B26</f>
        <v>-Rounded manhole cover medium duty 500mm (24")</v>
      </c>
      <c r="C31" s="98">
        <v>2</v>
      </c>
      <c r="D31" s="99">
        <f>((1.5-0.23)+((24/12/3.281)-0.23))/2</f>
        <v>0.82478512648582747</v>
      </c>
      <c r="E31" s="98">
        <v>0.23</v>
      </c>
      <c r="F31" s="98">
        <v>1.5</v>
      </c>
      <c r="G31" s="78">
        <f>C31*(PI())*(D31)*E31*F31</f>
        <v>1.7878858369690229</v>
      </c>
      <c r="H31" s="79"/>
      <c r="I31" s="79"/>
      <c r="J31" s="79"/>
      <c r="K31" s="32"/>
      <c r="M31" s="36"/>
      <c r="N31" s="1"/>
      <c r="O31" s="1"/>
      <c r="P31" s="1"/>
      <c r="Q31" s="1"/>
      <c r="R31" s="36"/>
      <c r="S31" s="36"/>
    </row>
    <row r="32" spans="1:19" ht="15" customHeight="1" x14ac:dyDescent="0.25">
      <c r="A32" s="29"/>
      <c r="B32" s="76" t="s">
        <v>69</v>
      </c>
      <c r="C32" s="98">
        <f>-2*2-1</f>
        <v>-5</v>
      </c>
      <c r="D32" s="98">
        <v>0.6</v>
      </c>
      <c r="E32" s="98">
        <v>0.23</v>
      </c>
      <c r="F32" s="98">
        <v>0.6</v>
      </c>
      <c r="G32" s="78">
        <f>C32*(PI())*(D32*F32/4)*E32</f>
        <v>-0.32515483964654363</v>
      </c>
      <c r="H32" s="79"/>
      <c r="I32" s="79"/>
      <c r="J32" s="79"/>
      <c r="K32" s="32"/>
      <c r="M32" s="36"/>
      <c r="N32" s="1">
        <f>(1.5-0.23+0.6-0.23)/2</f>
        <v>0.82000000000000006</v>
      </c>
      <c r="O32" s="1">
        <f>22/12/3.281</f>
        <v>0.55877273189068366</v>
      </c>
      <c r="P32" s="1"/>
      <c r="Q32" s="1"/>
      <c r="R32" s="36"/>
      <c r="S32" s="36"/>
    </row>
    <row r="33" spans="1:19" ht="15" customHeight="1" x14ac:dyDescent="0.25">
      <c r="A33" s="79"/>
      <c r="B33" s="76" t="s">
        <v>49</v>
      </c>
      <c r="C33" s="81"/>
      <c r="D33" s="82"/>
      <c r="E33" s="82"/>
      <c r="F33" s="82"/>
      <c r="G33" s="52">
        <f>SUM(G31:G32)</f>
        <v>1.4627309973224794</v>
      </c>
      <c r="H33" s="52" t="s">
        <v>47</v>
      </c>
      <c r="I33" s="52">
        <v>14362.76</v>
      </c>
      <c r="J33" s="83">
        <f>G33*I33</f>
        <v>21008.854259103413</v>
      </c>
      <c r="K33" s="75"/>
      <c r="N33">
        <f>1.667/3.281</f>
        <v>0.50807680585187442</v>
      </c>
      <c r="O33">
        <f>2.17/3.281</f>
        <v>0.66138372447424565</v>
      </c>
      <c r="P33">
        <f>(N33+O33)/2</f>
        <v>0.58473026516306004</v>
      </c>
    </row>
    <row r="34" spans="1:19" ht="15" customHeight="1" x14ac:dyDescent="0.25">
      <c r="A34" s="79"/>
      <c r="B34" s="76" t="s">
        <v>42</v>
      </c>
      <c r="C34" s="81"/>
      <c r="D34" s="82"/>
      <c r="E34" s="82"/>
      <c r="F34" s="82"/>
      <c r="G34" s="82"/>
      <c r="H34" s="82"/>
      <c r="I34" s="82"/>
      <c r="J34" s="84">
        <f>0.13*G33*10311.74</f>
        <v>1960.8292254629134</v>
      </c>
      <c r="K34" s="75"/>
    </row>
    <row r="35" spans="1:19" ht="15" customHeight="1" x14ac:dyDescent="0.25">
      <c r="A35" s="79"/>
      <c r="B35" s="76"/>
      <c r="C35" s="81"/>
      <c r="D35" s="82"/>
      <c r="E35" s="82"/>
      <c r="F35" s="82"/>
      <c r="G35" s="82"/>
      <c r="H35" s="82"/>
      <c r="I35" s="82"/>
      <c r="J35" s="84"/>
      <c r="K35" s="75"/>
    </row>
    <row r="36" spans="1:19" ht="105" x14ac:dyDescent="0.25">
      <c r="A36" s="29">
        <v>7</v>
      </c>
      <c r="B36" s="41" t="s">
        <v>70</v>
      </c>
      <c r="C36" s="75"/>
      <c r="D36" s="77"/>
      <c r="E36" s="77"/>
      <c r="F36" s="77"/>
      <c r="G36" s="80"/>
      <c r="H36" s="79"/>
      <c r="I36" s="79"/>
      <c r="J36" s="79"/>
      <c r="K36" s="32"/>
      <c r="M36" s="36"/>
      <c r="N36" s="1"/>
      <c r="O36" s="1"/>
      <c r="P36" s="1"/>
      <c r="Q36" s="1"/>
      <c r="R36" s="36"/>
      <c r="S36" s="36"/>
    </row>
    <row r="37" spans="1:19" ht="15" customHeight="1" x14ac:dyDescent="0.25">
      <c r="A37" s="29"/>
      <c r="B37" s="76" t="s">
        <v>67</v>
      </c>
      <c r="C37" s="75">
        <f>(45+17.5)/2.5+1</f>
        <v>26</v>
      </c>
      <c r="D37" s="77">
        <v>2.5</v>
      </c>
      <c r="E37" s="77"/>
      <c r="F37" s="77"/>
      <c r="G37" s="78">
        <f>PRODUCT(C37:F37)</f>
        <v>65</v>
      </c>
      <c r="H37" s="79"/>
      <c r="I37" s="79"/>
      <c r="J37" s="79"/>
      <c r="K37" s="32"/>
      <c r="M37" s="36"/>
      <c r="N37" s="1">
        <f>44/2.5</f>
        <v>17.600000000000001</v>
      </c>
      <c r="O37" s="1">
        <f>45/2.5</f>
        <v>18</v>
      </c>
      <c r="P37" s="1">
        <f>45+12.5</f>
        <v>57.5</v>
      </c>
      <c r="Q37" s="1"/>
      <c r="R37" s="36"/>
      <c r="S37" s="36"/>
    </row>
    <row r="38" spans="1:19" ht="15" customHeight="1" x14ac:dyDescent="0.25">
      <c r="A38" s="29"/>
      <c r="B38" s="76" t="s">
        <v>49</v>
      </c>
      <c r="C38" s="75"/>
      <c r="D38" s="77"/>
      <c r="E38" s="77"/>
      <c r="F38" s="77"/>
      <c r="G38" s="58">
        <f>SUM(G37:G37)</f>
        <v>65</v>
      </c>
      <c r="H38" s="79" t="s">
        <v>43</v>
      </c>
      <c r="I38" s="79">
        <v>6932.79</v>
      </c>
      <c r="J38" s="79">
        <f>G38*I38</f>
        <v>450631.35</v>
      </c>
      <c r="K38" s="32"/>
      <c r="M38" s="36"/>
      <c r="N38" s="1"/>
      <c r="O38" s="1"/>
      <c r="P38" s="1">
        <f>P37/2.5</f>
        <v>23</v>
      </c>
      <c r="Q38" s="1"/>
      <c r="R38" s="36"/>
      <c r="S38" s="36"/>
    </row>
    <row r="39" spans="1:19" ht="15" customHeight="1" x14ac:dyDescent="0.25">
      <c r="A39" s="29"/>
      <c r="B39" s="76" t="s">
        <v>42</v>
      </c>
      <c r="C39" s="75"/>
      <c r="D39" s="77"/>
      <c r="E39" s="77"/>
      <c r="F39" s="77"/>
      <c r="G39" s="80"/>
      <c r="H39" s="79"/>
      <c r="I39" s="79"/>
      <c r="J39" s="79">
        <f>0.13*G38*((78764.9)/12.5)</f>
        <v>53245.072399999997</v>
      </c>
      <c r="K39" s="32"/>
      <c r="M39" s="36"/>
      <c r="N39" s="1"/>
      <c r="O39" s="1"/>
      <c r="P39" s="1"/>
      <c r="Q39" s="1"/>
      <c r="R39" s="36"/>
      <c r="S39" s="36"/>
    </row>
    <row r="40" spans="1:19" ht="15" customHeight="1" x14ac:dyDescent="0.25">
      <c r="A40" s="29"/>
      <c r="B40" s="76"/>
      <c r="C40" s="75"/>
      <c r="D40" s="77"/>
      <c r="E40" s="77"/>
      <c r="F40" s="77"/>
      <c r="G40" s="80"/>
      <c r="H40" s="79"/>
      <c r="I40" s="79"/>
      <c r="J40" s="79"/>
      <c r="K40" s="32"/>
      <c r="M40" s="36"/>
      <c r="N40" s="1"/>
      <c r="O40" s="1"/>
      <c r="P40" s="1"/>
      <c r="Q40" s="1"/>
      <c r="R40" s="36"/>
      <c r="S40" s="36"/>
    </row>
    <row r="41" spans="1:19" ht="30" x14ac:dyDescent="0.25">
      <c r="A41" s="29">
        <v>8</v>
      </c>
      <c r="B41" s="106" t="s">
        <v>85</v>
      </c>
      <c r="C41" s="75">
        <v>1</v>
      </c>
      <c r="D41" s="77"/>
      <c r="E41" s="77"/>
      <c r="F41" s="77"/>
      <c r="G41" s="78">
        <f>PRODUCT(C41:F41)</f>
        <v>1</v>
      </c>
      <c r="H41" s="79" t="s">
        <v>86</v>
      </c>
      <c r="I41" s="34">
        <v>5000</v>
      </c>
      <c r="J41" s="58">
        <f>G41*I41</f>
        <v>5000</v>
      </c>
      <c r="K41" s="32"/>
      <c r="M41" s="36"/>
      <c r="N41" s="1"/>
      <c r="O41" s="1"/>
      <c r="P41" s="1"/>
      <c r="Q41" s="1"/>
      <c r="R41" s="36"/>
      <c r="S41" s="36"/>
    </row>
    <row r="42" spans="1:19" ht="15" customHeight="1" x14ac:dyDescent="0.25">
      <c r="A42" s="29"/>
      <c r="B42" s="76"/>
      <c r="C42" s="75"/>
      <c r="D42" s="77"/>
      <c r="E42" s="77"/>
      <c r="F42" s="77"/>
      <c r="G42" s="80"/>
      <c r="H42" s="79"/>
      <c r="I42" s="79"/>
      <c r="J42" s="79"/>
      <c r="K42" s="32"/>
      <c r="M42" s="36"/>
      <c r="N42" s="1"/>
      <c r="O42" s="1"/>
      <c r="P42" s="1"/>
      <c r="Q42" s="1"/>
      <c r="R42" s="36"/>
      <c r="S42" s="36"/>
    </row>
    <row r="43" spans="1:19" ht="15" customHeight="1" x14ac:dyDescent="0.25">
      <c r="A43" s="29">
        <v>9</v>
      </c>
      <c r="B43" s="41" t="s">
        <v>33</v>
      </c>
      <c r="C43" s="30">
        <v>1</v>
      </c>
      <c r="D43" s="31"/>
      <c r="E43" s="32"/>
      <c r="F43" s="32"/>
      <c r="G43" s="58">
        <f t="shared" ref="G43" si="0">PRODUCT(C43:F43)</f>
        <v>1</v>
      </c>
      <c r="H43" s="33" t="s">
        <v>34</v>
      </c>
      <c r="I43" s="34">
        <v>1000</v>
      </c>
      <c r="J43" s="58">
        <f>G43*I43</f>
        <v>1000</v>
      </c>
      <c r="K43" s="32"/>
      <c r="M43" s="36"/>
      <c r="N43" s="1"/>
      <c r="O43" s="1"/>
      <c r="P43" s="1"/>
      <c r="Q43" s="1"/>
      <c r="R43" s="36"/>
      <c r="S43" s="36"/>
    </row>
    <row r="44" spans="1:19" ht="15" customHeight="1" x14ac:dyDescent="0.25">
      <c r="A44" s="29"/>
      <c r="B44" s="35"/>
      <c r="C44" s="30"/>
      <c r="D44" s="31"/>
      <c r="E44" s="32"/>
      <c r="F44" s="32"/>
      <c r="G44" s="34"/>
      <c r="H44" s="33"/>
      <c r="I44" s="34"/>
      <c r="J44" s="80"/>
      <c r="K44" s="32"/>
      <c r="M44" s="36"/>
      <c r="N44" s="1"/>
      <c r="O44" s="1"/>
      <c r="P44" s="1"/>
      <c r="Q44" s="1"/>
      <c r="R44" s="36"/>
      <c r="S44" s="36"/>
    </row>
    <row r="45" spans="1:19" x14ac:dyDescent="0.25">
      <c r="A45" s="79"/>
      <c r="B45" s="86" t="s">
        <v>17</v>
      </c>
      <c r="C45" s="87"/>
      <c r="D45" s="77"/>
      <c r="E45" s="77"/>
      <c r="F45" s="77"/>
      <c r="G45" s="80"/>
      <c r="H45" s="80"/>
      <c r="I45" s="80"/>
      <c r="J45" s="80">
        <f>SUM(J10:J43)</f>
        <v>558845.82475410122</v>
      </c>
      <c r="K45" s="75"/>
    </row>
    <row r="46" spans="1:19" x14ac:dyDescent="0.25">
      <c r="A46" s="101"/>
      <c r="B46" s="104"/>
      <c r="C46" s="105"/>
      <c r="D46" s="102"/>
      <c r="E46" s="102"/>
      <c r="F46" s="102"/>
      <c r="G46" s="103"/>
      <c r="H46" s="103"/>
      <c r="I46" s="103"/>
      <c r="J46" s="103"/>
      <c r="K46" s="97"/>
    </row>
    <row r="47" spans="1:19" s="1" customFormat="1" x14ac:dyDescent="0.25">
      <c r="A47" s="90"/>
      <c r="B47" s="40" t="s">
        <v>27</v>
      </c>
      <c r="C47" s="135">
        <f>J45</f>
        <v>558845.82475410122</v>
      </c>
      <c r="D47" s="135"/>
      <c r="E47" s="78">
        <v>100</v>
      </c>
      <c r="F47" s="91"/>
      <c r="G47" s="92"/>
      <c r="H47" s="91"/>
      <c r="I47" s="93"/>
      <c r="J47" s="94"/>
      <c r="K47" s="95"/>
    </row>
    <row r="48" spans="1:19" x14ac:dyDescent="0.25">
      <c r="A48" s="96"/>
      <c r="B48" s="40" t="s">
        <v>35</v>
      </c>
      <c r="C48" s="136">
        <v>500000</v>
      </c>
      <c r="D48" s="136"/>
      <c r="E48" s="78"/>
      <c r="F48" s="89"/>
      <c r="G48" s="88"/>
      <c r="H48" s="88"/>
      <c r="I48" s="88"/>
      <c r="J48" s="88"/>
      <c r="K48" s="89"/>
    </row>
    <row r="49" spans="1:11" x14ac:dyDescent="0.25">
      <c r="A49" s="96"/>
      <c r="B49" s="40" t="s">
        <v>36</v>
      </c>
      <c r="C49" s="136">
        <f>C48-C51-C52</f>
        <v>475000</v>
      </c>
      <c r="D49" s="136"/>
      <c r="E49" s="78">
        <f>C49/C47*100</f>
        <v>84.996608896381332</v>
      </c>
      <c r="F49" s="89"/>
      <c r="G49" s="88"/>
      <c r="H49" s="88"/>
      <c r="I49" s="88"/>
      <c r="J49" s="88"/>
      <c r="K49" s="89"/>
    </row>
    <row r="50" spans="1:11" x14ac:dyDescent="0.25">
      <c r="A50" s="96"/>
      <c r="B50" s="40" t="s">
        <v>37</v>
      </c>
      <c r="C50" s="135">
        <f>C47-C49</f>
        <v>83845.824754101224</v>
      </c>
      <c r="D50" s="135"/>
      <c r="E50" s="78">
        <f>100-E49</f>
        <v>15.003391103618668</v>
      </c>
      <c r="F50" s="89"/>
      <c r="G50" s="88"/>
      <c r="H50" s="88"/>
      <c r="I50" s="88"/>
      <c r="J50" s="88"/>
      <c r="K50" s="89"/>
    </row>
    <row r="51" spans="1:11" x14ac:dyDescent="0.25">
      <c r="A51" s="96"/>
      <c r="B51" s="40" t="s">
        <v>38</v>
      </c>
      <c r="C51" s="135">
        <f>C48*0.03</f>
        <v>15000</v>
      </c>
      <c r="D51" s="135"/>
      <c r="E51" s="78">
        <v>3</v>
      </c>
      <c r="F51" s="89"/>
      <c r="G51" s="88"/>
      <c r="H51" s="88"/>
      <c r="I51" s="88"/>
      <c r="J51" s="88"/>
      <c r="K51" s="89"/>
    </row>
    <row r="52" spans="1:11" x14ac:dyDescent="0.25">
      <c r="A52" s="96"/>
      <c r="B52" s="40" t="s">
        <v>39</v>
      </c>
      <c r="C52" s="135">
        <f>C48*0.02</f>
        <v>10000</v>
      </c>
      <c r="D52" s="135"/>
      <c r="E52" s="78">
        <v>2</v>
      </c>
      <c r="F52" s="89"/>
      <c r="G52" s="88"/>
      <c r="H52" s="88"/>
      <c r="I52" s="88"/>
      <c r="J52" s="88"/>
      <c r="K52" s="89"/>
    </row>
    <row r="53" spans="1:11" s="74" customFormat="1" x14ac:dyDescent="0.25">
      <c r="A53" s="97"/>
      <c r="B53" s="97"/>
      <c r="C53" s="97"/>
      <c r="D53" s="97"/>
      <c r="E53" s="97"/>
      <c r="F53" s="97"/>
      <c r="G53" s="97"/>
      <c r="H53" s="97"/>
      <c r="I53" s="97"/>
      <c r="J53" s="97"/>
      <c r="K53" s="97"/>
    </row>
    <row r="54" spans="1:11" s="74" customFormat="1" x14ac:dyDescent="0.25"/>
    <row r="55" spans="1:11" s="74" customFormat="1" x14ac:dyDescent="0.25"/>
    <row r="56" spans="1:11" s="74" customFormat="1" x14ac:dyDescent="0.25"/>
    <row r="57" spans="1:11" s="74" customFormat="1" x14ac:dyDescent="0.25"/>
    <row r="58" spans="1:11" s="74" customFormat="1" x14ac:dyDescent="0.25"/>
    <row r="59" spans="1:11" s="74" customFormat="1" x14ac:dyDescent="0.25"/>
    <row r="60" spans="1:11" s="74" customFormat="1" x14ac:dyDescent="0.25"/>
    <row r="61" spans="1:11" s="74" customFormat="1" x14ac:dyDescent="0.25"/>
    <row r="62" spans="1:11" s="74" customFormat="1" x14ac:dyDescent="0.25"/>
    <row r="63" spans="1:11" s="74" customFormat="1" x14ac:dyDescent="0.25"/>
    <row r="64" spans="1:11"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row r="98" s="74" customFormat="1" x14ac:dyDescent="0.25"/>
    <row r="99" s="74" customFormat="1" x14ac:dyDescent="0.25"/>
    <row r="100" s="74" customFormat="1" x14ac:dyDescent="0.25"/>
    <row r="101" s="74" customFormat="1" x14ac:dyDescent="0.25"/>
    <row r="102" s="74" customFormat="1" x14ac:dyDescent="0.25"/>
    <row r="103" s="74" customFormat="1" x14ac:dyDescent="0.25"/>
    <row r="104" s="74" customFormat="1" x14ac:dyDescent="0.25"/>
    <row r="105" s="74" customFormat="1" x14ac:dyDescent="0.25"/>
    <row r="106" s="74" customFormat="1" x14ac:dyDescent="0.25"/>
    <row r="107" s="74" customFormat="1" x14ac:dyDescent="0.25"/>
    <row r="108" s="74" customFormat="1" x14ac:dyDescent="0.25"/>
    <row r="109" s="74"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Estimate</vt:lpstr>
      <vt:lpstr>final</vt:lpstr>
      <vt:lpstr>ग्रावेल</vt:lpstr>
      <vt:lpstr>WCR</vt:lpstr>
      <vt:lpstr>V</vt:lpstr>
      <vt:lpstr>M</vt:lpstr>
      <vt:lpstr>Sheet4</vt:lpstr>
      <vt:lpstr>with dhalaan</vt:lpstr>
      <vt:lpstr>Sheet4 (2)</vt:lpstr>
      <vt:lpstr>Estimate!Print_Area</vt:lpstr>
      <vt:lpstr>final!Print_Area</vt:lpstr>
      <vt:lpstr>M!Print_Area</vt:lpstr>
      <vt:lpstr>'Sheet4 (2)'!Print_Area</vt:lpstr>
      <vt:lpstr>V!Print_Area</vt:lpstr>
      <vt:lpstr>ग्रावेल!Print_Area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2025-03-12T08:55:28Z</cp:lastPrinted>
  <dcterms:created xsi:type="dcterms:W3CDTF">2015-06-05T18:17:20Z</dcterms:created>
  <dcterms:modified xsi:type="dcterms:W3CDTF">2025-06-10T08:07:35Z</dcterms:modified>
</cp:coreProperties>
</file>