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परोपकार भवन मर्मत\"/>
    </mc:Choice>
  </mc:AlternateContent>
  <bookViews>
    <workbookView xWindow="-120" yWindow="-120" windowWidth="20736" windowHeight="11160" activeTab="5"/>
  </bookViews>
  <sheets>
    <sheet name="WCR" sheetId="6" r:id="rId1"/>
    <sheet name="Sheet4 (2)" sheetId="17" r:id="rId2"/>
    <sheet name="rate analysis" sheetId="18" r:id="rId3"/>
    <sheet name="upvc" sheetId="20" r:id="rId4"/>
    <sheet name="upvc (2)" sheetId="21" r:id="rId5"/>
    <sheet name="backyard" sheetId="22" r:id="rId6"/>
  </sheets>
  <externalReferences>
    <externalReference r:id="rId7"/>
    <externalReference r:id="rId8"/>
    <externalReference r:id="rId9"/>
    <externalReference r:id="rId10"/>
    <externalReference r:id="rId11"/>
    <externalReference r:id="rId12"/>
    <externalReference r:id="rId13"/>
  </externalReferences>
  <definedNames>
    <definedName name="_cgi24">'[1]update Rate'!$N$95</definedName>
    <definedName name="_cgi26">'[1]update Rate'!$N$97</definedName>
    <definedName name="adopted_rate_diesel">'[2]Material rate'!$L$33</definedName>
    <definedName name="awood">'[1]update Rate'!$N$53</definedName>
    <definedName name="bmarble" localSheetId="5">'[1]update Rate'!#REF!</definedName>
    <definedName name="bmarble" localSheetId="2">'[1]update Rate'!#REF!</definedName>
    <definedName name="bmarble" localSheetId="3">'[1]update Rate'!#REF!</definedName>
    <definedName name="bmarble" localSheetId="4">'[1]update Rate'!#REF!</definedName>
    <definedName name="bmarble">'[1]update Rate'!#REF!</definedName>
    <definedName name="cheskini100">'[1]update Rate'!$N$64</definedName>
    <definedName name="cheskini150">'[1]update Rate'!$N$65</definedName>
    <definedName name="cheskini300">'[1]update Rate'!$N$66</definedName>
    <definedName name="description_103">[3]Abstract!$B$16</definedName>
    <definedName name="description_124" localSheetId="5">#REF!</definedName>
    <definedName name="description_124" localSheetId="1">#REF!</definedName>
    <definedName name="description_124" localSheetId="3">#REF!</definedName>
    <definedName name="description_124" localSheetId="4">#REF!</definedName>
    <definedName name="description_124">#REF!</definedName>
    <definedName name="description_247">[3]Abstract!$B$22</definedName>
    <definedName name="description_248">[3]Abstract!$B$23</definedName>
    <definedName name="description_261">[4]Abstract!$B$33</definedName>
    <definedName name="description_262">[3]Abstract!$B$34</definedName>
    <definedName name="description_3">[3]Abstract!$B$169</definedName>
    <definedName name="description_310">[5]Abstract!$B$60</definedName>
    <definedName name="description_312">[6]Abstract!$B$61</definedName>
    <definedName name="description_5">[3]Abstract!$B$171</definedName>
    <definedName name="description_6">[5]Abstract!$B$172</definedName>
    <definedName name="description_759">[3]Abstract!$B$278</definedName>
    <definedName name="description_783">[3]Abstract!$B$301</definedName>
    <definedName name="Diagowar">'[1]update Rate'!$N$189</definedName>
    <definedName name="diesel">'[2]Material rate'!$D$33</definedName>
    <definedName name="electricity">'[2]Material rate'!$D$36</definedName>
    <definedName name="giwar">'[1]update Rate'!$N$188</definedName>
    <definedName name="giwire">'[1]update Rate'!$N$49</definedName>
    <definedName name="giwire24">'[1]update Rate'!$N$50</definedName>
    <definedName name="glass4">'[1]update Rate'!$N$88</definedName>
    <definedName name="glass5">'[1]update Rate'!$N$89</definedName>
    <definedName name="holpass">'[1]update Rate'!$N$61</definedName>
    <definedName name="Jparling">'[1]update Rate'!$N$93</definedName>
    <definedName name="jphalak">'[1]update Rate'!$N$57</definedName>
    <definedName name="Jwarling">'[1]update Rate'!$N$94</definedName>
    <definedName name="Jwood">'[1]update Rate'!$N$55</definedName>
    <definedName name="jyami" localSheetId="5">'[1]update Rate'!#REF!,'[1]update Rate'!#REF!,'[1]update Rate'!#REF!,'[1]update Rate'!#REF!,'[1]update Rate'!#REF!</definedName>
    <definedName name="jyami" localSheetId="2">'[1]update Rate'!#REF!,'[1]update Rate'!#REF!,'[1]update Rate'!#REF!,'[1]update Rate'!#REF!,'[1]update Rate'!#REF!</definedName>
    <definedName name="jyami" localSheetId="3">'[1]update Rate'!#REF!,'[1]update Rate'!#REF!,'[1]update Rate'!#REF!,'[1]update Rate'!#REF!,'[1]update Rate'!#REF!</definedName>
    <definedName name="jyami" localSheetId="4">'[1]update Rate'!#REF!,'[1]update Rate'!#REF!,'[1]update Rate'!#REF!,'[1]update Rate'!#REF!,'[1]update Rate'!#REF!</definedName>
    <definedName name="jyami">'[1]update Rate'!#REF!,'[1]update Rate'!#REF!,'[1]update Rate'!#REF!,'[1]update Rate'!#REF!,'[1]update Rate'!#REF!</definedName>
    <definedName name="Kabja100">'[1]update Rate'!$N$62</definedName>
    <definedName name="kabja75">'[1]update Rate'!$N$63</definedName>
    <definedName name="kila">'[1]update Rate'!$N$58</definedName>
    <definedName name="Labour" localSheetId="5">'[1]Update Descrip'!$F$7,'[1]Update Descrip'!#REF!,'[1]Update Descrip'!$F$28,'[1]Update Descrip'!$F$40,'[1]Update Descrip'!$F$49,'[1]Update Descrip'!$F$61,'[1]Update Descrip'!#REF!,'[1]Update Descrip'!$F$117,'[1]Update Descrip'!$F$129,'[1]Update Descrip'!$F$141</definedName>
    <definedName name="Labour" localSheetId="2">'[1]Update Descrip'!$F$7,'[1]Update Descrip'!#REF!,'[1]Update Descrip'!$F$28,'[1]Update Descrip'!$F$40,'[1]Update Descrip'!$F$49,'[1]Update Descrip'!$F$61,'[1]Update Descrip'!#REF!,'[1]Update Descrip'!$F$117,'[1]Update Descrip'!$F$129,'[1]Update Descrip'!$F$141</definedName>
    <definedName name="Labour" localSheetId="3">'[1]Update Descrip'!$F$7,'[1]Update Descrip'!#REF!,'[1]Update Descrip'!$F$28,'[1]Update Descrip'!$F$40,'[1]Update Descrip'!$F$49,'[1]Update Descrip'!$F$61,'[1]Update Descrip'!#REF!,'[1]Update Descrip'!$F$117,'[1]Update Descrip'!$F$129,'[1]Update Descrip'!$F$141</definedName>
    <definedName name="Labour" localSheetId="4">'[1]Update Descrip'!$F$7,'[1]Update Descrip'!#REF!,'[1]Update Descrip'!$F$28,'[1]Update Descrip'!$F$40,'[1]Update Descrip'!$F$49,'[1]Update Descrip'!$F$61,'[1]Update Descrip'!#REF!,'[1]Update Descrip'!$F$117,'[1]Update Descrip'!$F$129,'[1]Update Descrip'!$F$141</definedName>
    <definedName name="Labour">'[1]Update Descrip'!$F$7,'[1]Update Descrip'!#REF!,'[1]Update Descrip'!$F$28,'[1]Update Descrip'!$F$40,'[1]Update Descrip'!$F$49,'[1]Update Descrip'!$F$61,'[1]Update Descrip'!#REF!,'[1]Update Descrip'!$F$117,'[1]Update Descrip'!$F$129,'[1]Update Descrip'!$F$141</definedName>
    <definedName name="lucking300">'[1]update Rate'!$N$67</definedName>
    <definedName name="Marble">'[1]update Rate'!$N$41</definedName>
    <definedName name="mason">'[1]update Rate'!$N$6</definedName>
    <definedName name="moluck">'[1]update Rate'!$N$68</definedName>
    <definedName name="nutbolt" localSheetId="5">'[1]update Rate'!#REF!</definedName>
    <definedName name="nutbolt" localSheetId="2">'[1]update Rate'!#REF!</definedName>
    <definedName name="nutbolt" localSheetId="3">'[1]update Rate'!#REF!</definedName>
    <definedName name="nutbolt" localSheetId="4">'[1]update Rate'!#REF!</definedName>
    <definedName name="nutbolt">'[1]update Rate'!#REF!</definedName>
    <definedName name="nutbolt8" localSheetId="5">'[1]update Rate'!#REF!</definedName>
    <definedName name="nutbolt8" localSheetId="2">'[1]update Rate'!#REF!</definedName>
    <definedName name="nutbolt8" localSheetId="3">'[1]update Rate'!#REF!</definedName>
    <definedName name="nutbolt8" localSheetId="4">'[1]update Rate'!#REF!</definedName>
    <definedName name="nutbolt8">'[1]update Rate'!#REF!</definedName>
    <definedName name="pkila">'[1]update Rate'!$N$60</definedName>
    <definedName name="Planst" localSheetId="5">'[1]update Rate'!#REF!</definedName>
    <definedName name="Planst" localSheetId="2">'[1]update Rate'!#REF!</definedName>
    <definedName name="Planst" localSheetId="3">'[1]update Rate'!#REF!</definedName>
    <definedName name="Planst" localSheetId="4">'[1]update Rate'!#REF!</definedName>
    <definedName name="Planst">'[1]update Rate'!#REF!</definedName>
    <definedName name="plywood4">'[1]update Rate'!$N$69</definedName>
    <definedName name="plywood6">'[1]update Rate'!$N$71</definedName>
    <definedName name="_xlnm.Print_Area" localSheetId="5">backyard!$A$1:$K$154</definedName>
    <definedName name="_xlnm.Print_Area" localSheetId="1">'Sheet4 (2)'!$A$1:$K$114</definedName>
    <definedName name="_xlnm.Print_Area" localSheetId="3">upvc!$A$1:$K$150</definedName>
    <definedName name="_xlnm.Print_Area" localSheetId="4">'upvc (2)'!$A$1:$K$151</definedName>
    <definedName name="_xlnm.Print_Titles" localSheetId="5">backyard!$1:$8</definedName>
    <definedName name="_xlnm.Print_Titles" localSheetId="1">'Sheet4 (2)'!$1:$8</definedName>
    <definedName name="_xlnm.Print_Titles" localSheetId="3">upvc!$1:$8</definedName>
    <definedName name="_xlnm.Print_Titles" localSheetId="4">'upvc (2)'!$1:$8</definedName>
    <definedName name="_xlnm.Print_Titles" localSheetId="0">WCR!$1:$12</definedName>
    <definedName name="shandle">'[1]update Rate'!$N$92</definedName>
    <definedName name="skilled">'[2]Material rate'!$D$146</definedName>
    <definedName name="Swood">'[1]update Rate'!$N$56</definedName>
    <definedName name="Tikply4">'[1]update Rate'!$N$83</definedName>
    <definedName name="tikwood4" localSheetId="5">'[1]update Rate'!#REF!</definedName>
    <definedName name="tikwood4" localSheetId="2">'[1]update Rate'!#REF!</definedName>
    <definedName name="tikwood4" localSheetId="3">'[1]update Rate'!#REF!</definedName>
    <definedName name="tikwood4" localSheetId="4">'[1]update Rate'!#REF!</definedName>
    <definedName name="tikwood4">'[1]update Rate'!#REF!</definedName>
    <definedName name="torsteel" localSheetId="5">'[1]update Rate'!#REF!</definedName>
    <definedName name="torsteel" localSheetId="2">'[1]update Rate'!#REF!</definedName>
    <definedName name="torsteel" localSheetId="3">'[1]update Rate'!#REF!</definedName>
    <definedName name="torsteel" localSheetId="4">'[1]update Rate'!#REF!</definedName>
    <definedName name="torsteel">'[1]update Rate'!#REF!</definedName>
    <definedName name="Ttile">'[1]update Rate'!$N$43</definedName>
    <definedName name="unskilled">'[2]Material rate'!$D$154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3" i="22" l="1"/>
  <c r="G126" i="22"/>
  <c r="G125" i="22"/>
  <c r="D125" i="22"/>
  <c r="F96" i="22"/>
  <c r="G96" i="22" s="1"/>
  <c r="F95" i="22" l="1"/>
  <c r="G95" i="22" s="1"/>
  <c r="D95" i="22"/>
  <c r="B95" i="22"/>
  <c r="B125" i="22" s="1"/>
  <c r="F92" i="22"/>
  <c r="G92" i="22" s="1"/>
  <c r="D92" i="22"/>
  <c r="C154" i="22"/>
  <c r="C153" i="22"/>
  <c r="C151" i="22"/>
  <c r="G145" i="22"/>
  <c r="J145" i="22" s="1"/>
  <c r="G143" i="22"/>
  <c r="J143" i="22" s="1"/>
  <c r="E140" i="22"/>
  <c r="G140" i="22" s="1"/>
  <c r="D140" i="22"/>
  <c r="B140" i="22"/>
  <c r="I135" i="22"/>
  <c r="G134" i="22"/>
  <c r="E134" i="22"/>
  <c r="G133" i="22"/>
  <c r="E133" i="22"/>
  <c r="E132" i="22"/>
  <c r="D132" i="22"/>
  <c r="G132" i="22" s="1"/>
  <c r="F131" i="22"/>
  <c r="G131" i="22" s="1"/>
  <c r="F130" i="22"/>
  <c r="G130" i="22" s="1"/>
  <c r="G135" i="22" s="1"/>
  <c r="E124" i="22"/>
  <c r="D124" i="22"/>
  <c r="G124" i="22" s="1"/>
  <c r="C114" i="22"/>
  <c r="B114" i="22"/>
  <c r="B113" i="22"/>
  <c r="D112" i="22"/>
  <c r="G112" i="22" s="1"/>
  <c r="F111" i="22"/>
  <c r="G111" i="22" s="1"/>
  <c r="D111" i="22"/>
  <c r="F110" i="22"/>
  <c r="D110" i="22"/>
  <c r="G110" i="22" s="1"/>
  <c r="D109" i="22"/>
  <c r="G109" i="22" s="1"/>
  <c r="F108" i="22"/>
  <c r="G108" i="22" s="1"/>
  <c r="D107" i="22"/>
  <c r="G107" i="22" s="1"/>
  <c r="D106" i="22"/>
  <c r="G106" i="22" s="1"/>
  <c r="F105" i="22"/>
  <c r="D105" i="22"/>
  <c r="G105" i="22" s="1"/>
  <c r="G104" i="22"/>
  <c r="D104" i="22"/>
  <c r="D99" i="22"/>
  <c r="F98" i="22"/>
  <c r="G98" i="22" s="1"/>
  <c r="D98" i="22"/>
  <c r="D97" i="22"/>
  <c r="F97" i="22" s="1"/>
  <c r="G97" i="22" s="1"/>
  <c r="F94" i="22"/>
  <c r="G94" i="22" s="1"/>
  <c r="D94" i="22"/>
  <c r="D93" i="22"/>
  <c r="F93" i="22" s="1"/>
  <c r="G93" i="22" s="1"/>
  <c r="F91" i="22"/>
  <c r="G91" i="22" s="1"/>
  <c r="D91" i="22"/>
  <c r="D90" i="22"/>
  <c r="C90" i="22"/>
  <c r="C99" i="22" s="1"/>
  <c r="F99" i="22" s="1"/>
  <c r="G99" i="22" s="1"/>
  <c r="D89" i="22"/>
  <c r="F89" i="22" s="1"/>
  <c r="G89" i="22" s="1"/>
  <c r="F88" i="22"/>
  <c r="G88" i="22" s="1"/>
  <c r="D88" i="22"/>
  <c r="G83" i="22"/>
  <c r="G82" i="22"/>
  <c r="E82" i="22"/>
  <c r="E81" i="22"/>
  <c r="D81" i="22"/>
  <c r="G81" i="22" s="1"/>
  <c r="N80" i="22"/>
  <c r="I77" i="22"/>
  <c r="G76" i="22"/>
  <c r="D76" i="22"/>
  <c r="G75" i="22"/>
  <c r="C74" i="22"/>
  <c r="G74" i="22" s="1"/>
  <c r="C73" i="22"/>
  <c r="G73" i="22" s="1"/>
  <c r="E68" i="22"/>
  <c r="D68" i="22"/>
  <c r="C68" i="22"/>
  <c r="F68" i="22" s="1"/>
  <c r="G68" i="22" s="1"/>
  <c r="E67" i="22"/>
  <c r="C67" i="22"/>
  <c r="F67" i="22" s="1"/>
  <c r="G67" i="22" s="1"/>
  <c r="E66" i="22"/>
  <c r="C66" i="22"/>
  <c r="F66" i="22" s="1"/>
  <c r="G66" i="22" s="1"/>
  <c r="E65" i="22"/>
  <c r="C65" i="22"/>
  <c r="F65" i="22" s="1"/>
  <c r="G65" i="22" s="1"/>
  <c r="N63" i="22"/>
  <c r="D60" i="22"/>
  <c r="G60" i="22" s="1"/>
  <c r="G61" i="22" s="1"/>
  <c r="E55" i="22"/>
  <c r="C55" i="22"/>
  <c r="B55" i="22"/>
  <c r="D54" i="22"/>
  <c r="D113" i="22" s="1"/>
  <c r="C54" i="22"/>
  <c r="G54" i="22" s="1"/>
  <c r="B54" i="22"/>
  <c r="G48" i="22"/>
  <c r="E48" i="22"/>
  <c r="D48" i="22"/>
  <c r="C48" i="22"/>
  <c r="B48" i="22"/>
  <c r="E47" i="22"/>
  <c r="E54" i="22" s="1"/>
  <c r="D47" i="22"/>
  <c r="E46" i="22"/>
  <c r="E53" i="22" s="1"/>
  <c r="C46" i="22"/>
  <c r="C53" i="22" s="1"/>
  <c r="B46" i="22"/>
  <c r="B53" i="22" s="1"/>
  <c r="D42" i="22"/>
  <c r="G42" i="22" s="1"/>
  <c r="G43" i="22" s="1"/>
  <c r="J43" i="22" s="1"/>
  <c r="N37" i="22"/>
  <c r="D37" i="22"/>
  <c r="G37" i="22" s="1"/>
  <c r="G38" i="22" s="1"/>
  <c r="J38" i="22" s="1"/>
  <c r="J39" i="22" s="1"/>
  <c r="N32" i="22"/>
  <c r="D32" i="22"/>
  <c r="G32" i="22" s="1"/>
  <c r="N27" i="22"/>
  <c r="E27" i="22"/>
  <c r="D27" i="22"/>
  <c r="G27" i="22" s="1"/>
  <c r="G28" i="22" s="1"/>
  <c r="E22" i="22"/>
  <c r="G22" i="22" s="1"/>
  <c r="D22" i="22"/>
  <c r="N21" i="22"/>
  <c r="E21" i="22"/>
  <c r="D21" i="22"/>
  <c r="G21" i="22" s="1"/>
  <c r="N20" i="22"/>
  <c r="E20" i="22"/>
  <c r="G20" i="22" s="1"/>
  <c r="D20" i="22"/>
  <c r="G15" i="22"/>
  <c r="N14" i="22"/>
  <c r="F14" i="22"/>
  <c r="F114" i="22" s="1"/>
  <c r="N10" i="22"/>
  <c r="F10" i="22"/>
  <c r="E10" i="22"/>
  <c r="D10" i="22"/>
  <c r="D14" i="22" s="1"/>
  <c r="G84" i="22" l="1"/>
  <c r="J84" i="22" s="1"/>
  <c r="G77" i="22"/>
  <c r="J78" i="22" s="1"/>
  <c r="J61" i="22"/>
  <c r="J62" i="22"/>
  <c r="G14" i="22"/>
  <c r="G16" i="22" s="1"/>
  <c r="D114" i="22"/>
  <c r="G114" i="22" s="1"/>
  <c r="D55" i="22"/>
  <c r="G55" i="22" s="1"/>
  <c r="G23" i="22"/>
  <c r="J23" i="22" s="1"/>
  <c r="J24" i="22" s="1"/>
  <c r="J85" i="22"/>
  <c r="G139" i="22"/>
  <c r="G141" i="22" s="1"/>
  <c r="J141" i="22" s="1"/>
  <c r="J135" i="22"/>
  <c r="J136" i="22" s="1"/>
  <c r="J29" i="22"/>
  <c r="J28" i="22"/>
  <c r="G69" i="22"/>
  <c r="J34" i="22"/>
  <c r="J33" i="22"/>
  <c r="J127" i="22"/>
  <c r="J126" i="22"/>
  <c r="C113" i="22"/>
  <c r="G113" i="22" s="1"/>
  <c r="G115" i="22" s="1"/>
  <c r="F90" i="22"/>
  <c r="G90" i="22" s="1"/>
  <c r="G100" i="22" s="1"/>
  <c r="D46" i="22"/>
  <c r="G10" i="22"/>
  <c r="G11" i="22" s="1"/>
  <c r="J11" i="22" s="1"/>
  <c r="G47" i="22"/>
  <c r="E27" i="20"/>
  <c r="D27" i="20"/>
  <c r="C151" i="21"/>
  <c r="C150" i="21"/>
  <c r="C148" i="21"/>
  <c r="G142" i="21"/>
  <c r="J142" i="21" s="1"/>
  <c r="J140" i="21"/>
  <c r="G140" i="21"/>
  <c r="E137" i="21"/>
  <c r="D137" i="21"/>
  <c r="G137" i="21" s="1"/>
  <c r="B137" i="21"/>
  <c r="I132" i="21"/>
  <c r="E131" i="21"/>
  <c r="G131" i="21" s="1"/>
  <c r="G130" i="21"/>
  <c r="E130" i="21"/>
  <c r="E129" i="21"/>
  <c r="D129" i="21"/>
  <c r="G129" i="21" s="1"/>
  <c r="F128" i="21"/>
  <c r="G128" i="21" s="1"/>
  <c r="F127" i="21"/>
  <c r="G127" i="21" s="1"/>
  <c r="G122" i="21"/>
  <c r="G123" i="21" s="1"/>
  <c r="E122" i="21"/>
  <c r="D122" i="21"/>
  <c r="C112" i="21"/>
  <c r="B112" i="21"/>
  <c r="D110" i="21"/>
  <c r="G110" i="21" s="1"/>
  <c r="F109" i="21"/>
  <c r="D109" i="21"/>
  <c r="G109" i="21" s="1"/>
  <c r="G108" i="21"/>
  <c r="F108" i="21"/>
  <c r="D108" i="21"/>
  <c r="D107" i="21"/>
  <c r="G107" i="21" s="1"/>
  <c r="F106" i="21"/>
  <c r="G106" i="21" s="1"/>
  <c r="D105" i="21"/>
  <c r="G105" i="21" s="1"/>
  <c r="D104" i="21"/>
  <c r="G104" i="21" s="1"/>
  <c r="F103" i="21"/>
  <c r="G103" i="21" s="1"/>
  <c r="D103" i="21"/>
  <c r="D102" i="21"/>
  <c r="G102" i="21" s="1"/>
  <c r="F97" i="21"/>
  <c r="G97" i="21" s="1"/>
  <c r="D97" i="21"/>
  <c r="C97" i="21"/>
  <c r="F96" i="21"/>
  <c r="G96" i="21" s="1"/>
  <c r="D96" i="21"/>
  <c r="D95" i="21"/>
  <c r="F95" i="21" s="1"/>
  <c r="G95" i="21" s="1"/>
  <c r="D94" i="21"/>
  <c r="F94" i="21" s="1"/>
  <c r="G94" i="21" s="1"/>
  <c r="D93" i="21"/>
  <c r="F93" i="21" s="1"/>
  <c r="G93" i="21" s="1"/>
  <c r="F92" i="21"/>
  <c r="G92" i="21" s="1"/>
  <c r="D92" i="21"/>
  <c r="D91" i="21"/>
  <c r="F91" i="21" s="1"/>
  <c r="G91" i="21" s="1"/>
  <c r="C91" i="21"/>
  <c r="D90" i="21"/>
  <c r="F90" i="21" s="1"/>
  <c r="G90" i="21" s="1"/>
  <c r="D89" i="21"/>
  <c r="F89" i="21" s="1"/>
  <c r="G89" i="21" s="1"/>
  <c r="G84" i="21"/>
  <c r="G83" i="21"/>
  <c r="E83" i="21"/>
  <c r="E82" i="21"/>
  <c r="D82" i="21"/>
  <c r="G82" i="21" s="1"/>
  <c r="G85" i="21" s="1"/>
  <c r="N81" i="21"/>
  <c r="I78" i="21"/>
  <c r="D77" i="21"/>
  <c r="G77" i="21" s="1"/>
  <c r="G76" i="21"/>
  <c r="C75" i="21"/>
  <c r="G75" i="21" s="1"/>
  <c r="C74" i="21"/>
  <c r="G74" i="21" s="1"/>
  <c r="G78" i="21" s="1"/>
  <c r="E69" i="21"/>
  <c r="D69" i="21"/>
  <c r="C69" i="21"/>
  <c r="F69" i="21" s="1"/>
  <c r="G69" i="21" s="1"/>
  <c r="E68" i="21"/>
  <c r="C68" i="21"/>
  <c r="F68" i="21" s="1"/>
  <c r="G68" i="21" s="1"/>
  <c r="E67" i="21"/>
  <c r="C67" i="21"/>
  <c r="F67" i="21" s="1"/>
  <c r="G67" i="21" s="1"/>
  <c r="E66" i="21"/>
  <c r="C66" i="21"/>
  <c r="F66" i="21" s="1"/>
  <c r="G66" i="21" s="1"/>
  <c r="N64" i="21"/>
  <c r="D61" i="21"/>
  <c r="G61" i="21" s="1"/>
  <c r="G62" i="21" s="1"/>
  <c r="E56" i="21"/>
  <c r="D56" i="21"/>
  <c r="G56" i="21" s="1"/>
  <c r="C56" i="21"/>
  <c r="B56" i="21"/>
  <c r="E55" i="21"/>
  <c r="C55" i="21"/>
  <c r="C111" i="21" s="1"/>
  <c r="B55" i="21"/>
  <c r="B111" i="21" s="1"/>
  <c r="G49" i="21"/>
  <c r="E49" i="21"/>
  <c r="D49" i="21"/>
  <c r="C49" i="21"/>
  <c r="B49" i="21"/>
  <c r="E48" i="21"/>
  <c r="D48" i="21"/>
  <c r="D55" i="21" s="1"/>
  <c r="E47" i="21"/>
  <c r="E54" i="21" s="1"/>
  <c r="C47" i="21"/>
  <c r="C54" i="21" s="1"/>
  <c r="B47" i="21"/>
  <c r="B54" i="21" s="1"/>
  <c r="D43" i="21"/>
  <c r="G43" i="21" s="1"/>
  <c r="G44" i="21" s="1"/>
  <c r="J44" i="21" s="1"/>
  <c r="N38" i="21"/>
  <c r="D38" i="21"/>
  <c r="G38" i="21" s="1"/>
  <c r="G39" i="21" s="1"/>
  <c r="J39" i="21" s="1"/>
  <c r="J40" i="21" s="1"/>
  <c r="N33" i="21"/>
  <c r="D33" i="21"/>
  <c r="G33" i="21" s="1"/>
  <c r="G34" i="21" s="1"/>
  <c r="G28" i="21"/>
  <c r="E28" i="21"/>
  <c r="D28" i="21"/>
  <c r="N27" i="21"/>
  <c r="G27" i="21"/>
  <c r="G29" i="21" s="1"/>
  <c r="D27" i="21"/>
  <c r="E22" i="21"/>
  <c r="D22" i="21"/>
  <c r="G22" i="21" s="1"/>
  <c r="N21" i="21"/>
  <c r="E21" i="21"/>
  <c r="D21" i="21"/>
  <c r="G21" i="21" s="1"/>
  <c r="N20" i="21"/>
  <c r="E20" i="21"/>
  <c r="D20" i="21"/>
  <c r="G20" i="21" s="1"/>
  <c r="G15" i="21"/>
  <c r="N14" i="21"/>
  <c r="D14" i="21"/>
  <c r="N10" i="21"/>
  <c r="F10" i="21"/>
  <c r="F14" i="21" s="1"/>
  <c r="F112" i="21" s="1"/>
  <c r="E10" i="21"/>
  <c r="D10" i="21"/>
  <c r="D136" i="20"/>
  <c r="G136" i="20" s="1"/>
  <c r="E136" i="20"/>
  <c r="B136" i="20"/>
  <c r="C48" i="20"/>
  <c r="D48" i="20"/>
  <c r="E48" i="20"/>
  <c r="B48" i="20"/>
  <c r="G83" i="20"/>
  <c r="J34" i="20"/>
  <c r="D32" i="20"/>
  <c r="N32" i="20"/>
  <c r="G32" i="20"/>
  <c r="G33" i="20" s="1"/>
  <c r="G130" i="20"/>
  <c r="E130" i="20"/>
  <c r="D128" i="20"/>
  <c r="C54" i="20"/>
  <c r="C110" i="20" s="1"/>
  <c r="B54" i="20"/>
  <c r="B110" i="20" s="1"/>
  <c r="E47" i="20"/>
  <c r="E54" i="20" s="1"/>
  <c r="D47" i="20"/>
  <c r="G47" i="20" s="1"/>
  <c r="G15" i="20"/>
  <c r="C111" i="20"/>
  <c r="B111" i="20"/>
  <c r="E55" i="20"/>
  <c r="C55" i="20"/>
  <c r="B55" i="20"/>
  <c r="N14" i="20"/>
  <c r="E10" i="20"/>
  <c r="F10" i="20"/>
  <c r="F14" i="20" s="1"/>
  <c r="F111" i="20" s="1"/>
  <c r="D10" i="20"/>
  <c r="N10" i="20"/>
  <c r="J77" i="22" l="1"/>
  <c r="J101" i="22"/>
  <c r="J100" i="22"/>
  <c r="J70" i="22"/>
  <c r="J69" i="22"/>
  <c r="D53" i="22"/>
  <c r="G53" i="22" s="1"/>
  <c r="G56" i="22" s="1"/>
  <c r="G46" i="22"/>
  <c r="G49" i="22" s="1"/>
  <c r="J115" i="22"/>
  <c r="G119" i="22"/>
  <c r="G120" i="22" s="1"/>
  <c r="J116" i="22"/>
  <c r="J17" i="22"/>
  <c r="J16" i="22"/>
  <c r="G48" i="20"/>
  <c r="D54" i="20"/>
  <c r="D110" i="20" s="1"/>
  <c r="G110" i="20" s="1"/>
  <c r="G10" i="20"/>
  <c r="G14" i="21"/>
  <c r="G16" i="21" s="1"/>
  <c r="J35" i="21"/>
  <c r="J34" i="21"/>
  <c r="G55" i="21"/>
  <c r="D111" i="21"/>
  <c r="G111" i="21"/>
  <c r="G70" i="21"/>
  <c r="J86" i="21"/>
  <c r="J85" i="21"/>
  <c r="J79" i="21"/>
  <c r="J78" i="21"/>
  <c r="G23" i="21"/>
  <c r="J23" i="21" s="1"/>
  <c r="J24" i="21" s="1"/>
  <c r="J30" i="21"/>
  <c r="J29" i="21"/>
  <c r="J124" i="21"/>
  <c r="J123" i="21"/>
  <c r="J63" i="21"/>
  <c r="J62" i="21"/>
  <c r="G98" i="21"/>
  <c r="G132" i="21"/>
  <c r="D112" i="21"/>
  <c r="G112" i="21" s="1"/>
  <c r="G113" i="21" s="1"/>
  <c r="G10" i="21"/>
  <c r="G11" i="21" s="1"/>
  <c r="J11" i="21" s="1"/>
  <c r="G48" i="21"/>
  <c r="D47" i="21"/>
  <c r="J33" i="20"/>
  <c r="D14" i="20"/>
  <c r="G11" i="20"/>
  <c r="J11" i="20" s="1"/>
  <c r="J121" i="22" l="1"/>
  <c r="J147" i="22" s="1"/>
  <c r="C149" i="22" s="1"/>
  <c r="J120" i="22"/>
  <c r="J50" i="22"/>
  <c r="J49" i="22"/>
  <c r="J56" i="22"/>
  <c r="J57" i="22"/>
  <c r="G54" i="20"/>
  <c r="J114" i="21"/>
  <c r="J113" i="21"/>
  <c r="G117" i="21"/>
  <c r="G118" i="21" s="1"/>
  <c r="J71" i="21"/>
  <c r="J70" i="21"/>
  <c r="D54" i="21"/>
  <c r="G54" i="21" s="1"/>
  <c r="G57" i="21" s="1"/>
  <c r="G47" i="21"/>
  <c r="G50" i="21" s="1"/>
  <c r="G136" i="21"/>
  <c r="G138" i="21" s="1"/>
  <c r="J138" i="21" s="1"/>
  <c r="J132" i="21"/>
  <c r="J133" i="21" s="1"/>
  <c r="J99" i="21"/>
  <c r="J98" i="21"/>
  <c r="J16" i="21"/>
  <c r="J17" i="21"/>
  <c r="D111" i="20"/>
  <c r="G111" i="20" s="1"/>
  <c r="D55" i="20"/>
  <c r="G55" i="20" s="1"/>
  <c r="G14" i="20"/>
  <c r="C152" i="22" l="1"/>
  <c r="E151" i="22"/>
  <c r="E152" i="22" s="1"/>
  <c r="J51" i="21"/>
  <c r="J50" i="21"/>
  <c r="J144" i="21" s="1"/>
  <c r="C146" i="21" s="1"/>
  <c r="J57" i="21"/>
  <c r="J58" i="21"/>
  <c r="J118" i="21"/>
  <c r="J119" i="21"/>
  <c r="G16" i="20"/>
  <c r="J17" i="20" s="1"/>
  <c r="C149" i="21" l="1"/>
  <c r="E148" i="21"/>
  <c r="E149" i="21" s="1"/>
  <c r="J16" i="20"/>
  <c r="E129" i="20" l="1"/>
  <c r="G129" i="20" s="1"/>
  <c r="E128" i="20"/>
  <c r="G128" i="20" s="1"/>
  <c r="F127" i="20"/>
  <c r="G127" i="20" s="1"/>
  <c r="F126" i="20"/>
  <c r="G126" i="20" s="1"/>
  <c r="G131" i="20" s="1"/>
  <c r="I131" i="20"/>
  <c r="G135" i="20" l="1"/>
  <c r="G137" i="20" l="1"/>
  <c r="J137" i="20" s="1"/>
  <c r="J131" i="20"/>
  <c r="J132" i="20" s="1"/>
  <c r="C150" i="20" l="1"/>
  <c r="C149" i="20"/>
  <c r="G141" i="20"/>
  <c r="J141" i="20" s="1"/>
  <c r="G139" i="20"/>
  <c r="J139" i="20" s="1"/>
  <c r="E121" i="20"/>
  <c r="D121" i="20"/>
  <c r="D109" i="20"/>
  <c r="G109" i="20" s="1"/>
  <c r="F108" i="20"/>
  <c r="D108" i="20"/>
  <c r="F107" i="20"/>
  <c r="D107" i="20"/>
  <c r="D106" i="20"/>
  <c r="G106" i="20" s="1"/>
  <c r="F105" i="20"/>
  <c r="G105" i="20" s="1"/>
  <c r="D104" i="20"/>
  <c r="G104" i="20" s="1"/>
  <c r="D103" i="20"/>
  <c r="G103" i="20" s="1"/>
  <c r="F102" i="20"/>
  <c r="D102" i="20"/>
  <c r="D101" i="20"/>
  <c r="G101" i="20" s="1"/>
  <c r="D96" i="20"/>
  <c r="D95" i="20"/>
  <c r="F95" i="20" s="1"/>
  <c r="G95" i="20" s="1"/>
  <c r="D94" i="20"/>
  <c r="F94" i="20" s="1"/>
  <c r="G94" i="20" s="1"/>
  <c r="D93" i="20"/>
  <c r="F93" i="20" s="1"/>
  <c r="G93" i="20" s="1"/>
  <c r="D92" i="20"/>
  <c r="F92" i="20" s="1"/>
  <c r="G92" i="20" s="1"/>
  <c r="D91" i="20"/>
  <c r="F91" i="20" s="1"/>
  <c r="G91" i="20" s="1"/>
  <c r="D90" i="20"/>
  <c r="D89" i="20"/>
  <c r="F89" i="20" s="1"/>
  <c r="G89" i="20" s="1"/>
  <c r="D88" i="20"/>
  <c r="F88" i="20" s="1"/>
  <c r="G88" i="20" s="1"/>
  <c r="E82" i="20"/>
  <c r="G82" i="20" s="1"/>
  <c r="E81" i="20"/>
  <c r="N80" i="20"/>
  <c r="I77" i="20"/>
  <c r="D76" i="20"/>
  <c r="G76" i="20" s="1"/>
  <c r="G75" i="20"/>
  <c r="C74" i="20"/>
  <c r="G74" i="20" s="1"/>
  <c r="C73" i="20"/>
  <c r="G73" i="20" s="1"/>
  <c r="E68" i="20"/>
  <c r="D68" i="20"/>
  <c r="C67" i="20" s="1"/>
  <c r="C68" i="20"/>
  <c r="E67" i="20"/>
  <c r="E66" i="20"/>
  <c r="C66" i="20"/>
  <c r="E65" i="20"/>
  <c r="C65" i="20"/>
  <c r="N63" i="20"/>
  <c r="D60" i="20"/>
  <c r="D42" i="20" s="1"/>
  <c r="E46" i="20"/>
  <c r="E53" i="20" s="1"/>
  <c r="C46" i="20"/>
  <c r="B46" i="20"/>
  <c r="B53" i="20" s="1"/>
  <c r="N37" i="20"/>
  <c r="D37" i="20"/>
  <c r="G37" i="20" s="1"/>
  <c r="G38" i="20" s="1"/>
  <c r="J38" i="20" s="1"/>
  <c r="J39" i="20" s="1"/>
  <c r="N27" i="20"/>
  <c r="E22" i="20"/>
  <c r="D22" i="20"/>
  <c r="N21" i="20"/>
  <c r="E21" i="20"/>
  <c r="D21" i="20"/>
  <c r="N20" i="20"/>
  <c r="E20" i="20"/>
  <c r="D20" i="20"/>
  <c r="F67" i="20" l="1"/>
  <c r="G67" i="20" s="1"/>
  <c r="G77" i="20"/>
  <c r="J78" i="20" s="1"/>
  <c r="F66" i="20"/>
  <c r="G66" i="20" s="1"/>
  <c r="G121" i="20"/>
  <c r="G122" i="20" s="1"/>
  <c r="J123" i="20" s="1"/>
  <c r="G108" i="20"/>
  <c r="G20" i="20"/>
  <c r="G102" i="20"/>
  <c r="G112" i="20" s="1"/>
  <c r="G27" i="20"/>
  <c r="G28" i="20" s="1"/>
  <c r="C147" i="20"/>
  <c r="J77" i="20"/>
  <c r="C90" i="20"/>
  <c r="C96" i="20" s="1"/>
  <c r="F96" i="20" s="1"/>
  <c r="G96" i="20" s="1"/>
  <c r="G21" i="20"/>
  <c r="G60" i="20"/>
  <c r="G61" i="20" s="1"/>
  <c r="G107" i="20"/>
  <c r="G22" i="20"/>
  <c r="F65" i="20"/>
  <c r="G65" i="20" s="1"/>
  <c r="D46" i="20"/>
  <c r="D53" i="20" s="1"/>
  <c r="G42" i="20"/>
  <c r="G43" i="20" s="1"/>
  <c r="J43" i="20" s="1"/>
  <c r="F68" i="20"/>
  <c r="G68" i="20" s="1"/>
  <c r="D81" i="20"/>
  <c r="G81" i="20" s="1"/>
  <c r="G84" i="20" s="1"/>
  <c r="C53" i="20"/>
  <c r="J107" i="17"/>
  <c r="G116" i="20" l="1"/>
  <c r="J113" i="20"/>
  <c r="J61" i="20"/>
  <c r="J62" i="20"/>
  <c r="J85" i="20"/>
  <c r="J122" i="20"/>
  <c r="J28" i="20"/>
  <c r="J29" i="20"/>
  <c r="G117" i="20"/>
  <c r="J118" i="20" s="1"/>
  <c r="G69" i="20"/>
  <c r="G23" i="20"/>
  <c r="J23" i="20" s="1"/>
  <c r="J24" i="20" s="1"/>
  <c r="J112" i="20"/>
  <c r="G53" i="20"/>
  <c r="G56" i="20" s="1"/>
  <c r="J57" i="20" s="1"/>
  <c r="G46" i="20"/>
  <c r="F90" i="20"/>
  <c r="G90" i="20" s="1"/>
  <c r="G97" i="20" s="1"/>
  <c r="J98" i="20" s="1"/>
  <c r="J103" i="17"/>
  <c r="G103" i="17"/>
  <c r="E17" i="17"/>
  <c r="E31" i="17"/>
  <c r="G49" i="20" l="1"/>
  <c r="J50" i="20" s="1"/>
  <c r="J69" i="20"/>
  <c r="J70" i="20"/>
  <c r="J84" i="20"/>
  <c r="J117" i="20"/>
  <c r="J97" i="20"/>
  <c r="J49" i="20"/>
  <c r="J56" i="20"/>
  <c r="G99" i="17"/>
  <c r="E99" i="17"/>
  <c r="D99" i="17"/>
  <c r="J143" i="20" l="1"/>
  <c r="C145" i="20" s="1"/>
  <c r="C148" i="20" s="1"/>
  <c r="D76" i="17"/>
  <c r="C70" i="17"/>
  <c r="F70" i="17" s="1"/>
  <c r="G70" i="17" s="1"/>
  <c r="D70" i="17"/>
  <c r="D75" i="17"/>
  <c r="F75" i="17" s="1"/>
  <c r="G75" i="17" s="1"/>
  <c r="E147" i="20" l="1"/>
  <c r="E148" i="20" s="1"/>
  <c r="C76" i="17"/>
  <c r="F76" i="17" s="1"/>
  <c r="G76" i="17" s="1"/>
  <c r="D89" i="17"/>
  <c r="G89" i="17" s="1"/>
  <c r="F88" i="17"/>
  <c r="D88" i="17"/>
  <c r="F87" i="17"/>
  <c r="D87" i="17"/>
  <c r="G87" i="17" s="1"/>
  <c r="D86" i="17"/>
  <c r="G86" i="17" s="1"/>
  <c r="F85" i="17"/>
  <c r="G85" i="17" s="1"/>
  <c r="D84" i="17"/>
  <c r="G84" i="17" s="1"/>
  <c r="D83" i="17"/>
  <c r="G83" i="17" s="1"/>
  <c r="F82" i="17"/>
  <c r="D82" i="17"/>
  <c r="D81" i="17"/>
  <c r="G81" i="17"/>
  <c r="D69" i="17"/>
  <c r="F69" i="17"/>
  <c r="G69" i="17" s="1"/>
  <c r="D74" i="17"/>
  <c r="F74" i="17" s="1"/>
  <c r="G74" i="17" s="1"/>
  <c r="G88" i="17" l="1"/>
  <c r="G90" i="17" s="1"/>
  <c r="G82" i="17"/>
  <c r="D73" i="17"/>
  <c r="F73" i="17" s="1"/>
  <c r="G73" i="17" s="1"/>
  <c r="D72" i="17"/>
  <c r="F72" i="17" s="1"/>
  <c r="G72" i="17" s="1"/>
  <c r="D71" i="17"/>
  <c r="F71" i="17" s="1"/>
  <c r="G71" i="17" s="1"/>
  <c r="G94" i="17" l="1"/>
  <c r="G95" i="17" s="1"/>
  <c r="G100" i="17" s="1"/>
  <c r="J101" i="17" s="1"/>
  <c r="J100" i="17"/>
  <c r="J96" i="17"/>
  <c r="J91" i="17"/>
  <c r="J90" i="17"/>
  <c r="J95" i="17" l="1"/>
  <c r="D68" i="17"/>
  <c r="F68" i="17" s="1"/>
  <c r="G68" i="17" s="1"/>
  <c r="G77" i="17" s="1"/>
  <c r="J78" i="17" l="1"/>
  <c r="J77" i="17"/>
  <c r="E63" i="17" l="1"/>
  <c r="G63" i="17" s="1"/>
  <c r="E62" i="17"/>
  <c r="J65" i="17"/>
  <c r="I64" i="17"/>
  <c r="G56" i="17"/>
  <c r="D57" i="17"/>
  <c r="G57" i="17" s="1"/>
  <c r="C55" i="17"/>
  <c r="G55" i="17" s="1"/>
  <c r="C54" i="17"/>
  <c r="G54" i="17" s="1"/>
  <c r="J59" i="17"/>
  <c r="I58" i="17"/>
  <c r="G28" i="18"/>
  <c r="F31" i="18"/>
  <c r="G31" i="18" s="1"/>
  <c r="F30" i="18"/>
  <c r="G30" i="18" s="1"/>
  <c r="F29" i="18"/>
  <c r="G29" i="18" s="1"/>
  <c r="G27" i="18"/>
  <c r="G26" i="18"/>
  <c r="A22" i="18"/>
  <c r="C49" i="17"/>
  <c r="E48" i="17"/>
  <c r="E46" i="17"/>
  <c r="D49" i="17"/>
  <c r="C48" i="17" s="1"/>
  <c r="E49" i="17"/>
  <c r="N61" i="17"/>
  <c r="C47" i="17"/>
  <c r="N44" i="17"/>
  <c r="C46" i="17"/>
  <c r="E47" i="17"/>
  <c r="E36" i="17"/>
  <c r="C31" i="17"/>
  <c r="C36" i="17" s="1"/>
  <c r="B31" i="17"/>
  <c r="B36" i="17" s="1"/>
  <c r="H31" i="18" l="1"/>
  <c r="F47" i="17"/>
  <c r="G47" i="17" s="1"/>
  <c r="G58" i="17"/>
  <c r="J58" i="17"/>
  <c r="F48" i="17"/>
  <c r="G48" i="17" s="1"/>
  <c r="H27" i="18"/>
  <c r="F49" i="17"/>
  <c r="G49" i="17" s="1"/>
  <c r="F46" i="17"/>
  <c r="G46" i="17" s="1"/>
  <c r="H32" i="18" l="1"/>
  <c r="H33" i="18" s="1"/>
  <c r="G50" i="17"/>
  <c r="J50" i="17"/>
  <c r="H34" i="18" l="1"/>
  <c r="B34" i="18" s="1"/>
  <c r="D34" i="18" s="1"/>
  <c r="J51" i="17"/>
  <c r="N22" i="17" l="1"/>
  <c r="D22" i="17"/>
  <c r="G22" i="17" s="1"/>
  <c r="G23" i="17" s="1"/>
  <c r="J23" i="17" s="1"/>
  <c r="J24" i="17" s="1"/>
  <c r="J43" i="17"/>
  <c r="D41" i="17"/>
  <c r="D27" i="17" l="1"/>
  <c r="D31" i="17" s="1"/>
  <c r="D62" i="17"/>
  <c r="G62" i="17" s="1"/>
  <c r="G64" i="17" s="1"/>
  <c r="G41" i="17"/>
  <c r="G42" i="17" s="1"/>
  <c r="J42" i="17" s="1"/>
  <c r="F13" i="18"/>
  <c r="G13" i="18" s="1"/>
  <c r="J12" i="18"/>
  <c r="F12" i="18"/>
  <c r="G12" i="18" s="1"/>
  <c r="G11" i="18"/>
  <c r="F11" i="18"/>
  <c r="J10" i="18"/>
  <c r="G10" i="18"/>
  <c r="G9" i="18"/>
  <c r="G8" i="18"/>
  <c r="G7" i="18"/>
  <c r="G6" i="18"/>
  <c r="H7" i="18" s="1"/>
  <c r="A1" i="18"/>
  <c r="G27" i="17" l="1"/>
  <c r="G28" i="17" s="1"/>
  <c r="J28" i="17" s="1"/>
  <c r="J64" i="17"/>
  <c r="G31" i="17"/>
  <c r="G32" i="17" s="1"/>
  <c r="J32" i="17" s="1"/>
  <c r="D36" i="17"/>
  <c r="G36" i="17" s="1"/>
  <c r="G37" i="17" s="1"/>
  <c r="H13" i="18"/>
  <c r="H14" i="18" s="1"/>
  <c r="J33" i="17" l="1"/>
  <c r="J37" i="17"/>
  <c r="J38" i="17"/>
  <c r="H15" i="18"/>
  <c r="H16" i="18" s="1"/>
  <c r="B16" i="18" l="1"/>
  <c r="H17" i="18"/>
  <c r="H18" i="18" s="1"/>
  <c r="J19" i="17" l="1"/>
  <c r="D17" i="17"/>
  <c r="N17" i="17"/>
  <c r="E12" i="17"/>
  <c r="D12" i="17"/>
  <c r="G12" i="17" s="1"/>
  <c r="N11" i="17"/>
  <c r="E11" i="17"/>
  <c r="D11" i="17"/>
  <c r="E10" i="17"/>
  <c r="N10" i="17"/>
  <c r="D10" i="17"/>
  <c r="G11" i="17" l="1"/>
  <c r="G17" i="17"/>
  <c r="G18" i="17" s="1"/>
  <c r="J18" i="17" s="1"/>
  <c r="G10" i="17"/>
  <c r="G13" i="17" s="1"/>
  <c r="J13" i="17" l="1"/>
  <c r="C114" i="17"/>
  <c r="C113" i="17"/>
  <c r="G105" i="17"/>
  <c r="J105" i="17" s="1"/>
  <c r="J14" i="17" l="1"/>
  <c r="C111" i="17"/>
  <c r="C109" i="17" l="1"/>
  <c r="C112" i="17" s="1"/>
  <c r="E111" i="17" l="1"/>
  <c r="E112" i="17"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<sst xmlns="http://schemas.openxmlformats.org/spreadsheetml/2006/main" count="660" uniqueCount="162">
  <si>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</si>
  <si>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</si>
  <si>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</si>
  <si>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</si>
  <si>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</si>
  <si>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</si>
  <si>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</si>
  <si>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</si>
  <si>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</si>
  <si>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</si>
  <si>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</si>
  <si>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</si>
  <si>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</si>
  <si>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</si>
  <si>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</si>
  <si>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</si>
  <si>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</si>
  <si>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</si>
  <si>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</si>
  <si>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</si>
  <si>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</si>
  <si>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</si>
  <si>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</si>
  <si>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</si>
  <si>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</si>
  <si>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</si>
  <si>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</si>
  <si>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</si>
  <si>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</si>
  <si>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</si>
  <si>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</si>
  <si>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</si>
  <si>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</si>
  <si>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</si>
  <si>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</si>
  <si>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</si>
  <si>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</si>
  <si>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</si>
  <si>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</si>
  <si>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</si>
  <si>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</si>
  <si>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Sub-total</t>
  </si>
  <si>
    <t>F.Y.: 2081/2082</t>
  </si>
  <si>
    <t>sqm</t>
  </si>
  <si>
    <t>Project:- परोपकार भवन मर्मत</t>
  </si>
  <si>
    <t>dfn;fdfg pknAw u/L lh=cfO{=k|m]ddf ;fwf/0f d]6fnfOH8 kf]lnP6/ nfldg]6]8 jf]8{sf] l;lnË nufpg] sfd -ss{t kftfsf] 5fgfd'lg_</t>
  </si>
  <si>
    <t>-false ceiling</t>
  </si>
  <si>
    <t xml:space="preserve">).#^ lblv ).$ dL.dL.afSnf] sf]?u]6]8 /+lug ss{6 kftfsf] 5fgf 5fpg] sfd </t>
  </si>
  <si>
    <t>-at roof</t>
  </si>
  <si>
    <t>हयाबिटेक ईन्टरलक ब्रिकको गारो सिमेन्ट , बालुवा, र स्टोन डष्ट ( 1 2 4)</t>
  </si>
  <si>
    <t>C13</t>
  </si>
  <si>
    <t>#) dL= ;Dd 9'jfgL ;d]t</t>
  </si>
  <si>
    <t>;|f]t ;fwg</t>
  </si>
  <si>
    <t>tx÷lsl;d</t>
  </si>
  <si>
    <t>kl/df0f</t>
  </si>
  <si>
    <t>PsfO{</t>
  </si>
  <si>
    <t>b/ k|lt PsfO{</t>
  </si>
  <si>
    <t>/sd</t>
  </si>
  <si>
    <t>k|To]s ;|f]t ;fwgsf] hDdf</t>
  </si>
  <si>
    <t>&gt;lds</t>
  </si>
  <si>
    <t>s_ l;kfn'</t>
  </si>
  <si>
    <t>hjfg</t>
  </si>
  <si>
    <t>v_ HofdL</t>
  </si>
  <si>
    <t>lgdf{0f ;fdu|L</t>
  </si>
  <si>
    <r>
      <rPr>
        <sz val="11"/>
        <color theme="1"/>
        <rFont val="Calibri"/>
        <family val="2"/>
        <scheme val="minor"/>
      </rPr>
      <t>300X150X100</t>
    </r>
    <r>
      <rPr>
        <sz val="11"/>
        <color theme="1"/>
        <rFont val="Preeti"/>
      </rPr>
      <t xml:space="preserve"> Pd=Pd=sf] हयाबिटेक ब्रिक</t>
    </r>
  </si>
  <si>
    <t>j6f</t>
  </si>
  <si>
    <t>l;d]G6</t>
  </si>
  <si>
    <t>d]=6=</t>
  </si>
  <si>
    <t xml:space="preserve">afn'jf </t>
  </si>
  <si>
    <t>3=dL=</t>
  </si>
  <si>
    <t>:6f]g 8:6</t>
  </si>
  <si>
    <t>!) ld ld 8l08</t>
  </si>
  <si>
    <t>s].lh</t>
  </si>
  <si>
    <t>kfgL</t>
  </si>
  <si>
    <t>nL6/</t>
  </si>
  <si>
    <t>jf:tljs b//]6</t>
  </si>
  <si>
    <t>b/ k|lt 3=dL=sf]</t>
  </si>
  <si>
    <t>!%Ü 7]s]bf/ cf]e/x]8</t>
  </si>
  <si>
    <t>?=</t>
  </si>
  <si>
    <t>k}=</t>
  </si>
  <si>
    <t>hDdf b/ /]6</t>
  </si>
  <si>
    <t>b/ /]6 k|lt ju{ ld</t>
  </si>
  <si>
    <t>cf]e/x]8 afx]s</t>
  </si>
  <si>
    <t>Block Size</t>
  </si>
  <si>
    <t>-at drain wall</t>
  </si>
  <si>
    <t>cum</t>
  </si>
  <si>
    <r>
      <t>b/ ljZn]if0fsf] nflu</t>
    </r>
    <r>
      <rPr>
        <sz val="11"/>
        <color theme="1"/>
        <rFont val="Times New Roman"/>
        <family val="1"/>
      </rPr>
      <t xml:space="preserve"> ९ </t>
    </r>
    <r>
      <rPr>
        <sz val="11"/>
        <color theme="1"/>
        <rFont val="Preeti"/>
      </rPr>
      <t>j=ld= lnOPsf]</t>
    </r>
  </si>
  <si>
    <t>l;d]G6 jf jh|df hf]8]sf] uf/f] eTsfO{ To;af6 cfPsf] ;fdfu+|L !) dL= x6fpg] sfd .</t>
  </si>
  <si>
    <r>
      <rPr>
        <b/>
        <sz val="9"/>
        <rFont val="Preeti"/>
      </rPr>
      <t>हयाबिटेक ईन्टरलक ब्रिकको गारो सिमेन्ट , बालुवा, र स्टोन डष्ट</t>
    </r>
    <r>
      <rPr>
        <b/>
        <sz val="11"/>
        <rFont val="Preeti"/>
      </rPr>
      <t xml:space="preserve"> </t>
    </r>
    <r>
      <rPr>
        <b/>
        <sz val="11"/>
        <rFont val="Times New Roman"/>
        <family val="1"/>
      </rPr>
      <t>( 1 2 4)</t>
    </r>
    <r>
      <rPr>
        <b/>
        <sz val="11"/>
        <rFont val="Preeti"/>
      </rPr>
      <t xml:space="preserve"> #) dL= ;Dd 9'jfgL ;d]t</t>
    </r>
  </si>
  <si>
    <t xml:space="preserve">g/d k|sf/sf] Sn] / l;N6L df6f]df ;j} lsl;dsf] vGg] sfd </t>
  </si>
  <si>
    <t>-at drain wall base</t>
  </si>
  <si>
    <t>;'Vvf O{6f RofK6f] 5fKg] sfd</t>
  </si>
  <si>
    <t xml:space="preserve">hu leQf kvf{ndf l;d]G6 s+lqm6 ug]{ sfd -lk=;L=;L= !M@M$_ </t>
  </si>
  <si>
    <t>cf/=;L=;L= nflu kmnfd] 808L sf6\g], df]8\g] #) dL6/ ;Dd</t>
  </si>
  <si>
    <t>Length (m)</t>
  </si>
  <si>
    <t>Unit wt. (kg/m)</t>
  </si>
  <si>
    <t>Total wt. (kg)</t>
  </si>
  <si>
    <t>Total wt. (MT)</t>
  </si>
  <si>
    <t>MT</t>
  </si>
  <si>
    <t>-For slab cover</t>
  </si>
  <si>
    <t>kmnfd]sf] kfOk / KnfOaf]8{af6 kmdf{ agfpg] sfd</t>
  </si>
  <si>
    <t>-at slab cover</t>
  </si>
  <si>
    <t>E2</t>
  </si>
  <si>
    <t>b/ ljZn]if0fsf] nflu !)) j=ld= lnOPsf]</t>
  </si>
  <si>
    <t xml:space="preserve">!% dL=dL= jf]8{ </t>
  </si>
  <si>
    <t>j=dL=</t>
  </si>
  <si>
    <t xml:space="preserve">:yfgLo s'–sf7 </t>
  </si>
  <si>
    <t>;+Vof</t>
  </si>
  <si>
    <t>lsnf sfF6L</t>
  </si>
  <si>
    <t>s]=hL=</t>
  </si>
  <si>
    <t>b/ k|lt j=dL=sf]</t>
  </si>
  <si>
    <t>1.6875x1.1x0.7516= 0.232</t>
  </si>
  <si>
    <t xml:space="preserve">   M KNffO{ M ^ k6s;dd k|of]u ug{ ;lsg] To;kl5 !)Ü d"No afFsL /xg] lx;fan] ul/Psf] </t>
  </si>
  <si>
    <t>100x1.1x0.9/6=16.5</t>
  </si>
  <si>
    <t xml:space="preserve">   M kfO{k M !% k6s;Dd k|of]u ug{ ;lsg] To;kl5 @%Ü d"No afFsL /xg] lx;fan] ul/Psf] </t>
  </si>
  <si>
    <t>88/15x0.75 =4.4</t>
  </si>
  <si>
    <r>
      <t xml:space="preserve">kmnfdsf] kfOk </t>
    </r>
    <r>
      <rPr>
        <sz val="9"/>
        <rFont val="Arial"/>
        <family val="2"/>
      </rPr>
      <t>(Prop),</t>
    </r>
    <r>
      <rPr>
        <sz val="16"/>
        <rFont val="Preeti"/>
      </rPr>
      <t xml:space="preserve"> KnfOjf]8{ k|of]u u/L km;{ / :nfjsf] nflu kmdf{ agfpg] sfd . </t>
    </r>
  </si>
  <si>
    <r>
      <t xml:space="preserve">kmnfd] kfO{k  </t>
    </r>
    <r>
      <rPr>
        <sz val="9"/>
        <rFont val="Arial"/>
        <family val="2"/>
      </rPr>
      <t>(NMB 50-M)</t>
    </r>
  </si>
  <si>
    <r>
      <t>gf]6</t>
    </r>
    <r>
      <rPr>
        <sz val="11"/>
        <rFont val="Preeti"/>
      </rPr>
      <t xml:space="preserve"> M sf7 M ^ k6s;dd k|of]u ug{ ;lsg] To;kl5 @%Ü d"No afFsL /xg] lx;fan] ul/Psf] </t>
    </r>
  </si>
  <si>
    <t>d]lzgsf] k|of]u u/L ;'k/ :6«Sr/df l;d]G6 s+lqm6 ug]{ sfd -!M!=%M#_</t>
  </si>
  <si>
    <t>-slab cover</t>
  </si>
  <si>
    <t>ljleGg ;fO{hsf] kmnfd] PËn km]lj|s]zg u/L k|fOd/ k]G6 ;lxt ug]{</t>
  </si>
  <si>
    <t>Kg</t>
  </si>
  <si>
    <t>-MS Flats 20mm*5mm</t>
  </si>
  <si>
    <t>Total wt. (Kg)</t>
  </si>
  <si>
    <t>-MS square pipe of 2"*2" of 1.8mm thickness for vertical post</t>
  </si>
  <si>
    <t>-MS square pipe 1.5"*1.5" of 1.6mm thickness for horizontal member</t>
  </si>
  <si>
    <t>!@=% dL=dL= l;d]G6 afn'jf -!M$_ Knfi6/</t>
  </si>
  <si>
    <t>-wall</t>
  </si>
  <si>
    <t>sub-total</t>
  </si>
  <si>
    <t>-VAT 13% for materials</t>
  </si>
  <si>
    <t xml:space="preserve"> Ps sf]6 k|fO{d/ ;lxt b'O{ sf]6 j]b/sf]6 k]G6 ug]{ sfd</t>
  </si>
  <si>
    <t>-as of plaster</t>
  </si>
  <si>
    <t>-35*35*3mm Equal angles at windows</t>
  </si>
  <si>
    <t xml:space="preserve">-equal angles for fencing </t>
  </si>
  <si>
    <t>-MS flats for fencing</t>
  </si>
  <si>
    <t>-MS square rod12mm *12mm size</t>
  </si>
  <si>
    <t>!=@ ld=ld= Kn]g kmfO{j/ Unf; kftfn] 5fgf 5fpg] sfd</t>
  </si>
  <si>
    <t>-roof</t>
  </si>
  <si>
    <t>Provisional sum for unforeseen works</t>
  </si>
  <si>
    <t>PS</t>
  </si>
  <si>
    <t>Date:2081/09/29</t>
  </si>
  <si>
    <t>sfk]{6 b'jf]</t>
  </si>
  <si>
    <t>-for open spaces</t>
  </si>
  <si>
    <t>m2</t>
  </si>
  <si>
    <r>
      <t>Area (m</t>
    </r>
    <r>
      <rPr>
        <vertAlign val="superscript"/>
        <sz val="11"/>
        <color theme="1"/>
        <rFont val="Times New Roman"/>
        <family val="1"/>
      </rPr>
      <t>2</t>
    </r>
    <r>
      <rPr>
        <sz val="11"/>
        <color theme="1"/>
        <rFont val="Times New Roman"/>
        <family val="1"/>
      </rPr>
      <t>)</t>
    </r>
  </si>
  <si>
    <t>;km]{;nfO{ 8«]l;Ë ug]{ sfo{ vfN6f] k'g]{, p7]sf] df6f] sf6\g], ;tx ldnfpg]</t>
  </si>
  <si>
    <t>cflb sfo{ ;d]t -;le{;/f]8 cflb_</t>
  </si>
  <si>
    <t>;km]{;nfO{ 8«]l;Ë ug]{ sfo{ vfN6f] k'g]{, p7]sf] df6f] sf6\g], ;tx ldnfpg] cflb sfo{ ;d]t -;le{;/f]8 cflb_</t>
  </si>
  <si>
    <t>-as of item no. 15</t>
  </si>
  <si>
    <t>df6f]df hf]8]sf] uf/f] eTsfO{ To;af6 cfPsf] ;fdu|L !) dL=;Dd</t>
  </si>
  <si>
    <t>-existing wall</t>
  </si>
  <si>
    <t>e'O{+tNnfdf lrDgL e§fsf] O{+6fsf] uf/f] l;d]G6 d;nf -!M^_ df</t>
  </si>
  <si>
    <r>
      <t xml:space="preserve">dfn;fdfg pknAw u/L </t>
    </r>
    <r>
      <rPr>
        <sz val="9"/>
        <rFont val="Arial"/>
        <family val="2"/>
      </rPr>
      <t>UPVC sheet with PMMA Coating</t>
    </r>
    <r>
      <rPr>
        <sz val="9"/>
        <rFont val="Preeti"/>
      </rPr>
      <t xml:space="preserve"> </t>
    </r>
    <r>
      <rPr>
        <sz val="9"/>
        <rFont val="Arial"/>
        <family val="2"/>
      </rPr>
      <t>and mesh (Regular)</t>
    </r>
    <r>
      <rPr>
        <sz val="14"/>
        <rFont val="Preeti"/>
      </rPr>
      <t>5fgf 5fpg] sfd .</t>
    </r>
  </si>
  <si>
    <t>-at drain</t>
  </si>
  <si>
    <t>-at one side drain</t>
  </si>
  <si>
    <t>-as of plaster excluding drain</t>
  </si>
  <si>
    <t xml:space="preserve">)=%) dL=dL=  Kn]g zL6sf] !%) ld=ld= rf}8fO{, u6/ agfO{ jf;/ </t>
  </si>
  <si>
    <t>rm</t>
  </si>
  <si>
    <t>-at entrance</t>
  </si>
  <si>
    <t>-deduction</t>
  </si>
  <si>
    <t>-at compound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</si>
</sst>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40">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1"/>
      <name val="Preeti"/>
    </font>
    <font>
      <sz val="10"/>
      <name val="Arial"/>
    </font>
    <font>
      <sz val="10"/>
      <name val="FONTASY_ HIMALI_ TT"/>
      <family val="5"/>
    </font>
    <font>
      <sz val="16"/>
      <color theme="1"/>
      <name val="Preeti"/>
    </font>
    <font>
      <sz val="12"/>
      <name val="Calibri"/>
      <family val="2"/>
      <scheme val="minor"/>
    </font>
    <font>
      <sz val="14"/>
      <color theme="1"/>
      <name val="Preeti"/>
    </font>
    <font>
      <sz val="12"/>
      <name val="Preeti"/>
    </font>
    <font>
      <sz val="11"/>
      <color theme="1"/>
      <name val="Preeti"/>
    </font>
    <font>
      <sz val="13"/>
      <name val="Preeti"/>
    </font>
    <font>
      <sz val="10"/>
      <name val="Fontasy Himali"/>
      <family val="5"/>
    </font>
    <font>
      <sz val="10"/>
      <name val="Prachin"/>
      <family val="2"/>
    </font>
    <font>
      <sz val="8"/>
      <name val="Times New Roman"/>
      <family val="1"/>
    </font>
    <font>
      <sz val="16"/>
      <name val="Preeti"/>
    </font>
    <font>
      <b/>
      <sz val="9"/>
      <name val="Preeti"/>
    </font>
    <font>
      <b/>
      <sz val="12"/>
      <name val="Preeti"/>
    </font>
    <font>
      <sz val="12"/>
      <name val="Calibri"/>
      <family val="2"/>
    </font>
    <font>
      <sz val="9"/>
      <name val="Arial"/>
      <family val="2"/>
    </font>
    <font>
      <sz val="11"/>
      <name val="Preeti"/>
    </font>
    <font>
      <sz val="10"/>
      <name val="Arial"/>
      <family val="2"/>
    </font>
    <font>
      <u/>
      <sz val="11"/>
      <name val="Preeti"/>
    </font>
    <font>
      <b/>
      <sz val="12"/>
      <color theme="1"/>
      <name val="Preeti"/>
    </font>
    <font>
      <sz val="11"/>
      <name val="Calibri"/>
      <family val="2"/>
      <scheme val="minor"/>
    </font>
    <font>
      <vertAlign val="superscript"/>
      <sz val="11"/>
      <color theme="1"/>
      <name val="Times New Roman"/>
      <family val="1"/>
    </font>
    <font>
      <sz val="14"/>
      <name val="Preeti"/>
    </font>
    <font>
      <sz val="9"/>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3">
    <xf numFmtId="0" fontId="0" fillId="0" borderId="0"/>
    <xf numFmtId="164" fontId="1" fillId="0" borderId="0" applyFont="0" applyFill="0" applyBorder="0" applyAlignment="0" applyProtection="0"/>
    <xf numFmtId="0" fontId="16" fillId="0" borderId="0"/>
  </cellStyleXfs>
  <cellXfs count="185">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164"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4" fillId="0" borderId="0" xfId="0" applyNumberFormat="1" applyFont="1" applyBorder="1"/>
    <xf numFmtId="0" fontId="3" fillId="0" borderId="1" xfId="0" applyFont="1" applyBorder="1" applyAlignment="1">
      <alignment vertical="center"/>
    </xf>
    <xf numFmtId="0" fontId="15" fillId="3" borderId="1" xfId="0" applyFont="1" applyFill="1" applyBorder="1" applyAlignment="1">
      <alignment vertical="center" wrapText="1"/>
    </xf>
    <xf numFmtId="2" fontId="13" fillId="0" borderId="4" xfId="0" applyNumberFormat="1" applyFont="1" applyFill="1" applyBorder="1" applyAlignment="1">
      <alignment horizontal="center" vertical="center" wrapText="1"/>
    </xf>
    <xf numFmtId="1" fontId="17" fillId="0" borderId="1" xfId="2" applyNumberFormat="1" applyFont="1" applyBorder="1" applyAlignment="1">
      <alignment horizontal="center"/>
    </xf>
    <xf numFmtId="0" fontId="18" fillId="0" borderId="0" xfId="2" applyFont="1" applyAlignment="1"/>
    <xf numFmtId="0" fontId="16" fillId="0" borderId="0" xfId="2"/>
    <xf numFmtId="1" fontId="17" fillId="0" borderId="5" xfId="2" applyNumberFormat="1" applyFont="1" applyBorder="1" applyAlignment="1"/>
    <xf numFmtId="1" fontId="17" fillId="0" borderId="0" xfId="2" applyNumberFormat="1" applyFont="1" applyBorder="1" applyAlignment="1"/>
    <xf numFmtId="0" fontId="19" fillId="0" borderId="4" xfId="2" applyFont="1" applyBorder="1" applyAlignment="1">
      <alignment horizontal="center"/>
    </xf>
    <xf numFmtId="0" fontId="21" fillId="0" borderId="0" xfId="2" applyFont="1"/>
    <xf numFmtId="0" fontId="23" fillId="0" borderId="1" xfId="2" applyFont="1" applyBorder="1" applyAlignment="1">
      <alignment horizontal="center" vertical="center" wrapText="1"/>
    </xf>
    <xf numFmtId="2" fontId="24" fillId="0" borderId="1" xfId="2" applyNumberFormat="1" applyFont="1" applyBorder="1" applyAlignment="1">
      <alignment horizontal="center"/>
    </xf>
    <xf numFmtId="0" fontId="23" fillId="0" borderId="1" xfId="2" applyFont="1" applyBorder="1" applyAlignment="1">
      <alignment horizontal="center"/>
    </xf>
    <xf numFmtId="2" fontId="17" fillId="0" borderId="1" xfId="2" applyNumberFormat="1" applyFont="1" applyBorder="1" applyAlignment="1">
      <alignment horizontal="center" vertical="center" wrapText="1"/>
    </xf>
    <xf numFmtId="2" fontId="17" fillId="0" borderId="1" xfId="2" applyNumberFormat="1" applyFont="1" applyBorder="1" applyAlignment="1">
      <alignment horizontal="center"/>
    </xf>
    <xf numFmtId="2" fontId="17" fillId="0" borderId="1" xfId="2" applyNumberFormat="1" applyFont="1" applyBorder="1" applyAlignment="1">
      <alignment horizontal="center" vertical="center"/>
    </xf>
    <xf numFmtId="0" fontId="22" fillId="0" borderId="1" xfId="2" applyFont="1" applyBorder="1" applyAlignment="1">
      <alignment horizontal="center" wrapText="1"/>
    </xf>
    <xf numFmtId="166" fontId="24" fillId="0" borderId="1" xfId="2" applyNumberFormat="1" applyFont="1" applyBorder="1" applyAlignment="1">
      <alignment horizontal="center"/>
    </xf>
    <xf numFmtId="0" fontId="21" fillId="0" borderId="1" xfId="2" applyFont="1" applyBorder="1"/>
    <xf numFmtId="2" fontId="17" fillId="0" borderId="3" xfId="2" applyNumberFormat="1" applyFont="1" applyBorder="1" applyAlignment="1">
      <alignment horizontal="center"/>
    </xf>
    <xf numFmtId="0" fontId="16" fillId="0" borderId="1" xfId="2" applyBorder="1"/>
    <xf numFmtId="0" fontId="23" fillId="0" borderId="0" xfId="2" applyFont="1"/>
    <xf numFmtId="2" fontId="17" fillId="0" borderId="0" xfId="2" applyNumberFormat="1" applyFont="1"/>
    <xf numFmtId="2" fontId="17" fillId="0" borderId="4" xfId="2" applyNumberFormat="1" applyFont="1" applyBorder="1" applyAlignment="1">
      <alignment horizontal="center"/>
    </xf>
    <xf numFmtId="0" fontId="21" fillId="0" borderId="0" xfId="2" applyFont="1" applyAlignment="1">
      <alignment horizontal="center"/>
    </xf>
    <xf numFmtId="0" fontId="25" fillId="0" borderId="0" xfId="2" applyFont="1" applyAlignment="1">
      <alignment horizontal="right"/>
    </xf>
    <xf numFmtId="2" fontId="17" fillId="0" borderId="0" xfId="2" applyNumberFormat="1" applyFont="1" applyBorder="1" applyAlignment="1">
      <alignment horizontal="center"/>
    </xf>
    <xf numFmtId="2" fontId="26" fillId="0" borderId="0" xfId="2" applyNumberFormat="1" applyFont="1" applyBorder="1" applyAlignment="1">
      <alignment horizontal="center"/>
    </xf>
    <xf numFmtId="0" fontId="29" fillId="3" borderId="1" xfId="0" applyFont="1" applyFill="1" applyBorder="1" applyAlignment="1">
      <alignment wrapText="1"/>
    </xf>
    <xf numFmtId="0" fontId="27" fillId="0" borderId="0" xfId="0" applyFont="1" applyBorder="1" applyAlignment="1"/>
    <xf numFmtId="1" fontId="29" fillId="0" borderId="1" xfId="0" applyNumberFormat="1"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6" fontId="13" fillId="0" borderId="1" xfId="1" applyNumberFormat="1" applyFont="1" applyFill="1" applyBorder="1" applyAlignment="1">
      <alignment vertical="center"/>
    </xf>
    <xf numFmtId="1" fontId="17" fillId="0" borderId="1" xfId="0" applyNumberFormat="1" applyFont="1" applyFill="1" applyBorder="1" applyAlignment="1">
      <alignment horizontal="center"/>
    </xf>
    <xf numFmtId="0" fontId="21" fillId="0" borderId="0" xfId="0" applyFont="1" applyFill="1" applyBorder="1"/>
    <xf numFmtId="0" fontId="30" fillId="0" borderId="4" xfId="0" applyFont="1" applyFill="1" applyBorder="1" applyAlignment="1">
      <alignment horizontal="center"/>
    </xf>
    <xf numFmtId="0" fontId="23" fillId="0" borderId="1" xfId="0" applyFont="1" applyFill="1" applyBorder="1" applyAlignment="1">
      <alignment horizontal="center" vertical="center" wrapText="1"/>
    </xf>
    <xf numFmtId="0" fontId="23" fillId="0" borderId="6" xfId="0" applyFont="1" applyFill="1" applyBorder="1" applyAlignment="1">
      <alignment horizontal="center" vertical="center" wrapText="1"/>
    </xf>
    <xf numFmtId="2" fontId="24" fillId="0" borderId="6" xfId="0" applyNumberFormat="1" applyFont="1" applyFill="1" applyBorder="1" applyAlignment="1">
      <alignment horizontal="center"/>
    </xf>
    <xf numFmtId="0" fontId="23" fillId="0" borderId="6" xfId="0" applyFont="1" applyFill="1" applyBorder="1" applyAlignment="1">
      <alignment horizontal="center"/>
    </xf>
    <xf numFmtId="2" fontId="17" fillId="0" borderId="6" xfId="0" applyNumberFormat="1" applyFont="1" applyFill="1" applyBorder="1" applyAlignment="1">
      <alignment horizontal="center" vertical="center" wrapText="1"/>
    </xf>
    <xf numFmtId="2" fontId="17" fillId="0" borderId="6" xfId="0" applyNumberFormat="1" applyFont="1" applyFill="1" applyBorder="1" applyAlignment="1">
      <alignment horizontal="center"/>
    </xf>
    <xf numFmtId="2" fontId="17" fillId="0" borderId="6" xfId="0" applyNumberFormat="1" applyFont="1" applyFill="1" applyBorder="1" applyAlignment="1">
      <alignment horizontal="center" vertical="center"/>
    </xf>
    <xf numFmtId="0" fontId="23" fillId="0" borderId="3" xfId="0" applyFont="1" applyFill="1" applyBorder="1" applyAlignment="1">
      <alignment horizontal="center"/>
    </xf>
    <xf numFmtId="2" fontId="24" fillId="0" borderId="3" xfId="0" applyNumberFormat="1" applyFont="1" applyFill="1" applyBorder="1" applyAlignment="1">
      <alignment horizontal="center"/>
    </xf>
    <xf numFmtId="0" fontId="23" fillId="0" borderId="4" xfId="0" applyFont="1" applyFill="1" applyBorder="1" applyAlignment="1">
      <alignment horizontal="center"/>
    </xf>
    <xf numFmtId="2" fontId="17" fillId="0" borderId="3" xfId="0" applyNumberFormat="1" applyFont="1" applyFill="1" applyBorder="1" applyAlignment="1">
      <alignment horizontal="center"/>
    </xf>
    <xf numFmtId="2" fontId="17" fillId="0" borderId="3" xfId="0" applyNumberFormat="1" applyFont="1" applyFill="1" applyBorder="1" applyAlignment="1">
      <alignment horizontal="center" vertical="center"/>
    </xf>
    <xf numFmtId="0" fontId="24" fillId="0" borderId="6" xfId="0" applyFont="1" applyFill="1" applyBorder="1" applyAlignment="1">
      <alignment horizontal="center"/>
    </xf>
    <xf numFmtId="0" fontId="24" fillId="0" borderId="3" xfId="0" applyFont="1" applyFill="1" applyBorder="1" applyAlignment="1">
      <alignment horizontal="center"/>
    </xf>
    <xf numFmtId="0" fontId="23" fillId="0" borderId="3" xfId="0" applyFont="1" applyFill="1" applyBorder="1" applyAlignment="1">
      <alignment horizontal="center" vertical="top" wrapText="1"/>
    </xf>
    <xf numFmtId="2" fontId="24" fillId="0" borderId="4" xfId="0" applyNumberFormat="1" applyFont="1" applyFill="1" applyBorder="1" applyAlignment="1">
      <alignment horizontal="center"/>
    </xf>
    <xf numFmtId="2" fontId="17" fillId="0" borderId="4" xfId="0" applyNumberFormat="1" applyFont="1" applyFill="1" applyBorder="1" applyAlignment="1">
      <alignment horizontal="center"/>
    </xf>
    <xf numFmtId="2" fontId="17" fillId="0" borderId="4" xfId="0" applyNumberFormat="1" applyFont="1" applyFill="1" applyBorder="1" applyAlignment="1">
      <alignment horizontal="center" vertical="center"/>
    </xf>
    <xf numFmtId="0" fontId="23" fillId="0" borderId="0" xfId="0" applyFont="1" applyFill="1" applyBorder="1"/>
    <xf numFmtId="2" fontId="17" fillId="0" borderId="1" xfId="0" applyNumberFormat="1" applyFont="1" applyFill="1" applyBorder="1" applyAlignment="1">
      <alignment horizontal="center"/>
    </xf>
    <xf numFmtId="0" fontId="21" fillId="0" borderId="0" xfId="0" applyFont="1" applyFill="1" applyBorder="1" applyAlignment="1">
      <alignment horizontal="right"/>
    </xf>
    <xf numFmtId="2" fontId="17" fillId="0" borderId="2" xfId="0" applyNumberFormat="1" applyFont="1" applyFill="1" applyBorder="1" applyAlignment="1">
      <alignment horizontal="center"/>
    </xf>
    <xf numFmtId="0" fontId="17" fillId="0" borderId="0" xfId="0" applyFont="1" applyFill="1" applyBorder="1" applyAlignment="1">
      <alignment horizontal="center"/>
    </xf>
    <xf numFmtId="0" fontId="31" fillId="0" borderId="0" xfId="0" applyFont="1" applyFill="1" applyBorder="1"/>
    <xf numFmtId="0" fontId="27" fillId="0" borderId="0" xfId="0" applyFont="1" applyBorder="1" applyAlignment="1">
      <alignment horizontal="center"/>
    </xf>
    <xf numFmtId="0" fontId="35" fillId="0" borderId="1" xfId="0" applyFont="1" applyBorder="1" applyAlignment="1">
      <alignment wrapText="1"/>
    </xf>
    <xf numFmtId="0" fontId="2" fillId="0" borderId="1" xfId="0" applyFont="1" applyBorder="1" applyAlignment="1">
      <alignment vertical="center"/>
    </xf>
    <xf numFmtId="0" fontId="0" fillId="0" borderId="1" xfId="0" applyBorder="1" applyAlignment="1">
      <alignment vertical="center"/>
    </xf>
    <xf numFmtId="165" fontId="0" fillId="0" borderId="1" xfId="0" applyNumberFormat="1" applyBorder="1" applyAlignment="1">
      <alignment vertical="center"/>
    </xf>
    <xf numFmtId="2" fontId="2" fillId="0" borderId="1" xfId="0" applyNumberFormat="1" applyFont="1" applyBorder="1" applyAlignment="1">
      <alignment vertical="center"/>
    </xf>
    <xf numFmtId="0" fontId="0" fillId="0" borderId="1" xfId="0" quotePrefix="1" applyBorder="1" applyAlignment="1">
      <alignment horizontal="right" vertical="center"/>
    </xf>
    <xf numFmtId="0" fontId="14" fillId="0" borderId="1" xfId="0" quotePrefix="1" applyFont="1" applyBorder="1" applyAlignment="1">
      <alignment horizontal="right" vertical="center" wrapText="1"/>
    </xf>
    <xf numFmtId="2" fontId="36" fillId="0" borderId="1" xfId="0" applyNumberFormat="1" applyFont="1" applyBorder="1" applyAlignment="1">
      <alignment vertical="center"/>
    </xf>
    <xf numFmtId="0" fontId="0" fillId="0" borderId="0" xfId="0" applyBorder="1" applyAlignment="1">
      <alignment vertical="center"/>
    </xf>
    <xf numFmtId="0" fontId="29" fillId="3" borderId="1" xfId="0" applyFont="1" applyFill="1" applyBorder="1" applyAlignment="1">
      <alignment vertical="center" wrapText="1"/>
    </xf>
    <xf numFmtId="0" fontId="27" fillId="0" borderId="0" xfId="0" applyFont="1" applyBorder="1" applyAlignment="1">
      <alignment horizontal="center"/>
    </xf>
    <xf numFmtId="0" fontId="27" fillId="0" borderId="0" xfId="0" applyFont="1" applyBorder="1" applyAlignment="1">
      <alignment horizontal="center"/>
    </xf>
    <xf numFmtId="0" fontId="35" fillId="0" borderId="1" xfId="0" quotePrefix="1" applyFont="1" applyBorder="1" applyAlignment="1">
      <alignment wrapText="1"/>
    </xf>
    <xf numFmtId="165" fontId="14" fillId="0" borderId="1" xfId="0" applyNumberFormat="1" applyFont="1" applyBorder="1" applyAlignment="1"/>
    <xf numFmtId="2" fontId="14" fillId="0" borderId="1" xfId="0" applyNumberFormat="1" applyFont="1" applyBorder="1" applyAlignment="1"/>
    <xf numFmtId="2" fontId="3" fillId="0" borderId="1" xfId="0" applyNumberFormat="1" applyFont="1" applyBorder="1" applyAlignment="1"/>
    <xf numFmtId="2" fontId="3" fillId="0" borderId="1" xfId="1" applyNumberFormat="1" applyFont="1" applyBorder="1" applyAlignment="1"/>
    <xf numFmtId="2" fontId="0" fillId="0" borderId="1" xfId="0" applyNumberFormat="1" applyBorder="1"/>
    <xf numFmtId="0" fontId="35" fillId="0" borderId="1" xfId="0" quotePrefix="1" applyFont="1" applyBorder="1" applyAlignment="1">
      <alignment vertical="center" wrapText="1"/>
    </xf>
    <xf numFmtId="165" fontId="14" fillId="0" borderId="1" xfId="0" applyNumberFormat="1" applyFont="1" applyBorder="1" applyAlignment="1">
      <alignment vertical="center"/>
    </xf>
    <xf numFmtId="0" fontId="3" fillId="0" borderId="1" xfId="0" applyFont="1" applyBorder="1" applyAlignment="1"/>
    <xf numFmtId="0" fontId="0" fillId="0" borderId="1" xfId="0" applyBorder="1" applyAlignment="1"/>
    <xf numFmtId="0" fontId="14" fillId="0" borderId="1" xfId="0" applyFont="1" applyBorder="1" applyAlignment="1"/>
    <xf numFmtId="0" fontId="0" fillId="0" borderId="0" xfId="0" applyAlignment="1"/>
    <xf numFmtId="0" fontId="27" fillId="0" borderId="0" xfId="0" applyFont="1" applyBorder="1" applyAlignment="1">
      <alignment horizontal="center"/>
    </xf>
    <xf numFmtId="0" fontId="38" fillId="3" borderId="1" xfId="0" applyFont="1" applyFill="1" applyBorder="1" applyAlignment="1">
      <alignment wrapText="1"/>
    </xf>
    <xf numFmtId="2" fontId="14" fillId="0" borderId="1" xfId="0" quotePrefix="1" applyNumberFormat="1" applyFont="1" applyBorder="1" applyAlignment="1">
      <alignment horizontal="right"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27" fillId="0" borderId="0" xfId="0" applyFont="1" applyBorder="1" applyAlignment="1">
      <alignment horizontal="center"/>
    </xf>
    <xf numFmtId="2" fontId="14"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4"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32" fillId="0" borderId="0" xfId="0" applyFont="1" applyFill="1" applyBorder="1" applyAlignment="1">
      <alignment horizontal="left"/>
    </xf>
    <xf numFmtId="0" fontId="27" fillId="0" borderId="0" xfId="0" applyFont="1" applyFill="1" applyBorder="1" applyAlignment="1">
      <alignment horizontal="center"/>
    </xf>
    <xf numFmtId="0" fontId="32" fillId="0" borderId="0" xfId="0" applyFont="1" applyFill="1" applyBorder="1" applyAlignment="1">
      <alignment horizontal="center"/>
    </xf>
    <xf numFmtId="0" fontId="23" fillId="0" borderId="6" xfId="0" applyFont="1" applyFill="1" applyBorder="1" applyAlignment="1">
      <alignment horizontal="center" vertical="center" wrapText="1"/>
    </xf>
    <xf numFmtId="0" fontId="33" fillId="0" borderId="4" xfId="0" applyFont="1" applyFill="1" applyBorder="1" applyAlignment="1">
      <alignment horizontal="center" vertical="center"/>
    </xf>
    <xf numFmtId="0" fontId="23" fillId="0" borderId="6" xfId="0" applyFont="1" applyFill="1" applyBorder="1" applyAlignment="1">
      <alignment horizontal="center" vertical="center"/>
    </xf>
    <xf numFmtId="0" fontId="23" fillId="0" borderId="3" xfId="0" applyFont="1" applyFill="1" applyBorder="1" applyAlignment="1">
      <alignment horizontal="center" vertical="center"/>
    </xf>
    <xf numFmtId="0" fontId="23" fillId="0" borderId="4" xfId="0" applyFont="1" applyFill="1" applyBorder="1" applyAlignment="1">
      <alignment horizontal="center" vertical="center"/>
    </xf>
    <xf numFmtId="0" fontId="34" fillId="0" borderId="0" xfId="0" applyFont="1" applyFill="1" applyBorder="1" applyAlignment="1">
      <alignment horizontal="left"/>
    </xf>
    <xf numFmtId="0" fontId="20" fillId="0" borderId="0" xfId="2" applyFont="1" applyAlignment="1">
      <alignment horizontal="center"/>
    </xf>
    <xf numFmtId="0" fontId="22" fillId="0" borderId="2" xfId="2" applyFont="1" applyBorder="1" applyAlignment="1">
      <alignment horizontal="center"/>
    </xf>
    <xf numFmtId="0" fontId="23" fillId="0" borderId="1" xfId="2" applyFont="1" applyBorder="1" applyAlignment="1">
      <alignment horizontal="center" vertical="center"/>
    </xf>
    <xf numFmtId="0" fontId="16" fillId="0" borderId="1" xfId="2" applyBorder="1" applyAlignment="1">
      <alignment horizontal="center" vertical="center"/>
    </xf>
    <xf numFmtId="0" fontId="38" fillId="0" borderId="0" xfId="0" applyFont="1" applyAlignment="1">
      <alignment horizontal="center"/>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178514</xdr:colOff>
      <xdr:row>32</xdr:row>
      <xdr:rowOff>130996</xdr:rowOff>
    </xdr:from>
    <xdr:to>
      <xdr:col>2</xdr:col>
      <xdr:colOff>435689</xdr:colOff>
      <xdr:row>33</xdr:row>
      <xdr:rowOff>96428</xdr:rowOff>
    </xdr:to>
    <xdr:sp macro="" textlink="">
      <xdr:nvSpPr>
        <xdr:cNvPr id="2" name="Text Box 181"/>
        <xdr:cNvSpPr txBox="1">
          <a:spLocks noChangeArrowheads="1"/>
        </xdr:cNvSpPr>
      </xdr:nvSpPr>
      <xdr:spPr bwMode="auto">
        <a:xfrm>
          <a:off x="1572974" y="228982456"/>
          <a:ext cx="257175" cy="194032"/>
        </a:xfrm>
        <a:prstGeom prst="rect">
          <a:avLst/>
        </a:prstGeom>
        <a:solidFill>
          <a:srgbClr val="FFFFFF"/>
        </a:solid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dar%20rate\dar%20rate%2080%2081\Civil%20rate%20analysis%2080-81%20%20shankharapur%20%20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ar%20rate%2078%2079\Road-rate%20analysis%20078-79_Kageshwori%20Mu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081_082/ofc/ofc/Rate%20analysis/for-all-Civil-rate-analysis-81-82-shankharapur-Municipalit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2)"/>
      <sheetName val="Sheet3"/>
      <sheetName val="Table of Content 1"/>
      <sheetName val="Sheet1"/>
      <sheetName val="rate anal ciaa"/>
      <sheetName val="inland revenue"/>
    </sheetNames>
    <sheetDataSet>
      <sheetData sheetId="0" refreshError="1"/>
      <sheetData sheetId="1" refreshError="1"/>
      <sheetData sheetId="2" refreshError="1"/>
      <sheetData sheetId="3" refreshError="1">
        <row r="5">
          <cell r="N5">
            <v>900</v>
          </cell>
        </row>
        <row r="6">
          <cell r="N6">
            <v>1200</v>
          </cell>
        </row>
        <row r="41">
          <cell r="N41">
            <v>0</v>
          </cell>
        </row>
        <row r="43">
          <cell r="N43">
            <v>613.31999999999994</v>
          </cell>
        </row>
        <row r="46">
          <cell r="N46">
            <v>99000</v>
          </cell>
        </row>
        <row r="49">
          <cell r="N49">
            <v>106</v>
          </cell>
        </row>
        <row r="50">
          <cell r="N50">
            <v>312</v>
          </cell>
        </row>
        <row r="53">
          <cell r="N53">
            <v>215037.9</v>
          </cell>
        </row>
        <row r="55">
          <cell r="N55">
            <v>57449.37</v>
          </cell>
        </row>
        <row r="56">
          <cell r="N56">
            <v>231704.22</v>
          </cell>
        </row>
        <row r="57">
          <cell r="N57">
            <v>2023.7766666666666</v>
          </cell>
        </row>
        <row r="60">
          <cell r="N60">
            <v>4</v>
          </cell>
        </row>
        <row r="61">
          <cell r="N61">
            <v>21.142857142857142</v>
          </cell>
        </row>
        <row r="62">
          <cell r="N62">
            <v>29</v>
          </cell>
        </row>
        <row r="63">
          <cell r="N63">
            <v>15</v>
          </cell>
        </row>
        <row r="64">
          <cell r="N64">
            <v>42</v>
          </cell>
        </row>
        <row r="65">
          <cell r="N65">
            <v>71</v>
          </cell>
        </row>
        <row r="66">
          <cell r="N66">
            <v>114</v>
          </cell>
        </row>
        <row r="67">
          <cell r="N67">
            <v>1821</v>
          </cell>
        </row>
        <row r="68">
          <cell r="N68">
            <v>666</v>
          </cell>
        </row>
        <row r="69">
          <cell r="N69">
            <v>387.36</v>
          </cell>
        </row>
        <row r="71">
          <cell r="N71">
            <v>570.28</v>
          </cell>
        </row>
        <row r="83">
          <cell r="N83">
            <v>688.64</v>
          </cell>
        </row>
        <row r="88">
          <cell r="N88">
            <v>742.44</v>
          </cell>
        </row>
        <row r="89">
          <cell r="N89">
            <v>850.04</v>
          </cell>
        </row>
        <row r="92">
          <cell r="N92">
            <v>34</v>
          </cell>
        </row>
        <row r="93">
          <cell r="N93">
            <v>166</v>
          </cell>
        </row>
        <row r="94">
          <cell r="N94">
            <v>93</v>
          </cell>
        </row>
        <row r="95">
          <cell r="N95">
            <v>584.80941704035877</v>
          </cell>
        </row>
        <row r="97">
          <cell r="N97">
            <v>490.07847533632287</v>
          </cell>
        </row>
        <row r="188">
          <cell r="N188">
            <v>16.428571428571427</v>
          </cell>
        </row>
        <row r="189">
          <cell r="N189">
            <v>52</v>
          </cell>
        </row>
      </sheetData>
      <sheetData sheetId="4" refreshError="1"/>
      <sheetData sheetId="5" refreshError="1"/>
      <sheetData sheetId="6" refreshError="1"/>
      <sheetData sheetId="7" refreshError="1">
        <row r="7">
          <cell r="F7">
            <v>900</v>
          </cell>
        </row>
        <row r="28">
          <cell r="F28">
            <v>900</v>
          </cell>
        </row>
        <row r="40">
          <cell r="F40" t="str">
            <v>jf:tljs b//]6</v>
          </cell>
        </row>
        <row r="49">
          <cell r="F49">
            <v>900</v>
          </cell>
        </row>
        <row r="61">
          <cell r="F61" t="str">
            <v>jf:tljs b//]6</v>
          </cell>
        </row>
        <row r="117">
          <cell r="F117">
            <v>900</v>
          </cell>
        </row>
        <row r="129">
          <cell r="F129">
            <v>900</v>
          </cell>
        </row>
        <row r="665">
          <cell r="F665">
            <v>0.28000000000000003</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 val="Datasheet"/>
      <sheetName val="Abstract"/>
      <sheetName val="Quantity_Sheet"/>
      <sheetName val="District_Rate"/>
      <sheetName val="Equipment_Rate"/>
      <sheetName val="Summary_of_Rates"/>
      <sheetName val="rate (roadway)"/>
      <sheetName val="manhole"/>
    </sheetNames>
    <sheetDataSet>
      <sheetData sheetId="0" refreshError="1"/>
      <sheetData sheetId="1" refreshError="1"/>
      <sheetData sheetId="2" refreshError="1">
        <row r="36">
          <cell r="D36">
            <v>40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59">
          <cell r="N59">
            <v>132</v>
          </cell>
        </row>
        <row r="215">
          <cell r="N215">
            <v>2304</v>
          </cell>
        </row>
      </sheetData>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20ld=ld=%20Kn]g%20kmfO%7Bj/%20Unf;%20kftfn%5d%205fgf%205fpg%5d%20sfd" TargetMode="External"/><Relationship Id="rId1" Type="http://schemas.openxmlformats.org/officeDocument/2006/relationships/hyperlink" Target="mailto:!@=%25%20dL=dL=%20l;d]G6%20afn'jf%20-!M$_%20Knfi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25%20dL=dL=%20l;d]G6%20afn'jf%20-!M$_%20Knfi6/"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25%20dL=dL=%20l;d]G6%20afn'jf%20-!M$_%20Knfi6/"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25%20dL=dL=%20l;d]G6%20afn'jf%20-!M$_%20Knfi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I10" sqref="I10"/>
    </sheetView>
  </sheetViews>
  <sheetFormatPr defaultRowHeight="14.4"/>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c r="A1" s="158" t="s">
        <v>0</v>
      </c>
      <c r="B1" s="158"/>
      <c r="C1" s="158"/>
      <c r="D1" s="158"/>
      <c r="E1" s="158"/>
      <c r="F1" s="158"/>
      <c r="G1" s="158"/>
      <c r="H1" s="158"/>
      <c r="I1" s="158"/>
      <c r="J1" s="158"/>
      <c r="K1" s="158"/>
    </row>
    <row r="2" spans="1:11" ht="24.6">
      <c r="A2" s="159" t="s">
        <v>1</v>
      </c>
      <c r="B2" s="159"/>
      <c r="C2" s="159"/>
      <c r="D2" s="159"/>
      <c r="E2" s="159"/>
      <c r="F2" s="159"/>
      <c r="G2" s="159"/>
      <c r="H2" s="159"/>
      <c r="I2" s="159"/>
      <c r="J2" s="159"/>
      <c r="K2" s="159"/>
    </row>
    <row r="3" spans="1:11" s="1" customFormat="1">
      <c r="A3" s="160" t="s">
        <v>2</v>
      </c>
      <c r="B3" s="160"/>
      <c r="C3" s="160"/>
      <c r="D3" s="160"/>
      <c r="E3" s="160"/>
      <c r="F3" s="160"/>
      <c r="G3" s="160"/>
      <c r="H3" s="160"/>
      <c r="I3" s="160"/>
      <c r="J3" s="160"/>
      <c r="K3" s="160"/>
    </row>
    <row r="4" spans="1:11" s="1" customFormat="1">
      <c r="A4" s="160" t="s">
        <v>3</v>
      </c>
      <c r="B4" s="160"/>
      <c r="C4" s="160"/>
      <c r="D4" s="160"/>
      <c r="E4" s="160"/>
      <c r="F4" s="160"/>
      <c r="G4" s="160"/>
      <c r="H4" s="160"/>
      <c r="I4" s="160"/>
      <c r="J4" s="160"/>
      <c r="K4" s="160"/>
    </row>
    <row r="5" spans="1:11" ht="18">
      <c r="A5" s="161" t="s">
        <v>18</v>
      </c>
      <c r="B5" s="161"/>
      <c r="C5" s="161"/>
      <c r="D5" s="161"/>
      <c r="E5" s="161"/>
      <c r="F5" s="161"/>
      <c r="G5" s="161"/>
      <c r="H5" s="161"/>
      <c r="I5" s="161"/>
      <c r="J5" s="161"/>
      <c r="K5" s="161"/>
    </row>
    <row r="6" spans="1:11" ht="18">
      <c r="A6" s="8" t="s">
        <v>19</v>
      </c>
      <c r="B6" s="8"/>
      <c r="C6" s="156" t="e">
        <f>F18</f>
        <v>#REF!</v>
      </c>
      <c r="D6" s="157"/>
      <c r="E6" s="9"/>
      <c r="F6" s="8"/>
      <c r="G6" s="8"/>
      <c r="H6" s="8" t="s">
        <v>20</v>
      </c>
      <c r="I6" s="8"/>
      <c r="J6" s="156" t="e">
        <f>I18</f>
        <v>#REF!</v>
      </c>
      <c r="K6" s="157"/>
    </row>
    <row r="7" spans="1:11">
      <c r="A7" s="25" t="s">
        <v>29</v>
      </c>
      <c r="B7" s="10"/>
      <c r="C7" s="10"/>
      <c r="D7" s="10"/>
      <c r="F7" s="151"/>
      <c r="G7" s="151"/>
      <c r="I7" s="152" t="s">
        <v>37</v>
      </c>
      <c r="J7" s="152"/>
      <c r="K7" s="152"/>
    </row>
    <row r="8" spans="1:11" ht="15.6">
      <c r="A8" s="150" t="e">
        <f>#REF!</f>
        <v>#REF!</v>
      </c>
      <c r="B8" s="150"/>
      <c r="C8" s="150"/>
      <c r="D8" s="150"/>
      <c r="E8" s="150"/>
      <c r="F8" s="150"/>
      <c r="I8" s="153" t="s">
        <v>38</v>
      </c>
      <c r="J8" s="153"/>
      <c r="K8" s="153"/>
    </row>
    <row r="9" spans="1:11">
      <c r="A9" s="154" t="e">
        <f>#REF!</f>
        <v>#REF!</v>
      </c>
      <c r="B9" s="154"/>
      <c r="C9" s="154"/>
      <c r="D9" s="154"/>
      <c r="E9" s="154"/>
      <c r="F9" s="154"/>
      <c r="I9" s="153" t="s">
        <v>39</v>
      </c>
      <c r="J9" s="153"/>
      <c r="K9" s="153"/>
    </row>
    <row r="11" spans="1:11">
      <c r="A11" s="148" t="s">
        <v>21</v>
      </c>
      <c r="B11" s="148" t="s">
        <v>22</v>
      </c>
      <c r="C11" s="148" t="s">
        <v>12</v>
      </c>
      <c r="D11" s="155" t="s">
        <v>23</v>
      </c>
      <c r="E11" s="155"/>
      <c r="F11" s="155"/>
      <c r="G11" s="155" t="s">
        <v>24</v>
      </c>
      <c r="H11" s="155"/>
      <c r="I11" s="155"/>
      <c r="J11" s="148" t="s">
        <v>25</v>
      </c>
      <c r="K11" s="149" t="s">
        <v>15</v>
      </c>
    </row>
    <row r="12" spans="1:11">
      <c r="A12" s="148"/>
      <c r="B12" s="148"/>
      <c r="C12" s="148"/>
      <c r="D12" s="11" t="s">
        <v>26</v>
      </c>
      <c r="E12" s="11" t="s">
        <v>13</v>
      </c>
      <c r="F12" s="11" t="s">
        <v>14</v>
      </c>
      <c r="G12" s="11" t="s">
        <v>26</v>
      </c>
      <c r="H12" s="11" t="s">
        <v>13</v>
      </c>
      <c r="I12" s="11" t="s">
        <v>14</v>
      </c>
      <c r="J12" s="148"/>
      <c r="K12" s="149"/>
    </row>
    <row r="13" spans="1:11" s="1" customFormat="1" ht="15.6">
      <c r="A13" s="26" t="e">
        <f>#REF!</f>
        <v>#REF!</v>
      </c>
      <c r="B13" s="31" t="e">
        <f>#REF!</f>
        <v>#REF!</v>
      </c>
      <c r="C13" s="12" t="e">
        <f>#REF!</f>
        <v>#REF!</v>
      </c>
      <c r="D13" s="12" t="e">
        <f>#REF!</f>
        <v>#REF!</v>
      </c>
      <c r="E13" s="12" t="e">
        <f>#REF!</f>
        <v>#REF!</v>
      </c>
      <c r="F13" s="12" t="e">
        <f>D13*E13</f>
        <v>#REF!</v>
      </c>
      <c r="G13" s="12" t="e">
        <f>#REF!</f>
        <v>#REF!</v>
      </c>
      <c r="H13" s="12" t="e">
        <f>#REF!</f>
        <v>#REF!</v>
      </c>
      <c r="I13" s="12" t="e">
        <f>G13*H13</f>
        <v>#REF!</v>
      </c>
      <c r="J13" s="27" t="e">
        <f>I13-F13</f>
        <v>#REF!</v>
      </c>
      <c r="K13" s="14"/>
    </row>
    <row r="14" spans="1:11" s="1" customFormat="1" ht="15.6">
      <c r="A14" s="26"/>
      <c r="B14" s="32" t="e">
        <f>#REF!</f>
        <v>#REF!</v>
      </c>
      <c r="C14" s="12"/>
      <c r="D14" s="12"/>
      <c r="E14" s="12"/>
      <c r="F14" s="12" t="e">
        <f>#REF!</f>
        <v>#REF!</v>
      </c>
      <c r="G14" s="12"/>
      <c r="H14" s="12"/>
      <c r="I14" s="12" t="e">
        <f>#REF!</f>
        <v>#REF!</v>
      </c>
      <c r="J14" s="27"/>
      <c r="K14" s="14"/>
    </row>
    <row r="15" spans="1:11" s="1" customFormat="1">
      <c r="A15" s="28"/>
      <c r="B15" s="28"/>
      <c r="C15" s="12"/>
      <c r="D15" s="12"/>
      <c r="E15" s="12"/>
      <c r="F15" s="12"/>
      <c r="G15" s="12"/>
      <c r="H15" s="12"/>
      <c r="I15" s="12"/>
      <c r="J15" s="27"/>
      <c r="K15" s="14"/>
    </row>
    <row r="16" spans="1:11" s="1" customFormat="1">
      <c r="A16" s="26" t="e">
        <f>#REF!</f>
        <v>#REF!</v>
      </c>
      <c r="B16" s="30" t="e">
        <f>#REF!</f>
        <v>#REF!</v>
      </c>
      <c r="C16" s="12" t="e">
        <f>#REF!</f>
        <v>#REF!</v>
      </c>
      <c r="D16" s="12" t="e">
        <f>#REF!</f>
        <v>#REF!</v>
      </c>
      <c r="E16" s="12" t="e">
        <f>#REF!</f>
        <v>#REF!</v>
      </c>
      <c r="F16" s="12" t="e">
        <f>D16*E16</f>
        <v>#REF!</v>
      </c>
      <c r="G16" s="12" t="e">
        <f>#REF!</f>
        <v>#REF!</v>
      </c>
      <c r="H16" s="12" t="e">
        <f>#REF!</f>
        <v>#REF!</v>
      </c>
      <c r="I16" s="12" t="e">
        <f>G16*H16</f>
        <v>#REF!</v>
      </c>
      <c r="J16" s="27" t="e">
        <f>I16-F16</f>
        <v>#REF!</v>
      </c>
      <c r="K16" s="14"/>
    </row>
    <row r="17" spans="1:11" s="1" customFormat="1">
      <c r="A17" s="28"/>
      <c r="B17" s="28"/>
      <c r="C17" s="12"/>
      <c r="D17" s="12"/>
      <c r="E17" s="12"/>
      <c r="F17" s="12"/>
      <c r="G17" s="12"/>
      <c r="H17" s="12"/>
      <c r="I17" s="12"/>
      <c r="J17" s="27"/>
      <c r="K17" s="14"/>
    </row>
    <row r="18" spans="1:11">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1"/>
  <sheetViews>
    <sheetView topLeftCell="A4" zoomScaleNormal="100" workbookViewId="0">
      <selection activeCell="D17" sqref="D17:E17"/>
    </sheetView>
  </sheetViews>
  <sheetFormatPr defaultRowHeight="14.4"/>
  <cols>
    <col min="1" max="1" width="4.6640625" customWidth="1"/>
    <col min="2" max="2" width="31.33203125" customWidth="1"/>
    <col min="3" max="3" width="5.5546875" bestFit="1" customWidth="1"/>
    <col min="4" max="4" width="7.5546875" customWidth="1"/>
    <col min="5" max="5" width="8.5546875" customWidth="1"/>
    <col min="6" max="6" width="8" customWidth="1"/>
    <col min="7" max="7" width="9.44140625" customWidth="1"/>
    <col min="8" max="8" width="5" bestFit="1" customWidth="1"/>
    <col min="9" max="9" width="9.5546875" bestFit="1" customWidth="1"/>
    <col min="10" max="10" width="10.6640625" bestFit="1" customWidth="1"/>
  </cols>
  <sheetData>
    <row r="1" spans="1:14" s="1" customFormat="1">
      <c r="A1" s="168" t="s">
        <v>0</v>
      </c>
      <c r="B1" s="168"/>
      <c r="C1" s="168"/>
      <c r="D1" s="168"/>
      <c r="E1" s="168"/>
      <c r="F1" s="168"/>
      <c r="G1" s="168"/>
      <c r="H1" s="168"/>
      <c r="I1" s="168"/>
      <c r="J1" s="168"/>
      <c r="K1" s="168"/>
    </row>
    <row r="2" spans="1:14" s="1" customFormat="1" ht="22.8">
      <c r="A2" s="169" t="s">
        <v>1</v>
      </c>
      <c r="B2" s="169"/>
      <c r="C2" s="169"/>
      <c r="D2" s="169"/>
      <c r="E2" s="169"/>
      <c r="F2" s="169"/>
      <c r="G2" s="169"/>
      <c r="H2" s="169"/>
      <c r="I2" s="169"/>
      <c r="J2" s="169"/>
      <c r="K2" s="169"/>
    </row>
    <row r="3" spans="1:14" s="1" customFormat="1">
      <c r="A3" s="160" t="s">
        <v>2</v>
      </c>
      <c r="B3" s="160"/>
      <c r="C3" s="160"/>
      <c r="D3" s="160"/>
      <c r="E3" s="160"/>
      <c r="F3" s="160"/>
      <c r="G3" s="160"/>
      <c r="H3" s="160"/>
      <c r="I3" s="160"/>
      <c r="J3" s="160"/>
      <c r="K3" s="160"/>
    </row>
    <row r="4" spans="1:14" s="1" customFormat="1">
      <c r="A4" s="160" t="s">
        <v>3</v>
      </c>
      <c r="B4" s="160"/>
      <c r="C4" s="160"/>
      <c r="D4" s="160"/>
      <c r="E4" s="160"/>
      <c r="F4" s="160"/>
      <c r="G4" s="160"/>
      <c r="H4" s="160"/>
      <c r="I4" s="160"/>
      <c r="J4" s="160"/>
      <c r="K4" s="160"/>
    </row>
    <row r="5" spans="1:14" ht="17.399999999999999">
      <c r="A5" s="170" t="s">
        <v>4</v>
      </c>
      <c r="B5" s="170"/>
      <c r="C5" s="170"/>
      <c r="D5" s="170"/>
      <c r="E5" s="170"/>
      <c r="F5" s="170"/>
      <c r="G5" s="170"/>
      <c r="H5" s="170"/>
      <c r="I5" s="170"/>
      <c r="J5" s="170"/>
      <c r="K5" s="170"/>
    </row>
    <row r="6" spans="1:14" ht="15.6">
      <c r="A6" s="150" t="s">
        <v>44</v>
      </c>
      <c r="B6" s="150"/>
      <c r="C6" s="150"/>
      <c r="D6" s="150"/>
      <c r="E6" s="150"/>
      <c r="F6" s="150"/>
      <c r="G6" s="2"/>
      <c r="H6" s="167" t="s">
        <v>42</v>
      </c>
      <c r="I6" s="167"/>
      <c r="J6" s="167"/>
      <c r="K6" s="167"/>
    </row>
    <row r="7" spans="1:14" ht="15.6">
      <c r="A7" s="164" t="s">
        <v>28</v>
      </c>
      <c r="B7" s="164"/>
      <c r="C7" s="164"/>
      <c r="D7" s="164"/>
      <c r="E7" s="164"/>
      <c r="F7" s="164"/>
      <c r="G7" s="3"/>
      <c r="H7" s="165" t="s">
        <v>141</v>
      </c>
      <c r="I7" s="165"/>
      <c r="J7" s="165"/>
      <c r="K7" s="165"/>
    </row>
    <row r="8" spans="1:14" ht="15" customHeight="1">
      <c r="A8" s="4" t="s">
        <v>5</v>
      </c>
      <c r="B8" s="15" t="s">
        <v>6</v>
      </c>
      <c r="C8" s="4" t="s">
        <v>7</v>
      </c>
      <c r="D8" s="16" t="s">
        <v>8</v>
      </c>
      <c r="E8" s="16" t="s">
        <v>9</v>
      </c>
      <c r="F8" s="16" t="s">
        <v>10</v>
      </c>
      <c r="G8" s="16" t="s">
        <v>11</v>
      </c>
      <c r="H8" s="4" t="s">
        <v>12</v>
      </c>
      <c r="I8" s="16" t="s">
        <v>13</v>
      </c>
      <c r="J8" s="16" t="s">
        <v>14</v>
      </c>
      <c r="K8" s="17" t="s">
        <v>15</v>
      </c>
    </row>
    <row r="9" spans="1:14" s="1" customFormat="1" ht="55.2">
      <c r="A9" s="59">
        <v>1</v>
      </c>
      <c r="B9" s="60" t="s">
        <v>45</v>
      </c>
      <c r="C9" s="60"/>
      <c r="D9" s="38"/>
      <c r="E9" s="38"/>
      <c r="F9" s="38"/>
      <c r="G9" s="38"/>
      <c r="H9" s="38"/>
      <c r="I9" s="38"/>
      <c r="J9" s="41"/>
      <c r="K9" s="28"/>
    </row>
    <row r="10" spans="1:14" ht="15" customHeight="1">
      <c r="A10" s="18"/>
      <c r="B10" s="36" t="s">
        <v>46</v>
      </c>
      <c r="C10" s="35">
        <v>1</v>
      </c>
      <c r="D10" s="37">
        <f>((5.84+1.76)+(4.23+3.4))/2</f>
        <v>7.6150000000000002</v>
      </c>
      <c r="E10" s="37">
        <f>(3.48+3.5)/2</f>
        <v>3.49</v>
      </c>
      <c r="F10" s="37"/>
      <c r="G10" s="38">
        <f t="shared" ref="G10:G12" si="0">PRODUCT(C10:F10)</f>
        <v>26.576350000000001</v>
      </c>
      <c r="H10" s="39"/>
      <c r="I10" s="39"/>
      <c r="J10" s="39"/>
      <c r="K10" s="61"/>
      <c r="N10">
        <f>5.84+1.76</f>
        <v>7.6</v>
      </c>
    </row>
    <row r="11" spans="1:14" ht="15" customHeight="1">
      <c r="A11" s="18"/>
      <c r="B11" s="36"/>
      <c r="C11" s="35">
        <v>1</v>
      </c>
      <c r="D11" s="37">
        <f>((3.87+1.86)+(3.57+2.18))/2</f>
        <v>5.74</v>
      </c>
      <c r="E11" s="37">
        <f>1.15+0.59+0.59</f>
        <v>2.3299999999999996</v>
      </c>
      <c r="F11" s="37"/>
      <c r="G11" s="38">
        <f t="shared" si="0"/>
        <v>13.374199999999998</v>
      </c>
      <c r="H11" s="39"/>
      <c r="I11" s="39"/>
      <c r="J11" s="39"/>
      <c r="K11" s="61"/>
      <c r="N11">
        <f>3.87+1.86</f>
        <v>5.73</v>
      </c>
    </row>
    <row r="12" spans="1:14" ht="15" customHeight="1">
      <c r="A12" s="18"/>
      <c r="B12" s="36"/>
      <c r="C12" s="35">
        <v>1</v>
      </c>
      <c r="D12" s="37">
        <f>5.7</f>
        <v>5.7</v>
      </c>
      <c r="E12" s="37">
        <f>2.3</f>
        <v>2.2999999999999998</v>
      </c>
      <c r="F12" s="37"/>
      <c r="G12" s="38">
        <f t="shared" si="0"/>
        <v>13.11</v>
      </c>
      <c r="H12" s="39"/>
      <c r="I12" s="39"/>
      <c r="J12" s="39"/>
      <c r="K12" s="61"/>
    </row>
    <row r="13" spans="1:14" ht="15" customHeight="1">
      <c r="A13" s="18"/>
      <c r="B13" s="36" t="s">
        <v>41</v>
      </c>
      <c r="C13" s="35"/>
      <c r="D13" s="37"/>
      <c r="E13" s="37"/>
      <c r="F13" s="37"/>
      <c r="G13" s="33">
        <f>SUM(G10:G12)</f>
        <v>53.060549999999999</v>
      </c>
      <c r="H13" s="39" t="s">
        <v>43</v>
      </c>
      <c r="I13" s="39">
        <v>817.76</v>
      </c>
      <c r="J13" s="41">
        <f>G13*I13</f>
        <v>43390.795367999999</v>
      </c>
      <c r="K13" s="21"/>
    </row>
    <row r="14" spans="1:14" ht="15" customHeight="1">
      <c r="A14" s="18"/>
      <c r="B14" s="36" t="s">
        <v>40</v>
      </c>
      <c r="C14" s="35"/>
      <c r="D14" s="37"/>
      <c r="E14" s="37"/>
      <c r="F14" s="37"/>
      <c r="G14" s="38"/>
      <c r="H14" s="39"/>
      <c r="I14" s="39"/>
      <c r="J14" s="41">
        <f>0.13*J13</f>
        <v>5640.8033978399999</v>
      </c>
      <c r="K14" s="21"/>
    </row>
    <row r="15" spans="1:14" ht="15" customHeight="1">
      <c r="A15" s="18"/>
      <c r="B15" s="36"/>
      <c r="C15" s="35"/>
      <c r="D15" s="37"/>
      <c r="E15" s="37"/>
      <c r="F15" s="37"/>
      <c r="G15" s="38"/>
      <c r="H15" s="39"/>
      <c r="I15" s="39"/>
      <c r="J15" s="41"/>
      <c r="K15" s="21"/>
    </row>
    <row r="16" spans="1:14" ht="27.6">
      <c r="A16" s="18">
        <v>2</v>
      </c>
      <c r="B16" s="60" t="s">
        <v>47</v>
      </c>
      <c r="C16" s="35"/>
      <c r="D16" s="37"/>
      <c r="E16" s="37"/>
      <c r="F16" s="37"/>
      <c r="G16" s="38"/>
      <c r="H16" s="39"/>
      <c r="I16" s="39"/>
      <c r="J16" s="41"/>
      <c r="K16" s="21"/>
    </row>
    <row r="17" spans="1:19" ht="15" customHeight="1">
      <c r="A17" s="18"/>
      <c r="B17" s="36" t="s">
        <v>48</v>
      </c>
      <c r="C17" s="35">
        <v>2</v>
      </c>
      <c r="D17" s="37">
        <f>12/3.281</f>
        <v>3.6574215178299299</v>
      </c>
      <c r="E17" s="37">
        <f>3.5/3.281</f>
        <v>1.0667479427003961</v>
      </c>
      <c r="F17" s="37"/>
      <c r="G17" s="38">
        <f>PRODUCT(C17:F17)</f>
        <v>7.8030937594664751</v>
      </c>
      <c r="H17" s="39"/>
      <c r="I17" s="39"/>
      <c r="J17" s="39"/>
      <c r="K17" s="61"/>
      <c r="N17">
        <f>5.84+1.76</f>
        <v>7.6</v>
      </c>
    </row>
    <row r="18" spans="1:19" ht="15" customHeight="1">
      <c r="A18" s="18"/>
      <c r="B18" s="36" t="s">
        <v>41</v>
      </c>
      <c r="C18" s="35"/>
      <c r="D18" s="37"/>
      <c r="E18" s="37"/>
      <c r="F18" s="37"/>
      <c r="G18" s="33">
        <f>SUM(G17:G17)</f>
        <v>7.8030937594664751</v>
      </c>
      <c r="H18" s="39" t="s">
        <v>43</v>
      </c>
      <c r="I18" s="39">
        <v>1070.9000000000001</v>
      </c>
      <c r="J18" s="41">
        <f>G18*I18</f>
        <v>8356.3331070126496</v>
      </c>
      <c r="K18" s="21"/>
    </row>
    <row r="19" spans="1:19" ht="15" customHeight="1">
      <c r="A19" s="18"/>
      <c r="B19" s="36" t="s">
        <v>40</v>
      </c>
      <c r="C19" s="35"/>
      <c r="D19" s="37"/>
      <c r="E19" s="37"/>
      <c r="F19" s="37"/>
      <c r="G19" s="38"/>
      <c r="H19" s="39"/>
      <c r="I19" s="39"/>
      <c r="J19" s="41">
        <f>0.13*8587.63/10</f>
        <v>111.63918999999999</v>
      </c>
      <c r="K19" s="21"/>
    </row>
    <row r="20" spans="1:19" ht="15" customHeight="1">
      <c r="A20" s="18"/>
      <c r="B20" s="36"/>
      <c r="C20" s="35"/>
      <c r="D20" s="37"/>
      <c r="E20" s="37"/>
      <c r="F20" s="37"/>
      <c r="G20" s="38"/>
      <c r="H20" s="39"/>
      <c r="I20" s="39"/>
      <c r="J20" s="41"/>
      <c r="K20" s="21"/>
    </row>
    <row r="21" spans="1:19" ht="41.4">
      <c r="A21" s="18">
        <v>3</v>
      </c>
      <c r="B21" s="60" t="s">
        <v>87</v>
      </c>
      <c r="C21" s="35"/>
      <c r="D21" s="37"/>
      <c r="E21" s="37"/>
      <c r="F21" s="37"/>
      <c r="G21" s="38"/>
      <c r="H21" s="39"/>
      <c r="I21" s="39"/>
      <c r="J21" s="41"/>
      <c r="K21" s="21"/>
    </row>
    <row r="22" spans="1:19" ht="15" customHeight="1">
      <c r="A22" s="18"/>
      <c r="B22" s="36" t="s">
        <v>84</v>
      </c>
      <c r="C22" s="35">
        <v>2</v>
      </c>
      <c r="D22" s="37">
        <f>(18+14)/3.281</f>
        <v>9.7531240475464784</v>
      </c>
      <c r="E22" s="37">
        <v>0.15</v>
      </c>
      <c r="F22" s="37">
        <v>0.6</v>
      </c>
      <c r="G22" s="38">
        <f>PRODUCT(C22:F22)</f>
        <v>1.7555623285583659</v>
      </c>
      <c r="H22" s="39"/>
      <c r="I22" s="39"/>
      <c r="J22" s="39"/>
      <c r="K22" s="61"/>
      <c r="N22">
        <f>5.84+1.76</f>
        <v>7.6</v>
      </c>
    </row>
    <row r="23" spans="1:19" ht="15" customHeight="1">
      <c r="A23" s="18"/>
      <c r="B23" s="36" t="s">
        <v>41</v>
      </c>
      <c r="C23" s="35"/>
      <c r="D23" s="37"/>
      <c r="E23" s="37"/>
      <c r="F23" s="37"/>
      <c r="G23" s="33">
        <f>SUM(G22:G22)</f>
        <v>1.7555623285583659</v>
      </c>
      <c r="H23" s="39" t="s">
        <v>85</v>
      </c>
      <c r="I23" s="39">
        <v>1950.4</v>
      </c>
      <c r="J23" s="41">
        <f>G23*I23</f>
        <v>3424.0487656202372</v>
      </c>
      <c r="K23" s="21"/>
    </row>
    <row r="24" spans="1:19" ht="15" customHeight="1">
      <c r="A24" s="18"/>
      <c r="B24" s="36" t="s">
        <v>40</v>
      </c>
      <c r="C24" s="35"/>
      <c r="D24" s="37"/>
      <c r="E24" s="37"/>
      <c r="F24" s="37"/>
      <c r="G24" s="38"/>
      <c r="H24" s="39"/>
      <c r="I24" s="39"/>
      <c r="J24" s="41">
        <f>0.13*J23</f>
        <v>445.12633953063084</v>
      </c>
      <c r="K24" s="21"/>
    </row>
    <row r="25" spans="1:19" ht="15" customHeight="1">
      <c r="A25" s="18"/>
      <c r="B25" s="36"/>
      <c r="C25" s="35"/>
      <c r="D25" s="37"/>
      <c r="E25" s="37"/>
      <c r="F25" s="37"/>
      <c r="G25" s="38"/>
      <c r="H25" s="39"/>
      <c r="I25" s="39"/>
      <c r="J25" s="41"/>
      <c r="K25" s="21"/>
    </row>
    <row r="26" spans="1:19" ht="30.6">
      <c r="A26" s="18">
        <v>4</v>
      </c>
      <c r="B26" s="87" t="s">
        <v>89</v>
      </c>
      <c r="C26" s="19"/>
      <c r="D26" s="20"/>
      <c r="E26" s="21"/>
      <c r="F26" s="21"/>
      <c r="G26" s="23"/>
      <c r="H26" s="22"/>
      <c r="I26" s="23"/>
      <c r="J26" s="40"/>
      <c r="K26" s="21"/>
      <c r="M26" s="88"/>
      <c r="N26" s="1"/>
      <c r="O26" s="1"/>
      <c r="P26" s="1"/>
      <c r="Q26" s="1"/>
      <c r="R26" s="88"/>
      <c r="S26" s="88"/>
    </row>
    <row r="27" spans="1:19" ht="15" customHeight="1">
      <c r="A27" s="18"/>
      <c r="B27" s="36" t="s">
        <v>90</v>
      </c>
      <c r="C27" s="19">
        <v>1</v>
      </c>
      <c r="D27" s="20">
        <f>D41</f>
        <v>9.7531240475464784</v>
      </c>
      <c r="E27" s="21">
        <v>0.4</v>
      </c>
      <c r="F27" s="21">
        <v>0.125</v>
      </c>
      <c r="G27" s="38">
        <f>PRODUCT(C27:F27)</f>
        <v>0.48765620237732393</v>
      </c>
      <c r="H27" s="22"/>
      <c r="I27" s="23"/>
      <c r="J27" s="40"/>
      <c r="K27" s="21"/>
    </row>
    <row r="28" spans="1:19" ht="15" customHeight="1">
      <c r="A28" s="18"/>
      <c r="B28" s="36" t="s">
        <v>41</v>
      </c>
      <c r="C28" s="19"/>
      <c r="D28" s="20"/>
      <c r="E28" s="21"/>
      <c r="F28" s="21"/>
      <c r="G28" s="23">
        <f>SUM(G27:G27)</f>
        <v>0.48765620237732393</v>
      </c>
      <c r="H28" s="22" t="s">
        <v>85</v>
      </c>
      <c r="I28" s="23">
        <v>663.31</v>
      </c>
      <c r="J28" s="40">
        <f>G28*I28</f>
        <v>323.46723559890273</v>
      </c>
      <c r="K28" s="21"/>
    </row>
    <row r="29" spans="1:19" ht="15" customHeight="1">
      <c r="A29" s="18"/>
      <c r="B29" s="36"/>
      <c r="C29" s="19"/>
      <c r="D29" s="20"/>
      <c r="E29" s="21"/>
      <c r="F29" s="21"/>
      <c r="G29" s="23"/>
      <c r="H29" s="22"/>
      <c r="I29" s="23"/>
      <c r="J29" s="40"/>
      <c r="K29" s="21"/>
    </row>
    <row r="30" spans="1:19" ht="15">
      <c r="A30" s="18">
        <v>5</v>
      </c>
      <c r="B30" s="89" t="s">
        <v>91</v>
      </c>
      <c r="C30" s="19"/>
      <c r="D30" s="20"/>
      <c r="E30" s="21"/>
      <c r="F30" s="21"/>
      <c r="G30" s="23"/>
      <c r="H30" s="22"/>
      <c r="I30" s="23"/>
      <c r="J30" s="40"/>
      <c r="K30" s="21"/>
    </row>
    <row r="31" spans="1:19" ht="15" customHeight="1">
      <c r="A31" s="18"/>
      <c r="B31" s="36" t="str">
        <f>B27</f>
        <v>-at drain wall base</v>
      </c>
      <c r="C31" s="19">
        <f>C27</f>
        <v>1</v>
      </c>
      <c r="D31" s="20">
        <f>D27</f>
        <v>9.7531240475464784</v>
      </c>
      <c r="E31" s="21">
        <f>E27+0.3</f>
        <v>0.7</v>
      </c>
      <c r="F31" s="21"/>
      <c r="G31" s="38">
        <f>PRODUCT(C31:F31)</f>
        <v>6.8271868332825347</v>
      </c>
      <c r="H31" s="22"/>
      <c r="I31" s="23"/>
      <c r="J31" s="40"/>
      <c r="K31" s="21"/>
    </row>
    <row r="32" spans="1:19" ht="15" customHeight="1">
      <c r="A32" s="18"/>
      <c r="B32" s="36" t="s">
        <v>41</v>
      </c>
      <c r="C32" s="19"/>
      <c r="D32" s="20"/>
      <c r="E32" s="21"/>
      <c r="F32" s="21"/>
      <c r="G32" s="23">
        <f>SUM(G31:G31)</f>
        <v>6.8271868332825347</v>
      </c>
      <c r="H32" s="22" t="s">
        <v>43</v>
      </c>
      <c r="I32" s="23">
        <v>1014.97</v>
      </c>
      <c r="J32" s="40">
        <f>G32*I32</f>
        <v>6929.3898201767743</v>
      </c>
      <c r="K32" s="21"/>
    </row>
    <row r="33" spans="1:20" ht="15" customHeight="1">
      <c r="A33" s="18"/>
      <c r="B33" s="36" t="s">
        <v>40</v>
      </c>
      <c r="C33" s="19"/>
      <c r="D33" s="20"/>
      <c r="E33" s="21"/>
      <c r="F33" s="21"/>
      <c r="G33" s="23"/>
      <c r="H33" s="22"/>
      <c r="I33" s="23"/>
      <c r="J33" s="40">
        <f>0.13*G32*8617.2/10</f>
        <v>764.80604693690952</v>
      </c>
      <c r="K33" s="21"/>
    </row>
    <row r="34" spans="1:20" ht="15" customHeight="1">
      <c r="A34" s="18"/>
      <c r="B34" s="36"/>
      <c r="C34" s="19"/>
      <c r="D34" s="20"/>
      <c r="E34" s="21"/>
      <c r="F34" s="21"/>
      <c r="G34" s="23"/>
      <c r="H34" s="22"/>
      <c r="I34" s="23"/>
      <c r="J34" s="40"/>
      <c r="K34" s="21"/>
    </row>
    <row r="35" spans="1:20" ht="30">
      <c r="A35" s="18">
        <v>6</v>
      </c>
      <c r="B35" s="89" t="s">
        <v>92</v>
      </c>
      <c r="C35" s="19"/>
      <c r="D35" s="20"/>
      <c r="E35" s="21"/>
      <c r="F35" s="21"/>
      <c r="G35" s="23"/>
      <c r="H35" s="22"/>
      <c r="I35" s="23"/>
      <c r="J35" s="40"/>
      <c r="K35" s="21"/>
    </row>
    <row r="36" spans="1:20" ht="15" customHeight="1">
      <c r="A36" s="18"/>
      <c r="B36" s="36" t="str">
        <f>B31</f>
        <v>-at drain wall base</v>
      </c>
      <c r="C36" s="19">
        <f>C31</f>
        <v>1</v>
      </c>
      <c r="D36" s="20">
        <f>D31</f>
        <v>9.7531240475464784</v>
      </c>
      <c r="E36" s="21">
        <f>E31</f>
        <v>0.7</v>
      </c>
      <c r="F36" s="21">
        <v>0.1</v>
      </c>
      <c r="G36" s="38">
        <f>PRODUCT(C36:F36)</f>
        <v>0.68271868332825347</v>
      </c>
      <c r="H36" s="22"/>
      <c r="I36" s="23"/>
      <c r="J36" s="40"/>
      <c r="K36" s="21"/>
    </row>
    <row r="37" spans="1:20" ht="15" customHeight="1">
      <c r="A37" s="18"/>
      <c r="B37" s="36" t="s">
        <v>41</v>
      </c>
      <c r="C37" s="19"/>
      <c r="D37" s="20"/>
      <c r="E37" s="21"/>
      <c r="F37" s="21"/>
      <c r="G37" s="23">
        <f>SUM(G36:G36)</f>
        <v>0.68271868332825347</v>
      </c>
      <c r="H37" s="22" t="s">
        <v>85</v>
      </c>
      <c r="I37" s="23">
        <v>1014.97</v>
      </c>
      <c r="J37" s="40">
        <f>G37*I37</f>
        <v>692.9389820176774</v>
      </c>
      <c r="K37" s="21"/>
    </row>
    <row r="38" spans="1:20" ht="15" customHeight="1">
      <c r="A38" s="18"/>
      <c r="B38" s="36" t="s">
        <v>40</v>
      </c>
      <c r="C38" s="19"/>
      <c r="D38" s="20"/>
      <c r="E38" s="21"/>
      <c r="F38" s="21"/>
      <c r="G38" s="23"/>
      <c r="H38" s="22"/>
      <c r="I38" s="23"/>
      <c r="J38" s="40">
        <f>0.13*G37*8617.2/10</f>
        <v>76.480604693690935</v>
      </c>
      <c r="K38" s="21"/>
    </row>
    <row r="39" spans="1:20" ht="15">
      <c r="A39" s="18"/>
      <c r="B39" s="89"/>
      <c r="C39" s="19"/>
      <c r="D39" s="20"/>
      <c r="E39" s="21"/>
      <c r="F39" s="21"/>
      <c r="G39" s="23"/>
      <c r="H39" s="22"/>
      <c r="I39" s="23"/>
      <c r="J39" s="40"/>
      <c r="K39" s="21"/>
    </row>
    <row r="40" spans="1:20" ht="39">
      <c r="A40" s="18">
        <v>7</v>
      </c>
      <c r="B40" s="60" t="s">
        <v>88</v>
      </c>
      <c r="C40" s="35"/>
      <c r="D40" s="37"/>
      <c r="E40" s="37"/>
      <c r="F40" s="37"/>
      <c r="G40" s="38"/>
      <c r="H40" s="39"/>
      <c r="I40" s="39"/>
      <c r="J40" s="41"/>
      <c r="K40" s="21"/>
      <c r="N40" s="66" t="s">
        <v>49</v>
      </c>
      <c r="O40" s="66"/>
      <c r="P40" s="66"/>
      <c r="Q40" s="66"/>
      <c r="R40" s="66"/>
      <c r="S40" s="66"/>
      <c r="T40" s="66"/>
    </row>
    <row r="41" spans="1:20" ht="15" customHeight="1">
      <c r="A41" s="18"/>
      <c r="B41" s="36" t="s">
        <v>84</v>
      </c>
      <c r="C41" s="35">
        <v>2</v>
      </c>
      <c r="D41" s="37">
        <f>(18+14)/3.281</f>
        <v>9.7531240475464784</v>
      </c>
      <c r="E41" s="37">
        <v>0.15</v>
      </c>
      <c r="F41" s="37">
        <v>0.6</v>
      </c>
      <c r="G41" s="38">
        <f>PRODUCT(C41:F41)</f>
        <v>1.7555623285583659</v>
      </c>
      <c r="H41" s="39"/>
      <c r="I41" s="39"/>
      <c r="J41" s="39"/>
      <c r="K41" s="61"/>
      <c r="N41" s="162" t="s">
        <v>87</v>
      </c>
      <c r="O41" s="162"/>
      <c r="P41" s="162"/>
      <c r="Q41" s="162"/>
      <c r="R41" s="162"/>
      <c r="S41" s="162"/>
      <c r="T41" s="162"/>
    </row>
    <row r="42" spans="1:20" ht="15" customHeight="1">
      <c r="A42" s="18"/>
      <c r="B42" s="36" t="s">
        <v>41</v>
      </c>
      <c r="C42" s="35"/>
      <c r="D42" s="37"/>
      <c r="E42" s="37"/>
      <c r="F42" s="37"/>
      <c r="G42" s="33">
        <f>SUM(G41:G41)</f>
        <v>1.7555623285583659</v>
      </c>
      <c r="H42" s="39" t="s">
        <v>85</v>
      </c>
      <c r="I42" s="39">
        <v>8569.2999999999993</v>
      </c>
      <c r="J42" s="41">
        <f>G42*I42</f>
        <v>15043.940262115204</v>
      </c>
      <c r="K42" s="21"/>
    </row>
    <row r="43" spans="1:20" ht="15" customHeight="1">
      <c r="A43" s="18"/>
      <c r="B43" s="36" t="s">
        <v>40</v>
      </c>
      <c r="C43" s="35"/>
      <c r="D43" s="37"/>
      <c r="E43" s="37"/>
      <c r="F43" s="37"/>
      <c r="G43" s="38"/>
      <c r="H43" s="39"/>
      <c r="I43" s="39"/>
      <c r="J43" s="41">
        <f>0.13*5504.3/9</f>
        <v>79.506555555555565</v>
      </c>
      <c r="K43" s="21"/>
    </row>
    <row r="44" spans="1:20" ht="15" customHeight="1">
      <c r="A44" s="18"/>
      <c r="B44" s="36"/>
      <c r="C44" s="35"/>
      <c r="D44" s="37"/>
      <c r="E44" s="37"/>
      <c r="F44" s="37"/>
      <c r="G44" s="38"/>
      <c r="H44" s="39"/>
      <c r="I44" s="39"/>
      <c r="J44" s="41"/>
      <c r="K44" s="21"/>
      <c r="N44">
        <f>9.75/0.75</f>
        <v>13</v>
      </c>
    </row>
    <row r="45" spans="1:20" ht="30">
      <c r="A45" s="18">
        <v>8</v>
      </c>
      <c r="B45" s="89" t="s">
        <v>93</v>
      </c>
      <c r="C45" s="19" t="s">
        <v>7</v>
      </c>
      <c r="D45" s="90" t="s">
        <v>94</v>
      </c>
      <c r="E45" s="91" t="s">
        <v>95</v>
      </c>
      <c r="F45" s="91" t="s">
        <v>96</v>
      </c>
      <c r="G45" s="91" t="s">
        <v>97</v>
      </c>
      <c r="H45" s="22"/>
      <c r="I45" s="23"/>
      <c r="J45" s="40"/>
      <c r="K45" s="21"/>
    </row>
    <row r="46" spans="1:20" ht="15" customHeight="1">
      <c r="A46" s="18"/>
      <c r="B46" s="36" t="s">
        <v>99</v>
      </c>
      <c r="C46" s="19">
        <f>TRUNC((D47-0.1)/0.15,0)+1</f>
        <v>5</v>
      </c>
      <c r="D46" s="20">
        <v>0.75</v>
      </c>
      <c r="E46" s="21">
        <f>8*8/162</f>
        <v>0.39506172839506171</v>
      </c>
      <c r="F46" s="21">
        <f>PRODUCT(C46:E46)</f>
        <v>1.4814814814814814</v>
      </c>
      <c r="G46" s="92">
        <f>F46/1000</f>
        <v>1.4814814814814814E-3</v>
      </c>
      <c r="H46" s="22"/>
      <c r="I46" s="23"/>
      <c r="J46" s="40"/>
      <c r="K46" s="21"/>
    </row>
    <row r="47" spans="1:20" ht="15" customHeight="1">
      <c r="A47" s="18"/>
      <c r="B47" s="36"/>
      <c r="C47" s="19">
        <f>13*(TRUNC((D46-0.1)/0.15,0)+1)</f>
        <v>65</v>
      </c>
      <c r="D47" s="20">
        <v>0.7</v>
      </c>
      <c r="E47" s="21">
        <f>8*8/162</f>
        <v>0.39506172839506171</v>
      </c>
      <c r="F47" s="21">
        <f>PRODUCT(C47:E47)</f>
        <v>17.975308641975307</v>
      </c>
      <c r="G47" s="92">
        <f>F47/1000</f>
        <v>1.7975308641975305E-2</v>
      </c>
      <c r="H47" s="22"/>
      <c r="I47" s="23"/>
      <c r="J47" s="40"/>
      <c r="K47" s="21"/>
    </row>
    <row r="48" spans="1:20" ht="15" customHeight="1">
      <c r="A48" s="18"/>
      <c r="B48" s="36"/>
      <c r="C48" s="19">
        <f>TRUNC((D49-0.1)/0.15,0)+1</f>
        <v>5</v>
      </c>
      <c r="D48" s="20">
        <v>0.9</v>
      </c>
      <c r="E48" s="21">
        <f>8*8/162</f>
        <v>0.39506172839506171</v>
      </c>
      <c r="F48" s="21">
        <f>PRODUCT(C48:E48)</f>
        <v>1.7777777777777777</v>
      </c>
      <c r="G48" s="92">
        <f>F48/1000</f>
        <v>1.7777777777777776E-3</v>
      </c>
      <c r="H48" s="22"/>
      <c r="I48" s="23"/>
      <c r="J48" s="40"/>
      <c r="K48" s="21"/>
    </row>
    <row r="49" spans="1:20" ht="15" customHeight="1">
      <c r="A49" s="18"/>
      <c r="B49" s="36"/>
      <c r="C49" s="19">
        <f>(TRUNC((D48-0.1)/0.15,0)+1)</f>
        <v>6</v>
      </c>
      <c r="D49" s="20">
        <f>2.75/3.281</f>
        <v>0.8381590978360256</v>
      </c>
      <c r="E49" s="21">
        <f>8*8/162</f>
        <v>0.39506172839506171</v>
      </c>
      <c r="F49" s="21">
        <f>PRODUCT(C49:E49)</f>
        <v>1.9867474911668754</v>
      </c>
      <c r="G49" s="92">
        <f>F49/1000</f>
        <v>1.9867474911668755E-3</v>
      </c>
      <c r="H49" s="22"/>
      <c r="I49" s="23"/>
      <c r="J49" s="40"/>
      <c r="K49" s="21"/>
    </row>
    <row r="50" spans="1:20" ht="15" customHeight="1">
      <c r="A50" s="18"/>
      <c r="B50" s="36" t="s">
        <v>41</v>
      </c>
      <c r="C50" s="19"/>
      <c r="D50" s="20"/>
      <c r="E50" s="21"/>
      <c r="F50" s="21"/>
      <c r="G50" s="23">
        <f>SUM(G46:G49)</f>
        <v>2.3221315392401441E-2</v>
      </c>
      <c r="H50" s="22" t="s">
        <v>98</v>
      </c>
      <c r="I50" s="23">
        <v>131940</v>
      </c>
      <c r="J50" s="40">
        <f>G50*I50</f>
        <v>3063.8203528734462</v>
      </c>
      <c r="K50" s="21"/>
    </row>
    <row r="51" spans="1:20" ht="15" customHeight="1">
      <c r="A51" s="18"/>
      <c r="B51" s="36" t="s">
        <v>40</v>
      </c>
      <c r="C51" s="19"/>
      <c r="D51" s="20"/>
      <c r="E51" s="21"/>
      <c r="F51" s="21"/>
      <c r="G51" s="23"/>
      <c r="H51" s="22"/>
      <c r="I51" s="23"/>
      <c r="J51" s="40">
        <f>0.13*G50*106200</f>
        <v>320.5934803074943</v>
      </c>
      <c r="K51" s="21"/>
    </row>
    <row r="52" spans="1:20" ht="15" customHeight="1">
      <c r="A52" s="18"/>
      <c r="B52" s="36"/>
      <c r="C52" s="19"/>
      <c r="D52" s="20"/>
      <c r="E52" s="21"/>
      <c r="F52" s="21"/>
      <c r="G52" s="23"/>
      <c r="H52" s="22"/>
      <c r="I52" s="23"/>
      <c r="J52" s="40"/>
      <c r="K52" s="21"/>
    </row>
    <row r="53" spans="1:20" ht="30">
      <c r="A53" s="18">
        <v>9</v>
      </c>
      <c r="B53" s="89" t="s">
        <v>100</v>
      </c>
      <c r="C53" s="19"/>
      <c r="D53" s="20"/>
      <c r="E53" s="21"/>
      <c r="F53" s="21"/>
      <c r="G53" s="23"/>
      <c r="H53" s="22"/>
      <c r="I53" s="23"/>
      <c r="J53" s="40"/>
      <c r="K53" s="21"/>
    </row>
    <row r="54" spans="1:20" ht="15" customHeight="1">
      <c r="A54" s="18"/>
      <c r="B54" s="36" t="s">
        <v>101</v>
      </c>
      <c r="C54" s="35">
        <f>2*13</f>
        <v>26</v>
      </c>
      <c r="D54" s="37">
        <v>0.75</v>
      </c>
      <c r="E54" s="37"/>
      <c r="F54" s="37">
        <v>0.1</v>
      </c>
      <c r="G54" s="38">
        <f>PRODUCT(C54:F54)</f>
        <v>1.9500000000000002</v>
      </c>
      <c r="H54" s="39"/>
      <c r="I54" s="39"/>
      <c r="J54" s="39"/>
      <c r="K54" s="61"/>
      <c r="N54" s="162" t="s">
        <v>87</v>
      </c>
      <c r="O54" s="162"/>
      <c r="P54" s="162"/>
      <c r="Q54" s="162"/>
      <c r="R54" s="162"/>
      <c r="S54" s="162"/>
      <c r="T54" s="162"/>
    </row>
    <row r="55" spans="1:20" ht="15" customHeight="1">
      <c r="A55" s="18"/>
      <c r="B55" s="36"/>
      <c r="C55" s="35">
        <f>2*13</f>
        <v>26</v>
      </c>
      <c r="D55" s="37">
        <v>0.7</v>
      </c>
      <c r="E55" s="37"/>
      <c r="F55" s="37">
        <v>0.1</v>
      </c>
      <c r="G55" s="38">
        <f>PRODUCT(C55:F55)</f>
        <v>1.82</v>
      </c>
      <c r="H55" s="39"/>
      <c r="I55" s="39"/>
      <c r="J55" s="39"/>
      <c r="K55" s="61"/>
      <c r="N55" s="120"/>
      <c r="O55" s="120"/>
      <c r="P55" s="120"/>
      <c r="Q55" s="120"/>
      <c r="R55" s="120"/>
      <c r="S55" s="120"/>
      <c r="T55" s="120"/>
    </row>
    <row r="56" spans="1:20" ht="15" customHeight="1">
      <c r="A56" s="18"/>
      <c r="B56" s="36"/>
      <c r="C56" s="35">
        <v>2</v>
      </c>
      <c r="D56" s="37">
        <v>0.9</v>
      </c>
      <c r="E56" s="37"/>
      <c r="F56" s="37">
        <v>0.1</v>
      </c>
      <c r="G56" s="38">
        <f t="shared" ref="G56:G57" si="1">PRODUCT(C56:F56)</f>
        <v>0.18000000000000002</v>
      </c>
      <c r="H56" s="39"/>
      <c r="I56" s="39"/>
      <c r="J56" s="39"/>
      <c r="K56" s="61"/>
      <c r="N56" s="120"/>
      <c r="O56" s="120"/>
      <c r="P56" s="120"/>
      <c r="Q56" s="120"/>
      <c r="R56" s="120"/>
      <c r="S56" s="120"/>
      <c r="T56" s="120"/>
    </row>
    <row r="57" spans="1:20" ht="15" customHeight="1">
      <c r="A57" s="18"/>
      <c r="B57" s="36"/>
      <c r="C57" s="35">
        <v>2</v>
      </c>
      <c r="D57" s="37">
        <f>2.75/3.281</f>
        <v>0.8381590978360256</v>
      </c>
      <c r="E57" s="37"/>
      <c r="F57" s="37">
        <v>0.1</v>
      </c>
      <c r="G57" s="38">
        <f t="shared" si="1"/>
        <v>0.16763181956720513</v>
      </c>
      <c r="H57" s="39"/>
      <c r="I57" s="39"/>
      <c r="J57" s="39"/>
      <c r="K57" s="61"/>
      <c r="N57" s="120"/>
      <c r="O57" s="120"/>
      <c r="P57" s="120"/>
      <c r="Q57" s="120"/>
      <c r="R57" s="120"/>
      <c r="S57" s="120"/>
      <c r="T57" s="120"/>
    </row>
    <row r="58" spans="1:20" ht="15" customHeight="1">
      <c r="A58" s="18"/>
      <c r="B58" s="36" t="s">
        <v>41</v>
      </c>
      <c r="C58" s="35"/>
      <c r="D58" s="37"/>
      <c r="E58" s="37"/>
      <c r="F58" s="37"/>
      <c r="G58" s="33">
        <f>SUM(G54:G57)</f>
        <v>4.1176318195672055</v>
      </c>
      <c r="H58" s="39" t="s">
        <v>43</v>
      </c>
      <c r="I58" s="23">
        <f>81404.27/100</f>
        <v>814.04270000000008</v>
      </c>
      <c r="J58" s="41">
        <f>G58*I58</f>
        <v>3351.928124006401</v>
      </c>
      <c r="K58" s="21"/>
    </row>
    <row r="59" spans="1:20" ht="15" customHeight="1">
      <c r="A59" s="18"/>
      <c r="B59" s="36" t="s">
        <v>40</v>
      </c>
      <c r="C59" s="35"/>
      <c r="D59" s="37"/>
      <c r="E59" s="37"/>
      <c r="F59" s="37"/>
      <c r="G59" s="38"/>
      <c r="H59" s="39"/>
      <c r="I59" s="39"/>
      <c r="J59" s="41">
        <f>0.13*36690.27/100</f>
        <v>47.697350999999998</v>
      </c>
      <c r="K59" s="21"/>
    </row>
    <row r="60" spans="1:20" ht="15" customHeight="1">
      <c r="A60" s="18"/>
      <c r="B60" s="36"/>
      <c r="C60" s="35"/>
      <c r="D60" s="37"/>
      <c r="E60" s="37"/>
      <c r="F60" s="37"/>
      <c r="G60" s="38"/>
      <c r="H60" s="39"/>
      <c r="I60" s="39"/>
      <c r="J60" s="41"/>
      <c r="K60" s="21"/>
    </row>
    <row r="61" spans="1:20" ht="30">
      <c r="A61" s="18">
        <v>10</v>
      </c>
      <c r="B61" s="89" t="s">
        <v>119</v>
      </c>
      <c r="C61" s="35"/>
      <c r="D61" s="37"/>
      <c r="E61" s="37"/>
      <c r="F61" s="37"/>
      <c r="G61" s="38"/>
      <c r="H61" s="39"/>
      <c r="I61" s="39"/>
      <c r="J61" s="41"/>
      <c r="K61" s="21"/>
      <c r="N61">
        <f>9.75/0.75</f>
        <v>13</v>
      </c>
    </row>
    <row r="62" spans="1:20" ht="15" customHeight="1">
      <c r="A62" s="18"/>
      <c r="B62" s="36" t="s">
        <v>120</v>
      </c>
      <c r="C62" s="35">
        <v>1</v>
      </c>
      <c r="D62" s="37">
        <f>D41</f>
        <v>9.7531240475464784</v>
      </c>
      <c r="E62" s="37">
        <f>0.7</f>
        <v>0.7</v>
      </c>
      <c r="F62" s="37">
        <v>0.1</v>
      </c>
      <c r="G62" s="38">
        <f>PRODUCT(C62:F62)</f>
        <v>0.68271868332825347</v>
      </c>
      <c r="H62" s="39"/>
      <c r="I62" s="39"/>
      <c r="J62" s="39"/>
      <c r="K62" s="61"/>
      <c r="N62" s="162" t="s">
        <v>87</v>
      </c>
      <c r="O62" s="162"/>
      <c r="P62" s="162"/>
      <c r="Q62" s="162"/>
      <c r="R62" s="162"/>
      <c r="S62" s="162"/>
      <c r="T62" s="162"/>
    </row>
    <row r="63" spans="1:20" ht="15" customHeight="1">
      <c r="A63" s="18"/>
      <c r="B63" s="36"/>
      <c r="C63" s="35">
        <v>1</v>
      </c>
      <c r="D63" s="37">
        <v>0.9</v>
      </c>
      <c r="E63" s="37">
        <f>2.75/3.281</f>
        <v>0.8381590978360256</v>
      </c>
      <c r="F63" s="37">
        <v>0.1</v>
      </c>
      <c r="G63" s="38">
        <f t="shared" ref="G63" si="2">PRODUCT(C63:F63)</f>
        <v>7.5434318805242317E-2</v>
      </c>
      <c r="H63" s="39"/>
      <c r="I63" s="39"/>
      <c r="J63" s="39"/>
      <c r="K63" s="61"/>
      <c r="N63" s="120"/>
      <c r="O63" s="120"/>
      <c r="P63" s="120"/>
      <c r="Q63" s="120"/>
      <c r="R63" s="120"/>
      <c r="S63" s="120"/>
      <c r="T63" s="120"/>
    </row>
    <row r="64" spans="1:20" ht="15" customHeight="1">
      <c r="A64" s="18"/>
      <c r="B64" s="36" t="s">
        <v>41</v>
      </c>
      <c r="C64" s="35"/>
      <c r="D64" s="37"/>
      <c r="E64" s="37"/>
      <c r="F64" s="37"/>
      <c r="G64" s="33">
        <f>SUM(G62:G63)</f>
        <v>0.75815300213349579</v>
      </c>
      <c r="H64" s="39" t="s">
        <v>85</v>
      </c>
      <c r="I64" s="23">
        <f>81404.27/100</f>
        <v>814.04270000000008</v>
      </c>
      <c r="J64" s="41">
        <f>G64*I64</f>
        <v>617.16891686985673</v>
      </c>
      <c r="K64" s="21"/>
    </row>
    <row r="65" spans="1:13" ht="15" customHeight="1">
      <c r="A65" s="18"/>
      <c r="B65" s="36" t="s">
        <v>40</v>
      </c>
      <c r="C65" s="35"/>
      <c r="D65" s="37"/>
      <c r="E65" s="37"/>
      <c r="F65" s="37"/>
      <c r="G65" s="38"/>
      <c r="H65" s="39"/>
      <c r="I65" s="39"/>
      <c r="J65" s="41">
        <f>0.13*36690.27/100</f>
        <v>47.697350999999998</v>
      </c>
      <c r="K65" s="21"/>
    </row>
    <row r="66" spans="1:13" ht="15" customHeight="1">
      <c r="A66" s="18"/>
      <c r="B66" s="36"/>
      <c r="C66" s="35"/>
      <c r="D66" s="37"/>
      <c r="E66" s="37"/>
      <c r="F66" s="37"/>
      <c r="G66" s="38"/>
      <c r="H66" s="39"/>
      <c r="I66" s="39"/>
      <c r="J66" s="41"/>
      <c r="K66" s="21"/>
    </row>
    <row r="67" spans="1:13" ht="30.6">
      <c r="A67" s="18">
        <v>11</v>
      </c>
      <c r="B67" s="121" t="s">
        <v>121</v>
      </c>
      <c r="C67" s="19" t="s">
        <v>7</v>
      </c>
      <c r="D67" s="90" t="s">
        <v>94</v>
      </c>
      <c r="E67" s="91" t="s">
        <v>95</v>
      </c>
      <c r="F67" s="91" t="s">
        <v>96</v>
      </c>
      <c r="G67" s="91" t="s">
        <v>124</v>
      </c>
      <c r="H67" s="22"/>
      <c r="I67" s="23"/>
      <c r="J67" s="40"/>
      <c r="K67" s="21"/>
    </row>
    <row r="68" spans="1:13">
      <c r="A68" s="122"/>
      <c r="B68" s="126" t="s">
        <v>123</v>
      </c>
      <c r="C68" s="124">
        <v>6</v>
      </c>
      <c r="D68" s="12">
        <f>(2.5+2+2.5)/12/3.281</f>
        <v>0.17779132378339937</v>
      </c>
      <c r="E68" s="12">
        <v>0.8</v>
      </c>
      <c r="F68" s="21">
        <f>PRODUCT(C68:E68)</f>
        <v>0.85339835416031706</v>
      </c>
      <c r="G68" s="92">
        <f>F68</f>
        <v>0.85339835416031706</v>
      </c>
      <c r="H68" s="122"/>
      <c r="I68" s="125"/>
      <c r="J68" s="125"/>
      <c r="K68" s="123"/>
    </row>
    <row r="69" spans="1:13">
      <c r="A69" s="122"/>
      <c r="B69" s="126"/>
      <c r="C69" s="124">
        <v>2</v>
      </c>
      <c r="D69" s="12">
        <f>1.6+5.6</f>
        <v>7.1999999999999993</v>
      </c>
      <c r="E69" s="12">
        <v>0.8</v>
      </c>
      <c r="F69" s="21">
        <f>PRODUCT(C69:E69)</f>
        <v>11.52</v>
      </c>
      <c r="G69" s="92">
        <f>F69</f>
        <v>11.52</v>
      </c>
      <c r="H69" s="122"/>
      <c r="I69" s="125"/>
      <c r="J69" s="125"/>
      <c r="K69" s="123"/>
    </row>
    <row r="70" spans="1:13">
      <c r="A70" s="122"/>
      <c r="B70" s="126" t="s">
        <v>135</v>
      </c>
      <c r="C70" s="124">
        <f>TRUNC(D75/0.1,0)</f>
        <v>482</v>
      </c>
      <c r="D70" s="12">
        <f>0.15</f>
        <v>0.15</v>
      </c>
      <c r="E70" s="12">
        <v>0.8</v>
      </c>
      <c r="F70" s="21">
        <f>PRODUCT(C70:E70)</f>
        <v>57.84</v>
      </c>
      <c r="G70" s="92">
        <f>F70</f>
        <v>57.84</v>
      </c>
      <c r="H70" s="122"/>
      <c r="I70" s="125"/>
      <c r="J70" s="125"/>
      <c r="K70" s="123"/>
    </row>
    <row r="71" spans="1:13" s="1" customFormat="1" ht="27.6">
      <c r="A71" s="122"/>
      <c r="B71" s="127" t="s">
        <v>125</v>
      </c>
      <c r="C71" s="124">
        <v>4</v>
      </c>
      <c r="D71" s="12">
        <f>7.5/3.281</f>
        <v>2.2858884486437061</v>
      </c>
      <c r="E71" s="12">
        <v>2.72</v>
      </c>
      <c r="F71" s="12">
        <f t="shared" ref="F71" si="3">PRODUCT(C71:E71)</f>
        <v>24.870466321243523</v>
      </c>
      <c r="G71" s="128">
        <f t="shared" ref="G71" si="4">F71</f>
        <v>24.870466321243523</v>
      </c>
      <c r="H71" s="125"/>
      <c r="I71" s="125"/>
      <c r="J71" s="125"/>
      <c r="K71" s="123"/>
      <c r="M71" s="129"/>
    </row>
    <row r="72" spans="1:13" s="1" customFormat="1" ht="41.4">
      <c r="A72" s="122"/>
      <c r="B72" s="127" t="s">
        <v>126</v>
      </c>
      <c r="C72" s="124">
        <v>1</v>
      </c>
      <c r="D72" s="12">
        <f>(1.6+5.6)</f>
        <v>7.1999999999999993</v>
      </c>
      <c r="E72" s="12">
        <v>3.87</v>
      </c>
      <c r="F72" s="12">
        <f>PRODUCT(C72:E72)</f>
        <v>27.863999999999997</v>
      </c>
      <c r="G72" s="128">
        <f t="shared" ref="G72" si="5">F72</f>
        <v>27.863999999999997</v>
      </c>
      <c r="H72" s="125"/>
      <c r="I72" s="125"/>
      <c r="J72" s="125"/>
      <c r="K72" s="123"/>
      <c r="M72" s="129"/>
    </row>
    <row r="73" spans="1:13" s="1" customFormat="1">
      <c r="A73" s="122"/>
      <c r="B73" s="127"/>
      <c r="C73" s="124">
        <v>4</v>
      </c>
      <c r="D73" s="12">
        <f>(7.333+1)/3.281</f>
        <v>2.5397744590064004</v>
      </c>
      <c r="E73" s="12">
        <v>3.87</v>
      </c>
      <c r="F73" s="12">
        <f>PRODUCT(C73:E73)</f>
        <v>39.315708625419077</v>
      </c>
      <c r="G73" s="128">
        <f t="shared" ref="G73:G74" si="6">F73</f>
        <v>39.315708625419077</v>
      </c>
      <c r="H73" s="125"/>
      <c r="I73" s="125"/>
      <c r="J73" s="125"/>
      <c r="K73" s="123"/>
      <c r="M73" s="129"/>
    </row>
    <row r="74" spans="1:13" s="1" customFormat="1" ht="27.6">
      <c r="A74" s="122"/>
      <c r="B74" s="127" t="s">
        <v>133</v>
      </c>
      <c r="C74" s="124">
        <v>1</v>
      </c>
      <c r="D74" s="12">
        <f>1.6+5.6</f>
        <v>7.1999999999999993</v>
      </c>
      <c r="E74" s="12">
        <v>1.52</v>
      </c>
      <c r="F74" s="12">
        <f>PRODUCT(C74:E74)</f>
        <v>10.943999999999999</v>
      </c>
      <c r="G74" s="128">
        <f t="shared" si="6"/>
        <v>10.943999999999999</v>
      </c>
      <c r="H74" s="125"/>
      <c r="I74" s="125"/>
      <c r="J74" s="125"/>
      <c r="K74" s="123"/>
      <c r="M74" s="129"/>
    </row>
    <row r="75" spans="1:13" s="1" customFormat="1">
      <c r="A75" s="122"/>
      <c r="B75" s="127" t="s">
        <v>134</v>
      </c>
      <c r="C75" s="124">
        <v>2</v>
      </c>
      <c r="D75" s="12">
        <f>5.6+5.92+2.83+1.2+0.85+5.2+6.9+5.8+4.3+6.3+1.5+1.8</f>
        <v>48.199999999999989</v>
      </c>
      <c r="E75" s="12">
        <v>1.52</v>
      </c>
      <c r="F75" s="12">
        <f>PRODUCT(C75:E75)</f>
        <v>146.52799999999996</v>
      </c>
      <c r="G75" s="128">
        <f t="shared" ref="G75" si="7">F75</f>
        <v>146.52799999999996</v>
      </c>
      <c r="H75" s="125"/>
      <c r="I75" s="125"/>
      <c r="J75" s="125"/>
      <c r="K75" s="123"/>
      <c r="M75" s="129"/>
    </row>
    <row r="76" spans="1:13" s="1" customFormat="1">
      <c r="A76" s="122"/>
      <c r="B76" s="127" t="s">
        <v>136</v>
      </c>
      <c r="C76" s="124">
        <f>C70</f>
        <v>482</v>
      </c>
      <c r="D76" s="12">
        <f>2.5/3.281</f>
        <v>0.76196281621456874</v>
      </c>
      <c r="E76" s="12">
        <v>1.1299999999999999</v>
      </c>
      <c r="F76" s="12">
        <f>PRODUCT(C76:E76)</f>
        <v>415.01066747942701</v>
      </c>
      <c r="G76" s="128">
        <f t="shared" ref="G76" si="8">F76</f>
        <v>415.01066747942701</v>
      </c>
      <c r="H76" s="125"/>
      <c r="I76" s="125"/>
      <c r="J76" s="125"/>
      <c r="K76" s="123"/>
      <c r="M76" s="129"/>
    </row>
    <row r="77" spans="1:13" ht="15" customHeight="1">
      <c r="A77" s="18"/>
      <c r="B77" s="36" t="s">
        <v>41</v>
      </c>
      <c r="C77" s="19"/>
      <c r="D77" s="20"/>
      <c r="E77" s="21"/>
      <c r="F77" s="21"/>
      <c r="G77" s="23">
        <f>SUM(G68:G76)</f>
        <v>734.74624078024999</v>
      </c>
      <c r="H77" s="22" t="s">
        <v>122</v>
      </c>
      <c r="I77" s="23">
        <v>181.17</v>
      </c>
      <c r="J77" s="40">
        <f>G77*I77</f>
        <v>133113.97644215787</v>
      </c>
      <c r="K77" s="21"/>
    </row>
    <row r="78" spans="1:13" ht="15" customHeight="1">
      <c r="A78" s="18"/>
      <c r="B78" s="36" t="s">
        <v>40</v>
      </c>
      <c r="C78" s="19"/>
      <c r="D78" s="20"/>
      <c r="E78" s="21"/>
      <c r="F78" s="21"/>
      <c r="G78" s="23"/>
      <c r="H78" s="22"/>
      <c r="I78" s="23"/>
      <c r="J78" s="40">
        <f>0.13*G77*1871.42/18.94</f>
        <v>9437.8271008303491</v>
      </c>
      <c r="K78" s="21"/>
    </row>
    <row r="79" spans="1:13" ht="15" customHeight="1">
      <c r="A79" s="18"/>
      <c r="B79" s="36"/>
      <c r="C79" s="19"/>
      <c r="D79" s="20"/>
      <c r="E79" s="21"/>
      <c r="F79" s="21"/>
      <c r="G79" s="23"/>
      <c r="H79" s="22"/>
      <c r="I79" s="23"/>
      <c r="J79" s="40"/>
      <c r="K79" s="21"/>
    </row>
    <row r="80" spans="1:13" s="1" customFormat="1" ht="30">
      <c r="A80" s="18">
        <v>12</v>
      </c>
      <c r="B80" s="130" t="s">
        <v>127</v>
      </c>
      <c r="C80" s="19"/>
      <c r="D80" s="20"/>
      <c r="E80" s="21"/>
      <c r="F80" s="21"/>
      <c r="G80" s="125"/>
      <c r="H80" s="22"/>
      <c r="I80" s="23"/>
      <c r="J80" s="125"/>
      <c r="K80" s="21"/>
    </row>
    <row r="81" spans="1:11" s="1" customFormat="1">
      <c r="A81" s="18"/>
      <c r="B81" s="127" t="s">
        <v>128</v>
      </c>
      <c r="C81" s="19">
        <v>2</v>
      </c>
      <c r="D81" s="20">
        <f>(4/3.281)+0.85</f>
        <v>2.0691405059433099</v>
      </c>
      <c r="E81" s="21"/>
      <c r="F81" s="21">
        <v>1.6</v>
      </c>
      <c r="G81" s="128">
        <f t="shared" ref="G81:G89" si="9">PRODUCT(C81:F81)</f>
        <v>6.6212496190185917</v>
      </c>
      <c r="H81" s="22"/>
      <c r="I81" s="23"/>
      <c r="J81" s="125"/>
      <c r="K81" s="21"/>
    </row>
    <row r="82" spans="1:11" s="1" customFormat="1">
      <c r="A82" s="18"/>
      <c r="B82" s="127"/>
      <c r="C82" s="19">
        <v>1</v>
      </c>
      <c r="D82" s="20">
        <f>5.2+6.9</f>
        <v>12.100000000000001</v>
      </c>
      <c r="E82" s="21"/>
      <c r="F82" s="21">
        <f>(1.5+1.3+1.75)/3</f>
        <v>1.5166666666666666</v>
      </c>
      <c r="G82" s="128">
        <f t="shared" si="9"/>
        <v>18.351666666666667</v>
      </c>
      <c r="H82" s="22"/>
      <c r="I82" s="23"/>
      <c r="J82" s="125"/>
      <c r="K82" s="21"/>
    </row>
    <row r="83" spans="1:11" s="1" customFormat="1">
      <c r="A83" s="18"/>
      <c r="B83" s="127"/>
      <c r="C83" s="19">
        <v>1</v>
      </c>
      <c r="D83" s="20">
        <f>5.2+6.9</f>
        <v>12.100000000000001</v>
      </c>
      <c r="E83" s="21"/>
      <c r="F83" s="21">
        <v>1.3</v>
      </c>
      <c r="G83" s="128">
        <f t="shared" si="9"/>
        <v>15.730000000000002</v>
      </c>
      <c r="H83" s="22"/>
      <c r="I83" s="23"/>
      <c r="J83" s="125"/>
      <c r="K83" s="21"/>
    </row>
    <row r="84" spans="1:11" s="1" customFormat="1">
      <c r="A84" s="18"/>
      <c r="B84" s="127"/>
      <c r="C84" s="19">
        <v>1</v>
      </c>
      <c r="D84" s="20">
        <f>5.8</f>
        <v>5.8</v>
      </c>
      <c r="E84" s="21"/>
      <c r="F84" s="21">
        <v>1.4</v>
      </c>
      <c r="G84" s="128">
        <f t="shared" si="9"/>
        <v>8.1199999999999992</v>
      </c>
      <c r="H84" s="22"/>
      <c r="I84" s="23"/>
      <c r="J84" s="125"/>
      <c r="K84" s="21"/>
    </row>
    <row r="85" spans="1:11" s="1" customFormat="1">
      <c r="A85" s="18"/>
      <c r="B85" s="127"/>
      <c r="C85" s="19">
        <v>1</v>
      </c>
      <c r="D85" s="20">
        <v>5.8</v>
      </c>
      <c r="E85" s="21"/>
      <c r="F85" s="21">
        <f>3.6/3.281</f>
        <v>1.097226455348979</v>
      </c>
      <c r="G85" s="128">
        <f t="shared" si="9"/>
        <v>6.3639134410240779</v>
      </c>
      <c r="H85" s="22"/>
      <c r="I85" s="23"/>
      <c r="J85" s="125"/>
      <c r="K85" s="21"/>
    </row>
    <row r="86" spans="1:11" s="1" customFormat="1">
      <c r="A86" s="18"/>
      <c r="B86" s="127"/>
      <c r="C86" s="19">
        <v>1</v>
      </c>
      <c r="D86" s="20">
        <f>4.3+6.3</f>
        <v>10.6</v>
      </c>
      <c r="E86" s="21"/>
      <c r="F86" s="21">
        <v>1.27</v>
      </c>
      <c r="G86" s="128">
        <f t="shared" si="9"/>
        <v>13.462</v>
      </c>
      <c r="H86" s="22"/>
      <c r="I86" s="23"/>
      <c r="J86" s="125"/>
      <c r="K86" s="21"/>
    </row>
    <row r="87" spans="1:11" s="1" customFormat="1">
      <c r="A87" s="18"/>
      <c r="B87" s="127"/>
      <c r="C87" s="19">
        <v>1</v>
      </c>
      <c r="D87" s="20">
        <f>6/3.281</f>
        <v>1.8287107589149649</v>
      </c>
      <c r="E87" s="21"/>
      <c r="F87" s="21">
        <f>3/3.281</f>
        <v>0.91435537945748246</v>
      </c>
      <c r="G87" s="128">
        <f t="shared" si="9"/>
        <v>1.6720915198856734</v>
      </c>
      <c r="H87" s="22"/>
      <c r="I87" s="23"/>
      <c r="J87" s="125"/>
      <c r="K87" s="21"/>
    </row>
    <row r="88" spans="1:11" s="1" customFormat="1">
      <c r="A88" s="18"/>
      <c r="B88" s="127"/>
      <c r="C88" s="19">
        <v>1</v>
      </c>
      <c r="D88" s="20">
        <f>5/3.281</f>
        <v>1.5239256324291375</v>
      </c>
      <c r="E88" s="21"/>
      <c r="F88" s="21">
        <f>2/3.281</f>
        <v>0.6095702529716549</v>
      </c>
      <c r="G88" s="128">
        <f t="shared" si="9"/>
        <v>0.92893973326981849</v>
      </c>
      <c r="H88" s="22"/>
      <c r="I88" s="23"/>
      <c r="J88" s="125"/>
      <c r="K88" s="21"/>
    </row>
    <row r="89" spans="1:11" s="1" customFormat="1">
      <c r="A89" s="18"/>
      <c r="B89" s="127"/>
      <c r="C89" s="19">
        <v>1</v>
      </c>
      <c r="D89" s="20">
        <f>5.45+6.25+1.27</f>
        <v>12.969999999999999</v>
      </c>
      <c r="E89" s="21"/>
      <c r="F89" s="21">
        <v>0.3</v>
      </c>
      <c r="G89" s="128">
        <f t="shared" si="9"/>
        <v>3.8909999999999996</v>
      </c>
      <c r="H89" s="22"/>
      <c r="I89" s="23"/>
      <c r="J89" s="125"/>
      <c r="K89" s="21"/>
    </row>
    <row r="90" spans="1:11" s="1" customFormat="1">
      <c r="A90" s="18"/>
      <c r="B90" s="127" t="s">
        <v>129</v>
      </c>
      <c r="C90" s="19"/>
      <c r="D90" s="20"/>
      <c r="E90" s="21"/>
      <c r="F90" s="21"/>
      <c r="G90" s="125">
        <f>SUM(G81:G89)</f>
        <v>75.140860979864826</v>
      </c>
      <c r="H90" s="22" t="s">
        <v>43</v>
      </c>
      <c r="I90" s="23">
        <v>405.86</v>
      </c>
      <c r="J90" s="125">
        <f>G90*I90</f>
        <v>30496.66983728794</v>
      </c>
      <c r="K90" s="21"/>
    </row>
    <row r="91" spans="1:11" s="1" customFormat="1">
      <c r="A91" s="18"/>
      <c r="B91" s="127" t="s">
        <v>130</v>
      </c>
      <c r="C91" s="19"/>
      <c r="D91" s="20"/>
      <c r="E91" s="21"/>
      <c r="F91" s="21"/>
      <c r="G91" s="125"/>
      <c r="H91" s="22"/>
      <c r="I91" s="23"/>
      <c r="J91" s="125">
        <f>0.13*G90*11166.2/100</f>
        <v>1090.7492464353768</v>
      </c>
      <c r="K91" s="21"/>
    </row>
    <row r="92" spans="1:11" s="1" customFormat="1">
      <c r="A92" s="18"/>
      <c r="B92" s="127"/>
      <c r="C92" s="19"/>
      <c r="D92" s="20"/>
      <c r="E92" s="21"/>
      <c r="F92" s="21"/>
      <c r="G92" s="125"/>
      <c r="H92" s="22"/>
      <c r="I92" s="23"/>
      <c r="J92" s="125"/>
      <c r="K92" s="21"/>
    </row>
    <row r="93" spans="1:11" ht="30.6">
      <c r="A93" s="18">
        <v>13</v>
      </c>
      <c r="B93" s="121" t="s">
        <v>131</v>
      </c>
      <c r="C93" s="19"/>
      <c r="D93" s="20"/>
      <c r="E93" s="21"/>
      <c r="F93" s="21"/>
      <c r="G93" s="23"/>
      <c r="H93" s="22"/>
      <c r="I93" s="23"/>
      <c r="J93" s="40"/>
      <c r="K93" s="21"/>
    </row>
    <row r="94" spans="1:11" ht="15" customHeight="1">
      <c r="A94" s="18"/>
      <c r="B94" s="36" t="s">
        <v>132</v>
      </c>
      <c r="C94" s="19">
        <v>1</v>
      </c>
      <c r="D94" s="20"/>
      <c r="E94" s="21"/>
      <c r="F94" s="21"/>
      <c r="G94" s="38">
        <f>G90</f>
        <v>75.140860979864826</v>
      </c>
      <c r="H94" s="22"/>
      <c r="I94" s="23"/>
      <c r="J94" s="40"/>
      <c r="K94" s="21"/>
    </row>
    <row r="95" spans="1:11" ht="15" customHeight="1">
      <c r="A95" s="18"/>
      <c r="B95" s="36" t="s">
        <v>41</v>
      </c>
      <c r="C95" s="19"/>
      <c r="D95" s="20"/>
      <c r="E95" s="21"/>
      <c r="F95" s="21"/>
      <c r="G95" s="23">
        <f>SUM(G94:G94)</f>
        <v>75.140860979864826</v>
      </c>
      <c r="H95" s="22" t="s">
        <v>43</v>
      </c>
      <c r="I95" s="23">
        <v>251.77</v>
      </c>
      <c r="J95" s="40">
        <f>G95*I95</f>
        <v>18918.214568900567</v>
      </c>
      <c r="K95" s="21"/>
    </row>
    <row r="96" spans="1:11" ht="15" customHeight="1">
      <c r="A96" s="18"/>
      <c r="B96" s="36" t="s">
        <v>40</v>
      </c>
      <c r="C96" s="19"/>
      <c r="D96" s="20"/>
      <c r="E96" s="21"/>
      <c r="F96" s="21"/>
      <c r="G96" s="23"/>
      <c r="H96" s="22"/>
      <c r="I96" s="23"/>
      <c r="J96" s="40">
        <f>0.13*G95*12736/100</f>
        <v>1244.0922070714259</v>
      </c>
      <c r="K96" s="21"/>
    </row>
    <row r="97" spans="1:11" ht="15" customHeight="1">
      <c r="A97" s="18"/>
      <c r="B97" s="36"/>
      <c r="C97" s="19"/>
      <c r="D97" s="20"/>
      <c r="E97" s="21"/>
      <c r="F97" s="21"/>
      <c r="G97" s="23"/>
      <c r="H97" s="22"/>
      <c r="I97" s="23"/>
      <c r="J97" s="40"/>
      <c r="K97" s="21"/>
    </row>
    <row r="98" spans="1:11" s="1" customFormat="1" ht="30">
      <c r="A98" s="18">
        <v>14</v>
      </c>
      <c r="B98" s="121" t="s">
        <v>137</v>
      </c>
      <c r="C98" s="19"/>
      <c r="D98" s="20"/>
      <c r="E98" s="21"/>
      <c r="F98" s="21"/>
      <c r="G98" s="125"/>
      <c r="H98" s="22"/>
      <c r="I98" s="23"/>
      <c r="J98" s="125"/>
      <c r="K98" s="21"/>
    </row>
    <row r="99" spans="1:11" ht="15" customHeight="1">
      <c r="A99" s="18"/>
      <c r="B99" s="36" t="s">
        <v>138</v>
      </c>
      <c r="C99" s="19">
        <v>1</v>
      </c>
      <c r="D99" s="20">
        <f>1.6+5.6</f>
        <v>7.1999999999999993</v>
      </c>
      <c r="E99" s="21">
        <f>(7.333+1.5)/3.281</f>
        <v>2.6921670222493144</v>
      </c>
      <c r="F99" s="21"/>
      <c r="G99" s="128">
        <f t="shared" ref="G99" si="10">PRODUCT(C99:F99)</f>
        <v>19.383602560195062</v>
      </c>
      <c r="H99" s="22"/>
      <c r="I99" s="23"/>
      <c r="J99" s="40"/>
      <c r="K99" s="21"/>
    </row>
    <row r="100" spans="1:11" ht="15" customHeight="1">
      <c r="A100" s="18"/>
      <c r="B100" s="36" t="s">
        <v>41</v>
      </c>
      <c r="C100" s="19"/>
      <c r="D100" s="20"/>
      <c r="E100" s="21"/>
      <c r="F100" s="21"/>
      <c r="G100" s="23">
        <f>SUM(G99:G99)</f>
        <v>19.383602560195062</v>
      </c>
      <c r="H100" s="22" t="s">
        <v>43</v>
      </c>
      <c r="I100" s="23">
        <v>2146.5700000000002</v>
      </c>
      <c r="J100" s="40">
        <f>G100*I100</f>
        <v>41608.259747637916</v>
      </c>
      <c r="K100" s="21"/>
    </row>
    <row r="101" spans="1:11" ht="15" customHeight="1">
      <c r="A101" s="18"/>
      <c r="B101" s="36" t="s">
        <v>40</v>
      </c>
      <c r="C101" s="19"/>
      <c r="D101" s="20"/>
      <c r="E101" s="21"/>
      <c r="F101" s="21"/>
      <c r="G101" s="23"/>
      <c r="H101" s="22"/>
      <c r="I101" s="23"/>
      <c r="J101" s="40">
        <f>0.13*G100*18968.16/10</f>
        <v>4779.726571596465</v>
      </c>
      <c r="K101" s="21"/>
    </row>
    <row r="102" spans="1:11" ht="15" customHeight="1">
      <c r="A102" s="18"/>
      <c r="B102" s="36"/>
      <c r="C102" s="19"/>
      <c r="D102" s="20"/>
      <c r="E102" s="21"/>
      <c r="F102" s="21"/>
      <c r="G102" s="23"/>
      <c r="H102" s="22"/>
      <c r="I102" s="23"/>
      <c r="J102" s="40"/>
      <c r="K102" s="21"/>
    </row>
    <row r="103" spans="1:11" ht="15" customHeight="1">
      <c r="A103" s="18">
        <v>15</v>
      </c>
      <c r="B103" s="36" t="s">
        <v>139</v>
      </c>
      <c r="C103" s="19">
        <v>1</v>
      </c>
      <c r="D103" s="20"/>
      <c r="E103" s="21"/>
      <c r="F103" s="21"/>
      <c r="G103" s="128">
        <f t="shared" ref="G103" si="11">PRODUCT(C103:F103)</f>
        <v>1</v>
      </c>
      <c r="H103" s="22" t="s">
        <v>140</v>
      </c>
      <c r="I103" s="23">
        <v>3000</v>
      </c>
      <c r="J103" s="33">
        <f>G103*I103</f>
        <v>3000</v>
      </c>
      <c r="K103" s="21"/>
    </row>
    <row r="104" spans="1:11" ht="15" customHeight="1">
      <c r="A104" s="18"/>
      <c r="B104" s="36"/>
      <c r="C104" s="19"/>
      <c r="D104" s="20"/>
      <c r="E104" s="21"/>
      <c r="F104" s="21"/>
      <c r="G104" s="23"/>
      <c r="H104" s="22"/>
      <c r="I104" s="23"/>
      <c r="J104" s="40"/>
      <c r="K104" s="21"/>
    </row>
    <row r="105" spans="1:11" ht="15" customHeight="1">
      <c r="A105" s="18">
        <v>16</v>
      </c>
      <c r="B105" s="29" t="s">
        <v>30</v>
      </c>
      <c r="C105" s="19">
        <v>1</v>
      </c>
      <c r="D105" s="20"/>
      <c r="E105" s="21"/>
      <c r="F105" s="21"/>
      <c r="G105" s="33">
        <f t="shared" ref="G105" si="12">PRODUCT(C105:F105)</f>
        <v>1</v>
      </c>
      <c r="H105" s="22" t="s">
        <v>31</v>
      </c>
      <c r="I105" s="23">
        <v>500</v>
      </c>
      <c r="J105" s="33">
        <f>G105*I105</f>
        <v>500</v>
      </c>
      <c r="K105" s="21"/>
    </row>
    <row r="106" spans="1:11" ht="15" customHeight="1">
      <c r="A106" s="18"/>
      <c r="B106" s="24"/>
      <c r="C106" s="19"/>
      <c r="D106" s="20"/>
      <c r="E106" s="21"/>
      <c r="F106" s="21"/>
      <c r="G106" s="23"/>
      <c r="H106" s="22"/>
      <c r="I106" s="23"/>
      <c r="J106" s="40"/>
      <c r="K106" s="21"/>
    </row>
    <row r="107" spans="1:11">
      <c r="A107" s="39"/>
      <c r="B107" s="42" t="s">
        <v>17</v>
      </c>
      <c r="C107" s="43"/>
      <c r="D107" s="37"/>
      <c r="E107" s="37"/>
      <c r="F107" s="37"/>
      <c r="G107" s="40"/>
      <c r="H107" s="40"/>
      <c r="I107" s="40"/>
      <c r="J107" s="40">
        <f>SUM(J9:J105)</f>
        <v>336917.6969730733</v>
      </c>
      <c r="K107" s="35"/>
    </row>
    <row r="108" spans="1:11">
      <c r="A108" s="54"/>
      <c r="B108" s="57"/>
      <c r="C108" s="58"/>
      <c r="D108" s="55"/>
      <c r="E108" s="55"/>
      <c r="F108" s="55"/>
      <c r="G108" s="56"/>
      <c r="H108" s="56"/>
      <c r="I108" s="56"/>
      <c r="J108" s="56"/>
      <c r="K108" s="53"/>
    </row>
    <row r="109" spans="1:11" s="1" customFormat="1">
      <c r="A109" s="46"/>
      <c r="B109" s="28" t="s">
        <v>27</v>
      </c>
      <c r="C109" s="163">
        <f>J107</f>
        <v>336917.6969730733</v>
      </c>
      <c r="D109" s="163"/>
      <c r="E109" s="38">
        <v>100</v>
      </c>
      <c r="F109" s="47"/>
      <c r="G109" s="48"/>
      <c r="H109" s="47"/>
      <c r="I109" s="49"/>
      <c r="J109" s="50"/>
      <c r="K109" s="51"/>
    </row>
    <row r="110" spans="1:11">
      <c r="A110" s="52"/>
      <c r="B110" s="28" t="s">
        <v>32</v>
      </c>
      <c r="C110" s="166">
        <v>300000</v>
      </c>
      <c r="D110" s="166"/>
      <c r="E110" s="38"/>
      <c r="F110" s="45"/>
      <c r="G110" s="44"/>
      <c r="H110" s="44"/>
      <c r="I110" s="44"/>
      <c r="J110" s="44"/>
      <c r="K110" s="45"/>
    </row>
    <row r="111" spans="1:11">
      <c r="A111" s="52"/>
      <c r="B111" s="28" t="s">
        <v>33</v>
      </c>
      <c r="C111" s="166">
        <f>C110-C113-C114</f>
        <v>285000</v>
      </c>
      <c r="D111" s="166"/>
      <c r="E111" s="38">
        <f>C111/C109*100</f>
        <v>84.590391825804687</v>
      </c>
      <c r="F111" s="45"/>
      <c r="G111" s="44"/>
      <c r="H111" s="44"/>
      <c r="I111" s="44"/>
      <c r="J111" s="44"/>
      <c r="K111" s="45"/>
    </row>
    <row r="112" spans="1:11">
      <c r="A112" s="52"/>
      <c r="B112" s="28" t="s">
        <v>34</v>
      </c>
      <c r="C112" s="163">
        <f>C109-C111</f>
        <v>51917.696973073296</v>
      </c>
      <c r="D112" s="163"/>
      <c r="E112" s="38">
        <f>100-E111</f>
        <v>15.409608174195313</v>
      </c>
      <c r="F112" s="45"/>
      <c r="G112" s="44"/>
      <c r="H112" s="44"/>
      <c r="I112" s="44"/>
      <c r="J112" s="44"/>
      <c r="K112" s="45"/>
    </row>
    <row r="113" spans="1:11">
      <c r="A113" s="52"/>
      <c r="B113" s="28" t="s">
        <v>35</v>
      </c>
      <c r="C113" s="163">
        <f>C110*0.03</f>
        <v>9000</v>
      </c>
      <c r="D113" s="163"/>
      <c r="E113" s="38">
        <v>3</v>
      </c>
      <c r="F113" s="45"/>
      <c r="G113" s="44"/>
      <c r="H113" s="44"/>
      <c r="I113" s="44"/>
      <c r="J113" s="44"/>
      <c r="K113" s="45"/>
    </row>
    <row r="114" spans="1:11">
      <c r="A114" s="52"/>
      <c r="B114" s="28" t="s">
        <v>36</v>
      </c>
      <c r="C114" s="163">
        <f>C110*0.02</f>
        <v>6000</v>
      </c>
      <c r="D114" s="163"/>
      <c r="E114" s="38">
        <v>2</v>
      </c>
      <c r="F114" s="45"/>
      <c r="G114" s="44"/>
      <c r="H114" s="44"/>
      <c r="I114" s="44"/>
      <c r="J114" s="44"/>
      <c r="K114" s="45"/>
    </row>
    <row r="115" spans="1:11" s="34" customFormat="1">
      <c r="A115" s="53"/>
      <c r="B115" s="53"/>
      <c r="C115" s="53"/>
      <c r="D115" s="53"/>
      <c r="E115" s="53"/>
      <c r="F115" s="53"/>
      <c r="G115" s="53"/>
      <c r="H115" s="53"/>
      <c r="I115" s="53"/>
      <c r="J115" s="53"/>
      <c r="K115" s="53"/>
    </row>
    <row r="116" spans="1:11" s="34" customFormat="1"/>
    <row r="117" spans="1:11" s="34" customFormat="1"/>
    <row r="118" spans="1:11" s="34" customFormat="1"/>
    <row r="119" spans="1:11" s="34" customFormat="1"/>
    <row r="120" spans="1:11" s="34" customFormat="1"/>
    <row r="121" spans="1:11" s="34" customFormat="1"/>
    <row r="122" spans="1:11" s="34" customFormat="1"/>
    <row r="123" spans="1:11" s="34" customFormat="1"/>
    <row r="124" spans="1:11" s="34" customFormat="1"/>
    <row r="125" spans="1:11" s="34" customFormat="1"/>
    <row r="126" spans="1:11" s="34" customFormat="1"/>
    <row r="127" spans="1:11" s="34" customFormat="1"/>
    <row r="128" spans="1:11"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sheetData>
  <mergeCells count="18">
    <mergeCell ref="A6:F6"/>
    <mergeCell ref="H6:K6"/>
    <mergeCell ref="A1:K1"/>
    <mergeCell ref="A2:K2"/>
    <mergeCell ref="A3:K3"/>
    <mergeCell ref="A4:K4"/>
    <mergeCell ref="A5:K5"/>
    <mergeCell ref="A7:F7"/>
    <mergeCell ref="H7:K7"/>
    <mergeCell ref="C109:D109"/>
    <mergeCell ref="C110:D110"/>
    <mergeCell ref="C111:D111"/>
    <mergeCell ref="N41:T41"/>
    <mergeCell ref="N54:T54"/>
    <mergeCell ref="N62:T62"/>
    <mergeCell ref="C113:D113"/>
    <mergeCell ref="C114:D114"/>
    <mergeCell ref="C112:D112"/>
  </mergeCells>
  <hyperlinks>
    <hyperlink ref="B80" r:id="rId1"/>
    <hyperlink ref="B98" r:id="rId2"/>
  </hyperlinks>
  <pageMargins left="0.7" right="0.7" top="0.75" bottom="0.75" header="0.3" footer="0.3"/>
  <pageSetup paperSize="9" scale="80" orientation="portrait" r:id="rId3"/>
  <headerFooter>
    <oddFooter>&amp;LPrepared By:&amp;CChecked By:&amp;RApproved By: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25" workbookViewId="0">
      <selection activeCell="F27" sqref="F27"/>
    </sheetView>
  </sheetViews>
  <sheetFormatPr defaultRowHeight="13.2"/>
  <cols>
    <col min="1" max="1" width="8.88671875" style="64"/>
    <col min="2" max="2" width="11.44140625" style="64" customWidth="1"/>
    <col min="3" max="3" width="12.88671875" style="64" customWidth="1"/>
    <col min="4" max="5" width="8.88671875" style="64"/>
    <col min="6" max="6" width="10.44140625" style="64" bestFit="1" customWidth="1"/>
    <col min="7" max="7" width="11.109375" style="64" customWidth="1"/>
    <col min="8" max="8" width="13.88671875" style="64" customWidth="1"/>
    <col min="9" max="9" width="8.88671875" style="64"/>
    <col min="10" max="10" width="12" style="64" customWidth="1"/>
    <col min="11" max="16384" width="8.88671875" style="64"/>
  </cols>
  <sheetData>
    <row r="1" spans="1:10" ht="21">
      <c r="A1" s="62" t="e">
        <f>+#REF!+1</f>
        <v>#REF!</v>
      </c>
      <c r="B1" s="63"/>
      <c r="C1" s="63"/>
      <c r="D1" s="63"/>
      <c r="E1" s="63"/>
      <c r="F1" s="63"/>
      <c r="G1" s="63"/>
      <c r="H1" s="63"/>
    </row>
    <row r="2" spans="1:10" ht="20.25" customHeight="1">
      <c r="A2" s="65"/>
      <c r="B2" s="66" t="s">
        <v>49</v>
      </c>
      <c r="C2" s="66"/>
      <c r="D2" s="66"/>
      <c r="E2" s="66"/>
      <c r="F2" s="66"/>
      <c r="G2" s="66"/>
      <c r="H2" s="66"/>
    </row>
    <row r="3" spans="1:10" ht="17.399999999999999">
      <c r="A3" s="67" t="s">
        <v>50</v>
      </c>
      <c r="B3" s="180" t="s">
        <v>51</v>
      </c>
      <c r="C3" s="180"/>
      <c r="D3" s="180"/>
      <c r="E3" s="180"/>
      <c r="F3" s="180"/>
      <c r="G3" s="180"/>
      <c r="H3" s="180"/>
    </row>
    <row r="4" spans="1:10" ht="15">
      <c r="A4" s="68"/>
      <c r="B4" s="181" t="s">
        <v>86</v>
      </c>
      <c r="C4" s="181"/>
      <c r="D4" s="181"/>
      <c r="E4" s="181"/>
      <c r="F4" s="181"/>
      <c r="G4" s="181"/>
      <c r="H4" s="181"/>
    </row>
    <row r="5" spans="1:10" ht="32.4">
      <c r="A5" s="68"/>
      <c r="B5" s="69" t="s">
        <v>52</v>
      </c>
      <c r="C5" s="69" t="s">
        <v>53</v>
      </c>
      <c r="D5" s="69" t="s">
        <v>54</v>
      </c>
      <c r="E5" s="69" t="s">
        <v>55</v>
      </c>
      <c r="F5" s="69" t="s">
        <v>56</v>
      </c>
      <c r="G5" s="69" t="s">
        <v>57</v>
      </c>
      <c r="H5" s="69" t="s">
        <v>58</v>
      </c>
    </row>
    <row r="6" spans="1:10" ht="18">
      <c r="A6" s="68"/>
      <c r="B6" s="182" t="s">
        <v>59</v>
      </c>
      <c r="C6" s="69" t="s">
        <v>60</v>
      </c>
      <c r="D6" s="70">
        <v>1</v>
      </c>
      <c r="E6" s="71" t="s">
        <v>61</v>
      </c>
      <c r="F6" s="72">
        <v>1225</v>
      </c>
      <c r="G6" s="73">
        <f t="shared" ref="G6:G13" si="0">FLOOR(D6*F6,0.01)</f>
        <v>1225</v>
      </c>
      <c r="H6" s="74"/>
    </row>
    <row r="7" spans="1:10" ht="18">
      <c r="A7" s="68"/>
      <c r="B7" s="183"/>
      <c r="C7" s="71" t="s">
        <v>62</v>
      </c>
      <c r="D7" s="70">
        <v>2</v>
      </c>
      <c r="E7" s="71" t="s">
        <v>61</v>
      </c>
      <c r="F7" s="73">
        <v>920</v>
      </c>
      <c r="G7" s="73">
        <f t="shared" si="0"/>
        <v>1840</v>
      </c>
      <c r="H7" s="74">
        <f>SUM(G6+G7)</f>
        <v>3065</v>
      </c>
    </row>
    <row r="8" spans="1:10" ht="43.8">
      <c r="A8" s="68"/>
      <c r="B8" s="182" t="s">
        <v>63</v>
      </c>
      <c r="C8" s="75" t="s">
        <v>64</v>
      </c>
      <c r="D8" s="70">
        <v>0</v>
      </c>
      <c r="E8" s="71" t="s">
        <v>65</v>
      </c>
      <c r="F8" s="73">
        <v>58</v>
      </c>
      <c r="G8" s="73">
        <f t="shared" si="0"/>
        <v>0</v>
      </c>
      <c r="H8" s="74"/>
    </row>
    <row r="9" spans="1:10" ht="18">
      <c r="A9" s="68"/>
      <c r="B9" s="182"/>
      <c r="C9" s="71" t="s">
        <v>66</v>
      </c>
      <c r="D9" s="76">
        <v>0.1028</v>
      </c>
      <c r="E9" s="71" t="s">
        <v>67</v>
      </c>
      <c r="F9" s="73">
        <v>12131</v>
      </c>
      <c r="G9" s="73">
        <f t="shared" si="0"/>
        <v>1247.06</v>
      </c>
      <c r="H9" s="77"/>
    </row>
    <row r="10" spans="1:10" ht="18">
      <c r="A10" s="68"/>
      <c r="B10" s="182"/>
      <c r="C10" s="71" t="s">
        <v>68</v>
      </c>
      <c r="D10" s="76">
        <v>0.17150000000000001</v>
      </c>
      <c r="E10" s="71" t="s">
        <v>69</v>
      </c>
      <c r="F10" s="73">
        <v>3177</v>
      </c>
      <c r="G10" s="73">
        <f t="shared" si="0"/>
        <v>544.85</v>
      </c>
      <c r="H10" s="77"/>
      <c r="J10" s="78">
        <f>'[1]update Rate'!N46</f>
        <v>99000</v>
      </c>
    </row>
    <row r="11" spans="1:10" ht="18">
      <c r="A11" s="68"/>
      <c r="B11" s="182"/>
      <c r="C11" s="71" t="s">
        <v>70</v>
      </c>
      <c r="D11" s="76">
        <v>0.15160000000000001</v>
      </c>
      <c r="E11" s="71" t="s">
        <v>69</v>
      </c>
      <c r="F11" s="73">
        <f>35*35.28</f>
        <v>1234.8</v>
      </c>
      <c r="G11" s="73">
        <f t="shared" si="0"/>
        <v>187.19</v>
      </c>
      <c r="H11" s="77"/>
    </row>
    <row r="12" spans="1:10" ht="18">
      <c r="A12" s="68"/>
      <c r="B12" s="182"/>
      <c r="C12" s="71" t="s">
        <v>71</v>
      </c>
      <c r="D12" s="76">
        <v>35</v>
      </c>
      <c r="E12" s="71" t="s">
        <v>72</v>
      </c>
      <c r="F12" s="79">
        <f>100</f>
        <v>100</v>
      </c>
      <c r="G12" s="73">
        <f t="shared" si="0"/>
        <v>3500</v>
      </c>
      <c r="H12" s="77"/>
      <c r="J12" s="64">
        <f>35*0.62</f>
        <v>21.7</v>
      </c>
    </row>
    <row r="13" spans="1:10" ht="18">
      <c r="A13" s="68"/>
      <c r="B13" s="182"/>
      <c r="C13" s="71" t="s">
        <v>73</v>
      </c>
      <c r="D13" s="70">
        <v>90</v>
      </c>
      <c r="E13" s="71" t="s">
        <v>74</v>
      </c>
      <c r="F13" s="73">
        <f>'[1]Update Descrip'!F665</f>
        <v>0.28000000000000003</v>
      </c>
      <c r="G13" s="73">
        <f t="shared" si="0"/>
        <v>25.2</v>
      </c>
      <c r="H13" s="74">
        <f>SUM(G8:G13)</f>
        <v>5504.3</v>
      </c>
    </row>
    <row r="14" spans="1:10" ht="18">
      <c r="A14" s="68"/>
      <c r="B14" s="68"/>
      <c r="C14" s="68"/>
      <c r="D14" s="68"/>
      <c r="E14" s="68"/>
      <c r="F14" s="80" t="s">
        <v>75</v>
      </c>
      <c r="G14" s="81"/>
      <c r="H14" s="82">
        <f>SUM(H7:H13)</f>
        <v>8569.2999999999993</v>
      </c>
    </row>
    <row r="15" spans="1:10" ht="18">
      <c r="B15" s="83" t="s">
        <v>76</v>
      </c>
      <c r="E15" s="68"/>
      <c r="F15" s="80" t="s">
        <v>77</v>
      </c>
      <c r="G15" s="81"/>
      <c r="H15" s="73">
        <f>FLOOR(H14*0.15,0.01)</f>
        <v>1285.3900000000001</v>
      </c>
    </row>
    <row r="16" spans="1:10" ht="18">
      <c r="A16" s="84" t="s">
        <v>78</v>
      </c>
      <c r="B16" s="73">
        <f>+H16</f>
        <v>9854.6899999999987</v>
      </c>
      <c r="C16" s="68" t="s">
        <v>79</v>
      </c>
      <c r="D16" s="68"/>
      <c r="E16" s="68"/>
      <c r="F16" s="80" t="s">
        <v>80</v>
      </c>
      <c r="G16" s="81"/>
      <c r="H16" s="73">
        <f>SUM(H14:H15)</f>
        <v>9854.6899999999987</v>
      </c>
    </row>
    <row r="17" spans="1:8" ht="18">
      <c r="A17" s="84"/>
      <c r="B17" s="85"/>
      <c r="C17" s="68"/>
      <c r="D17" s="68"/>
      <c r="E17" s="68"/>
      <c r="F17" s="80" t="s">
        <v>81</v>
      </c>
      <c r="G17" s="81"/>
      <c r="H17" s="73">
        <f>H16/9</f>
        <v>1094.9655555555555</v>
      </c>
    </row>
    <row r="18" spans="1:8" ht="18">
      <c r="A18" s="84"/>
      <c r="B18" s="85"/>
      <c r="C18" s="68"/>
      <c r="D18" s="68"/>
      <c r="E18" s="68"/>
      <c r="F18" s="80" t="s">
        <v>82</v>
      </c>
      <c r="G18" s="81"/>
      <c r="H18" s="73">
        <f>H17/1.15</f>
        <v>952.14396135265702</v>
      </c>
    </row>
    <row r="19" spans="1:8" ht="18">
      <c r="A19" s="84"/>
      <c r="B19" s="86" t="s">
        <v>83</v>
      </c>
      <c r="C19" s="86"/>
      <c r="D19" s="86"/>
      <c r="E19" s="68"/>
      <c r="F19" s="80"/>
      <c r="G19" s="81"/>
      <c r="H19" s="85"/>
    </row>
    <row r="22" spans="1:8" s="94" customFormat="1" ht="21">
      <c r="A22" s="93">
        <f>+A9+1</f>
        <v>1</v>
      </c>
      <c r="B22" s="172"/>
      <c r="C22" s="172"/>
      <c r="D22" s="172"/>
      <c r="E22" s="172"/>
      <c r="F22" s="172"/>
      <c r="G22" s="172"/>
      <c r="H22" s="172"/>
    </row>
    <row r="23" spans="1:8" s="94" customFormat="1" ht="19.8">
      <c r="A23" s="95" t="s">
        <v>102</v>
      </c>
      <c r="B23" s="172" t="s">
        <v>116</v>
      </c>
      <c r="C23" s="172"/>
      <c r="D23" s="172"/>
      <c r="E23" s="172"/>
      <c r="F23" s="172"/>
      <c r="G23" s="172"/>
      <c r="H23" s="172"/>
    </row>
    <row r="24" spans="1:8" s="94" customFormat="1" ht="15">
      <c r="B24" s="173" t="s">
        <v>103</v>
      </c>
      <c r="C24" s="173"/>
      <c r="D24" s="173"/>
      <c r="E24" s="173"/>
      <c r="F24" s="173"/>
      <c r="G24" s="173"/>
      <c r="H24" s="173"/>
    </row>
    <row r="25" spans="1:8" s="94" customFormat="1" ht="30" customHeight="1">
      <c r="B25" s="96" t="s">
        <v>52</v>
      </c>
      <c r="C25" s="96" t="s">
        <v>53</v>
      </c>
      <c r="D25" s="96" t="s">
        <v>54</v>
      </c>
      <c r="E25" s="96" t="s">
        <v>55</v>
      </c>
      <c r="F25" s="96" t="s">
        <v>56</v>
      </c>
      <c r="G25" s="96" t="s">
        <v>57</v>
      </c>
      <c r="H25" s="96" t="s">
        <v>58</v>
      </c>
    </row>
    <row r="26" spans="1:8" s="94" customFormat="1" ht="24.75" customHeight="1">
      <c r="B26" s="174" t="s">
        <v>59</v>
      </c>
      <c r="C26" s="97" t="s">
        <v>60</v>
      </c>
      <c r="D26" s="98">
        <v>17.2</v>
      </c>
      <c r="E26" s="99" t="s">
        <v>61</v>
      </c>
      <c r="F26" s="100">
        <v>1225</v>
      </c>
      <c r="G26" s="101">
        <f t="shared" ref="G26:G31" si="1">FLOOR(D26*F26,0.01)</f>
        <v>21070</v>
      </c>
      <c r="H26" s="102"/>
    </row>
    <row r="27" spans="1:8" s="94" customFormat="1" ht="18">
      <c r="B27" s="175"/>
      <c r="C27" s="103" t="s">
        <v>62</v>
      </c>
      <c r="D27" s="104">
        <v>25.7</v>
      </c>
      <c r="E27" s="105" t="s">
        <v>61</v>
      </c>
      <c r="F27" s="106">
        <v>920</v>
      </c>
      <c r="G27" s="106">
        <f t="shared" si="1"/>
        <v>23644</v>
      </c>
      <c r="H27" s="107">
        <f>SUM(G26+G27)</f>
        <v>44714</v>
      </c>
    </row>
    <row r="28" spans="1:8" s="94" customFormat="1" ht="18">
      <c r="B28" s="176" t="s">
        <v>63</v>
      </c>
      <c r="C28" s="99" t="s">
        <v>104</v>
      </c>
      <c r="D28" s="108">
        <v>16.5</v>
      </c>
      <c r="E28" s="99" t="s">
        <v>105</v>
      </c>
      <c r="F28" s="101">
        <v>1215.8800000000001</v>
      </c>
      <c r="G28" s="101">
        <f>FLOOR(D28*F28,0.01)</f>
        <v>20062.02</v>
      </c>
      <c r="H28" s="102"/>
    </row>
    <row r="29" spans="1:8" s="94" customFormat="1" ht="18">
      <c r="B29" s="177"/>
      <c r="C29" s="103" t="s">
        <v>106</v>
      </c>
      <c r="D29" s="109">
        <v>0.23200000000000001</v>
      </c>
      <c r="E29" s="103" t="s">
        <v>69</v>
      </c>
      <c r="F29" s="106">
        <f>Jwood</f>
        <v>57449.37</v>
      </c>
      <c r="G29" s="106">
        <f t="shared" si="1"/>
        <v>13328.25</v>
      </c>
      <c r="H29" s="107"/>
    </row>
    <row r="30" spans="1:8" s="94" customFormat="1" ht="27.6">
      <c r="B30" s="177"/>
      <c r="C30" s="110" t="s">
        <v>117</v>
      </c>
      <c r="D30" s="109">
        <v>0</v>
      </c>
      <c r="E30" s="103" t="s">
        <v>107</v>
      </c>
      <c r="F30" s="106">
        <f>'[7]update Rate'!$N$215</f>
        <v>2304</v>
      </c>
      <c r="G30" s="106">
        <f t="shared" si="1"/>
        <v>0</v>
      </c>
      <c r="H30" s="107"/>
    </row>
    <row r="31" spans="1:8" s="94" customFormat="1" ht="18">
      <c r="B31" s="178"/>
      <c r="C31" s="105" t="s">
        <v>108</v>
      </c>
      <c r="D31" s="111">
        <v>25</v>
      </c>
      <c r="E31" s="105" t="s">
        <v>109</v>
      </c>
      <c r="F31" s="112">
        <f>'[7]update Rate'!$N$59</f>
        <v>132</v>
      </c>
      <c r="G31" s="112">
        <f t="shared" si="1"/>
        <v>3300</v>
      </c>
      <c r="H31" s="113">
        <f>SUM(G28:G31)</f>
        <v>36690.270000000004</v>
      </c>
    </row>
    <row r="32" spans="1:8" s="94" customFormat="1" ht="18">
      <c r="F32" s="114" t="s">
        <v>75</v>
      </c>
      <c r="G32" s="114"/>
      <c r="H32" s="112">
        <f>SUM(H26:H31)</f>
        <v>81404.27</v>
      </c>
    </row>
    <row r="33" spans="1:8" s="94" customFormat="1" ht="18">
      <c r="B33" s="94" t="s">
        <v>110</v>
      </c>
      <c r="F33" s="114" t="s">
        <v>77</v>
      </c>
      <c r="G33" s="114"/>
      <c r="H33" s="115">
        <f>FLOOR(H32*0.15,0.01)</f>
        <v>12210.64</v>
      </c>
    </row>
    <row r="34" spans="1:8" s="94" customFormat="1" ht="20.100000000000001" customHeight="1">
      <c r="A34" s="116"/>
      <c r="B34" s="117">
        <f>+H34</f>
        <v>93614.91</v>
      </c>
      <c r="C34" s="116" t="s">
        <v>78</v>
      </c>
      <c r="D34" s="115">
        <f>INT(B34/B35*100)/100</f>
        <v>936.14</v>
      </c>
      <c r="E34" s="94" t="s">
        <v>79</v>
      </c>
      <c r="F34" s="114" t="s">
        <v>80</v>
      </c>
      <c r="G34" s="114"/>
      <c r="H34" s="115">
        <f>SUM(H32:H33)</f>
        <v>93614.91</v>
      </c>
    </row>
    <row r="35" spans="1:8" s="94" customFormat="1" ht="20.100000000000001" customHeight="1">
      <c r="B35" s="118">
        <v>100</v>
      </c>
    </row>
    <row r="36" spans="1:8" s="94" customFormat="1" ht="12" customHeight="1">
      <c r="A36" s="179" t="s">
        <v>118</v>
      </c>
      <c r="B36" s="179"/>
      <c r="C36" s="179"/>
      <c r="D36" s="179"/>
      <c r="E36" s="179"/>
      <c r="F36" s="179"/>
      <c r="G36" s="179"/>
      <c r="H36" s="179"/>
    </row>
    <row r="37" spans="1:8" s="94" customFormat="1" ht="12" customHeight="1">
      <c r="B37" s="119" t="s">
        <v>111</v>
      </c>
    </row>
    <row r="38" spans="1:8" s="94" customFormat="1" ht="12" customHeight="1">
      <c r="A38" s="171" t="s">
        <v>112</v>
      </c>
      <c r="B38" s="171"/>
      <c r="C38" s="171"/>
      <c r="D38" s="171"/>
      <c r="E38" s="171"/>
      <c r="F38" s="171"/>
      <c r="G38" s="171"/>
      <c r="H38" s="171"/>
    </row>
    <row r="39" spans="1:8" s="94" customFormat="1" ht="12" customHeight="1">
      <c r="B39" s="119" t="s">
        <v>113</v>
      </c>
    </row>
    <row r="40" spans="1:8" s="94" customFormat="1" ht="12" customHeight="1">
      <c r="A40" s="171" t="s">
        <v>114</v>
      </c>
      <c r="B40" s="171"/>
      <c r="C40" s="171"/>
      <c r="D40" s="171"/>
      <c r="E40" s="171"/>
      <c r="F40" s="171"/>
      <c r="G40" s="171"/>
      <c r="H40" s="171"/>
    </row>
    <row r="41" spans="1:8" s="94" customFormat="1" ht="12" customHeight="1">
      <c r="B41" s="119" t="s">
        <v>115</v>
      </c>
    </row>
    <row r="42" spans="1:8" s="94" customFormat="1" ht="12" customHeight="1">
      <c r="B42" s="119"/>
    </row>
  </sheetData>
  <mergeCells count="12">
    <mergeCell ref="B3:H3"/>
    <mergeCell ref="B4:H4"/>
    <mergeCell ref="B6:B7"/>
    <mergeCell ref="B8:B13"/>
    <mergeCell ref="B22:H22"/>
    <mergeCell ref="A38:H38"/>
    <mergeCell ref="A40:H40"/>
    <mergeCell ref="B23:H23"/>
    <mergeCell ref="B24:H24"/>
    <mergeCell ref="B26:B27"/>
    <mergeCell ref="B28:B31"/>
    <mergeCell ref="A36:H3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7"/>
  <sheetViews>
    <sheetView topLeftCell="A130" zoomScaleNormal="100" workbookViewId="0">
      <selection activeCell="F31" sqref="F31"/>
    </sheetView>
  </sheetViews>
  <sheetFormatPr defaultRowHeight="14.4"/>
  <cols>
    <col min="1" max="1" width="4.6640625" customWidth="1"/>
    <col min="2" max="2" width="31.33203125" customWidth="1"/>
    <col min="3" max="3" width="5.5546875" bestFit="1" customWidth="1"/>
    <col min="4" max="4" width="7.5546875" customWidth="1"/>
    <col min="5" max="5" width="8.5546875" customWidth="1"/>
    <col min="6" max="6" width="8.88671875" bestFit="1" customWidth="1"/>
    <col min="7" max="7" width="9.44140625" customWidth="1"/>
    <col min="8" max="8" width="5" bestFit="1" customWidth="1"/>
    <col min="9" max="9" width="9.5546875" bestFit="1" customWidth="1"/>
    <col min="10" max="10" width="10.6640625" bestFit="1" customWidth="1"/>
  </cols>
  <sheetData>
    <row r="1" spans="1:14" s="1" customFormat="1">
      <c r="A1" s="168" t="s">
        <v>0</v>
      </c>
      <c r="B1" s="168"/>
      <c r="C1" s="168"/>
      <c r="D1" s="168"/>
      <c r="E1" s="168"/>
      <c r="F1" s="168"/>
      <c r="G1" s="168"/>
      <c r="H1" s="168"/>
      <c r="I1" s="168"/>
      <c r="J1" s="168"/>
      <c r="K1" s="168"/>
    </row>
    <row r="2" spans="1:14" s="1" customFormat="1" ht="22.8">
      <c r="A2" s="169" t="s">
        <v>1</v>
      </c>
      <c r="B2" s="169"/>
      <c r="C2" s="169"/>
      <c r="D2" s="169"/>
      <c r="E2" s="169"/>
      <c r="F2" s="169"/>
      <c r="G2" s="169"/>
      <c r="H2" s="169"/>
      <c r="I2" s="169"/>
      <c r="J2" s="169"/>
      <c r="K2" s="169"/>
    </row>
    <row r="3" spans="1:14" s="1" customFormat="1">
      <c r="A3" s="160" t="s">
        <v>2</v>
      </c>
      <c r="B3" s="160"/>
      <c r="C3" s="160"/>
      <c r="D3" s="160"/>
      <c r="E3" s="160"/>
      <c r="F3" s="160"/>
      <c r="G3" s="160"/>
      <c r="H3" s="160"/>
      <c r="I3" s="160"/>
      <c r="J3" s="160"/>
      <c r="K3" s="160"/>
    </row>
    <row r="4" spans="1:14" s="1" customFormat="1">
      <c r="A4" s="160" t="s">
        <v>3</v>
      </c>
      <c r="B4" s="160"/>
      <c r="C4" s="160"/>
      <c r="D4" s="160"/>
      <c r="E4" s="160"/>
      <c r="F4" s="160"/>
      <c r="G4" s="160"/>
      <c r="H4" s="160"/>
      <c r="I4" s="160"/>
      <c r="J4" s="160"/>
      <c r="K4" s="160"/>
    </row>
    <row r="5" spans="1:14" ht="17.399999999999999">
      <c r="A5" s="170" t="s">
        <v>4</v>
      </c>
      <c r="B5" s="170"/>
      <c r="C5" s="170"/>
      <c r="D5" s="170"/>
      <c r="E5" s="170"/>
      <c r="F5" s="170"/>
      <c r="G5" s="170"/>
      <c r="H5" s="170"/>
      <c r="I5" s="170"/>
      <c r="J5" s="170"/>
      <c r="K5" s="170"/>
    </row>
    <row r="6" spans="1:14" ht="15.6">
      <c r="A6" s="150" t="s">
        <v>44</v>
      </c>
      <c r="B6" s="150"/>
      <c r="C6" s="150"/>
      <c r="D6" s="150"/>
      <c r="E6" s="150"/>
      <c r="F6" s="150"/>
      <c r="G6" s="2"/>
      <c r="H6" s="167" t="s">
        <v>42</v>
      </c>
      <c r="I6" s="167"/>
      <c r="J6" s="167"/>
      <c r="K6" s="167"/>
    </row>
    <row r="7" spans="1:14" ht="15.6">
      <c r="A7" s="164" t="s">
        <v>28</v>
      </c>
      <c r="B7" s="164"/>
      <c r="C7" s="164"/>
      <c r="D7" s="164"/>
      <c r="E7" s="164"/>
      <c r="F7" s="164"/>
      <c r="G7" s="3"/>
      <c r="H7" s="165" t="s">
        <v>141</v>
      </c>
      <c r="I7" s="165"/>
      <c r="J7" s="165"/>
      <c r="K7" s="165"/>
    </row>
    <row r="8" spans="1:14" ht="15" customHeight="1">
      <c r="A8" s="4" t="s">
        <v>5</v>
      </c>
      <c r="B8" s="15" t="s">
        <v>6</v>
      </c>
      <c r="C8" s="4" t="s">
        <v>7</v>
      </c>
      <c r="D8" s="16" t="s">
        <v>8</v>
      </c>
      <c r="E8" s="16" t="s">
        <v>9</v>
      </c>
      <c r="F8" s="16" t="s">
        <v>10</v>
      </c>
      <c r="G8" s="16" t="s">
        <v>11</v>
      </c>
      <c r="H8" s="4" t="s">
        <v>12</v>
      </c>
      <c r="I8" s="16" t="s">
        <v>13</v>
      </c>
      <c r="J8" s="16" t="s">
        <v>14</v>
      </c>
      <c r="K8" s="17" t="s">
        <v>15</v>
      </c>
    </row>
    <row r="9" spans="1:14" ht="27.6">
      <c r="A9" s="18">
        <v>1</v>
      </c>
      <c r="B9" s="60" t="s">
        <v>150</v>
      </c>
      <c r="C9" s="4"/>
      <c r="D9" s="16"/>
      <c r="E9" s="16"/>
      <c r="F9" s="16"/>
      <c r="G9" s="16"/>
      <c r="H9" s="4"/>
      <c r="I9" s="16"/>
      <c r="J9" s="16"/>
      <c r="K9" s="17"/>
    </row>
    <row r="10" spans="1:14" ht="15" customHeight="1">
      <c r="A10" s="18"/>
      <c r="B10" s="36" t="s">
        <v>151</v>
      </c>
      <c r="C10" s="35">
        <v>1</v>
      </c>
      <c r="D10" s="37">
        <f>3.1+3.1+2.3+2.3+5.6+1.6</f>
        <v>18</v>
      </c>
      <c r="E10" s="37">
        <f>0.1</f>
        <v>0.1</v>
      </c>
      <c r="F10" s="37">
        <f>2.333/3.281</f>
        <v>0.7110637000914356</v>
      </c>
      <c r="G10" s="38">
        <f t="shared" ref="G10" si="0">PRODUCT(C10:F10)</f>
        <v>1.2799146601645841</v>
      </c>
      <c r="H10" s="39"/>
      <c r="I10" s="39"/>
      <c r="J10" s="39"/>
      <c r="K10" s="61"/>
      <c r="N10">
        <f>5.84+1.76</f>
        <v>7.6</v>
      </c>
    </row>
    <row r="11" spans="1:14" ht="15" customHeight="1">
      <c r="A11" s="18"/>
      <c r="B11" s="36" t="s">
        <v>41</v>
      </c>
      <c r="C11" s="35"/>
      <c r="D11" s="37"/>
      <c r="E11" s="37"/>
      <c r="F11" s="37"/>
      <c r="G11" s="33">
        <f>SUM(G10:G10)</f>
        <v>1.2799146601645841</v>
      </c>
      <c r="H11" s="39" t="s">
        <v>85</v>
      </c>
      <c r="I11" s="39">
        <v>975.2</v>
      </c>
      <c r="J11" s="41">
        <f>G11*I11</f>
        <v>1248.1727765925025</v>
      </c>
      <c r="K11" s="21"/>
    </row>
    <row r="12" spans="1:14" ht="15" customHeight="1">
      <c r="A12" s="18"/>
      <c r="B12" s="36"/>
      <c r="C12" s="35"/>
      <c r="D12" s="37"/>
      <c r="E12" s="37"/>
      <c r="F12" s="37"/>
      <c r="G12" s="38"/>
      <c r="H12" s="39"/>
      <c r="I12" s="39"/>
      <c r="J12" s="41"/>
      <c r="K12" s="21"/>
    </row>
    <row r="13" spans="1:14" ht="27.6">
      <c r="A13" s="18">
        <v>2</v>
      </c>
      <c r="B13" s="60" t="s">
        <v>152</v>
      </c>
      <c r="C13" s="35"/>
      <c r="D13" s="37"/>
      <c r="E13" s="37"/>
      <c r="F13" s="37"/>
      <c r="G13" s="38"/>
      <c r="H13" s="39"/>
      <c r="I13" s="39"/>
      <c r="J13" s="41"/>
      <c r="K13" s="21"/>
    </row>
    <row r="14" spans="1:14" ht="15" customHeight="1">
      <c r="A14" s="18"/>
      <c r="B14" s="36" t="s">
        <v>48</v>
      </c>
      <c r="C14" s="35">
        <v>1</v>
      </c>
      <c r="D14" s="37">
        <f>D10</f>
        <v>18</v>
      </c>
      <c r="E14" s="37">
        <v>0.23</v>
      </c>
      <c r="F14" s="37">
        <f>F10</f>
        <v>0.7110637000914356</v>
      </c>
      <c r="G14" s="38">
        <f>PRODUCT(C14:F14)</f>
        <v>2.9438037183785437</v>
      </c>
      <c r="H14" s="39"/>
      <c r="I14" s="39"/>
      <c r="J14" s="39"/>
      <c r="K14" s="61"/>
      <c r="N14">
        <f>5.84+1.76</f>
        <v>7.6</v>
      </c>
    </row>
    <row r="15" spans="1:14" ht="15" customHeight="1">
      <c r="A15" s="18"/>
      <c r="B15" s="36" t="s">
        <v>154</v>
      </c>
      <c r="C15" s="35">
        <v>1</v>
      </c>
      <c r="D15" s="37">
        <v>6.55</v>
      </c>
      <c r="E15" s="37">
        <v>0.23</v>
      </c>
      <c r="F15" s="37">
        <v>0.3</v>
      </c>
      <c r="G15" s="38">
        <f>PRODUCT(C15:F15)</f>
        <v>0.45194999999999996</v>
      </c>
      <c r="H15" s="39"/>
      <c r="I15" s="39"/>
      <c r="J15" s="39"/>
      <c r="K15" s="61"/>
    </row>
    <row r="16" spans="1:14" ht="15" customHeight="1">
      <c r="A16" s="18"/>
      <c r="B16" s="36" t="s">
        <v>41</v>
      </c>
      <c r="C16" s="35"/>
      <c r="D16" s="37"/>
      <c r="E16" s="37"/>
      <c r="F16" s="37"/>
      <c r="G16" s="33">
        <f>SUM(G14:G15)</f>
        <v>3.3957537183785438</v>
      </c>
      <c r="H16" s="39" t="s">
        <v>85</v>
      </c>
      <c r="I16" s="39">
        <v>14362.76</v>
      </c>
      <c r="J16" s="41">
        <f>G16*I16</f>
        <v>48772.395676178618</v>
      </c>
      <c r="K16" s="21"/>
    </row>
    <row r="17" spans="1:14" ht="15" customHeight="1">
      <c r="A17" s="18"/>
      <c r="B17" s="36" t="s">
        <v>40</v>
      </c>
      <c r="C17" s="35"/>
      <c r="D17" s="37"/>
      <c r="E17" s="37"/>
      <c r="F17" s="37"/>
      <c r="G17" s="38"/>
      <c r="H17" s="39"/>
      <c r="I17" s="39"/>
      <c r="J17" s="41">
        <f>0.13*G16*10311.74</f>
        <v>4552.0968282338599</v>
      </c>
      <c r="K17" s="21"/>
    </row>
    <row r="18" spans="1:14" ht="15" customHeight="1">
      <c r="A18" s="18"/>
      <c r="B18" s="36"/>
      <c r="C18" s="35"/>
      <c r="D18" s="37"/>
      <c r="E18" s="37"/>
      <c r="F18" s="37"/>
      <c r="G18" s="38"/>
      <c r="H18" s="39"/>
      <c r="I18" s="39"/>
      <c r="J18" s="41"/>
      <c r="K18" s="21"/>
    </row>
    <row r="19" spans="1:14" s="1" customFormat="1" ht="55.2">
      <c r="A19" s="59">
        <v>3</v>
      </c>
      <c r="B19" s="60" t="s">
        <v>45</v>
      </c>
      <c r="C19" s="60"/>
      <c r="D19" s="38"/>
      <c r="E19" s="38"/>
      <c r="F19" s="38"/>
      <c r="G19" s="38"/>
      <c r="H19" s="38"/>
      <c r="I19" s="38"/>
      <c r="J19" s="41"/>
      <c r="K19" s="28"/>
    </row>
    <row r="20" spans="1:14" ht="15" customHeight="1">
      <c r="A20" s="18"/>
      <c r="B20" s="36" t="s">
        <v>46</v>
      </c>
      <c r="C20" s="35">
        <v>1</v>
      </c>
      <c r="D20" s="37">
        <f>((5.84+1.76)+(4.23+3.4))/2</f>
        <v>7.6150000000000002</v>
      </c>
      <c r="E20" s="37">
        <f>(3.48+3.5)/2</f>
        <v>3.49</v>
      </c>
      <c r="F20" s="37"/>
      <c r="G20" s="38">
        <f t="shared" ref="G20:G22" si="1">PRODUCT(C20:F20)</f>
        <v>26.576350000000001</v>
      </c>
      <c r="H20" s="39"/>
      <c r="I20" s="39"/>
      <c r="J20" s="39"/>
      <c r="K20" s="61"/>
      <c r="N20">
        <f>5.84+1.76</f>
        <v>7.6</v>
      </c>
    </row>
    <row r="21" spans="1:14" ht="15" customHeight="1">
      <c r="A21" s="18"/>
      <c r="B21" s="36"/>
      <c r="C21" s="35">
        <v>1</v>
      </c>
      <c r="D21" s="37">
        <f>((3.87+1.86)+(3.57+2.18))/2</f>
        <v>5.74</v>
      </c>
      <c r="E21" s="37">
        <f>1.15+0.59+0.59</f>
        <v>2.3299999999999996</v>
      </c>
      <c r="F21" s="37"/>
      <c r="G21" s="38">
        <f t="shared" si="1"/>
        <v>13.374199999999998</v>
      </c>
      <c r="H21" s="39"/>
      <c r="I21" s="39"/>
      <c r="J21" s="39"/>
      <c r="K21" s="61"/>
      <c r="N21">
        <f>3.87+1.86</f>
        <v>5.73</v>
      </c>
    </row>
    <row r="22" spans="1:14" ht="15" customHeight="1">
      <c r="A22" s="18"/>
      <c r="B22" s="36"/>
      <c r="C22" s="35">
        <v>1</v>
      </c>
      <c r="D22" s="37">
        <f>5.7</f>
        <v>5.7</v>
      </c>
      <c r="E22" s="37">
        <f>2.3</f>
        <v>2.2999999999999998</v>
      </c>
      <c r="F22" s="37"/>
      <c r="G22" s="38">
        <f t="shared" si="1"/>
        <v>13.11</v>
      </c>
      <c r="H22" s="39"/>
      <c r="I22" s="39"/>
      <c r="J22" s="39"/>
      <c r="K22" s="61"/>
    </row>
    <row r="23" spans="1:14" ht="15" customHeight="1">
      <c r="A23" s="18"/>
      <c r="B23" s="36" t="s">
        <v>41</v>
      </c>
      <c r="C23" s="35"/>
      <c r="D23" s="37"/>
      <c r="E23" s="37"/>
      <c r="F23" s="37"/>
      <c r="G23" s="33">
        <f>SUM(G20:G22)</f>
        <v>53.060549999999999</v>
      </c>
      <c r="H23" s="39" t="s">
        <v>43</v>
      </c>
      <c r="I23" s="39">
        <v>817.76</v>
      </c>
      <c r="J23" s="41">
        <f>G23*I23</f>
        <v>43390.795367999999</v>
      </c>
      <c r="K23" s="21"/>
    </row>
    <row r="24" spans="1:14" ht="15" customHeight="1">
      <c r="A24" s="18"/>
      <c r="B24" s="36" t="s">
        <v>40</v>
      </c>
      <c r="C24" s="35"/>
      <c r="D24" s="37"/>
      <c r="E24" s="37"/>
      <c r="F24" s="37"/>
      <c r="G24" s="38"/>
      <c r="H24" s="39"/>
      <c r="I24" s="39"/>
      <c r="J24" s="41">
        <f>0.13*J23</f>
        <v>5640.8033978399999</v>
      </c>
      <c r="K24" s="21"/>
    </row>
    <row r="25" spans="1:14" ht="15" customHeight="1">
      <c r="A25" s="18"/>
      <c r="B25" s="36"/>
      <c r="C25" s="35"/>
      <c r="D25" s="37"/>
      <c r="E25" s="37"/>
      <c r="F25" s="37"/>
      <c r="G25" s="38"/>
      <c r="H25" s="39"/>
      <c r="I25" s="39"/>
      <c r="J25" s="41"/>
      <c r="K25" s="21"/>
    </row>
    <row r="26" spans="1:14" ht="27.6">
      <c r="A26" s="18">
        <v>4</v>
      </c>
      <c r="B26" s="60" t="s">
        <v>47</v>
      </c>
      <c r="C26" s="35"/>
      <c r="D26" s="37"/>
      <c r="E26" s="37"/>
      <c r="F26" s="37"/>
      <c r="G26" s="38"/>
      <c r="H26" s="39"/>
      <c r="I26" s="39"/>
      <c r="J26" s="41"/>
      <c r="K26" s="21"/>
    </row>
    <row r="27" spans="1:14" ht="15" customHeight="1">
      <c r="A27" s="18"/>
      <c r="B27" s="36" t="s">
        <v>48</v>
      </c>
      <c r="C27" s="35">
        <v>3</v>
      </c>
      <c r="D27" s="37">
        <f>12/3.281</f>
        <v>3.6574215178299299</v>
      </c>
      <c r="E27" s="37">
        <f>3.5/3.281</f>
        <v>1.0667479427003961</v>
      </c>
      <c r="F27" s="37"/>
      <c r="G27" s="38">
        <f>PRODUCT(C27:F27)</f>
        <v>11.704640639199713</v>
      </c>
      <c r="H27" s="39"/>
      <c r="I27" s="39"/>
      <c r="J27" s="39"/>
      <c r="K27" s="61"/>
      <c r="N27">
        <f>5.84+1.76</f>
        <v>7.6</v>
      </c>
    </row>
    <row r="28" spans="1:14" ht="15" customHeight="1">
      <c r="A28" s="18"/>
      <c r="B28" s="36" t="s">
        <v>41</v>
      </c>
      <c r="C28" s="35"/>
      <c r="D28" s="37"/>
      <c r="E28" s="37"/>
      <c r="F28" s="37"/>
      <c r="G28" s="33">
        <f>SUM(G27:G27)</f>
        <v>11.704640639199713</v>
      </c>
      <c r="H28" s="39" t="s">
        <v>43</v>
      </c>
      <c r="I28" s="39">
        <v>1070.9000000000001</v>
      </c>
      <c r="J28" s="41">
        <f>G28*I28</f>
        <v>12534.499660518974</v>
      </c>
      <c r="K28" s="21"/>
    </row>
    <row r="29" spans="1:14" ht="15" customHeight="1">
      <c r="A29" s="18"/>
      <c r="B29" s="36" t="s">
        <v>40</v>
      </c>
      <c r="C29" s="35"/>
      <c r="D29" s="37"/>
      <c r="E29" s="37"/>
      <c r="F29" s="37"/>
      <c r="G29" s="38"/>
      <c r="H29" s="39"/>
      <c r="I29" s="39"/>
      <c r="J29" s="41">
        <f>0.13*G28*8587.63/10</f>
        <v>1306.6966002013382</v>
      </c>
      <c r="K29" s="21"/>
    </row>
    <row r="30" spans="1:14" ht="15" customHeight="1">
      <c r="A30" s="18"/>
      <c r="B30" s="36"/>
      <c r="C30" s="35"/>
      <c r="D30" s="37"/>
      <c r="E30" s="37"/>
      <c r="F30" s="37"/>
      <c r="G30" s="38"/>
      <c r="H30" s="39"/>
      <c r="I30" s="39"/>
      <c r="J30" s="41"/>
      <c r="K30" s="21"/>
    </row>
    <row r="31" spans="1:14" ht="27.6">
      <c r="A31" s="18">
        <v>5</v>
      </c>
      <c r="B31" s="60" t="s">
        <v>157</v>
      </c>
      <c r="C31" s="35"/>
      <c r="D31" s="37"/>
      <c r="E31" s="37"/>
      <c r="F31" s="37"/>
      <c r="G31" s="38"/>
      <c r="H31" s="39"/>
      <c r="I31" s="39"/>
      <c r="J31" s="41"/>
      <c r="K31" s="21"/>
    </row>
    <row r="32" spans="1:14" ht="15" customHeight="1">
      <c r="A32" s="18"/>
      <c r="B32" s="36" t="s">
        <v>48</v>
      </c>
      <c r="C32" s="35">
        <v>1</v>
      </c>
      <c r="D32" s="37">
        <f>3.1+3.1+5.6+1.6</f>
        <v>13.4</v>
      </c>
      <c r="E32" s="37"/>
      <c r="F32" s="37"/>
      <c r="G32" s="38">
        <f>PRODUCT(C32:F32)</f>
        <v>13.4</v>
      </c>
      <c r="H32" s="39"/>
      <c r="I32" s="39"/>
      <c r="J32" s="39"/>
      <c r="K32" s="61"/>
      <c r="N32">
        <f>5.84+1.76</f>
        <v>7.6</v>
      </c>
    </row>
    <row r="33" spans="1:19" ht="15" customHeight="1">
      <c r="A33" s="18"/>
      <c r="B33" s="36" t="s">
        <v>41</v>
      </c>
      <c r="C33" s="35"/>
      <c r="D33" s="37"/>
      <c r="E33" s="37"/>
      <c r="F33" s="37"/>
      <c r="G33" s="33">
        <f>SUM(G32:G32)</f>
        <v>13.4</v>
      </c>
      <c r="H33" s="39" t="s">
        <v>158</v>
      </c>
      <c r="I33" s="39">
        <v>1108.01</v>
      </c>
      <c r="J33" s="41">
        <f>G33*I33</f>
        <v>14847.334000000001</v>
      </c>
      <c r="K33" s="21"/>
    </row>
    <row r="34" spans="1:19" ht="15" customHeight="1">
      <c r="A34" s="18"/>
      <c r="B34" s="36" t="s">
        <v>40</v>
      </c>
      <c r="C34" s="35"/>
      <c r="D34" s="37"/>
      <c r="E34" s="37"/>
      <c r="F34" s="37"/>
      <c r="G34" s="38"/>
      <c r="H34" s="39"/>
      <c r="I34" s="39"/>
      <c r="J34" s="41">
        <f>0.13*G33*7076.41/10</f>
        <v>1232.7106220000001</v>
      </c>
      <c r="K34" s="21"/>
    </row>
    <row r="35" spans="1:19" ht="15" customHeight="1">
      <c r="A35" s="18"/>
      <c r="B35" s="36"/>
      <c r="C35" s="35"/>
      <c r="D35" s="37"/>
      <c r="E35" s="37"/>
      <c r="F35" s="37"/>
      <c r="G35" s="38"/>
      <c r="H35" s="39"/>
      <c r="I35" s="39"/>
      <c r="J35" s="41"/>
      <c r="K35" s="21"/>
    </row>
    <row r="36" spans="1:19" ht="41.4">
      <c r="A36" s="18">
        <v>6</v>
      </c>
      <c r="B36" s="60" t="s">
        <v>87</v>
      </c>
      <c r="C36" s="35"/>
      <c r="D36" s="37"/>
      <c r="E36" s="37"/>
      <c r="F36" s="37"/>
      <c r="G36" s="38"/>
      <c r="H36" s="39"/>
      <c r="I36" s="39"/>
      <c r="J36" s="41"/>
      <c r="K36" s="21"/>
    </row>
    <row r="37" spans="1:19" ht="15" customHeight="1">
      <c r="A37" s="18"/>
      <c r="B37" s="36" t="s">
        <v>84</v>
      </c>
      <c r="C37" s="35">
        <v>2</v>
      </c>
      <c r="D37" s="37">
        <f>(18+14)/3.281</f>
        <v>9.7531240475464784</v>
      </c>
      <c r="E37" s="37">
        <v>0.15</v>
      </c>
      <c r="F37" s="37">
        <v>0.6</v>
      </c>
      <c r="G37" s="38">
        <f>PRODUCT(C37:F37)</f>
        <v>1.7555623285583659</v>
      </c>
      <c r="H37" s="39"/>
      <c r="I37" s="39"/>
      <c r="J37" s="39"/>
      <c r="K37" s="61"/>
      <c r="N37">
        <f>5.84+1.76</f>
        <v>7.6</v>
      </c>
    </row>
    <row r="38" spans="1:19" ht="15" customHeight="1">
      <c r="A38" s="18"/>
      <c r="B38" s="36" t="s">
        <v>41</v>
      </c>
      <c r="C38" s="35"/>
      <c r="D38" s="37"/>
      <c r="E38" s="37"/>
      <c r="F38" s="37"/>
      <c r="G38" s="33">
        <f>SUM(G37:G37)</f>
        <v>1.7555623285583659</v>
      </c>
      <c r="H38" s="39" t="s">
        <v>85</v>
      </c>
      <c r="I38" s="39">
        <v>1950.4</v>
      </c>
      <c r="J38" s="41">
        <f>G38*I38</f>
        <v>3424.0487656202372</v>
      </c>
      <c r="K38" s="21"/>
    </row>
    <row r="39" spans="1:19" ht="15" customHeight="1">
      <c r="A39" s="18"/>
      <c r="B39" s="36" t="s">
        <v>40</v>
      </c>
      <c r="C39" s="35"/>
      <c r="D39" s="37"/>
      <c r="E39" s="37"/>
      <c r="F39" s="37"/>
      <c r="G39" s="38"/>
      <c r="H39" s="39"/>
      <c r="I39" s="39"/>
      <c r="J39" s="41">
        <f>0.13*J38</f>
        <v>445.12633953063084</v>
      </c>
      <c r="K39" s="21"/>
    </row>
    <row r="40" spans="1:19" ht="15" customHeight="1">
      <c r="A40" s="18"/>
      <c r="B40" s="36"/>
      <c r="C40" s="35"/>
      <c r="D40" s="37"/>
      <c r="E40" s="37"/>
      <c r="F40" s="37"/>
      <c r="G40" s="38"/>
      <c r="H40" s="39"/>
      <c r="I40" s="39"/>
      <c r="J40" s="41"/>
      <c r="K40" s="21"/>
    </row>
    <row r="41" spans="1:19" ht="30.6">
      <c r="A41" s="18">
        <v>7</v>
      </c>
      <c r="B41" s="87" t="s">
        <v>89</v>
      </c>
      <c r="C41" s="19"/>
      <c r="D41" s="20"/>
      <c r="E41" s="21"/>
      <c r="F41" s="21"/>
      <c r="G41" s="23"/>
      <c r="H41" s="22"/>
      <c r="I41" s="23"/>
      <c r="J41" s="40"/>
      <c r="K41" s="21"/>
      <c r="M41" s="88"/>
      <c r="N41" s="1"/>
      <c r="O41" s="1"/>
      <c r="P41" s="1"/>
      <c r="Q41" s="1"/>
      <c r="R41" s="88"/>
      <c r="S41" s="88"/>
    </row>
    <row r="42" spans="1:19" ht="15" customHeight="1">
      <c r="A42" s="18"/>
      <c r="B42" s="36" t="s">
        <v>90</v>
      </c>
      <c r="C42" s="19">
        <v>1</v>
      </c>
      <c r="D42" s="20">
        <f>D60</f>
        <v>9.7531240475464784</v>
      </c>
      <c r="E42" s="21">
        <v>0.4</v>
      </c>
      <c r="F42" s="21">
        <v>0.125</v>
      </c>
      <c r="G42" s="38">
        <f>PRODUCT(C42:F42)</f>
        <v>0.48765620237732393</v>
      </c>
      <c r="H42" s="22"/>
      <c r="I42" s="23"/>
      <c r="J42" s="40"/>
      <c r="K42" s="21"/>
    </row>
    <row r="43" spans="1:19" ht="15" customHeight="1">
      <c r="A43" s="18"/>
      <c r="B43" s="36" t="s">
        <v>41</v>
      </c>
      <c r="C43" s="19"/>
      <c r="D43" s="20"/>
      <c r="E43" s="21"/>
      <c r="F43" s="21"/>
      <c r="G43" s="23">
        <f>SUM(G42:G42)</f>
        <v>0.48765620237732393</v>
      </c>
      <c r="H43" s="22" t="s">
        <v>85</v>
      </c>
      <c r="I43" s="23">
        <v>663.31</v>
      </c>
      <c r="J43" s="40">
        <f>G43*I43</f>
        <v>323.46723559890273</v>
      </c>
      <c r="K43" s="21"/>
    </row>
    <row r="44" spans="1:19" ht="15" customHeight="1">
      <c r="A44" s="18"/>
      <c r="B44" s="36"/>
      <c r="C44" s="19"/>
      <c r="D44" s="20"/>
      <c r="E44" s="21"/>
      <c r="F44" s="21"/>
      <c r="G44" s="23"/>
      <c r="H44" s="22"/>
      <c r="I44" s="23"/>
      <c r="J44" s="40"/>
      <c r="K44" s="21"/>
    </row>
    <row r="45" spans="1:19" ht="15">
      <c r="A45" s="18">
        <v>8</v>
      </c>
      <c r="B45" s="89" t="s">
        <v>91</v>
      </c>
      <c r="C45" s="19"/>
      <c r="D45" s="20"/>
      <c r="E45" s="21"/>
      <c r="F45" s="21"/>
      <c r="G45" s="23"/>
      <c r="H45" s="22"/>
      <c r="I45" s="23"/>
      <c r="J45" s="40"/>
      <c r="K45" s="21"/>
    </row>
    <row r="46" spans="1:19" ht="15" customHeight="1">
      <c r="A46" s="18"/>
      <c r="B46" s="36" t="str">
        <f>B42</f>
        <v>-at drain wall base</v>
      </c>
      <c r="C46" s="19">
        <f>C42</f>
        <v>1</v>
      </c>
      <c r="D46" s="20">
        <f>D42</f>
        <v>9.7531240475464784</v>
      </c>
      <c r="E46" s="21">
        <f>E42+0.3</f>
        <v>0.7</v>
      </c>
      <c r="F46" s="21"/>
      <c r="G46" s="38">
        <f>PRODUCT(C46:F46)</f>
        <v>6.8271868332825347</v>
      </c>
      <c r="H46" s="22"/>
      <c r="I46" s="23"/>
      <c r="J46" s="40"/>
      <c r="K46" s="21"/>
    </row>
    <row r="47" spans="1:19" ht="15" customHeight="1">
      <c r="A47" s="18"/>
      <c r="B47" s="36" t="s">
        <v>155</v>
      </c>
      <c r="C47" s="19">
        <v>1</v>
      </c>
      <c r="D47" s="20">
        <f>D15</f>
        <v>6.55</v>
      </c>
      <c r="E47" s="21">
        <f>E15</f>
        <v>0.23</v>
      </c>
      <c r="F47" s="21"/>
      <c r="G47" s="38">
        <f>PRODUCT(C47:F47)</f>
        <v>1.5065</v>
      </c>
      <c r="H47" s="22"/>
      <c r="I47" s="23"/>
      <c r="J47" s="40"/>
      <c r="K47" s="21"/>
    </row>
    <row r="48" spans="1:19" ht="15" customHeight="1">
      <c r="A48" s="18"/>
      <c r="B48" s="36" t="str">
        <f>B83</f>
        <v>-at entrance</v>
      </c>
      <c r="C48" s="19">
        <f t="shared" ref="C48:E48" si="2">C83</f>
        <v>1</v>
      </c>
      <c r="D48" s="147">
        <f t="shared" si="2"/>
        <v>1.95</v>
      </c>
      <c r="E48" s="147">
        <f t="shared" si="2"/>
        <v>1</v>
      </c>
      <c r="F48" s="36"/>
      <c r="G48" s="38">
        <f>PRODUCT(C48:F48)</f>
        <v>1.95</v>
      </c>
      <c r="H48" s="22"/>
      <c r="I48" s="23"/>
      <c r="J48" s="40"/>
      <c r="K48" s="21"/>
    </row>
    <row r="49" spans="1:20" ht="15" customHeight="1">
      <c r="A49" s="18"/>
      <c r="B49" s="36" t="s">
        <v>41</v>
      </c>
      <c r="C49" s="19"/>
      <c r="D49" s="20"/>
      <c r="E49" s="21"/>
      <c r="F49" s="21"/>
      <c r="G49" s="23">
        <f>SUM(G46:G48)</f>
        <v>10.283686833282534</v>
      </c>
      <c r="H49" s="22" t="s">
        <v>43</v>
      </c>
      <c r="I49" s="23">
        <v>1014.97</v>
      </c>
      <c r="J49" s="40">
        <f>G49*I49</f>
        <v>10437.633625176773</v>
      </c>
      <c r="K49" s="21"/>
    </row>
    <row r="50" spans="1:20" ht="15" customHeight="1">
      <c r="A50" s="18"/>
      <c r="B50" s="36" t="s">
        <v>40</v>
      </c>
      <c r="C50" s="19"/>
      <c r="D50" s="20"/>
      <c r="E50" s="21"/>
      <c r="F50" s="21"/>
      <c r="G50" s="23"/>
      <c r="H50" s="22"/>
      <c r="I50" s="23"/>
      <c r="J50" s="40">
        <f>0.13*G49*8617.2/10</f>
        <v>1152.0156203369095</v>
      </c>
      <c r="K50" s="21"/>
    </row>
    <row r="51" spans="1:20" ht="15" customHeight="1">
      <c r="A51" s="18"/>
      <c r="B51" s="36"/>
      <c r="C51" s="19"/>
      <c r="D51" s="20"/>
      <c r="E51" s="21"/>
      <c r="F51" s="21"/>
      <c r="G51" s="23"/>
      <c r="H51" s="22"/>
      <c r="I51" s="23"/>
      <c r="J51" s="40"/>
      <c r="K51" s="21"/>
    </row>
    <row r="52" spans="1:20" ht="30">
      <c r="A52" s="18">
        <v>9</v>
      </c>
      <c r="B52" s="89" t="s">
        <v>92</v>
      </c>
      <c r="C52" s="19"/>
      <c r="D52" s="20"/>
      <c r="E52" s="21"/>
      <c r="F52" s="21"/>
      <c r="G52" s="23"/>
      <c r="H52" s="22"/>
      <c r="I52" s="23"/>
      <c r="J52" s="40"/>
      <c r="K52" s="21"/>
    </row>
    <row r="53" spans="1:20" ht="15" customHeight="1">
      <c r="A53" s="18"/>
      <c r="B53" s="36" t="str">
        <f>B46</f>
        <v>-at drain wall base</v>
      </c>
      <c r="C53" s="19">
        <f>C46</f>
        <v>1</v>
      </c>
      <c r="D53" s="20">
        <f>D46</f>
        <v>9.7531240475464784</v>
      </c>
      <c r="E53" s="21">
        <f>E46</f>
        <v>0.7</v>
      </c>
      <c r="F53" s="21">
        <v>0.1</v>
      </c>
      <c r="G53" s="38">
        <f>PRODUCT(C53:F53)</f>
        <v>0.68271868332825347</v>
      </c>
      <c r="H53" s="22"/>
      <c r="I53" s="23"/>
      <c r="J53" s="40"/>
      <c r="K53" s="21"/>
    </row>
    <row r="54" spans="1:20" ht="15" customHeight="1">
      <c r="A54" s="18"/>
      <c r="B54" s="36" t="str">
        <f>B47</f>
        <v>-at one side drain</v>
      </c>
      <c r="C54" s="19">
        <f>C47</f>
        <v>1</v>
      </c>
      <c r="D54" s="20">
        <f>D47</f>
        <v>6.55</v>
      </c>
      <c r="E54" s="21">
        <f>E47+0.3</f>
        <v>0.53</v>
      </c>
      <c r="F54" s="21">
        <v>7.4999999999999997E-2</v>
      </c>
      <c r="G54" s="38">
        <f>PRODUCT(C54:F54)</f>
        <v>0.2603625</v>
      </c>
      <c r="H54" s="22"/>
      <c r="I54" s="23"/>
      <c r="J54" s="40"/>
      <c r="K54" s="21"/>
    </row>
    <row r="55" spans="1:20" ht="15" customHeight="1">
      <c r="A55" s="18"/>
      <c r="B55" s="36" t="str">
        <f>B14</f>
        <v>-at roof</v>
      </c>
      <c r="C55" s="19">
        <f>C14</f>
        <v>1</v>
      </c>
      <c r="D55" s="20">
        <f>D14</f>
        <v>18</v>
      </c>
      <c r="E55" s="21">
        <f>E14</f>
        <v>0.23</v>
      </c>
      <c r="F55" s="21">
        <v>0.05</v>
      </c>
      <c r="G55" s="38">
        <f>PRODUCT(C55:F55)</f>
        <v>0.20700000000000005</v>
      </c>
      <c r="H55" s="22"/>
      <c r="I55" s="23"/>
      <c r="J55" s="40"/>
      <c r="K55" s="21"/>
    </row>
    <row r="56" spans="1:20" ht="15" customHeight="1">
      <c r="A56" s="18"/>
      <c r="B56" s="36" t="s">
        <v>41</v>
      </c>
      <c r="C56" s="19"/>
      <c r="D56" s="20"/>
      <c r="E56" s="21"/>
      <c r="F56" s="21"/>
      <c r="G56" s="23">
        <f>SUM(G53:G55)</f>
        <v>1.1500811833282536</v>
      </c>
      <c r="H56" s="22" t="s">
        <v>85</v>
      </c>
      <c r="I56" s="23">
        <v>12983.1</v>
      </c>
      <c r="J56" s="40">
        <f>G56*I56</f>
        <v>14931.619011269049</v>
      </c>
      <c r="K56" s="21"/>
    </row>
    <row r="57" spans="1:20" ht="15" customHeight="1">
      <c r="A57" s="18"/>
      <c r="B57" s="36" t="s">
        <v>40</v>
      </c>
      <c r="C57" s="19"/>
      <c r="D57" s="20"/>
      <c r="E57" s="21"/>
      <c r="F57" s="21"/>
      <c r="G57" s="23"/>
      <c r="H57" s="22"/>
      <c r="I57" s="23"/>
      <c r="J57" s="40">
        <f>0.13*G56*8078.11</f>
        <v>1207.7627000212537</v>
      </c>
      <c r="K57" s="21"/>
    </row>
    <row r="58" spans="1:20" ht="15">
      <c r="A58" s="18"/>
      <c r="B58" s="89"/>
      <c r="C58" s="19"/>
      <c r="D58" s="20"/>
      <c r="E58" s="21"/>
      <c r="F58" s="21"/>
      <c r="G58" s="23"/>
      <c r="H58" s="22"/>
      <c r="I58" s="23"/>
      <c r="J58" s="40"/>
      <c r="K58" s="21"/>
    </row>
    <row r="59" spans="1:20" ht="39">
      <c r="A59" s="18">
        <v>10</v>
      </c>
      <c r="B59" s="60" t="s">
        <v>88</v>
      </c>
      <c r="C59" s="35"/>
      <c r="D59" s="37"/>
      <c r="E59" s="37"/>
      <c r="F59" s="37"/>
      <c r="G59" s="38"/>
      <c r="H59" s="39"/>
      <c r="I59" s="39"/>
      <c r="J59" s="41"/>
      <c r="K59" s="21"/>
      <c r="N59" s="66" t="s">
        <v>49</v>
      </c>
      <c r="O59" s="66"/>
      <c r="P59" s="66"/>
      <c r="Q59" s="66"/>
      <c r="R59" s="66"/>
      <c r="S59" s="66"/>
      <c r="T59" s="66"/>
    </row>
    <row r="60" spans="1:20" ht="15" customHeight="1">
      <c r="A60" s="18"/>
      <c r="B60" s="36" t="s">
        <v>84</v>
      </c>
      <c r="C60" s="35">
        <v>2</v>
      </c>
      <c r="D60" s="37">
        <f>(18+14)/3.281</f>
        <v>9.7531240475464784</v>
      </c>
      <c r="E60" s="37">
        <v>0.15</v>
      </c>
      <c r="F60" s="37">
        <v>0.6</v>
      </c>
      <c r="G60" s="38">
        <f>PRODUCT(C60:F60)</f>
        <v>1.7555623285583659</v>
      </c>
      <c r="H60" s="39"/>
      <c r="I60" s="39"/>
      <c r="J60" s="39"/>
      <c r="K60" s="61"/>
      <c r="N60" s="162" t="s">
        <v>87</v>
      </c>
      <c r="O60" s="162"/>
      <c r="P60" s="162"/>
      <c r="Q60" s="162"/>
      <c r="R60" s="162"/>
      <c r="S60" s="162"/>
      <c r="T60" s="162"/>
    </row>
    <row r="61" spans="1:20" ht="15" customHeight="1">
      <c r="A61" s="18"/>
      <c r="B61" s="36" t="s">
        <v>41</v>
      </c>
      <c r="C61" s="35"/>
      <c r="D61" s="37"/>
      <c r="E61" s="37"/>
      <c r="F61" s="37"/>
      <c r="G61" s="33">
        <f>SUM(G60:G60)</f>
        <v>1.7555623285583659</v>
      </c>
      <c r="H61" s="39" t="s">
        <v>85</v>
      </c>
      <c r="I61" s="39">
        <v>8569.2999999999993</v>
      </c>
      <c r="J61" s="41">
        <f>G61*I61</f>
        <v>15043.940262115204</v>
      </c>
      <c r="K61" s="21"/>
    </row>
    <row r="62" spans="1:20" ht="15" customHeight="1">
      <c r="A62" s="18"/>
      <c r="B62" s="36" t="s">
        <v>40</v>
      </c>
      <c r="C62" s="35"/>
      <c r="D62" s="37"/>
      <c r="E62" s="37"/>
      <c r="F62" s="37"/>
      <c r="G62" s="38"/>
      <c r="H62" s="39"/>
      <c r="I62" s="39"/>
      <c r="J62" s="41">
        <f>0.13*G61*5504.3/9</f>
        <v>139.57871380676622</v>
      </c>
      <c r="K62" s="21"/>
    </row>
    <row r="63" spans="1:20" ht="15" customHeight="1">
      <c r="A63" s="18"/>
      <c r="B63" s="36"/>
      <c r="C63" s="35"/>
      <c r="D63" s="37"/>
      <c r="E63" s="37"/>
      <c r="F63" s="37"/>
      <c r="G63" s="38"/>
      <c r="H63" s="39"/>
      <c r="I63" s="39"/>
      <c r="J63" s="41"/>
      <c r="K63" s="21"/>
      <c r="N63">
        <f>9.75/0.75</f>
        <v>13</v>
      </c>
    </row>
    <row r="64" spans="1:20" ht="30">
      <c r="A64" s="18">
        <v>11</v>
      </c>
      <c r="B64" s="89" t="s">
        <v>93</v>
      </c>
      <c r="C64" s="19" t="s">
        <v>7</v>
      </c>
      <c r="D64" s="90" t="s">
        <v>94</v>
      </c>
      <c r="E64" s="91" t="s">
        <v>95</v>
      </c>
      <c r="F64" s="91" t="s">
        <v>96</v>
      </c>
      <c r="G64" s="91" t="s">
        <v>97</v>
      </c>
      <c r="H64" s="22"/>
      <c r="I64" s="23"/>
      <c r="J64" s="40"/>
      <c r="K64" s="21"/>
    </row>
    <row r="65" spans="1:20" ht="15" customHeight="1">
      <c r="A65" s="18"/>
      <c r="B65" s="36" t="s">
        <v>99</v>
      </c>
      <c r="C65" s="19">
        <f>TRUNC((D66-0.1)/0.15,0)+1</f>
        <v>5</v>
      </c>
      <c r="D65" s="20">
        <v>0.75</v>
      </c>
      <c r="E65" s="21">
        <f>8*8/162</f>
        <v>0.39506172839506171</v>
      </c>
      <c r="F65" s="21">
        <f>PRODUCT(C65:E65)</f>
        <v>1.4814814814814814</v>
      </c>
      <c r="G65" s="92">
        <f>F65/1000</f>
        <v>1.4814814814814814E-3</v>
      </c>
      <c r="H65" s="22"/>
      <c r="I65" s="23"/>
      <c r="J65" s="40"/>
      <c r="K65" s="21"/>
    </row>
    <row r="66" spans="1:20" ht="15" customHeight="1">
      <c r="A66" s="18"/>
      <c r="B66" s="36"/>
      <c r="C66" s="19">
        <f>13*(TRUNC((D65-0.1)/0.15,0)+1)</f>
        <v>65</v>
      </c>
      <c r="D66" s="20">
        <v>0.7</v>
      </c>
      <c r="E66" s="21">
        <f>8*8/162</f>
        <v>0.39506172839506171</v>
      </c>
      <c r="F66" s="21">
        <f>PRODUCT(C66:E66)</f>
        <v>17.975308641975307</v>
      </c>
      <c r="G66" s="92">
        <f>F66/1000</f>
        <v>1.7975308641975305E-2</v>
      </c>
      <c r="H66" s="22"/>
      <c r="I66" s="23"/>
      <c r="J66" s="40"/>
      <c r="K66" s="21"/>
    </row>
    <row r="67" spans="1:20" ht="15" customHeight="1">
      <c r="A67" s="18"/>
      <c r="B67" s="36"/>
      <c r="C67" s="19">
        <f>TRUNC((D68-0.1)/0.15,0)+1</f>
        <v>5</v>
      </c>
      <c r="D67" s="20">
        <v>0.9</v>
      </c>
      <c r="E67" s="21">
        <f>8*8/162</f>
        <v>0.39506172839506171</v>
      </c>
      <c r="F67" s="21">
        <f>PRODUCT(C67:E67)</f>
        <v>1.7777777777777777</v>
      </c>
      <c r="G67" s="92">
        <f>F67/1000</f>
        <v>1.7777777777777776E-3</v>
      </c>
      <c r="H67" s="22"/>
      <c r="I67" s="23"/>
      <c r="J67" s="40"/>
      <c r="K67" s="21"/>
    </row>
    <row r="68" spans="1:20" ht="15" customHeight="1">
      <c r="A68" s="18"/>
      <c r="B68" s="36"/>
      <c r="C68" s="19">
        <f>(TRUNC((D67-0.1)/0.15,0)+1)</f>
        <v>6</v>
      </c>
      <c r="D68" s="20">
        <f>2.75/3.281</f>
        <v>0.8381590978360256</v>
      </c>
      <c r="E68" s="21">
        <f>8*8/162</f>
        <v>0.39506172839506171</v>
      </c>
      <c r="F68" s="21">
        <f>PRODUCT(C68:E68)</f>
        <v>1.9867474911668754</v>
      </c>
      <c r="G68" s="92">
        <f>F68/1000</f>
        <v>1.9867474911668755E-3</v>
      </c>
      <c r="H68" s="22"/>
      <c r="I68" s="23"/>
      <c r="J68" s="40"/>
      <c r="K68" s="21"/>
    </row>
    <row r="69" spans="1:20" ht="15" customHeight="1">
      <c r="A69" s="18"/>
      <c r="B69" s="36" t="s">
        <v>41</v>
      </c>
      <c r="C69" s="19"/>
      <c r="D69" s="20"/>
      <c r="E69" s="21"/>
      <c r="F69" s="21"/>
      <c r="G69" s="23">
        <f>SUM(G65:G68)</f>
        <v>2.3221315392401441E-2</v>
      </c>
      <c r="H69" s="22" t="s">
        <v>98</v>
      </c>
      <c r="I69" s="23">
        <v>131940</v>
      </c>
      <c r="J69" s="40">
        <f>G69*I69</f>
        <v>3063.8203528734462</v>
      </c>
      <c r="K69" s="21"/>
    </row>
    <row r="70" spans="1:20" ht="15" customHeight="1">
      <c r="A70" s="18"/>
      <c r="B70" s="36" t="s">
        <v>40</v>
      </c>
      <c r="C70" s="19"/>
      <c r="D70" s="20"/>
      <c r="E70" s="21"/>
      <c r="F70" s="21"/>
      <c r="G70" s="23"/>
      <c r="H70" s="22"/>
      <c r="I70" s="23"/>
      <c r="J70" s="40">
        <f>0.13*G69*106200</f>
        <v>320.5934803074943</v>
      </c>
      <c r="K70" s="21"/>
    </row>
    <row r="71" spans="1:20" ht="15" customHeight="1">
      <c r="A71" s="18"/>
      <c r="B71" s="36"/>
      <c r="C71" s="19"/>
      <c r="D71" s="20"/>
      <c r="E71" s="21"/>
      <c r="F71" s="21"/>
      <c r="G71" s="23"/>
      <c r="H71" s="22"/>
      <c r="I71" s="23"/>
      <c r="J71" s="40"/>
      <c r="K71" s="21"/>
    </row>
    <row r="72" spans="1:20" ht="30">
      <c r="A72" s="18">
        <v>12</v>
      </c>
      <c r="B72" s="89" t="s">
        <v>100</v>
      </c>
      <c r="C72" s="19"/>
      <c r="D72" s="20"/>
      <c r="E72" s="21"/>
      <c r="F72" s="21"/>
      <c r="G72" s="23"/>
      <c r="H72" s="22"/>
      <c r="I72" s="23"/>
      <c r="J72" s="40"/>
      <c r="K72" s="21"/>
    </row>
    <row r="73" spans="1:20" ht="15" customHeight="1">
      <c r="A73" s="18"/>
      <c r="B73" s="36" t="s">
        <v>101</v>
      </c>
      <c r="C73" s="35">
        <f>2*13</f>
        <v>26</v>
      </c>
      <c r="D73" s="37">
        <v>0.75</v>
      </c>
      <c r="E73" s="37"/>
      <c r="F73" s="37">
        <v>0.1</v>
      </c>
      <c r="G73" s="38">
        <f>PRODUCT(C73:F73)</f>
        <v>1.9500000000000002</v>
      </c>
      <c r="H73" s="39"/>
      <c r="I73" s="39"/>
      <c r="J73" s="39"/>
      <c r="K73" s="61"/>
      <c r="N73" s="162" t="s">
        <v>87</v>
      </c>
      <c r="O73" s="162"/>
      <c r="P73" s="162"/>
      <c r="Q73" s="162"/>
      <c r="R73" s="162"/>
      <c r="S73" s="162"/>
      <c r="T73" s="162"/>
    </row>
    <row r="74" spans="1:20" ht="15" customHeight="1">
      <c r="A74" s="18"/>
      <c r="B74" s="36"/>
      <c r="C74" s="35">
        <f>2*13</f>
        <v>26</v>
      </c>
      <c r="D74" s="37">
        <v>0.7</v>
      </c>
      <c r="E74" s="37"/>
      <c r="F74" s="37">
        <v>0.1</v>
      </c>
      <c r="G74" s="38">
        <f>PRODUCT(C74:F74)</f>
        <v>1.82</v>
      </c>
      <c r="H74" s="39"/>
      <c r="I74" s="39"/>
      <c r="J74" s="39"/>
      <c r="K74" s="61"/>
      <c r="N74" s="131"/>
      <c r="O74" s="131"/>
      <c r="P74" s="131"/>
      <c r="Q74" s="131"/>
      <c r="R74" s="131"/>
      <c r="S74" s="131"/>
      <c r="T74" s="131"/>
    </row>
    <row r="75" spans="1:20" ht="15" customHeight="1">
      <c r="A75" s="18"/>
      <c r="B75" s="36"/>
      <c r="C75" s="35">
        <v>2</v>
      </c>
      <c r="D75" s="37">
        <v>0.9</v>
      </c>
      <c r="E75" s="37"/>
      <c r="F75" s="37">
        <v>0.1</v>
      </c>
      <c r="G75" s="38">
        <f t="shared" ref="G75:G76" si="3">PRODUCT(C75:F75)</f>
        <v>0.18000000000000002</v>
      </c>
      <c r="H75" s="39"/>
      <c r="I75" s="39"/>
      <c r="J75" s="39"/>
      <c r="K75" s="61"/>
      <c r="N75" s="131"/>
      <c r="O75" s="131"/>
      <c r="P75" s="131"/>
      <c r="Q75" s="131"/>
      <c r="R75" s="131"/>
      <c r="S75" s="131"/>
      <c r="T75" s="131"/>
    </row>
    <row r="76" spans="1:20" ht="15" customHeight="1">
      <c r="A76" s="18"/>
      <c r="B76" s="36"/>
      <c r="C76" s="35">
        <v>2</v>
      </c>
      <c r="D76" s="37">
        <f>2.75/3.281</f>
        <v>0.8381590978360256</v>
      </c>
      <c r="E76" s="37"/>
      <c r="F76" s="37">
        <v>0.1</v>
      </c>
      <c r="G76" s="38">
        <f t="shared" si="3"/>
        <v>0.16763181956720513</v>
      </c>
      <c r="H76" s="39"/>
      <c r="I76" s="39"/>
      <c r="J76" s="39"/>
      <c r="K76" s="61"/>
      <c r="N76" s="131"/>
      <c r="O76" s="131"/>
      <c r="P76" s="131"/>
      <c r="Q76" s="131"/>
      <c r="R76" s="131"/>
      <c r="S76" s="131"/>
      <c r="T76" s="131"/>
    </row>
    <row r="77" spans="1:20" ht="15" customHeight="1">
      <c r="A77" s="18"/>
      <c r="B77" s="36" t="s">
        <v>41</v>
      </c>
      <c r="C77" s="35"/>
      <c r="D77" s="37"/>
      <c r="E77" s="37"/>
      <c r="F77" s="37"/>
      <c r="G77" s="33">
        <f>SUM(G73:G76)</f>
        <v>4.1176318195672055</v>
      </c>
      <c r="H77" s="39" t="s">
        <v>43</v>
      </c>
      <c r="I77" s="23">
        <f>81404.27/100</f>
        <v>814.04270000000008</v>
      </c>
      <c r="J77" s="41">
        <f>G77*I77</f>
        <v>3351.928124006401</v>
      </c>
      <c r="K77" s="21"/>
    </row>
    <row r="78" spans="1:20" ht="15" customHeight="1">
      <c r="A78" s="18"/>
      <c r="B78" s="36" t="s">
        <v>40</v>
      </c>
      <c r="C78" s="35"/>
      <c r="D78" s="37"/>
      <c r="E78" s="37"/>
      <c r="F78" s="37"/>
      <c r="G78" s="38"/>
      <c r="H78" s="39"/>
      <c r="I78" s="39"/>
      <c r="J78" s="41">
        <f>0.13*G77*36690.27/100</f>
        <v>196.40013018666568</v>
      </c>
      <c r="K78" s="21"/>
    </row>
    <row r="79" spans="1:20" ht="15" customHeight="1">
      <c r="A79" s="18"/>
      <c r="B79" s="36"/>
      <c r="C79" s="35"/>
      <c r="D79" s="37"/>
      <c r="E79" s="37"/>
      <c r="F79" s="37"/>
      <c r="G79" s="38"/>
      <c r="H79" s="39"/>
      <c r="I79" s="39"/>
      <c r="J79" s="41"/>
      <c r="K79" s="21"/>
    </row>
    <row r="80" spans="1:20" ht="30">
      <c r="A80" s="18">
        <v>13</v>
      </c>
      <c r="B80" s="89" t="s">
        <v>119</v>
      </c>
      <c r="C80" s="35"/>
      <c r="D80" s="37"/>
      <c r="E80" s="37"/>
      <c r="F80" s="37"/>
      <c r="G80" s="38"/>
      <c r="H80" s="39"/>
      <c r="I80" s="39"/>
      <c r="J80" s="41"/>
      <c r="K80" s="21"/>
      <c r="N80">
        <f>9.75/0.75</f>
        <v>13</v>
      </c>
    </row>
    <row r="81" spans="1:20" ht="15" customHeight="1">
      <c r="A81" s="18"/>
      <c r="B81" s="36" t="s">
        <v>120</v>
      </c>
      <c r="C81" s="35">
        <v>1</v>
      </c>
      <c r="D81" s="37">
        <f>D60</f>
        <v>9.7531240475464784</v>
      </c>
      <c r="E81" s="37">
        <f>0.7</f>
        <v>0.7</v>
      </c>
      <c r="F81" s="37">
        <v>0.1</v>
      </c>
      <c r="G81" s="38">
        <f>PRODUCT(C81:F81)</f>
        <v>0.68271868332825347</v>
      </c>
      <c r="H81" s="39"/>
      <c r="I81" s="39"/>
      <c r="J81" s="39"/>
      <c r="K81" s="61"/>
      <c r="N81" s="162" t="s">
        <v>87</v>
      </c>
      <c r="O81" s="162"/>
      <c r="P81" s="162"/>
      <c r="Q81" s="162"/>
      <c r="R81" s="162"/>
      <c r="S81" s="162"/>
      <c r="T81" s="162"/>
    </row>
    <row r="82" spans="1:20" ht="15" customHeight="1">
      <c r="A82" s="18"/>
      <c r="B82" s="36"/>
      <c r="C82" s="35">
        <v>1</v>
      </c>
      <c r="D82" s="37">
        <v>0.9</v>
      </c>
      <c r="E82" s="37">
        <f>2.75/3.281</f>
        <v>0.8381590978360256</v>
      </c>
      <c r="F82" s="37">
        <v>0.1</v>
      </c>
      <c r="G82" s="38">
        <f t="shared" ref="G82:G83" si="4">PRODUCT(C82:F82)</f>
        <v>7.5434318805242317E-2</v>
      </c>
      <c r="H82" s="39"/>
      <c r="I82" s="39"/>
      <c r="J82" s="39"/>
      <c r="K82" s="61"/>
      <c r="N82" s="131"/>
      <c r="O82" s="131"/>
      <c r="P82" s="131"/>
      <c r="Q82" s="131"/>
      <c r="R82" s="131"/>
      <c r="S82" s="131"/>
      <c r="T82" s="131"/>
    </row>
    <row r="83" spans="1:20" ht="15" customHeight="1">
      <c r="A83" s="18"/>
      <c r="B83" s="36" t="s">
        <v>159</v>
      </c>
      <c r="C83" s="35">
        <v>1</v>
      </c>
      <c r="D83" s="37">
        <v>1.95</v>
      </c>
      <c r="E83" s="37">
        <v>1</v>
      </c>
      <c r="F83" s="37">
        <v>0.1</v>
      </c>
      <c r="G83" s="38">
        <f t="shared" si="4"/>
        <v>0.19500000000000001</v>
      </c>
      <c r="H83" s="39"/>
      <c r="I83" s="39"/>
      <c r="J83" s="39"/>
      <c r="K83" s="61"/>
      <c r="N83" s="132"/>
      <c r="O83" s="132"/>
      <c r="P83" s="132"/>
      <c r="Q83" s="132"/>
      <c r="R83" s="132"/>
      <c r="S83" s="132"/>
      <c r="T83" s="132"/>
    </row>
    <row r="84" spans="1:20" ht="15" customHeight="1">
      <c r="A84" s="18"/>
      <c r="B84" s="36" t="s">
        <v>41</v>
      </c>
      <c r="C84" s="35"/>
      <c r="D84" s="37"/>
      <c r="E84" s="37"/>
      <c r="F84" s="37"/>
      <c r="G84" s="33">
        <f>SUM(G81:G83)</f>
        <v>0.95315300213349574</v>
      </c>
      <c r="H84" s="39" t="s">
        <v>85</v>
      </c>
      <c r="I84" s="23">
        <v>13568.9</v>
      </c>
      <c r="J84" s="41">
        <f>G84*I84</f>
        <v>12933.23777064919</v>
      </c>
      <c r="K84" s="21"/>
    </row>
    <row r="85" spans="1:20" ht="15" customHeight="1">
      <c r="A85" s="18"/>
      <c r="B85" s="36" t="s">
        <v>40</v>
      </c>
      <c r="C85" s="35"/>
      <c r="D85" s="37"/>
      <c r="E85" s="37"/>
      <c r="F85" s="37"/>
      <c r="G85" s="38"/>
      <c r="H85" s="39"/>
      <c r="I85" s="39"/>
      <c r="J85" s="41">
        <f>0.13*G84*9524.2</f>
        <v>1180.1425769795794</v>
      </c>
      <c r="K85" s="21"/>
    </row>
    <row r="86" spans="1:20" ht="15" customHeight="1">
      <c r="A86" s="18"/>
      <c r="B86" s="36"/>
      <c r="C86" s="35"/>
      <c r="D86" s="37"/>
      <c r="E86" s="37"/>
      <c r="F86" s="37"/>
      <c r="G86" s="38"/>
      <c r="H86" s="39"/>
      <c r="I86" s="39"/>
      <c r="J86" s="41"/>
      <c r="K86" s="21"/>
    </row>
    <row r="87" spans="1:20" ht="30.6">
      <c r="A87" s="18">
        <v>14</v>
      </c>
      <c r="B87" s="121" t="s">
        <v>121</v>
      </c>
      <c r="C87" s="19" t="s">
        <v>7</v>
      </c>
      <c r="D87" s="90" t="s">
        <v>94</v>
      </c>
      <c r="E87" s="91" t="s">
        <v>95</v>
      </c>
      <c r="F87" s="91" t="s">
        <v>96</v>
      </c>
      <c r="G87" s="91" t="s">
        <v>124</v>
      </c>
      <c r="H87" s="22"/>
      <c r="I87" s="23"/>
      <c r="J87" s="40"/>
      <c r="K87" s="21"/>
    </row>
    <row r="88" spans="1:20">
      <c r="A88" s="122"/>
      <c r="B88" s="126" t="s">
        <v>123</v>
      </c>
      <c r="C88" s="124">
        <v>6</v>
      </c>
      <c r="D88" s="12">
        <f>(2.5+2+2.5)/12/3.281</f>
        <v>0.17779132378339937</v>
      </c>
      <c r="E88" s="12">
        <v>0.8</v>
      </c>
      <c r="F88" s="21">
        <f>PRODUCT(C88:E88)</f>
        <v>0.85339835416031706</v>
      </c>
      <c r="G88" s="92">
        <f>F88</f>
        <v>0.85339835416031706</v>
      </c>
      <c r="H88" s="122"/>
      <c r="I88" s="125"/>
      <c r="J88" s="125"/>
      <c r="K88" s="123"/>
    </row>
    <row r="89" spans="1:20">
      <c r="A89" s="122"/>
      <c r="B89" s="126"/>
      <c r="C89" s="124">
        <v>2</v>
      </c>
      <c r="D89" s="12">
        <f>1.6+5.6</f>
        <v>7.1999999999999993</v>
      </c>
      <c r="E89" s="12">
        <v>0.8</v>
      </c>
      <c r="F89" s="21">
        <f>PRODUCT(C89:E89)</f>
        <v>11.52</v>
      </c>
      <c r="G89" s="92">
        <f>F89</f>
        <v>11.52</v>
      </c>
      <c r="H89" s="122"/>
      <c r="I89" s="125"/>
      <c r="J89" s="125"/>
      <c r="K89" s="123"/>
    </row>
    <row r="90" spans="1:20">
      <c r="A90" s="122"/>
      <c r="B90" s="126" t="s">
        <v>135</v>
      </c>
      <c r="C90" s="124">
        <f>TRUNC(D95/0.1,0)</f>
        <v>482</v>
      </c>
      <c r="D90" s="12">
        <f>0.15</f>
        <v>0.15</v>
      </c>
      <c r="E90" s="12">
        <v>0.8</v>
      </c>
      <c r="F90" s="21">
        <f>PRODUCT(C90:E90)</f>
        <v>57.84</v>
      </c>
      <c r="G90" s="92">
        <f>F90</f>
        <v>57.84</v>
      </c>
      <c r="H90" s="122"/>
      <c r="I90" s="125"/>
      <c r="J90" s="125"/>
      <c r="K90" s="123"/>
    </row>
    <row r="91" spans="1:20" s="1" customFormat="1" ht="27.6">
      <c r="A91" s="122"/>
      <c r="B91" s="127" t="s">
        <v>125</v>
      </c>
      <c r="C91" s="124">
        <v>4</v>
      </c>
      <c r="D91" s="12">
        <f>7.5/3.281</f>
        <v>2.2858884486437061</v>
      </c>
      <c r="E91" s="12">
        <v>2.72</v>
      </c>
      <c r="F91" s="12">
        <f t="shared" ref="F91" si="5">PRODUCT(C91:E91)</f>
        <v>24.870466321243523</v>
      </c>
      <c r="G91" s="128">
        <f t="shared" ref="G91:G96" si="6">F91</f>
        <v>24.870466321243523</v>
      </c>
      <c r="H91" s="125"/>
      <c r="I91" s="125"/>
      <c r="J91" s="125"/>
      <c r="K91" s="123"/>
      <c r="M91" s="129"/>
    </row>
    <row r="92" spans="1:20" s="1" customFormat="1" ht="41.4">
      <c r="A92" s="122"/>
      <c r="B92" s="127" t="s">
        <v>126</v>
      </c>
      <c r="C92" s="124">
        <v>1</v>
      </c>
      <c r="D92" s="12">
        <f>(1.6+5.6)</f>
        <v>7.1999999999999993</v>
      </c>
      <c r="E92" s="12">
        <v>3.87</v>
      </c>
      <c r="F92" s="12">
        <f>PRODUCT(C92:E92)</f>
        <v>27.863999999999997</v>
      </c>
      <c r="G92" s="128">
        <f t="shared" si="6"/>
        <v>27.863999999999997</v>
      </c>
      <c r="H92" s="125"/>
      <c r="I92" s="125"/>
      <c r="J92" s="125"/>
      <c r="K92" s="123"/>
      <c r="M92" s="129"/>
    </row>
    <row r="93" spans="1:20" s="1" customFormat="1">
      <c r="A93" s="122"/>
      <c r="B93" s="127"/>
      <c r="C93" s="124">
        <v>4</v>
      </c>
      <c r="D93" s="12">
        <f>(7.333+1)/3.281</f>
        <v>2.5397744590064004</v>
      </c>
      <c r="E93" s="12">
        <v>3.87</v>
      </c>
      <c r="F93" s="12">
        <f>PRODUCT(C93:E93)</f>
        <v>39.315708625419077</v>
      </c>
      <c r="G93" s="128">
        <f t="shared" si="6"/>
        <v>39.315708625419077</v>
      </c>
      <c r="H93" s="125"/>
      <c r="I93" s="125"/>
      <c r="J93" s="125"/>
      <c r="K93" s="123"/>
      <c r="M93" s="129"/>
    </row>
    <row r="94" spans="1:20" s="1" customFormat="1" ht="27.6">
      <c r="A94" s="122"/>
      <c r="B94" s="127" t="s">
        <v>133</v>
      </c>
      <c r="C94" s="124">
        <v>1</v>
      </c>
      <c r="D94" s="12">
        <f>1.6+5.6</f>
        <v>7.1999999999999993</v>
      </c>
      <c r="E94" s="12">
        <v>1.52</v>
      </c>
      <c r="F94" s="12">
        <f>PRODUCT(C94:E94)</f>
        <v>10.943999999999999</v>
      </c>
      <c r="G94" s="128">
        <f t="shared" si="6"/>
        <v>10.943999999999999</v>
      </c>
      <c r="H94" s="125"/>
      <c r="I94" s="125"/>
      <c r="J94" s="125"/>
      <c r="K94" s="123"/>
      <c r="M94" s="129"/>
    </row>
    <row r="95" spans="1:20" s="1" customFormat="1">
      <c r="A95" s="122"/>
      <c r="B95" s="127" t="s">
        <v>134</v>
      </c>
      <c r="C95" s="124">
        <v>2</v>
      </c>
      <c r="D95" s="12">
        <f>5.6+5.92+2.83+1.2+0.85+5.2+6.9+5.8+4.3+6.3+1.5+1.8</f>
        <v>48.199999999999989</v>
      </c>
      <c r="E95" s="12">
        <v>1.52</v>
      </c>
      <c r="F95" s="12">
        <f>PRODUCT(C95:E95)</f>
        <v>146.52799999999996</v>
      </c>
      <c r="G95" s="128">
        <f t="shared" si="6"/>
        <v>146.52799999999996</v>
      </c>
      <c r="H95" s="125"/>
      <c r="I95" s="125"/>
      <c r="J95" s="125"/>
      <c r="K95" s="123"/>
      <c r="M95" s="129"/>
    </row>
    <row r="96" spans="1:20" s="1" customFormat="1">
      <c r="A96" s="122"/>
      <c r="B96" s="127" t="s">
        <v>136</v>
      </c>
      <c r="C96" s="124">
        <f>C90</f>
        <v>482</v>
      </c>
      <c r="D96" s="12">
        <f>2.5/3.281</f>
        <v>0.76196281621456874</v>
      </c>
      <c r="E96" s="12">
        <v>1.1299999999999999</v>
      </c>
      <c r="F96" s="12">
        <f>PRODUCT(C96:E96)</f>
        <v>415.01066747942701</v>
      </c>
      <c r="G96" s="128">
        <f t="shared" si="6"/>
        <v>415.01066747942701</v>
      </c>
      <c r="H96" s="125"/>
      <c r="I96" s="125"/>
      <c r="J96" s="125"/>
      <c r="K96" s="123"/>
      <c r="M96" s="129"/>
    </row>
    <row r="97" spans="1:11" ht="15" customHeight="1">
      <c r="A97" s="18"/>
      <c r="B97" s="36" t="s">
        <v>41</v>
      </c>
      <c r="C97" s="19"/>
      <c r="D97" s="20"/>
      <c r="E97" s="21"/>
      <c r="F97" s="21"/>
      <c r="G97" s="23">
        <f>SUM(G88:G96)</f>
        <v>734.74624078024999</v>
      </c>
      <c r="H97" s="22" t="s">
        <v>122</v>
      </c>
      <c r="I97" s="23">
        <v>181.17</v>
      </c>
      <c r="J97" s="40">
        <f>G97*I97</f>
        <v>133113.97644215787</v>
      </c>
      <c r="K97" s="21"/>
    </row>
    <row r="98" spans="1:11" ht="15" customHeight="1">
      <c r="A98" s="18"/>
      <c r="B98" s="36" t="s">
        <v>40</v>
      </c>
      <c r="C98" s="19"/>
      <c r="D98" s="20"/>
      <c r="E98" s="21"/>
      <c r="F98" s="21"/>
      <c r="G98" s="23"/>
      <c r="H98" s="22"/>
      <c r="I98" s="23"/>
      <c r="J98" s="40">
        <f>0.13*G97*1871.42/18.94</f>
        <v>9437.8271008303491</v>
      </c>
      <c r="K98" s="21"/>
    </row>
    <row r="99" spans="1:11" ht="15" customHeight="1">
      <c r="A99" s="18"/>
      <c r="B99" s="36"/>
      <c r="C99" s="19"/>
      <c r="D99" s="20"/>
      <c r="E99" s="21"/>
      <c r="F99" s="21"/>
      <c r="G99" s="23"/>
      <c r="H99" s="22"/>
      <c r="I99" s="23"/>
      <c r="J99" s="40"/>
      <c r="K99" s="21"/>
    </row>
    <row r="100" spans="1:11" s="1" customFormat="1" ht="30">
      <c r="A100" s="18">
        <v>15</v>
      </c>
      <c r="B100" s="130" t="s">
        <v>127</v>
      </c>
      <c r="C100" s="19"/>
      <c r="D100" s="20"/>
      <c r="E100" s="21"/>
      <c r="F100" s="21"/>
      <c r="G100" s="125"/>
      <c r="H100" s="22"/>
      <c r="I100" s="23"/>
      <c r="J100" s="125"/>
      <c r="K100" s="21"/>
    </row>
    <row r="101" spans="1:11" s="1" customFormat="1">
      <c r="A101" s="18"/>
      <c r="B101" s="127" t="s">
        <v>128</v>
      </c>
      <c r="C101" s="19">
        <v>2</v>
      </c>
      <c r="D101" s="20">
        <f>(4/3.281)+0.85</f>
        <v>2.0691405059433099</v>
      </c>
      <c r="E101" s="21"/>
      <c r="F101" s="21">
        <v>1.6</v>
      </c>
      <c r="G101" s="128">
        <f t="shared" ref="G101:G111" si="7">PRODUCT(C101:F101)</f>
        <v>6.6212496190185917</v>
      </c>
      <c r="H101" s="22"/>
      <c r="I101" s="23"/>
      <c r="J101" s="125"/>
      <c r="K101" s="21"/>
    </row>
    <row r="102" spans="1:11" s="1" customFormat="1">
      <c r="A102" s="18"/>
      <c r="B102" s="127"/>
      <c r="C102" s="19">
        <v>1</v>
      </c>
      <c r="D102" s="20">
        <f>5.2+6.9</f>
        <v>12.100000000000001</v>
      </c>
      <c r="E102" s="21"/>
      <c r="F102" s="21">
        <f>(1.5+1.3+1.75)/3</f>
        <v>1.5166666666666666</v>
      </c>
      <c r="G102" s="128">
        <f t="shared" si="7"/>
        <v>18.351666666666667</v>
      </c>
      <c r="H102" s="22"/>
      <c r="I102" s="23"/>
      <c r="J102" s="125"/>
      <c r="K102" s="21"/>
    </row>
    <row r="103" spans="1:11" s="1" customFormat="1">
      <c r="A103" s="18"/>
      <c r="B103" s="127"/>
      <c r="C103" s="19">
        <v>1</v>
      </c>
      <c r="D103" s="20">
        <f>5.2+6.9</f>
        <v>12.100000000000001</v>
      </c>
      <c r="E103" s="21"/>
      <c r="F103" s="21">
        <v>1.3</v>
      </c>
      <c r="G103" s="128">
        <f t="shared" si="7"/>
        <v>15.730000000000002</v>
      </c>
      <c r="H103" s="22"/>
      <c r="I103" s="23"/>
      <c r="J103" s="125"/>
      <c r="K103" s="21"/>
    </row>
    <row r="104" spans="1:11" s="1" customFormat="1">
      <c r="A104" s="18"/>
      <c r="B104" s="127"/>
      <c r="C104" s="19">
        <v>1</v>
      </c>
      <c r="D104" s="20">
        <f>5.8</f>
        <v>5.8</v>
      </c>
      <c r="E104" s="21"/>
      <c r="F104" s="21">
        <v>1.4</v>
      </c>
      <c r="G104" s="128">
        <f t="shared" si="7"/>
        <v>8.1199999999999992</v>
      </c>
      <c r="H104" s="22"/>
      <c r="I104" s="23"/>
      <c r="J104" s="125"/>
      <c r="K104" s="21"/>
    </row>
    <row r="105" spans="1:11" s="1" customFormat="1">
      <c r="A105" s="18"/>
      <c r="B105" s="127"/>
      <c r="C105" s="19">
        <v>1</v>
      </c>
      <c r="D105" s="20">
        <v>5.8</v>
      </c>
      <c r="E105" s="21"/>
      <c r="F105" s="21">
        <f>3.6/3.281</f>
        <v>1.097226455348979</v>
      </c>
      <c r="G105" s="128">
        <f t="shared" si="7"/>
        <v>6.3639134410240779</v>
      </c>
      <c r="H105" s="22"/>
      <c r="I105" s="23"/>
      <c r="J105" s="125"/>
      <c r="K105" s="21"/>
    </row>
    <row r="106" spans="1:11" s="1" customFormat="1">
      <c r="A106" s="18"/>
      <c r="B106" s="127"/>
      <c r="C106" s="19">
        <v>1</v>
      </c>
      <c r="D106" s="20">
        <f>4.3+6.3</f>
        <v>10.6</v>
      </c>
      <c r="E106" s="21"/>
      <c r="F106" s="21">
        <v>1.27</v>
      </c>
      <c r="G106" s="128">
        <f t="shared" si="7"/>
        <v>13.462</v>
      </c>
      <c r="H106" s="22"/>
      <c r="I106" s="23"/>
      <c r="J106" s="125"/>
      <c r="K106" s="21"/>
    </row>
    <row r="107" spans="1:11" s="1" customFormat="1">
      <c r="A107" s="18"/>
      <c r="B107" s="127"/>
      <c r="C107" s="19">
        <v>1</v>
      </c>
      <c r="D107" s="20">
        <f>6/3.281</f>
        <v>1.8287107589149649</v>
      </c>
      <c r="E107" s="21"/>
      <c r="F107" s="21">
        <f>3/3.281</f>
        <v>0.91435537945748246</v>
      </c>
      <c r="G107" s="128">
        <f t="shared" si="7"/>
        <v>1.6720915198856734</v>
      </c>
      <c r="H107" s="22"/>
      <c r="I107" s="23"/>
      <c r="J107" s="125"/>
      <c r="K107" s="21"/>
    </row>
    <row r="108" spans="1:11" s="1" customFormat="1">
      <c r="A108" s="18"/>
      <c r="B108" s="127"/>
      <c r="C108" s="19">
        <v>1</v>
      </c>
      <c r="D108" s="20">
        <f>5/3.281</f>
        <v>1.5239256324291375</v>
      </c>
      <c r="E108" s="21"/>
      <c r="F108" s="21">
        <f>2/3.281</f>
        <v>0.6095702529716549</v>
      </c>
      <c r="G108" s="128">
        <f t="shared" si="7"/>
        <v>0.92893973326981849</v>
      </c>
      <c r="H108" s="22"/>
      <c r="I108" s="23"/>
      <c r="J108" s="125"/>
      <c r="K108" s="21"/>
    </row>
    <row r="109" spans="1:11" s="1" customFormat="1">
      <c r="A109" s="18"/>
      <c r="B109" s="127"/>
      <c r="C109" s="19">
        <v>1</v>
      </c>
      <c r="D109" s="20">
        <f>5.45+6.25+1.27</f>
        <v>12.969999999999999</v>
      </c>
      <c r="E109" s="21"/>
      <c r="F109" s="21">
        <v>0.3</v>
      </c>
      <c r="G109" s="128">
        <f t="shared" si="7"/>
        <v>3.8909999999999996</v>
      </c>
      <c r="H109" s="22"/>
      <c r="I109" s="23"/>
      <c r="J109" s="125"/>
      <c r="K109" s="21"/>
    </row>
    <row r="110" spans="1:11" s="1" customFormat="1">
      <c r="A110" s="18"/>
      <c r="B110" s="127" t="str">
        <f>B54</f>
        <v>-at one side drain</v>
      </c>
      <c r="C110" s="19">
        <f>C54</f>
        <v>1</v>
      </c>
      <c r="D110" s="20">
        <f>D54</f>
        <v>6.55</v>
      </c>
      <c r="E110" s="21"/>
      <c r="F110" s="21">
        <v>0.23</v>
      </c>
      <c r="G110" s="128">
        <f t="shared" si="7"/>
        <v>1.5065</v>
      </c>
      <c r="H110" s="22"/>
      <c r="I110" s="23"/>
      <c r="J110" s="125"/>
      <c r="K110" s="21"/>
    </row>
    <row r="111" spans="1:11" s="1" customFormat="1">
      <c r="A111" s="18"/>
      <c r="B111" s="127" t="str">
        <f>B14</f>
        <v>-at roof</v>
      </c>
      <c r="C111" s="19">
        <f>C14</f>
        <v>1</v>
      </c>
      <c r="D111" s="20">
        <f>D14</f>
        <v>18</v>
      </c>
      <c r="E111" s="21"/>
      <c r="F111" s="21">
        <f>F14</f>
        <v>0.7110637000914356</v>
      </c>
      <c r="G111" s="128">
        <f t="shared" si="7"/>
        <v>12.799146601645841</v>
      </c>
      <c r="H111" s="22"/>
      <c r="I111" s="23"/>
      <c r="J111" s="125"/>
      <c r="K111" s="21"/>
    </row>
    <row r="112" spans="1:11" s="1" customFormat="1">
      <c r="A112" s="18"/>
      <c r="B112" s="127" t="s">
        <v>129</v>
      </c>
      <c r="C112" s="19"/>
      <c r="D112" s="20"/>
      <c r="E112" s="21"/>
      <c r="F112" s="21"/>
      <c r="G112" s="125">
        <f>SUM(G101:G111)</f>
        <v>89.446507581510673</v>
      </c>
      <c r="H112" s="22" t="s">
        <v>43</v>
      </c>
      <c r="I112" s="23">
        <v>405.86</v>
      </c>
      <c r="J112" s="125">
        <f>G112*I112</f>
        <v>36302.759567031921</v>
      </c>
      <c r="K112" s="21"/>
    </row>
    <row r="113" spans="1:17" s="1" customFormat="1">
      <c r="A113" s="18"/>
      <c r="B113" s="127" t="s">
        <v>130</v>
      </c>
      <c r="C113" s="19"/>
      <c r="D113" s="20"/>
      <c r="E113" s="21"/>
      <c r="F113" s="21"/>
      <c r="G113" s="125"/>
      <c r="H113" s="22"/>
      <c r="I113" s="23"/>
      <c r="J113" s="125">
        <f>0.13*G112*11166.2/100</f>
        <v>1298.410870843664</v>
      </c>
      <c r="K113" s="21"/>
    </row>
    <row r="114" spans="1:17" s="1" customFormat="1">
      <c r="A114" s="18"/>
      <c r="B114" s="127"/>
      <c r="C114" s="19"/>
      <c r="D114" s="20"/>
      <c r="E114" s="21"/>
      <c r="F114" s="21"/>
      <c r="G114" s="125"/>
      <c r="H114" s="22"/>
      <c r="I114" s="23"/>
      <c r="J114" s="125"/>
      <c r="K114" s="21"/>
    </row>
    <row r="115" spans="1:17" ht="30.6">
      <c r="A115" s="18">
        <v>16</v>
      </c>
      <c r="B115" s="121" t="s">
        <v>131</v>
      </c>
      <c r="C115" s="19"/>
      <c r="D115" s="20"/>
      <c r="E115" s="21"/>
      <c r="F115" s="21"/>
      <c r="G115" s="23"/>
      <c r="H115" s="22"/>
      <c r="I115" s="23"/>
      <c r="J115" s="40"/>
      <c r="K115" s="21"/>
    </row>
    <row r="116" spans="1:17" ht="15" customHeight="1">
      <c r="A116" s="18"/>
      <c r="B116" s="36" t="s">
        <v>156</v>
      </c>
      <c r="C116" s="19">
        <v>1</v>
      </c>
      <c r="D116" s="20"/>
      <c r="E116" s="21"/>
      <c r="F116" s="21"/>
      <c r="G116" s="38">
        <f>G112-G110</f>
        <v>87.94000758151067</v>
      </c>
      <c r="H116" s="22"/>
      <c r="I116" s="23"/>
      <c r="J116" s="40"/>
      <c r="K116" s="21"/>
    </row>
    <row r="117" spans="1:17" ht="15" customHeight="1">
      <c r="A117" s="18"/>
      <c r="B117" s="36" t="s">
        <v>41</v>
      </c>
      <c r="C117" s="19"/>
      <c r="D117" s="20"/>
      <c r="E117" s="21"/>
      <c r="F117" s="21"/>
      <c r="G117" s="23">
        <f>SUM(G116:G116)</f>
        <v>87.94000758151067</v>
      </c>
      <c r="H117" s="22" t="s">
        <v>43</v>
      </c>
      <c r="I117" s="23">
        <v>251.77</v>
      </c>
      <c r="J117" s="40">
        <f>G117*I117</f>
        <v>22140.655708796941</v>
      </c>
      <c r="K117" s="21"/>
    </row>
    <row r="118" spans="1:17" ht="15" customHeight="1">
      <c r="A118" s="18"/>
      <c r="B118" s="36" t="s">
        <v>40</v>
      </c>
      <c r="C118" s="19"/>
      <c r="D118" s="20"/>
      <c r="E118" s="21"/>
      <c r="F118" s="21"/>
      <c r="G118" s="23"/>
      <c r="H118" s="22"/>
      <c r="I118" s="23"/>
      <c r="J118" s="40">
        <f>0.13*G117*12736/100</f>
        <v>1456.0051175255562</v>
      </c>
      <c r="K118" s="21"/>
    </row>
    <row r="119" spans="1:17" ht="15" customHeight="1">
      <c r="A119" s="18"/>
      <c r="B119" s="36"/>
      <c r="C119" s="19"/>
      <c r="D119" s="20"/>
      <c r="E119" s="21"/>
      <c r="F119" s="21"/>
      <c r="G119" s="23"/>
      <c r="H119" s="22"/>
      <c r="I119" s="23"/>
      <c r="J119" s="40"/>
      <c r="K119" s="21"/>
    </row>
    <row r="120" spans="1:17" s="1" customFormat="1" ht="46.2">
      <c r="A120" s="18">
        <v>17</v>
      </c>
      <c r="B120" s="146" t="s">
        <v>153</v>
      </c>
      <c r="C120" s="146"/>
      <c r="D120" s="20"/>
      <c r="G120" s="125"/>
      <c r="H120" s="22"/>
      <c r="I120" s="23"/>
      <c r="J120" s="125"/>
      <c r="K120" s="21"/>
    </row>
    <row r="121" spans="1:17" ht="15" customHeight="1">
      <c r="A121" s="18"/>
      <c r="B121" s="36" t="s">
        <v>138</v>
      </c>
      <c r="C121" s="19">
        <v>1</v>
      </c>
      <c r="D121" s="20">
        <f>1.6+5.6</f>
        <v>7.1999999999999993</v>
      </c>
      <c r="E121" s="21">
        <f>(7.333+1.5)/3.281</f>
        <v>2.6921670222493144</v>
      </c>
      <c r="F121" s="21"/>
      <c r="G121" s="128">
        <f t="shared" ref="G121" si="8">PRODUCT(C121:F121)</f>
        <v>19.383602560195062</v>
      </c>
      <c r="H121" s="22"/>
      <c r="I121" s="23"/>
      <c r="J121" s="40"/>
      <c r="K121" s="21"/>
    </row>
    <row r="122" spans="1:17" ht="15" customHeight="1">
      <c r="A122" s="18"/>
      <c r="B122" s="36" t="s">
        <v>41</v>
      </c>
      <c r="C122" s="19"/>
      <c r="D122" s="20"/>
      <c r="E122" s="21"/>
      <c r="F122" s="21"/>
      <c r="G122" s="23">
        <f>SUM(G121:G121)</f>
        <v>19.383602560195062</v>
      </c>
      <c r="H122" s="22" t="s">
        <v>43</v>
      </c>
      <c r="I122" s="23">
        <v>2271.5500000000002</v>
      </c>
      <c r="J122" s="40">
        <f>G122*I122</f>
        <v>44030.822395611096</v>
      </c>
      <c r="K122" s="21"/>
    </row>
    <row r="123" spans="1:17" ht="15" customHeight="1">
      <c r="A123" s="18"/>
      <c r="B123" s="36" t="s">
        <v>40</v>
      </c>
      <c r="C123" s="19"/>
      <c r="D123" s="20"/>
      <c r="E123" s="21"/>
      <c r="F123" s="21"/>
      <c r="G123" s="23"/>
      <c r="H123" s="22"/>
      <c r="I123" s="23"/>
      <c r="J123" s="40">
        <f>0.13*G122*(20218/10)</f>
        <v>5094.6697953063094</v>
      </c>
      <c r="K123" s="21"/>
    </row>
    <row r="124" spans="1:17" ht="15" customHeight="1">
      <c r="A124" s="18"/>
      <c r="B124" s="36"/>
      <c r="C124" s="19"/>
      <c r="D124" s="20"/>
      <c r="E124" s="21"/>
      <c r="F124" s="21"/>
      <c r="G124" s="23"/>
      <c r="H124" s="22"/>
      <c r="I124" s="23"/>
      <c r="J124" s="40"/>
      <c r="K124" s="21"/>
    </row>
    <row r="125" spans="1:17" s="144" customFormat="1" ht="17.399999999999999">
      <c r="A125" s="141">
        <v>18</v>
      </c>
      <c r="B125" s="133" t="s">
        <v>142</v>
      </c>
      <c r="C125" s="134"/>
      <c r="D125" s="135"/>
      <c r="E125" s="142"/>
      <c r="F125" s="135" t="s">
        <v>145</v>
      </c>
      <c r="G125" s="135"/>
      <c r="H125" s="135"/>
      <c r="I125" s="135"/>
      <c r="J125" s="137"/>
      <c r="K125" s="143"/>
    </row>
    <row r="126" spans="1:17" ht="15" customHeight="1">
      <c r="A126" s="18"/>
      <c r="B126" s="36" t="s">
        <v>143</v>
      </c>
      <c r="C126" s="35">
        <v>1</v>
      </c>
      <c r="D126" s="37"/>
      <c r="E126" s="5"/>
      <c r="F126" s="138">
        <f>CONVERT(48.3735,"ft2","m2")</f>
        <v>4.49404520544</v>
      </c>
      <c r="G126" s="128">
        <f>PRODUCT(C126:F126)</f>
        <v>4.49404520544</v>
      </c>
      <c r="H126" s="39"/>
      <c r="I126" s="39"/>
      <c r="J126" s="39"/>
      <c r="K126" s="21"/>
      <c r="M126" s="1"/>
      <c r="N126" s="1"/>
      <c r="O126" s="1"/>
      <c r="P126" s="88"/>
      <c r="Q126" s="88"/>
    </row>
    <row r="127" spans="1:17" ht="15" customHeight="1">
      <c r="A127" s="18"/>
      <c r="B127" s="36"/>
      <c r="C127" s="35">
        <v>1</v>
      </c>
      <c r="D127" s="37"/>
      <c r="E127" s="5"/>
      <c r="F127" s="138">
        <f>CONVERT(224.2762,"ft2","m2")</f>
        <v>20.835940779647999</v>
      </c>
      <c r="G127" s="128">
        <f>PRODUCT(C127:F127)</f>
        <v>20.835940779647999</v>
      </c>
      <c r="H127" s="39"/>
      <c r="I127" s="39"/>
      <c r="J127" s="39"/>
      <c r="K127" s="21"/>
      <c r="M127" s="1"/>
      <c r="N127" s="1"/>
      <c r="O127" s="1"/>
      <c r="P127" s="88"/>
      <c r="Q127" s="88"/>
    </row>
    <row r="128" spans="1:17" ht="15" customHeight="1">
      <c r="A128" s="18"/>
      <c r="B128" s="36"/>
      <c r="C128" s="35">
        <v>1</v>
      </c>
      <c r="D128" s="37">
        <f>(4.1+4.4)/2</f>
        <v>4.25</v>
      </c>
      <c r="E128" s="37">
        <f>2.6</f>
        <v>2.6</v>
      </c>
      <c r="F128" s="37"/>
      <c r="G128" s="128">
        <f t="shared" ref="G128:G130" si="9">PRODUCT(C128:F128)</f>
        <v>11.05</v>
      </c>
      <c r="H128" s="39"/>
      <c r="I128" s="39"/>
      <c r="J128" s="39"/>
      <c r="K128" s="21"/>
      <c r="M128" s="1"/>
      <c r="N128" s="1"/>
      <c r="O128" s="1"/>
      <c r="P128" s="88"/>
      <c r="Q128" s="88"/>
    </row>
    <row r="129" spans="1:20" ht="15" customHeight="1">
      <c r="A129" s="18"/>
      <c r="B129" s="36"/>
      <c r="C129" s="35">
        <v>1</v>
      </c>
      <c r="D129" s="37">
        <v>7</v>
      </c>
      <c r="E129" s="37">
        <f>((2.5+4.75)/2)/3.281</f>
        <v>1.1048460835111247</v>
      </c>
      <c r="F129" s="37"/>
      <c r="G129" s="128">
        <f t="shared" si="9"/>
        <v>7.733922584577873</v>
      </c>
      <c r="H129" s="39"/>
      <c r="I129" s="39"/>
      <c r="J129" s="39"/>
      <c r="K129" s="21"/>
      <c r="M129" s="1"/>
      <c r="N129" s="184" t="s">
        <v>146</v>
      </c>
      <c r="O129" s="184"/>
      <c r="P129" s="184"/>
      <c r="Q129" s="184"/>
      <c r="R129" s="184"/>
      <c r="S129" s="184"/>
      <c r="T129" s="184"/>
    </row>
    <row r="130" spans="1:20" ht="15" customHeight="1">
      <c r="A130" s="18"/>
      <c r="B130" s="36"/>
      <c r="C130" s="35">
        <v>1</v>
      </c>
      <c r="D130" s="37">
        <v>6.55</v>
      </c>
      <c r="E130" s="37">
        <f>((16.17+1)/2)/3.281</f>
        <v>2.616580310880829</v>
      </c>
      <c r="F130" s="37"/>
      <c r="G130" s="128">
        <f t="shared" si="9"/>
        <v>17.138601036269428</v>
      </c>
      <c r="H130" s="39"/>
      <c r="I130" s="39"/>
      <c r="J130" s="39"/>
      <c r="K130" s="21"/>
      <c r="M130" s="1"/>
      <c r="N130" s="184" t="s">
        <v>147</v>
      </c>
      <c r="O130" s="184"/>
      <c r="P130" s="184"/>
      <c r="Q130" s="184"/>
      <c r="R130" s="184"/>
      <c r="S130" s="184"/>
      <c r="T130" s="184"/>
    </row>
    <row r="131" spans="1:20" ht="15" customHeight="1">
      <c r="A131" s="39"/>
      <c r="B131" s="36" t="s">
        <v>41</v>
      </c>
      <c r="C131" s="134"/>
      <c r="D131" s="135"/>
      <c r="E131" s="135"/>
      <c r="F131" s="135"/>
      <c r="G131" s="136">
        <f>SUM(G126:G130)</f>
        <v>61.252509605935302</v>
      </c>
      <c r="H131" s="136" t="s">
        <v>144</v>
      </c>
      <c r="I131" s="136">
        <f>35*10.7639</f>
        <v>376.73649999999998</v>
      </c>
      <c r="J131" s="137">
        <f>G131*I131</f>
        <v>23076.056085156444</v>
      </c>
      <c r="K131" s="35"/>
    </row>
    <row r="132" spans="1:20" ht="15" customHeight="1">
      <c r="A132" s="39"/>
      <c r="B132" s="36" t="s">
        <v>40</v>
      </c>
      <c r="C132" s="134"/>
      <c r="D132" s="135"/>
      <c r="E132" s="135"/>
      <c r="F132" s="135"/>
      <c r="G132" s="135"/>
      <c r="H132" s="135"/>
      <c r="I132" s="135"/>
      <c r="J132" s="41">
        <f>0.13*J131</f>
        <v>2999.8872910703381</v>
      </c>
      <c r="K132" s="35"/>
    </row>
    <row r="133" spans="1:20" ht="15" customHeight="1">
      <c r="A133" s="39"/>
      <c r="B133" s="36"/>
      <c r="C133" s="134"/>
      <c r="D133" s="135"/>
      <c r="E133" s="135"/>
      <c r="F133" s="135"/>
      <c r="G133" s="135"/>
      <c r="H133" s="135"/>
      <c r="I133" s="135"/>
      <c r="J133" s="41"/>
      <c r="K133" s="35"/>
    </row>
    <row r="134" spans="1:20" s="1" customFormat="1" ht="45">
      <c r="A134" s="59">
        <v>19</v>
      </c>
      <c r="B134" s="139" t="s">
        <v>148</v>
      </c>
      <c r="C134" s="140"/>
      <c r="D134" s="38"/>
      <c r="E134" s="38"/>
      <c r="F134" s="38"/>
      <c r="G134" s="38"/>
      <c r="H134" s="38"/>
      <c r="I134" s="38"/>
      <c r="J134" s="41"/>
      <c r="K134" s="28"/>
    </row>
    <row r="135" spans="1:20" ht="15" customHeight="1">
      <c r="A135" s="39"/>
      <c r="B135" s="36" t="s">
        <v>149</v>
      </c>
      <c r="C135" s="19"/>
      <c r="D135" s="135"/>
      <c r="E135" s="135"/>
      <c r="F135" s="135"/>
      <c r="G135" s="135">
        <f>G131</f>
        <v>61.252509605935302</v>
      </c>
      <c r="H135" s="135"/>
      <c r="I135" s="135"/>
      <c r="J135" s="41"/>
      <c r="K135" s="35"/>
    </row>
    <row r="136" spans="1:20" ht="15" customHeight="1">
      <c r="A136" s="39"/>
      <c r="B136" s="36" t="str">
        <f>B83</f>
        <v>-at entrance</v>
      </c>
      <c r="C136" s="19">
        <v>1</v>
      </c>
      <c r="D136" s="147">
        <f t="shared" ref="D136:E136" si="10">D83</f>
        <v>1.95</v>
      </c>
      <c r="E136" s="147">
        <f t="shared" si="10"/>
        <v>1</v>
      </c>
      <c r="F136" s="147"/>
      <c r="G136" s="128">
        <f t="shared" ref="G136" si="11">PRODUCT(C136:F136)</f>
        <v>1.95</v>
      </c>
      <c r="H136" s="135"/>
      <c r="I136" s="135"/>
      <c r="J136" s="41"/>
      <c r="K136" s="35"/>
    </row>
    <row r="137" spans="1:20" ht="15" customHeight="1">
      <c r="A137" s="39"/>
      <c r="B137" s="36" t="s">
        <v>41</v>
      </c>
      <c r="C137" s="134"/>
      <c r="D137" s="135"/>
      <c r="E137" s="135"/>
      <c r="F137" s="135"/>
      <c r="G137" s="136">
        <f>SUM(G135:G136)</f>
        <v>63.202509605935305</v>
      </c>
      <c r="H137" s="136" t="s">
        <v>144</v>
      </c>
      <c r="I137" s="136">
        <v>9.1999999999999993</v>
      </c>
      <c r="J137" s="137">
        <f>G137*I137</f>
        <v>581.46308837460481</v>
      </c>
      <c r="K137" s="35"/>
    </row>
    <row r="138" spans="1:20" ht="15" customHeight="1">
      <c r="A138" s="18"/>
      <c r="B138" s="36"/>
      <c r="C138" s="19"/>
      <c r="D138" s="20"/>
      <c r="E138" s="21"/>
      <c r="F138" s="21"/>
      <c r="G138" s="23"/>
      <c r="H138" s="22"/>
      <c r="I138" s="23"/>
      <c r="J138" s="40"/>
      <c r="K138" s="21"/>
    </row>
    <row r="139" spans="1:20" ht="15" customHeight="1">
      <c r="A139" s="18">
        <v>20</v>
      </c>
      <c r="B139" s="36" t="s">
        <v>139</v>
      </c>
      <c r="C139" s="19">
        <v>1</v>
      </c>
      <c r="D139" s="20"/>
      <c r="E139" s="21"/>
      <c r="F139" s="21"/>
      <c r="G139" s="128">
        <f t="shared" ref="G139" si="12">PRODUCT(C139:F139)</f>
        <v>1</v>
      </c>
      <c r="H139" s="22" t="s">
        <v>140</v>
      </c>
      <c r="I139" s="23">
        <v>5000</v>
      </c>
      <c r="J139" s="33">
        <f>G139*I139</f>
        <v>5000</v>
      </c>
      <c r="K139" s="21"/>
    </row>
    <row r="140" spans="1:20" ht="15" customHeight="1">
      <c r="A140" s="18"/>
      <c r="B140" s="36"/>
      <c r="C140" s="19"/>
      <c r="D140" s="20"/>
      <c r="E140" s="21"/>
      <c r="F140" s="21"/>
      <c r="G140" s="23"/>
      <c r="H140" s="22"/>
      <c r="I140" s="23"/>
      <c r="J140" s="40"/>
      <c r="K140" s="21"/>
    </row>
    <row r="141" spans="1:20" ht="15" customHeight="1">
      <c r="A141" s="18">
        <v>21</v>
      </c>
      <c r="B141" s="29" t="s">
        <v>30</v>
      </c>
      <c r="C141" s="19">
        <v>1</v>
      </c>
      <c r="D141" s="20"/>
      <c r="E141" s="21"/>
      <c r="F141" s="21"/>
      <c r="G141" s="33">
        <f t="shared" ref="G141" si="13">PRODUCT(C141:F141)</f>
        <v>1</v>
      </c>
      <c r="H141" s="22" t="s">
        <v>31</v>
      </c>
      <c r="I141" s="23">
        <v>1000</v>
      </c>
      <c r="J141" s="33">
        <f>G141*I141</f>
        <v>1000</v>
      </c>
      <c r="K141" s="21"/>
    </row>
    <row r="142" spans="1:20" ht="15" customHeight="1">
      <c r="A142" s="18"/>
      <c r="B142" s="24"/>
      <c r="C142" s="19"/>
      <c r="D142" s="20"/>
      <c r="E142" s="21"/>
      <c r="F142" s="21"/>
      <c r="G142" s="23"/>
      <c r="H142" s="22"/>
      <c r="I142" s="23"/>
      <c r="J142" s="40"/>
      <c r="K142" s="21"/>
    </row>
    <row r="143" spans="1:20">
      <c r="A143" s="39"/>
      <c r="B143" s="42" t="s">
        <v>17</v>
      </c>
      <c r="C143" s="43"/>
      <c r="D143" s="37"/>
      <c r="E143" s="37"/>
      <c r="F143" s="37"/>
      <c r="G143" s="40"/>
      <c r="H143" s="40"/>
      <c r="I143" s="40"/>
      <c r="J143" s="40">
        <f>SUM(J10:J141)</f>
        <v>487209.35310074891</v>
      </c>
      <c r="K143" s="35"/>
    </row>
    <row r="144" spans="1:20">
      <c r="A144" s="54"/>
      <c r="B144" s="57"/>
      <c r="C144" s="58"/>
      <c r="D144" s="55"/>
      <c r="E144" s="55"/>
      <c r="F144" s="55"/>
      <c r="G144" s="56"/>
      <c r="H144" s="56"/>
      <c r="I144" s="56"/>
      <c r="J144" s="56"/>
      <c r="K144" s="53"/>
    </row>
    <row r="145" spans="1:11" s="1" customFormat="1">
      <c r="A145" s="46"/>
      <c r="B145" s="28" t="s">
        <v>27</v>
      </c>
      <c r="C145" s="163">
        <f>J143</f>
        <v>487209.35310074891</v>
      </c>
      <c r="D145" s="163"/>
      <c r="E145" s="38">
        <v>100</v>
      </c>
      <c r="F145" s="47"/>
      <c r="G145" s="48"/>
      <c r="H145" s="47"/>
      <c r="I145" s="49"/>
      <c r="J145" s="50"/>
      <c r="K145" s="51"/>
    </row>
    <row r="146" spans="1:11">
      <c r="A146" s="52"/>
      <c r="B146" s="28" t="s">
        <v>32</v>
      </c>
      <c r="C146" s="166">
        <v>500000</v>
      </c>
      <c r="D146" s="166"/>
      <c r="E146" s="38"/>
      <c r="F146" s="45"/>
      <c r="G146" s="44"/>
      <c r="H146" s="44"/>
      <c r="I146" s="44"/>
      <c r="J146" s="44"/>
      <c r="K146" s="45"/>
    </row>
    <row r="147" spans="1:11">
      <c r="A147" s="52"/>
      <c r="B147" s="28" t="s">
        <v>33</v>
      </c>
      <c r="C147" s="166">
        <f>C146-C149-C150</f>
        <v>475000</v>
      </c>
      <c r="D147" s="166"/>
      <c r="E147" s="38">
        <f>C147/C145*100</f>
        <v>97.494023252418117</v>
      </c>
      <c r="F147" s="45"/>
      <c r="G147" s="44"/>
      <c r="H147" s="44"/>
      <c r="I147" s="44"/>
      <c r="J147" s="44"/>
      <c r="K147" s="45"/>
    </row>
    <row r="148" spans="1:11">
      <c r="A148" s="52"/>
      <c r="B148" s="28" t="s">
        <v>34</v>
      </c>
      <c r="C148" s="163">
        <f>C145-C147</f>
        <v>12209.353100748907</v>
      </c>
      <c r="D148" s="163"/>
      <c r="E148" s="38">
        <f>100-E147</f>
        <v>2.505976747581883</v>
      </c>
      <c r="F148" s="45"/>
      <c r="G148" s="44"/>
      <c r="H148" s="44"/>
      <c r="I148" s="44"/>
      <c r="J148" s="44"/>
      <c r="K148" s="45"/>
    </row>
    <row r="149" spans="1:11">
      <c r="A149" s="52"/>
      <c r="B149" s="28" t="s">
        <v>35</v>
      </c>
      <c r="C149" s="163">
        <f>C146*0.03</f>
        <v>15000</v>
      </c>
      <c r="D149" s="163"/>
      <c r="E149" s="38">
        <v>3</v>
      </c>
      <c r="F149" s="45"/>
      <c r="G149" s="44"/>
      <c r="H149" s="44"/>
      <c r="I149" s="44"/>
      <c r="J149" s="44"/>
      <c r="K149" s="45"/>
    </row>
    <row r="150" spans="1:11">
      <c r="A150" s="52"/>
      <c r="B150" s="28" t="s">
        <v>36</v>
      </c>
      <c r="C150" s="163">
        <f>C146*0.02</f>
        <v>10000</v>
      </c>
      <c r="D150" s="163"/>
      <c r="E150" s="38">
        <v>2</v>
      </c>
      <c r="F150" s="45"/>
      <c r="G150" s="44"/>
      <c r="H150" s="44"/>
      <c r="I150" s="44"/>
      <c r="J150" s="44"/>
      <c r="K150" s="45"/>
    </row>
    <row r="151" spans="1:11" s="34" customFormat="1">
      <c r="A151" s="53"/>
      <c r="B151" s="53"/>
      <c r="C151" s="53"/>
      <c r="D151" s="53"/>
      <c r="E151" s="53"/>
      <c r="F151" s="53"/>
      <c r="G151" s="53"/>
      <c r="H151" s="53"/>
      <c r="I151" s="53"/>
      <c r="J151" s="53"/>
      <c r="K151" s="53"/>
    </row>
    <row r="152" spans="1:11" s="34" customFormat="1"/>
    <row r="153" spans="1:11" s="34" customFormat="1"/>
    <row r="154" spans="1:11" s="34" customFormat="1"/>
    <row r="155" spans="1:11" s="34" customFormat="1"/>
    <row r="156" spans="1:11" s="34" customFormat="1"/>
    <row r="157" spans="1:11" s="34" customFormat="1"/>
    <row r="158" spans="1:11" s="34" customFormat="1"/>
    <row r="159" spans="1:11" s="34" customFormat="1"/>
    <row r="160" spans="1:11"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row r="177" s="34" customFormat="1"/>
    <row r="178" s="34" customFormat="1"/>
    <row r="179" s="34" customFormat="1"/>
    <row r="180" s="34" customFormat="1"/>
    <row r="181" s="34" customFormat="1"/>
    <row r="182" s="34" customFormat="1"/>
    <row r="183" s="34" customFormat="1"/>
    <row r="184" s="34" customFormat="1"/>
    <row r="185" s="34" customFormat="1"/>
    <row r="186" s="34" customFormat="1"/>
    <row r="187" s="34" customFormat="1"/>
    <row r="188" s="34" customFormat="1"/>
    <row r="189" s="34" customFormat="1"/>
    <row r="190" s="34" customFormat="1"/>
    <row r="191" s="34" customFormat="1"/>
    <row r="192" s="34" customFormat="1"/>
    <row r="193" s="34" customFormat="1"/>
    <row r="194" s="34" customFormat="1"/>
    <row r="195" s="34" customFormat="1"/>
    <row r="196" s="34" customFormat="1"/>
    <row r="197" s="34" customFormat="1"/>
    <row r="198" s="34" customFormat="1"/>
    <row r="199" s="34" customFormat="1"/>
    <row r="200" s="34" customFormat="1"/>
    <row r="201" s="34" customFormat="1"/>
    <row r="202" s="34" customFormat="1"/>
    <row r="203" s="34" customFormat="1"/>
    <row r="204" s="34" customFormat="1"/>
    <row r="205" s="34" customFormat="1"/>
    <row r="206" s="34" customFormat="1"/>
    <row r="207" s="34" customFormat="1"/>
  </sheetData>
  <mergeCells count="20">
    <mergeCell ref="C145:D145"/>
    <mergeCell ref="A1:K1"/>
    <mergeCell ref="A2:K2"/>
    <mergeCell ref="A3:K3"/>
    <mergeCell ref="A4:K4"/>
    <mergeCell ref="A5:K5"/>
    <mergeCell ref="A6:F6"/>
    <mergeCell ref="H6:K6"/>
    <mergeCell ref="N129:T129"/>
    <mergeCell ref="N130:T130"/>
    <mergeCell ref="A7:F7"/>
    <mergeCell ref="H7:K7"/>
    <mergeCell ref="N60:T60"/>
    <mergeCell ref="N73:T73"/>
    <mergeCell ref="N81:T81"/>
    <mergeCell ref="C146:D146"/>
    <mergeCell ref="C147:D147"/>
    <mergeCell ref="C148:D148"/>
    <mergeCell ref="C149:D149"/>
    <mergeCell ref="C150:D150"/>
  </mergeCells>
  <hyperlinks>
    <hyperlink ref="B100" r:id="rId1"/>
  </hyperlinks>
  <pageMargins left="0.7" right="0.7" top="0.75" bottom="0.75" header="0.3" footer="0.3"/>
  <pageSetup paperSize="9" scale="80" orientation="portrait" r:id="rId2"/>
  <headerFooter>
    <oddFooter>&amp;LPrepared By:&amp;CChecked By:&amp;RApproved By: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8"/>
  <sheetViews>
    <sheetView topLeftCell="A133" zoomScaleNormal="100" workbookViewId="0">
      <selection activeCell="I148" sqref="I148"/>
    </sheetView>
  </sheetViews>
  <sheetFormatPr defaultRowHeight="14.4"/>
  <cols>
    <col min="1" max="1" width="4.6640625" customWidth="1"/>
    <col min="2" max="2" width="31.33203125" customWidth="1"/>
    <col min="3" max="3" width="5.5546875" bestFit="1" customWidth="1"/>
    <col min="4" max="4" width="7.5546875" customWidth="1"/>
    <col min="5" max="5" width="8.5546875" customWidth="1"/>
    <col min="6" max="6" width="8.88671875" bestFit="1" customWidth="1"/>
    <col min="7" max="7" width="9.44140625" customWidth="1"/>
    <col min="8" max="8" width="5" bestFit="1" customWidth="1"/>
    <col min="9" max="9" width="9.5546875" bestFit="1" customWidth="1"/>
    <col min="10" max="10" width="10.6640625" bestFit="1" customWidth="1"/>
  </cols>
  <sheetData>
    <row r="1" spans="1:14" s="1" customFormat="1">
      <c r="A1" s="168" t="s">
        <v>0</v>
      </c>
      <c r="B1" s="168"/>
      <c r="C1" s="168"/>
      <c r="D1" s="168"/>
      <c r="E1" s="168"/>
      <c r="F1" s="168"/>
      <c r="G1" s="168"/>
      <c r="H1" s="168"/>
      <c r="I1" s="168"/>
      <c r="J1" s="168"/>
      <c r="K1" s="168"/>
    </row>
    <row r="2" spans="1:14" s="1" customFormat="1" ht="22.8">
      <c r="A2" s="169" t="s">
        <v>1</v>
      </c>
      <c r="B2" s="169"/>
      <c r="C2" s="169"/>
      <c r="D2" s="169"/>
      <c r="E2" s="169"/>
      <c r="F2" s="169"/>
      <c r="G2" s="169"/>
      <c r="H2" s="169"/>
      <c r="I2" s="169"/>
      <c r="J2" s="169"/>
      <c r="K2" s="169"/>
    </row>
    <row r="3" spans="1:14" s="1" customFormat="1">
      <c r="A3" s="160" t="s">
        <v>2</v>
      </c>
      <c r="B3" s="160"/>
      <c r="C3" s="160"/>
      <c r="D3" s="160"/>
      <c r="E3" s="160"/>
      <c r="F3" s="160"/>
      <c r="G3" s="160"/>
      <c r="H3" s="160"/>
      <c r="I3" s="160"/>
      <c r="J3" s="160"/>
      <c r="K3" s="160"/>
    </row>
    <row r="4" spans="1:14" s="1" customFormat="1">
      <c r="A4" s="160" t="s">
        <v>3</v>
      </c>
      <c r="B4" s="160"/>
      <c r="C4" s="160"/>
      <c r="D4" s="160"/>
      <c r="E4" s="160"/>
      <c r="F4" s="160"/>
      <c r="G4" s="160"/>
      <c r="H4" s="160"/>
      <c r="I4" s="160"/>
      <c r="J4" s="160"/>
      <c r="K4" s="160"/>
    </row>
    <row r="5" spans="1:14" ht="17.399999999999999">
      <c r="A5" s="170" t="s">
        <v>4</v>
      </c>
      <c r="B5" s="170"/>
      <c r="C5" s="170"/>
      <c r="D5" s="170"/>
      <c r="E5" s="170"/>
      <c r="F5" s="170"/>
      <c r="G5" s="170"/>
      <c r="H5" s="170"/>
      <c r="I5" s="170"/>
      <c r="J5" s="170"/>
      <c r="K5" s="170"/>
    </row>
    <row r="6" spans="1:14" ht="15.6">
      <c r="A6" s="150" t="s">
        <v>44</v>
      </c>
      <c r="B6" s="150"/>
      <c r="C6" s="150"/>
      <c r="D6" s="150"/>
      <c r="E6" s="150"/>
      <c r="F6" s="150"/>
      <c r="G6" s="2"/>
      <c r="H6" s="167" t="s">
        <v>42</v>
      </c>
      <c r="I6" s="167"/>
      <c r="J6" s="167"/>
      <c r="K6" s="167"/>
    </row>
    <row r="7" spans="1:14" ht="15.6">
      <c r="A7" s="164" t="s">
        <v>28</v>
      </c>
      <c r="B7" s="164"/>
      <c r="C7" s="164"/>
      <c r="D7" s="164"/>
      <c r="E7" s="164"/>
      <c r="F7" s="164"/>
      <c r="G7" s="3"/>
      <c r="H7" s="165" t="s">
        <v>141</v>
      </c>
      <c r="I7" s="165"/>
      <c r="J7" s="165"/>
      <c r="K7" s="165"/>
    </row>
    <row r="8" spans="1:14" ht="15" customHeight="1">
      <c r="A8" s="4" t="s">
        <v>5</v>
      </c>
      <c r="B8" s="15" t="s">
        <v>6</v>
      </c>
      <c r="C8" s="4" t="s">
        <v>7</v>
      </c>
      <c r="D8" s="16" t="s">
        <v>8</v>
      </c>
      <c r="E8" s="16" t="s">
        <v>9</v>
      </c>
      <c r="F8" s="16" t="s">
        <v>10</v>
      </c>
      <c r="G8" s="16" t="s">
        <v>11</v>
      </c>
      <c r="H8" s="4" t="s">
        <v>12</v>
      </c>
      <c r="I8" s="16" t="s">
        <v>13</v>
      </c>
      <c r="J8" s="16" t="s">
        <v>14</v>
      </c>
      <c r="K8" s="17" t="s">
        <v>15</v>
      </c>
    </row>
    <row r="9" spans="1:14" ht="27.6">
      <c r="A9" s="18">
        <v>1</v>
      </c>
      <c r="B9" s="60" t="s">
        <v>150</v>
      </c>
      <c r="C9" s="4"/>
      <c r="D9" s="16"/>
      <c r="E9" s="16"/>
      <c r="F9" s="16"/>
      <c r="G9" s="16"/>
      <c r="H9" s="4"/>
      <c r="I9" s="16"/>
      <c r="J9" s="16"/>
      <c r="K9" s="17"/>
    </row>
    <row r="10" spans="1:14" ht="15" customHeight="1">
      <c r="A10" s="18"/>
      <c r="B10" s="36" t="s">
        <v>151</v>
      </c>
      <c r="C10" s="35">
        <v>1</v>
      </c>
      <c r="D10" s="37">
        <f>3.1+3.1+2.3+2.3+5.6+1.6</f>
        <v>18</v>
      </c>
      <c r="E10" s="37">
        <f>0.1</f>
        <v>0.1</v>
      </c>
      <c r="F10" s="37">
        <f>2.333/3.281</f>
        <v>0.7110637000914356</v>
      </c>
      <c r="G10" s="38">
        <f t="shared" ref="G10" si="0">PRODUCT(C10:F10)</f>
        <v>1.2799146601645841</v>
      </c>
      <c r="H10" s="39"/>
      <c r="I10" s="39"/>
      <c r="J10" s="39"/>
      <c r="K10" s="61"/>
      <c r="N10">
        <f>5.84+1.76</f>
        <v>7.6</v>
      </c>
    </row>
    <row r="11" spans="1:14" ht="15" customHeight="1">
      <c r="A11" s="18"/>
      <c r="B11" s="36" t="s">
        <v>41</v>
      </c>
      <c r="C11" s="35"/>
      <c r="D11" s="37"/>
      <c r="E11" s="37"/>
      <c r="F11" s="37"/>
      <c r="G11" s="33">
        <f>SUM(G10:G10)</f>
        <v>1.2799146601645841</v>
      </c>
      <c r="H11" s="39" t="s">
        <v>85</v>
      </c>
      <c r="I11" s="39">
        <v>975.2</v>
      </c>
      <c r="J11" s="41">
        <f>G11*I11</f>
        <v>1248.1727765925025</v>
      </c>
      <c r="K11" s="21"/>
    </row>
    <row r="12" spans="1:14" ht="15" customHeight="1">
      <c r="A12" s="18"/>
      <c r="B12" s="36"/>
      <c r="C12" s="35"/>
      <c r="D12" s="37"/>
      <c r="E12" s="37"/>
      <c r="F12" s="37"/>
      <c r="G12" s="38"/>
      <c r="H12" s="39"/>
      <c r="I12" s="39"/>
      <c r="J12" s="41"/>
      <c r="K12" s="21"/>
    </row>
    <row r="13" spans="1:14" ht="27.6">
      <c r="A13" s="18">
        <v>2</v>
      </c>
      <c r="B13" s="60" t="s">
        <v>152</v>
      </c>
      <c r="C13" s="35"/>
      <c r="D13" s="37"/>
      <c r="E13" s="37"/>
      <c r="F13" s="37"/>
      <c r="G13" s="38"/>
      <c r="H13" s="39"/>
      <c r="I13" s="39"/>
      <c r="J13" s="41"/>
      <c r="K13" s="21"/>
    </row>
    <row r="14" spans="1:14" ht="15" customHeight="1">
      <c r="A14" s="18"/>
      <c r="B14" s="36" t="s">
        <v>48</v>
      </c>
      <c r="C14" s="35">
        <v>1</v>
      </c>
      <c r="D14" s="37">
        <f>D10</f>
        <v>18</v>
      </c>
      <c r="E14" s="37">
        <v>0.23</v>
      </c>
      <c r="F14" s="37">
        <f>F10</f>
        <v>0.7110637000914356</v>
      </c>
      <c r="G14" s="38">
        <f>PRODUCT(C14:F14)</f>
        <v>2.9438037183785437</v>
      </c>
      <c r="H14" s="39"/>
      <c r="I14" s="39"/>
      <c r="J14" s="39"/>
      <c r="K14" s="61"/>
      <c r="N14">
        <f>5.84+1.76</f>
        <v>7.6</v>
      </c>
    </row>
    <row r="15" spans="1:14" ht="15" customHeight="1">
      <c r="A15" s="18"/>
      <c r="B15" s="36" t="s">
        <v>154</v>
      </c>
      <c r="C15" s="35">
        <v>1</v>
      </c>
      <c r="D15" s="37">
        <v>6.55</v>
      </c>
      <c r="E15" s="37">
        <v>0.23</v>
      </c>
      <c r="F15" s="37">
        <v>0.3</v>
      </c>
      <c r="G15" s="38">
        <f>PRODUCT(C15:F15)</f>
        <v>0.45194999999999996</v>
      </c>
      <c r="H15" s="39"/>
      <c r="I15" s="39"/>
      <c r="J15" s="39"/>
      <c r="K15" s="61"/>
    </row>
    <row r="16" spans="1:14" ht="15" customHeight="1">
      <c r="A16" s="18"/>
      <c r="B16" s="36" t="s">
        <v>41</v>
      </c>
      <c r="C16" s="35"/>
      <c r="D16" s="37"/>
      <c r="E16" s="37"/>
      <c r="F16" s="37"/>
      <c r="G16" s="33">
        <f>SUM(G14:G15)</f>
        <v>3.3957537183785438</v>
      </c>
      <c r="H16" s="39" t="s">
        <v>85</v>
      </c>
      <c r="I16" s="39">
        <v>14362.76</v>
      </c>
      <c r="J16" s="41">
        <f>G16*I16</f>
        <v>48772.395676178618</v>
      </c>
      <c r="K16" s="21"/>
    </row>
    <row r="17" spans="1:14" ht="15" customHeight="1">
      <c r="A17" s="18"/>
      <c r="B17" s="36" t="s">
        <v>40</v>
      </c>
      <c r="C17" s="35"/>
      <c r="D17" s="37"/>
      <c r="E17" s="37"/>
      <c r="F17" s="37"/>
      <c r="G17" s="38"/>
      <c r="H17" s="39"/>
      <c r="I17" s="39"/>
      <c r="J17" s="41">
        <f>0.13*G16*10311.74</f>
        <v>4552.0968282338599</v>
      </c>
      <c r="K17" s="21"/>
    </row>
    <row r="18" spans="1:14" ht="15" customHeight="1">
      <c r="A18" s="18"/>
      <c r="B18" s="36"/>
      <c r="C18" s="35"/>
      <c r="D18" s="37"/>
      <c r="E18" s="37"/>
      <c r="F18" s="37"/>
      <c r="G18" s="38"/>
      <c r="H18" s="39"/>
      <c r="I18" s="39"/>
      <c r="J18" s="41"/>
      <c r="K18" s="21"/>
    </row>
    <row r="19" spans="1:14" s="1" customFormat="1" ht="55.2">
      <c r="A19" s="59">
        <v>3</v>
      </c>
      <c r="B19" s="60" t="s">
        <v>45</v>
      </c>
      <c r="C19" s="60"/>
      <c r="D19" s="38"/>
      <c r="E19" s="38"/>
      <c r="F19" s="38"/>
      <c r="G19" s="38"/>
      <c r="H19" s="38"/>
      <c r="I19" s="38"/>
      <c r="J19" s="41"/>
      <c r="K19" s="28"/>
    </row>
    <row r="20" spans="1:14" ht="15" customHeight="1">
      <c r="A20" s="18"/>
      <c r="B20" s="36" t="s">
        <v>46</v>
      </c>
      <c r="C20" s="35">
        <v>1</v>
      </c>
      <c r="D20" s="37">
        <f>((5.84+1.76)+(4.23+3.4))/2</f>
        <v>7.6150000000000002</v>
      </c>
      <c r="E20" s="37">
        <f>(3.48+3.5)/2</f>
        <v>3.49</v>
      </c>
      <c r="F20" s="37"/>
      <c r="G20" s="38">
        <f t="shared" ref="G20:G22" si="1">PRODUCT(C20:F20)</f>
        <v>26.576350000000001</v>
      </c>
      <c r="H20" s="39"/>
      <c r="I20" s="39"/>
      <c r="J20" s="39"/>
      <c r="K20" s="61"/>
      <c r="N20">
        <f>5.84+1.76</f>
        <v>7.6</v>
      </c>
    </row>
    <row r="21" spans="1:14" ht="15" customHeight="1">
      <c r="A21" s="18"/>
      <c r="B21" s="36"/>
      <c r="C21" s="35">
        <v>1</v>
      </c>
      <c r="D21" s="37">
        <f>((3.87+1.86)+(3.57+2.18))/2</f>
        <v>5.74</v>
      </c>
      <c r="E21" s="37">
        <f>1.15+0.59+0.59</f>
        <v>2.3299999999999996</v>
      </c>
      <c r="F21" s="37"/>
      <c r="G21" s="38">
        <f t="shared" si="1"/>
        <v>13.374199999999998</v>
      </c>
      <c r="H21" s="39"/>
      <c r="I21" s="39"/>
      <c r="J21" s="39"/>
      <c r="K21" s="61"/>
      <c r="N21">
        <f>3.87+1.86</f>
        <v>5.73</v>
      </c>
    </row>
    <row r="22" spans="1:14" ht="15" customHeight="1">
      <c r="A22" s="18"/>
      <c r="B22" s="36"/>
      <c r="C22" s="35">
        <v>1</v>
      </c>
      <c r="D22" s="37">
        <f>5.7</f>
        <v>5.7</v>
      </c>
      <c r="E22" s="37">
        <f>2.3</f>
        <v>2.2999999999999998</v>
      </c>
      <c r="F22" s="37"/>
      <c r="G22" s="38">
        <f t="shared" si="1"/>
        <v>13.11</v>
      </c>
      <c r="H22" s="39"/>
      <c r="I22" s="39"/>
      <c r="J22" s="39"/>
      <c r="K22" s="61"/>
    </row>
    <row r="23" spans="1:14" ht="15" customHeight="1">
      <c r="A23" s="18"/>
      <c r="B23" s="36" t="s">
        <v>41</v>
      </c>
      <c r="C23" s="35"/>
      <c r="D23" s="37"/>
      <c r="E23" s="37"/>
      <c r="F23" s="37"/>
      <c r="G23" s="33">
        <f>SUM(G20:G22)</f>
        <v>53.060549999999999</v>
      </c>
      <c r="H23" s="39" t="s">
        <v>43</v>
      </c>
      <c r="I23" s="39">
        <v>817.76</v>
      </c>
      <c r="J23" s="41">
        <f>G23*I23</f>
        <v>43390.795367999999</v>
      </c>
      <c r="K23" s="21"/>
    </row>
    <row r="24" spans="1:14" ht="15" customHeight="1">
      <c r="A24" s="18"/>
      <c r="B24" s="36" t="s">
        <v>40</v>
      </c>
      <c r="C24" s="35"/>
      <c r="D24" s="37"/>
      <c r="E24" s="37"/>
      <c r="F24" s="37"/>
      <c r="G24" s="38"/>
      <c r="H24" s="39"/>
      <c r="I24" s="39"/>
      <c r="J24" s="41">
        <f>0.13*J23</f>
        <v>5640.8033978399999</v>
      </c>
      <c r="K24" s="21"/>
    </row>
    <row r="25" spans="1:14" ht="15" customHeight="1">
      <c r="A25" s="18"/>
      <c r="B25" s="36"/>
      <c r="C25" s="35"/>
      <c r="D25" s="37"/>
      <c r="E25" s="37"/>
      <c r="F25" s="37"/>
      <c r="G25" s="38"/>
      <c r="H25" s="39"/>
      <c r="I25" s="39"/>
      <c r="J25" s="41"/>
      <c r="K25" s="21"/>
    </row>
    <row r="26" spans="1:14" ht="27.6">
      <c r="A26" s="18">
        <v>4</v>
      </c>
      <c r="B26" s="60" t="s">
        <v>47</v>
      </c>
      <c r="C26" s="35"/>
      <c r="D26" s="37"/>
      <c r="E26" s="37"/>
      <c r="F26" s="37"/>
      <c r="G26" s="38"/>
      <c r="H26" s="39"/>
      <c r="I26" s="39"/>
      <c r="J26" s="41"/>
      <c r="K26" s="21"/>
    </row>
    <row r="27" spans="1:14" ht="15" customHeight="1">
      <c r="A27" s="18"/>
      <c r="B27" s="36" t="s">
        <v>48</v>
      </c>
      <c r="C27" s="35">
        <v>1</v>
      </c>
      <c r="D27" s="37">
        <f>3.1+3.17+5.36+2.3</f>
        <v>13.93</v>
      </c>
      <c r="E27" s="37">
        <v>6.55</v>
      </c>
      <c r="F27" s="37"/>
      <c r="G27" s="38">
        <f>PRODUCT(C27:F27)</f>
        <v>91.241500000000002</v>
      </c>
      <c r="H27" s="39"/>
      <c r="I27" s="39"/>
      <c r="J27" s="39"/>
      <c r="K27" s="61"/>
      <c r="N27">
        <f>5.84+1.76</f>
        <v>7.6</v>
      </c>
    </row>
    <row r="28" spans="1:14" ht="15" customHeight="1">
      <c r="A28" s="18"/>
      <c r="B28" s="36" t="s">
        <v>160</v>
      </c>
      <c r="C28" s="35">
        <v>-1</v>
      </c>
      <c r="D28" s="37">
        <f>1.6+5.6</f>
        <v>7.1999999999999993</v>
      </c>
      <c r="E28" s="37">
        <f>(7.333+1.5)/3.281</f>
        <v>2.6921670222493144</v>
      </c>
      <c r="F28" s="37"/>
      <c r="G28" s="38">
        <f>PRODUCT(C28:F28)</f>
        <v>-19.383602560195062</v>
      </c>
      <c r="H28" s="39"/>
      <c r="I28" s="39"/>
      <c r="J28" s="39"/>
      <c r="K28" s="61"/>
    </row>
    <row r="29" spans="1:14" ht="15" customHeight="1">
      <c r="A29" s="18"/>
      <c r="B29" s="36" t="s">
        <v>41</v>
      </c>
      <c r="C29" s="35"/>
      <c r="D29" s="37"/>
      <c r="E29" s="37"/>
      <c r="F29" s="37"/>
      <c r="G29" s="33">
        <f>SUM(G27:G28)</f>
        <v>71.857897439804944</v>
      </c>
      <c r="H29" s="39" t="s">
        <v>43</v>
      </c>
      <c r="I29" s="39">
        <v>1070.9000000000001</v>
      </c>
      <c r="J29" s="41">
        <f>G29*I29</f>
        <v>76952.62236828712</v>
      </c>
      <c r="K29" s="21"/>
    </row>
    <row r="30" spans="1:14" ht="15" customHeight="1">
      <c r="A30" s="18"/>
      <c r="B30" s="36" t="s">
        <v>40</v>
      </c>
      <c r="C30" s="35"/>
      <c r="D30" s="37"/>
      <c r="E30" s="37"/>
      <c r="F30" s="37"/>
      <c r="G30" s="38"/>
      <c r="H30" s="39"/>
      <c r="I30" s="39"/>
      <c r="J30" s="41">
        <f>0.13*G29*8587.63/10</f>
        <v>8022.1574652828976</v>
      </c>
      <c r="K30" s="21"/>
    </row>
    <row r="31" spans="1:14" ht="15" customHeight="1">
      <c r="A31" s="18"/>
      <c r="B31" s="36"/>
      <c r="C31" s="35"/>
      <c r="D31" s="37"/>
      <c r="E31" s="37"/>
      <c r="F31" s="37"/>
      <c r="G31" s="38"/>
      <c r="H31" s="39"/>
      <c r="I31" s="39"/>
      <c r="J31" s="41"/>
      <c r="K31" s="21"/>
    </row>
    <row r="32" spans="1:14" ht="27.6">
      <c r="A32" s="18">
        <v>5</v>
      </c>
      <c r="B32" s="60" t="s">
        <v>157</v>
      </c>
      <c r="C32" s="35"/>
      <c r="D32" s="37"/>
      <c r="E32" s="37"/>
      <c r="F32" s="37"/>
      <c r="G32" s="38"/>
      <c r="H32" s="39"/>
      <c r="I32" s="39"/>
      <c r="J32" s="41"/>
      <c r="K32" s="21"/>
    </row>
    <row r="33" spans="1:19" ht="15" customHeight="1">
      <c r="A33" s="18"/>
      <c r="B33" s="36" t="s">
        <v>48</v>
      </c>
      <c r="C33" s="35">
        <v>1</v>
      </c>
      <c r="D33" s="37">
        <f>3.1+3.1+5.6+1.6</f>
        <v>13.4</v>
      </c>
      <c r="E33" s="37"/>
      <c r="F33" s="37"/>
      <c r="G33" s="38">
        <f>PRODUCT(C33:F33)</f>
        <v>13.4</v>
      </c>
      <c r="H33" s="39"/>
      <c r="I33" s="39"/>
      <c r="J33" s="39"/>
      <c r="K33" s="61"/>
      <c r="N33">
        <f>5.84+1.76</f>
        <v>7.6</v>
      </c>
    </row>
    <row r="34" spans="1:19" ht="15" customHeight="1">
      <c r="A34" s="18"/>
      <c r="B34" s="36" t="s">
        <v>41</v>
      </c>
      <c r="C34" s="35"/>
      <c r="D34" s="37"/>
      <c r="E34" s="37"/>
      <c r="F34" s="37"/>
      <c r="G34" s="33">
        <f>SUM(G33:G33)</f>
        <v>13.4</v>
      </c>
      <c r="H34" s="39" t="s">
        <v>158</v>
      </c>
      <c r="I34" s="39">
        <v>1108.01</v>
      </c>
      <c r="J34" s="41">
        <f>G34*I34</f>
        <v>14847.334000000001</v>
      </c>
      <c r="K34" s="21"/>
    </row>
    <row r="35" spans="1:19" ht="15" customHeight="1">
      <c r="A35" s="18"/>
      <c r="B35" s="36" t="s">
        <v>40</v>
      </c>
      <c r="C35" s="35"/>
      <c r="D35" s="37"/>
      <c r="E35" s="37"/>
      <c r="F35" s="37"/>
      <c r="G35" s="38"/>
      <c r="H35" s="39"/>
      <c r="I35" s="39"/>
      <c r="J35" s="41">
        <f>0.13*G34*7076.41/10</f>
        <v>1232.7106220000001</v>
      </c>
      <c r="K35" s="21"/>
    </row>
    <row r="36" spans="1:19" ht="15" customHeight="1">
      <c r="A36" s="18"/>
      <c r="B36" s="36"/>
      <c r="C36" s="35"/>
      <c r="D36" s="37"/>
      <c r="E36" s="37"/>
      <c r="F36" s="37"/>
      <c r="G36" s="38"/>
      <c r="H36" s="39"/>
      <c r="I36" s="39"/>
      <c r="J36" s="41"/>
      <c r="K36" s="21"/>
    </row>
    <row r="37" spans="1:19" ht="41.4">
      <c r="A37" s="18">
        <v>6</v>
      </c>
      <c r="B37" s="60" t="s">
        <v>87</v>
      </c>
      <c r="C37" s="35"/>
      <c r="D37" s="37"/>
      <c r="E37" s="37"/>
      <c r="F37" s="37"/>
      <c r="G37" s="38"/>
      <c r="H37" s="39"/>
      <c r="I37" s="39"/>
      <c r="J37" s="41"/>
      <c r="K37" s="21"/>
    </row>
    <row r="38" spans="1:19" ht="15" customHeight="1">
      <c r="A38" s="18"/>
      <c r="B38" s="36" t="s">
        <v>84</v>
      </c>
      <c r="C38" s="35">
        <v>2</v>
      </c>
      <c r="D38" s="37">
        <f>(18+14)/3.281</f>
        <v>9.7531240475464784</v>
      </c>
      <c r="E38" s="37">
        <v>0.15</v>
      </c>
      <c r="F38" s="37">
        <v>0.6</v>
      </c>
      <c r="G38" s="38">
        <f>PRODUCT(C38:F38)</f>
        <v>1.7555623285583659</v>
      </c>
      <c r="H38" s="39"/>
      <c r="I38" s="39"/>
      <c r="J38" s="39"/>
      <c r="K38" s="61"/>
      <c r="N38">
        <f>5.84+1.76</f>
        <v>7.6</v>
      </c>
    </row>
    <row r="39" spans="1:19" ht="15" customHeight="1">
      <c r="A39" s="18"/>
      <c r="B39" s="36" t="s">
        <v>41</v>
      </c>
      <c r="C39" s="35"/>
      <c r="D39" s="37"/>
      <c r="E39" s="37"/>
      <c r="F39" s="37"/>
      <c r="G39" s="33">
        <f>SUM(G38:G38)</f>
        <v>1.7555623285583659</v>
      </c>
      <c r="H39" s="39" t="s">
        <v>85</v>
      </c>
      <c r="I39" s="39">
        <v>1950.4</v>
      </c>
      <c r="J39" s="41">
        <f>G39*I39</f>
        <v>3424.0487656202372</v>
      </c>
      <c r="K39" s="21"/>
    </row>
    <row r="40" spans="1:19" ht="15" customHeight="1">
      <c r="A40" s="18"/>
      <c r="B40" s="36" t="s">
        <v>40</v>
      </c>
      <c r="C40" s="35"/>
      <c r="D40" s="37"/>
      <c r="E40" s="37"/>
      <c r="F40" s="37"/>
      <c r="G40" s="38"/>
      <c r="H40" s="39"/>
      <c r="I40" s="39"/>
      <c r="J40" s="41">
        <f>0.13*J39</f>
        <v>445.12633953063084</v>
      </c>
      <c r="K40" s="21"/>
    </row>
    <row r="41" spans="1:19" ht="15" customHeight="1">
      <c r="A41" s="18"/>
      <c r="B41" s="36"/>
      <c r="C41" s="35"/>
      <c r="D41" s="37"/>
      <c r="E41" s="37"/>
      <c r="F41" s="37"/>
      <c r="G41" s="38"/>
      <c r="H41" s="39"/>
      <c r="I41" s="39"/>
      <c r="J41" s="41"/>
      <c r="K41" s="21"/>
    </row>
    <row r="42" spans="1:19" ht="30.6">
      <c r="A42" s="18">
        <v>7</v>
      </c>
      <c r="B42" s="87" t="s">
        <v>89</v>
      </c>
      <c r="C42" s="19"/>
      <c r="D42" s="20"/>
      <c r="E42" s="21"/>
      <c r="F42" s="21"/>
      <c r="G42" s="23"/>
      <c r="H42" s="22"/>
      <c r="I42" s="23"/>
      <c r="J42" s="40"/>
      <c r="K42" s="21"/>
      <c r="M42" s="88"/>
      <c r="N42" s="1"/>
      <c r="O42" s="1"/>
      <c r="P42" s="1"/>
      <c r="Q42" s="1"/>
      <c r="R42" s="88"/>
      <c r="S42" s="88"/>
    </row>
    <row r="43" spans="1:19" ht="15" customHeight="1">
      <c r="A43" s="18"/>
      <c r="B43" s="36" t="s">
        <v>90</v>
      </c>
      <c r="C43" s="19">
        <v>1</v>
      </c>
      <c r="D43" s="20">
        <f>D61</f>
        <v>9.7531240475464784</v>
      </c>
      <c r="E43" s="21">
        <v>0.4</v>
      </c>
      <c r="F43" s="21">
        <v>0.125</v>
      </c>
      <c r="G43" s="38">
        <f>PRODUCT(C43:F43)</f>
        <v>0.48765620237732393</v>
      </c>
      <c r="H43" s="22"/>
      <c r="I43" s="23"/>
      <c r="J43" s="40"/>
      <c r="K43" s="21"/>
    </row>
    <row r="44" spans="1:19" ht="15" customHeight="1">
      <c r="A44" s="18"/>
      <c r="B44" s="36" t="s">
        <v>41</v>
      </c>
      <c r="C44" s="19"/>
      <c r="D44" s="20"/>
      <c r="E44" s="21"/>
      <c r="F44" s="21"/>
      <c r="G44" s="23">
        <f>SUM(G43:G43)</f>
        <v>0.48765620237732393</v>
      </c>
      <c r="H44" s="22" t="s">
        <v>85</v>
      </c>
      <c r="I44" s="23">
        <v>663.31</v>
      </c>
      <c r="J44" s="40">
        <f>G44*I44</f>
        <v>323.46723559890273</v>
      </c>
      <c r="K44" s="21"/>
    </row>
    <row r="45" spans="1:19" ht="15" customHeight="1">
      <c r="A45" s="18"/>
      <c r="B45" s="36"/>
      <c r="C45" s="19"/>
      <c r="D45" s="20"/>
      <c r="E45" s="21"/>
      <c r="F45" s="21"/>
      <c r="G45" s="23"/>
      <c r="H45" s="22"/>
      <c r="I45" s="23"/>
      <c r="J45" s="40"/>
      <c r="K45" s="21"/>
    </row>
    <row r="46" spans="1:19" ht="15">
      <c r="A46" s="18">
        <v>8</v>
      </c>
      <c r="B46" s="89" t="s">
        <v>91</v>
      </c>
      <c r="C46" s="19"/>
      <c r="D46" s="20"/>
      <c r="E46" s="21"/>
      <c r="F46" s="21"/>
      <c r="G46" s="23"/>
      <c r="H46" s="22"/>
      <c r="I46" s="23"/>
      <c r="J46" s="40"/>
      <c r="K46" s="21"/>
    </row>
    <row r="47" spans="1:19" ht="15" customHeight="1">
      <c r="A47" s="18"/>
      <c r="B47" s="36" t="str">
        <f>B43</f>
        <v>-at drain wall base</v>
      </c>
      <c r="C47" s="19">
        <f>C43</f>
        <v>1</v>
      </c>
      <c r="D47" s="20">
        <f>D43</f>
        <v>9.7531240475464784</v>
      </c>
      <c r="E47" s="21">
        <f>E43+0.3</f>
        <v>0.7</v>
      </c>
      <c r="F47" s="21"/>
      <c r="G47" s="38">
        <f>PRODUCT(C47:F47)</f>
        <v>6.8271868332825347</v>
      </c>
      <c r="H47" s="22"/>
      <c r="I47" s="23"/>
      <c r="J47" s="40"/>
      <c r="K47" s="21"/>
    </row>
    <row r="48" spans="1:19" ht="15" customHeight="1">
      <c r="A48" s="18"/>
      <c r="B48" s="36" t="s">
        <v>155</v>
      </c>
      <c r="C48" s="19">
        <v>1</v>
      </c>
      <c r="D48" s="20">
        <f>D15</f>
        <v>6.55</v>
      </c>
      <c r="E48" s="21">
        <f>E15</f>
        <v>0.23</v>
      </c>
      <c r="F48" s="21"/>
      <c r="G48" s="38">
        <f>PRODUCT(C48:F48)</f>
        <v>1.5065</v>
      </c>
      <c r="H48" s="22"/>
      <c r="I48" s="23"/>
      <c r="J48" s="40"/>
      <c r="K48" s="21"/>
    </row>
    <row r="49" spans="1:20" ht="15" customHeight="1">
      <c r="A49" s="18"/>
      <c r="B49" s="36" t="str">
        <f>B84</f>
        <v>-at entrance</v>
      </c>
      <c r="C49" s="19">
        <f t="shared" ref="C49:E49" si="2">C84</f>
        <v>1</v>
      </c>
      <c r="D49" s="147">
        <f t="shared" si="2"/>
        <v>1.95</v>
      </c>
      <c r="E49" s="147">
        <f t="shared" si="2"/>
        <v>1</v>
      </c>
      <c r="F49" s="36"/>
      <c r="G49" s="38">
        <f>PRODUCT(C49:F49)</f>
        <v>1.95</v>
      </c>
      <c r="H49" s="22"/>
      <c r="I49" s="23"/>
      <c r="J49" s="40"/>
      <c r="K49" s="21"/>
    </row>
    <row r="50" spans="1:20" ht="15" customHeight="1">
      <c r="A50" s="18"/>
      <c r="B50" s="36" t="s">
        <v>41</v>
      </c>
      <c r="C50" s="19"/>
      <c r="D50" s="20"/>
      <c r="E50" s="21"/>
      <c r="F50" s="21"/>
      <c r="G50" s="23">
        <f>SUM(G47:G49)</f>
        <v>10.283686833282534</v>
      </c>
      <c r="H50" s="22" t="s">
        <v>43</v>
      </c>
      <c r="I50" s="23">
        <v>1014.97</v>
      </c>
      <c r="J50" s="40">
        <f>G50*I50</f>
        <v>10437.633625176773</v>
      </c>
      <c r="K50" s="21"/>
    </row>
    <row r="51" spans="1:20" ht="15" customHeight="1">
      <c r="A51" s="18"/>
      <c r="B51" s="36" t="s">
        <v>40</v>
      </c>
      <c r="C51" s="19"/>
      <c r="D51" s="20"/>
      <c r="E51" s="21"/>
      <c r="F51" s="21"/>
      <c r="G51" s="23"/>
      <c r="H51" s="22"/>
      <c r="I51" s="23"/>
      <c r="J51" s="40">
        <f>0.13*G50*8617.2/10</f>
        <v>1152.0156203369095</v>
      </c>
      <c r="K51" s="21"/>
    </row>
    <row r="52" spans="1:20" ht="15" customHeight="1">
      <c r="A52" s="18"/>
      <c r="B52" s="36"/>
      <c r="C52" s="19"/>
      <c r="D52" s="20"/>
      <c r="E52" s="21"/>
      <c r="F52" s="21"/>
      <c r="G52" s="23"/>
      <c r="H52" s="22"/>
      <c r="I52" s="23"/>
      <c r="J52" s="40"/>
      <c r="K52" s="21"/>
    </row>
    <row r="53" spans="1:20" ht="30">
      <c r="A53" s="18">
        <v>9</v>
      </c>
      <c r="B53" s="89" t="s">
        <v>92</v>
      </c>
      <c r="C53" s="19"/>
      <c r="D53" s="20"/>
      <c r="E53" s="21"/>
      <c r="F53" s="21"/>
      <c r="G53" s="23"/>
      <c r="H53" s="22"/>
      <c r="I53" s="23"/>
      <c r="J53" s="40"/>
      <c r="K53" s="21"/>
    </row>
    <row r="54" spans="1:20" ht="15" customHeight="1">
      <c r="A54" s="18"/>
      <c r="B54" s="36" t="str">
        <f>B47</f>
        <v>-at drain wall base</v>
      </c>
      <c r="C54" s="19">
        <f>C47</f>
        <v>1</v>
      </c>
      <c r="D54" s="20">
        <f>D47</f>
        <v>9.7531240475464784</v>
      </c>
      <c r="E54" s="21">
        <f>E47</f>
        <v>0.7</v>
      </c>
      <c r="F54" s="21">
        <v>0.1</v>
      </c>
      <c r="G54" s="38">
        <f>PRODUCT(C54:F54)</f>
        <v>0.68271868332825347</v>
      </c>
      <c r="H54" s="22"/>
      <c r="I54" s="23"/>
      <c r="J54" s="40"/>
      <c r="K54" s="21"/>
    </row>
    <row r="55" spans="1:20" ht="15" customHeight="1">
      <c r="A55" s="18"/>
      <c r="B55" s="36" t="str">
        <f>B48</f>
        <v>-at one side drain</v>
      </c>
      <c r="C55" s="19">
        <f>C48</f>
        <v>1</v>
      </c>
      <c r="D55" s="20">
        <f>D48</f>
        <v>6.55</v>
      </c>
      <c r="E55" s="21">
        <f>E48+0.3</f>
        <v>0.53</v>
      </c>
      <c r="F55" s="21">
        <v>7.4999999999999997E-2</v>
      </c>
      <c r="G55" s="38">
        <f>PRODUCT(C55:F55)</f>
        <v>0.2603625</v>
      </c>
      <c r="H55" s="22"/>
      <c r="I55" s="23"/>
      <c r="J55" s="40"/>
      <c r="K55" s="21"/>
    </row>
    <row r="56" spans="1:20" ht="15" customHeight="1">
      <c r="A56" s="18"/>
      <c r="B56" s="36" t="str">
        <f>B14</f>
        <v>-at roof</v>
      </c>
      <c r="C56" s="19">
        <f>C14</f>
        <v>1</v>
      </c>
      <c r="D56" s="20">
        <f>D14</f>
        <v>18</v>
      </c>
      <c r="E56" s="21">
        <f>E14</f>
        <v>0.23</v>
      </c>
      <c r="F56" s="21">
        <v>0.05</v>
      </c>
      <c r="G56" s="38">
        <f>PRODUCT(C56:F56)</f>
        <v>0.20700000000000005</v>
      </c>
      <c r="H56" s="22"/>
      <c r="I56" s="23"/>
      <c r="J56" s="40"/>
      <c r="K56" s="21"/>
    </row>
    <row r="57" spans="1:20" ht="15" customHeight="1">
      <c r="A57" s="18"/>
      <c r="B57" s="36" t="s">
        <v>41</v>
      </c>
      <c r="C57" s="19"/>
      <c r="D57" s="20"/>
      <c r="E57" s="21"/>
      <c r="F57" s="21"/>
      <c r="G57" s="23">
        <f>SUM(G54:G56)</f>
        <v>1.1500811833282536</v>
      </c>
      <c r="H57" s="22" t="s">
        <v>85</v>
      </c>
      <c r="I57" s="23">
        <v>12983.1</v>
      </c>
      <c r="J57" s="40">
        <f>G57*I57</f>
        <v>14931.619011269049</v>
      </c>
      <c r="K57" s="21"/>
    </row>
    <row r="58" spans="1:20" ht="15" customHeight="1">
      <c r="A58" s="18"/>
      <c r="B58" s="36" t="s">
        <v>40</v>
      </c>
      <c r="C58" s="19"/>
      <c r="D58" s="20"/>
      <c r="E58" s="21"/>
      <c r="F58" s="21"/>
      <c r="G58" s="23"/>
      <c r="H58" s="22"/>
      <c r="I58" s="23"/>
      <c r="J58" s="40">
        <f>0.13*G57*8078.11</f>
        <v>1207.7627000212537</v>
      </c>
      <c r="K58" s="21"/>
    </row>
    <row r="59" spans="1:20" ht="15">
      <c r="A59" s="18"/>
      <c r="B59" s="89"/>
      <c r="C59" s="19"/>
      <c r="D59" s="20"/>
      <c r="E59" s="21"/>
      <c r="F59" s="21"/>
      <c r="G59" s="23"/>
      <c r="H59" s="22"/>
      <c r="I59" s="23"/>
      <c r="J59" s="40"/>
      <c r="K59" s="21"/>
    </row>
    <row r="60" spans="1:20" ht="39">
      <c r="A60" s="18">
        <v>10</v>
      </c>
      <c r="B60" s="60" t="s">
        <v>88</v>
      </c>
      <c r="C60" s="35"/>
      <c r="D60" s="37"/>
      <c r="E60" s="37"/>
      <c r="F60" s="37"/>
      <c r="G60" s="38"/>
      <c r="H60" s="39"/>
      <c r="I60" s="39"/>
      <c r="J60" s="41"/>
      <c r="K60" s="21"/>
      <c r="N60" s="66" t="s">
        <v>49</v>
      </c>
      <c r="O60" s="66"/>
      <c r="P60" s="66"/>
      <c r="Q60" s="66"/>
      <c r="R60" s="66"/>
      <c r="S60" s="66"/>
      <c r="T60" s="66"/>
    </row>
    <row r="61" spans="1:20" ht="15" customHeight="1">
      <c r="A61" s="18"/>
      <c r="B61" s="36" t="s">
        <v>84</v>
      </c>
      <c r="C61" s="35">
        <v>2</v>
      </c>
      <c r="D61" s="37">
        <f>(18+14)/3.281</f>
        <v>9.7531240475464784</v>
      </c>
      <c r="E61" s="37">
        <v>0.15</v>
      </c>
      <c r="F61" s="37">
        <v>0.6</v>
      </c>
      <c r="G61" s="38">
        <f>PRODUCT(C61:F61)</f>
        <v>1.7555623285583659</v>
      </c>
      <c r="H61" s="39"/>
      <c r="I61" s="39"/>
      <c r="J61" s="39"/>
      <c r="K61" s="61"/>
      <c r="N61" s="162" t="s">
        <v>87</v>
      </c>
      <c r="O61" s="162"/>
      <c r="P61" s="162"/>
      <c r="Q61" s="162"/>
      <c r="R61" s="162"/>
      <c r="S61" s="162"/>
      <c r="T61" s="162"/>
    </row>
    <row r="62" spans="1:20" ht="15" customHeight="1">
      <c r="A62" s="18"/>
      <c r="B62" s="36" t="s">
        <v>41</v>
      </c>
      <c r="C62" s="35"/>
      <c r="D62" s="37"/>
      <c r="E62" s="37"/>
      <c r="F62" s="37"/>
      <c r="G62" s="33">
        <f>SUM(G61:G61)</f>
        <v>1.7555623285583659</v>
      </c>
      <c r="H62" s="39" t="s">
        <v>85</v>
      </c>
      <c r="I62" s="39">
        <v>8569.2999999999993</v>
      </c>
      <c r="J62" s="41">
        <f>G62*I62</f>
        <v>15043.940262115204</v>
      </c>
      <c r="K62" s="21"/>
    </row>
    <row r="63" spans="1:20" ht="15" customHeight="1">
      <c r="A63" s="18"/>
      <c r="B63" s="36" t="s">
        <v>40</v>
      </c>
      <c r="C63" s="35"/>
      <c r="D63" s="37"/>
      <c r="E63" s="37"/>
      <c r="F63" s="37"/>
      <c r="G63" s="38"/>
      <c r="H63" s="39"/>
      <c r="I63" s="39"/>
      <c r="J63" s="41">
        <f>0.13*G62*5504.3/9</f>
        <v>139.57871380676622</v>
      </c>
      <c r="K63" s="21"/>
    </row>
    <row r="64" spans="1:20" ht="15" customHeight="1">
      <c r="A64" s="18"/>
      <c r="B64" s="36"/>
      <c r="C64" s="35"/>
      <c r="D64" s="37"/>
      <c r="E64" s="37"/>
      <c r="F64" s="37"/>
      <c r="G64" s="38"/>
      <c r="H64" s="39"/>
      <c r="I64" s="39"/>
      <c r="J64" s="41"/>
      <c r="K64" s="21"/>
      <c r="N64">
        <f>9.75/0.75</f>
        <v>13</v>
      </c>
    </row>
    <row r="65" spans="1:20" ht="30">
      <c r="A65" s="18">
        <v>11</v>
      </c>
      <c r="B65" s="89" t="s">
        <v>93</v>
      </c>
      <c r="C65" s="19" t="s">
        <v>7</v>
      </c>
      <c r="D65" s="90" t="s">
        <v>94</v>
      </c>
      <c r="E65" s="91" t="s">
        <v>95</v>
      </c>
      <c r="F65" s="91" t="s">
        <v>96</v>
      </c>
      <c r="G65" s="91" t="s">
        <v>97</v>
      </c>
      <c r="H65" s="22"/>
      <c r="I65" s="23"/>
      <c r="J65" s="40"/>
      <c r="K65" s="21"/>
    </row>
    <row r="66" spans="1:20" ht="15" customHeight="1">
      <c r="A66" s="18"/>
      <c r="B66" s="36" t="s">
        <v>99</v>
      </c>
      <c r="C66" s="19">
        <f>TRUNC((D67-0.1)/0.15,0)+1</f>
        <v>5</v>
      </c>
      <c r="D66" s="20">
        <v>0.75</v>
      </c>
      <c r="E66" s="21">
        <f>8*8/162</f>
        <v>0.39506172839506171</v>
      </c>
      <c r="F66" s="21">
        <f>PRODUCT(C66:E66)</f>
        <v>1.4814814814814814</v>
      </c>
      <c r="G66" s="92">
        <f>F66/1000</f>
        <v>1.4814814814814814E-3</v>
      </c>
      <c r="H66" s="22"/>
      <c r="I66" s="23"/>
      <c r="J66" s="40"/>
      <c r="K66" s="21"/>
    </row>
    <row r="67" spans="1:20" ht="15" customHeight="1">
      <c r="A67" s="18"/>
      <c r="B67" s="36"/>
      <c r="C67" s="19">
        <f>13*(TRUNC((D66-0.1)/0.15,0)+1)</f>
        <v>65</v>
      </c>
      <c r="D67" s="20">
        <v>0.7</v>
      </c>
      <c r="E67" s="21">
        <f>8*8/162</f>
        <v>0.39506172839506171</v>
      </c>
      <c r="F67" s="21">
        <f>PRODUCT(C67:E67)</f>
        <v>17.975308641975307</v>
      </c>
      <c r="G67" s="92">
        <f>F67/1000</f>
        <v>1.7975308641975305E-2</v>
      </c>
      <c r="H67" s="22"/>
      <c r="I67" s="23"/>
      <c r="J67" s="40"/>
      <c r="K67" s="21"/>
    </row>
    <row r="68" spans="1:20" ht="15" customHeight="1">
      <c r="A68" s="18"/>
      <c r="B68" s="36"/>
      <c r="C68" s="19">
        <f>TRUNC((D69-0.1)/0.15,0)+1</f>
        <v>5</v>
      </c>
      <c r="D68" s="20">
        <v>0.9</v>
      </c>
      <c r="E68" s="21">
        <f>8*8/162</f>
        <v>0.39506172839506171</v>
      </c>
      <c r="F68" s="21">
        <f>PRODUCT(C68:E68)</f>
        <v>1.7777777777777777</v>
      </c>
      <c r="G68" s="92">
        <f>F68/1000</f>
        <v>1.7777777777777776E-3</v>
      </c>
      <c r="H68" s="22"/>
      <c r="I68" s="23"/>
      <c r="J68" s="40"/>
      <c r="K68" s="21"/>
    </row>
    <row r="69" spans="1:20" ht="15" customHeight="1">
      <c r="A69" s="18"/>
      <c r="B69" s="36"/>
      <c r="C69" s="19">
        <f>(TRUNC((D68-0.1)/0.15,0)+1)</f>
        <v>6</v>
      </c>
      <c r="D69" s="20">
        <f>2.75/3.281</f>
        <v>0.8381590978360256</v>
      </c>
      <c r="E69" s="21">
        <f>8*8/162</f>
        <v>0.39506172839506171</v>
      </c>
      <c r="F69" s="21">
        <f>PRODUCT(C69:E69)</f>
        <v>1.9867474911668754</v>
      </c>
      <c r="G69" s="92">
        <f>F69/1000</f>
        <v>1.9867474911668755E-3</v>
      </c>
      <c r="H69" s="22"/>
      <c r="I69" s="23"/>
      <c r="J69" s="40"/>
      <c r="K69" s="21"/>
    </row>
    <row r="70" spans="1:20" ht="15" customHeight="1">
      <c r="A70" s="18"/>
      <c r="B70" s="36" t="s">
        <v>41</v>
      </c>
      <c r="C70" s="19"/>
      <c r="D70" s="20"/>
      <c r="E70" s="21"/>
      <c r="F70" s="21"/>
      <c r="G70" s="23">
        <f>SUM(G66:G69)</f>
        <v>2.3221315392401441E-2</v>
      </c>
      <c r="H70" s="22" t="s">
        <v>98</v>
      </c>
      <c r="I70" s="23">
        <v>131940</v>
      </c>
      <c r="J70" s="40">
        <f>G70*I70</f>
        <v>3063.8203528734462</v>
      </c>
      <c r="K70" s="21"/>
    </row>
    <row r="71" spans="1:20" ht="15" customHeight="1">
      <c r="A71" s="18"/>
      <c r="B71" s="36" t="s">
        <v>40</v>
      </c>
      <c r="C71" s="19"/>
      <c r="D71" s="20"/>
      <c r="E71" s="21"/>
      <c r="F71" s="21"/>
      <c r="G71" s="23"/>
      <c r="H71" s="22"/>
      <c r="I71" s="23"/>
      <c r="J71" s="40">
        <f>0.13*G70*106200</f>
        <v>320.5934803074943</v>
      </c>
      <c r="K71" s="21"/>
    </row>
    <row r="72" spans="1:20" ht="15" customHeight="1">
      <c r="A72" s="18"/>
      <c r="B72" s="36"/>
      <c r="C72" s="19"/>
      <c r="D72" s="20"/>
      <c r="E72" s="21"/>
      <c r="F72" s="21"/>
      <c r="G72" s="23"/>
      <c r="H72" s="22"/>
      <c r="I72" s="23"/>
      <c r="J72" s="40"/>
      <c r="K72" s="21"/>
    </row>
    <row r="73" spans="1:20" ht="30">
      <c r="A73" s="18">
        <v>12</v>
      </c>
      <c r="B73" s="89" t="s">
        <v>100</v>
      </c>
      <c r="C73" s="19"/>
      <c r="D73" s="20"/>
      <c r="E73" s="21"/>
      <c r="F73" s="21"/>
      <c r="G73" s="23"/>
      <c r="H73" s="22"/>
      <c r="I73" s="23"/>
      <c r="J73" s="40"/>
      <c r="K73" s="21"/>
    </row>
    <row r="74" spans="1:20" ht="15" customHeight="1">
      <c r="A74" s="18"/>
      <c r="B74" s="36" t="s">
        <v>101</v>
      </c>
      <c r="C74" s="35">
        <f>2*13</f>
        <v>26</v>
      </c>
      <c r="D74" s="37">
        <v>0.75</v>
      </c>
      <c r="E74" s="37"/>
      <c r="F74" s="37">
        <v>0.1</v>
      </c>
      <c r="G74" s="38">
        <f>PRODUCT(C74:F74)</f>
        <v>1.9500000000000002</v>
      </c>
      <c r="H74" s="39"/>
      <c r="I74" s="39"/>
      <c r="J74" s="39"/>
      <c r="K74" s="61"/>
      <c r="N74" s="162" t="s">
        <v>87</v>
      </c>
      <c r="O74" s="162"/>
      <c r="P74" s="162"/>
      <c r="Q74" s="162"/>
      <c r="R74" s="162"/>
      <c r="S74" s="162"/>
      <c r="T74" s="162"/>
    </row>
    <row r="75" spans="1:20" ht="15" customHeight="1">
      <c r="A75" s="18"/>
      <c r="B75" s="36"/>
      <c r="C75" s="35">
        <f>2*13</f>
        <v>26</v>
      </c>
      <c r="D75" s="37">
        <v>0.7</v>
      </c>
      <c r="E75" s="37"/>
      <c r="F75" s="37">
        <v>0.1</v>
      </c>
      <c r="G75" s="38">
        <f>PRODUCT(C75:F75)</f>
        <v>1.82</v>
      </c>
      <c r="H75" s="39"/>
      <c r="I75" s="39"/>
      <c r="J75" s="39"/>
      <c r="K75" s="61"/>
      <c r="N75" s="132"/>
      <c r="O75" s="132"/>
      <c r="P75" s="132"/>
      <c r="Q75" s="132"/>
      <c r="R75" s="132"/>
      <c r="S75" s="132"/>
      <c r="T75" s="132"/>
    </row>
    <row r="76" spans="1:20" ht="15" customHeight="1">
      <c r="A76" s="18"/>
      <c r="B76" s="36"/>
      <c r="C76" s="35">
        <v>2</v>
      </c>
      <c r="D76" s="37">
        <v>0.9</v>
      </c>
      <c r="E76" s="37"/>
      <c r="F76" s="37">
        <v>0.1</v>
      </c>
      <c r="G76" s="38">
        <f t="shared" ref="G76:G77" si="3">PRODUCT(C76:F76)</f>
        <v>0.18000000000000002</v>
      </c>
      <c r="H76" s="39"/>
      <c r="I76" s="39"/>
      <c r="J76" s="39"/>
      <c r="K76" s="61"/>
      <c r="N76" s="132"/>
      <c r="O76" s="132"/>
      <c r="P76" s="132"/>
      <c r="Q76" s="132"/>
      <c r="R76" s="132"/>
      <c r="S76" s="132"/>
      <c r="T76" s="132"/>
    </row>
    <row r="77" spans="1:20" ht="15" customHeight="1">
      <c r="A77" s="18"/>
      <c r="B77" s="36"/>
      <c r="C77" s="35">
        <v>2</v>
      </c>
      <c r="D77" s="37">
        <f>2.75/3.281</f>
        <v>0.8381590978360256</v>
      </c>
      <c r="E77" s="37"/>
      <c r="F77" s="37">
        <v>0.1</v>
      </c>
      <c r="G77" s="38">
        <f t="shared" si="3"/>
        <v>0.16763181956720513</v>
      </c>
      <c r="H77" s="39"/>
      <c r="I77" s="39"/>
      <c r="J77" s="39"/>
      <c r="K77" s="61"/>
      <c r="N77" s="132"/>
      <c r="O77" s="132"/>
      <c r="P77" s="132"/>
      <c r="Q77" s="132"/>
      <c r="R77" s="132"/>
      <c r="S77" s="132"/>
      <c r="T77" s="132"/>
    </row>
    <row r="78" spans="1:20" ht="15" customHeight="1">
      <c r="A78" s="18"/>
      <c r="B78" s="36" t="s">
        <v>41</v>
      </c>
      <c r="C78" s="35"/>
      <c r="D78" s="37"/>
      <c r="E78" s="37"/>
      <c r="F78" s="37"/>
      <c r="G78" s="33">
        <f>SUM(G74:G77)</f>
        <v>4.1176318195672055</v>
      </c>
      <c r="H78" s="39" t="s">
        <v>43</v>
      </c>
      <c r="I78" s="23">
        <f>81404.27/100</f>
        <v>814.04270000000008</v>
      </c>
      <c r="J78" s="41">
        <f>G78*I78</f>
        <v>3351.928124006401</v>
      </c>
      <c r="K78" s="21"/>
    </row>
    <row r="79" spans="1:20" ht="15" customHeight="1">
      <c r="A79" s="18"/>
      <c r="B79" s="36" t="s">
        <v>40</v>
      </c>
      <c r="C79" s="35"/>
      <c r="D79" s="37"/>
      <c r="E79" s="37"/>
      <c r="F79" s="37"/>
      <c r="G79" s="38"/>
      <c r="H79" s="39"/>
      <c r="I79" s="39"/>
      <c r="J79" s="41">
        <f>0.13*G78*36690.27/100</f>
        <v>196.40013018666568</v>
      </c>
      <c r="K79" s="21"/>
    </row>
    <row r="80" spans="1:20" ht="15" customHeight="1">
      <c r="A80" s="18"/>
      <c r="B80" s="36"/>
      <c r="C80" s="35"/>
      <c r="D80" s="37"/>
      <c r="E80" s="37"/>
      <c r="F80" s="37"/>
      <c r="G80" s="38"/>
      <c r="H80" s="39"/>
      <c r="I80" s="39"/>
      <c r="J80" s="41"/>
      <c r="K80" s="21"/>
    </row>
    <row r="81" spans="1:20" ht="30">
      <c r="A81" s="18">
        <v>13</v>
      </c>
      <c r="B81" s="89" t="s">
        <v>119</v>
      </c>
      <c r="C81" s="35"/>
      <c r="D81" s="37"/>
      <c r="E81" s="37"/>
      <c r="F81" s="37"/>
      <c r="G81" s="38"/>
      <c r="H81" s="39"/>
      <c r="I81" s="39"/>
      <c r="J81" s="41"/>
      <c r="K81" s="21"/>
      <c r="N81">
        <f>9.75/0.75</f>
        <v>13</v>
      </c>
    </row>
    <row r="82" spans="1:20" ht="15" customHeight="1">
      <c r="A82" s="18"/>
      <c r="B82" s="36" t="s">
        <v>120</v>
      </c>
      <c r="C82" s="35">
        <v>1</v>
      </c>
      <c r="D82" s="37">
        <f>D61</f>
        <v>9.7531240475464784</v>
      </c>
      <c r="E82" s="37">
        <f>0.7</f>
        <v>0.7</v>
      </c>
      <c r="F82" s="37">
        <v>0.1</v>
      </c>
      <c r="G82" s="38">
        <f>PRODUCT(C82:F82)</f>
        <v>0.68271868332825347</v>
      </c>
      <c r="H82" s="39"/>
      <c r="I82" s="39"/>
      <c r="J82" s="39"/>
      <c r="K82" s="61"/>
      <c r="N82" s="162" t="s">
        <v>87</v>
      </c>
      <c r="O82" s="162"/>
      <c r="P82" s="162"/>
      <c r="Q82" s="162"/>
      <c r="R82" s="162"/>
      <c r="S82" s="162"/>
      <c r="T82" s="162"/>
    </row>
    <row r="83" spans="1:20" ht="15" customHeight="1">
      <c r="A83" s="18"/>
      <c r="B83" s="36"/>
      <c r="C83" s="35">
        <v>1</v>
      </c>
      <c r="D83" s="37">
        <v>0.9</v>
      </c>
      <c r="E83" s="37">
        <f>2.75/3.281</f>
        <v>0.8381590978360256</v>
      </c>
      <c r="F83" s="37">
        <v>0.1</v>
      </c>
      <c r="G83" s="38">
        <f t="shared" ref="G83:G84" si="4">PRODUCT(C83:F83)</f>
        <v>7.5434318805242317E-2</v>
      </c>
      <c r="H83" s="39"/>
      <c r="I83" s="39"/>
      <c r="J83" s="39"/>
      <c r="K83" s="61"/>
      <c r="N83" s="132"/>
      <c r="O83" s="132"/>
      <c r="P83" s="132"/>
      <c r="Q83" s="132"/>
      <c r="R83" s="132"/>
      <c r="S83" s="132"/>
      <c r="T83" s="132"/>
    </row>
    <row r="84" spans="1:20" ht="15" customHeight="1">
      <c r="A84" s="18"/>
      <c r="B84" s="36" t="s">
        <v>159</v>
      </c>
      <c r="C84" s="35">
        <v>1</v>
      </c>
      <c r="D84" s="37">
        <v>1.95</v>
      </c>
      <c r="E84" s="37">
        <v>1</v>
      </c>
      <c r="F84" s="37">
        <v>0.1</v>
      </c>
      <c r="G84" s="38">
        <f t="shared" si="4"/>
        <v>0.19500000000000001</v>
      </c>
      <c r="H84" s="39"/>
      <c r="I84" s="39"/>
      <c r="J84" s="39"/>
      <c r="K84" s="61"/>
      <c r="N84" s="132"/>
      <c r="O84" s="132"/>
      <c r="P84" s="132"/>
      <c r="Q84" s="132"/>
      <c r="R84" s="132"/>
      <c r="S84" s="132"/>
      <c r="T84" s="132"/>
    </row>
    <row r="85" spans="1:20" ht="15" customHeight="1">
      <c r="A85" s="18"/>
      <c r="B85" s="36" t="s">
        <v>41</v>
      </c>
      <c r="C85" s="35"/>
      <c r="D85" s="37"/>
      <c r="E85" s="37"/>
      <c r="F85" s="37"/>
      <c r="G85" s="33">
        <f>SUM(G82:G84)</f>
        <v>0.95315300213349574</v>
      </c>
      <c r="H85" s="39" t="s">
        <v>85</v>
      </c>
      <c r="I85" s="23">
        <v>13568.9</v>
      </c>
      <c r="J85" s="41">
        <f>G85*I85</f>
        <v>12933.23777064919</v>
      </c>
      <c r="K85" s="21"/>
    </row>
    <row r="86" spans="1:20" ht="15" customHeight="1">
      <c r="A86" s="18"/>
      <c r="B86" s="36" t="s">
        <v>40</v>
      </c>
      <c r="C86" s="35"/>
      <c r="D86" s="37"/>
      <c r="E86" s="37"/>
      <c r="F86" s="37"/>
      <c r="G86" s="38"/>
      <c r="H86" s="39"/>
      <c r="I86" s="39"/>
      <c r="J86" s="41">
        <f>0.13*G85*9524.2</f>
        <v>1180.1425769795794</v>
      </c>
      <c r="K86" s="21"/>
    </row>
    <row r="87" spans="1:20" ht="15" customHeight="1">
      <c r="A87" s="18"/>
      <c r="B87" s="36"/>
      <c r="C87" s="35"/>
      <c r="D87" s="37"/>
      <c r="E87" s="37"/>
      <c r="F87" s="37"/>
      <c r="G87" s="38"/>
      <c r="H87" s="39"/>
      <c r="I87" s="39"/>
      <c r="J87" s="41"/>
      <c r="K87" s="21"/>
    </row>
    <row r="88" spans="1:20" ht="30.6">
      <c r="A88" s="18">
        <v>14</v>
      </c>
      <c r="B88" s="121" t="s">
        <v>121</v>
      </c>
      <c r="C88" s="19" t="s">
        <v>7</v>
      </c>
      <c r="D88" s="90" t="s">
        <v>94</v>
      </c>
      <c r="E88" s="91" t="s">
        <v>95</v>
      </c>
      <c r="F88" s="91" t="s">
        <v>96</v>
      </c>
      <c r="G88" s="91" t="s">
        <v>124</v>
      </c>
      <c r="H88" s="22"/>
      <c r="I88" s="23"/>
      <c r="J88" s="40"/>
      <c r="K88" s="21"/>
    </row>
    <row r="89" spans="1:20">
      <c r="A89" s="122"/>
      <c r="B89" s="126" t="s">
        <v>123</v>
      </c>
      <c r="C89" s="124">
        <v>6</v>
      </c>
      <c r="D89" s="12">
        <f>(2.5+2+2.5)/12/3.281</f>
        <v>0.17779132378339937</v>
      </c>
      <c r="E89" s="12">
        <v>0.8</v>
      </c>
      <c r="F89" s="21">
        <f>PRODUCT(C89:E89)</f>
        <v>0.85339835416031706</v>
      </c>
      <c r="G89" s="92">
        <f>F89</f>
        <v>0.85339835416031706</v>
      </c>
      <c r="H89" s="122"/>
      <c r="I89" s="125"/>
      <c r="J89" s="125"/>
      <c r="K89" s="123"/>
    </row>
    <row r="90" spans="1:20">
      <c r="A90" s="122"/>
      <c r="B90" s="126"/>
      <c r="C90" s="124">
        <v>2</v>
      </c>
      <c r="D90" s="12">
        <f>1.6+5.6</f>
        <v>7.1999999999999993</v>
      </c>
      <c r="E90" s="12">
        <v>0.8</v>
      </c>
      <c r="F90" s="21">
        <f>PRODUCT(C90:E90)</f>
        <v>11.52</v>
      </c>
      <c r="G90" s="92">
        <f>F90</f>
        <v>11.52</v>
      </c>
      <c r="H90" s="122"/>
      <c r="I90" s="125"/>
      <c r="J90" s="125"/>
      <c r="K90" s="123"/>
    </row>
    <row r="91" spans="1:20">
      <c r="A91" s="122"/>
      <c r="B91" s="126" t="s">
        <v>135</v>
      </c>
      <c r="C91" s="124">
        <f>TRUNC(D96/0.1,0)</f>
        <v>482</v>
      </c>
      <c r="D91" s="12">
        <f>0.15</f>
        <v>0.15</v>
      </c>
      <c r="E91" s="12">
        <v>0.8</v>
      </c>
      <c r="F91" s="21">
        <f>PRODUCT(C91:E91)</f>
        <v>57.84</v>
      </c>
      <c r="G91" s="92">
        <f>F91</f>
        <v>57.84</v>
      </c>
      <c r="H91" s="122"/>
      <c r="I91" s="125"/>
      <c r="J91" s="125"/>
      <c r="K91" s="123"/>
    </row>
    <row r="92" spans="1:20" s="1" customFormat="1" ht="27.6">
      <c r="A92" s="122"/>
      <c r="B92" s="127" t="s">
        <v>125</v>
      </c>
      <c r="C92" s="124">
        <v>4</v>
      </c>
      <c r="D92" s="12">
        <f>7.5/3.281</f>
        <v>2.2858884486437061</v>
      </c>
      <c r="E92" s="12">
        <v>2.72</v>
      </c>
      <c r="F92" s="12">
        <f t="shared" ref="F92" si="5">PRODUCT(C92:E92)</f>
        <v>24.870466321243523</v>
      </c>
      <c r="G92" s="128">
        <f t="shared" ref="G92:G97" si="6">F92</f>
        <v>24.870466321243523</v>
      </c>
      <c r="H92" s="125"/>
      <c r="I92" s="125"/>
      <c r="J92" s="125"/>
      <c r="K92" s="123"/>
      <c r="M92" s="129"/>
    </row>
    <row r="93" spans="1:20" s="1" customFormat="1" ht="41.4">
      <c r="A93" s="122"/>
      <c r="B93" s="127" t="s">
        <v>126</v>
      </c>
      <c r="C93" s="124">
        <v>1</v>
      </c>
      <c r="D93" s="12">
        <f>(1.6+5.6)</f>
        <v>7.1999999999999993</v>
      </c>
      <c r="E93" s="12">
        <v>3.87</v>
      </c>
      <c r="F93" s="12">
        <f>PRODUCT(C93:E93)</f>
        <v>27.863999999999997</v>
      </c>
      <c r="G93" s="128">
        <f t="shared" si="6"/>
        <v>27.863999999999997</v>
      </c>
      <c r="H93" s="125"/>
      <c r="I93" s="125"/>
      <c r="J93" s="125"/>
      <c r="K93" s="123"/>
      <c r="M93" s="129"/>
    </row>
    <row r="94" spans="1:20" s="1" customFormat="1">
      <c r="A94" s="122"/>
      <c r="B94" s="127"/>
      <c r="C94" s="124">
        <v>4</v>
      </c>
      <c r="D94" s="12">
        <f>(7.333+1)/3.281</f>
        <v>2.5397744590064004</v>
      </c>
      <c r="E94" s="12">
        <v>3.87</v>
      </c>
      <c r="F94" s="12">
        <f>PRODUCT(C94:E94)</f>
        <v>39.315708625419077</v>
      </c>
      <c r="G94" s="128">
        <f t="shared" si="6"/>
        <v>39.315708625419077</v>
      </c>
      <c r="H94" s="125"/>
      <c r="I94" s="125"/>
      <c r="J94" s="125"/>
      <c r="K94" s="123"/>
      <c r="M94" s="129"/>
    </row>
    <row r="95" spans="1:20" s="1" customFormat="1" ht="27.6">
      <c r="A95" s="122"/>
      <c r="B95" s="127" t="s">
        <v>133</v>
      </c>
      <c r="C95" s="124">
        <v>1</v>
      </c>
      <c r="D95" s="12">
        <f>1.6+5.6</f>
        <v>7.1999999999999993</v>
      </c>
      <c r="E95" s="12">
        <v>1.52</v>
      </c>
      <c r="F95" s="12">
        <f>PRODUCT(C95:E95)</f>
        <v>10.943999999999999</v>
      </c>
      <c r="G95" s="128">
        <f t="shared" si="6"/>
        <v>10.943999999999999</v>
      </c>
      <c r="H95" s="125"/>
      <c r="I95" s="125"/>
      <c r="J95" s="125"/>
      <c r="K95" s="123"/>
      <c r="M95" s="129"/>
    </row>
    <row r="96" spans="1:20" s="1" customFormat="1">
      <c r="A96" s="122"/>
      <c r="B96" s="127" t="s">
        <v>134</v>
      </c>
      <c r="C96" s="124">
        <v>2</v>
      </c>
      <c r="D96" s="12">
        <f>5.6+5.92+2.83+1.2+0.85+5.2+6.9+5.8+4.3+6.3+1.5+1.8</f>
        <v>48.199999999999989</v>
      </c>
      <c r="E96" s="12">
        <v>1.52</v>
      </c>
      <c r="F96" s="12">
        <f>PRODUCT(C96:E96)</f>
        <v>146.52799999999996</v>
      </c>
      <c r="G96" s="128">
        <f t="shared" si="6"/>
        <v>146.52799999999996</v>
      </c>
      <c r="H96" s="125"/>
      <c r="I96" s="125"/>
      <c r="J96" s="125"/>
      <c r="K96" s="123"/>
      <c r="M96" s="129"/>
    </row>
    <row r="97" spans="1:13" s="1" customFormat="1">
      <c r="A97" s="122"/>
      <c r="B97" s="127" t="s">
        <v>136</v>
      </c>
      <c r="C97" s="124">
        <f>C91</f>
        <v>482</v>
      </c>
      <c r="D97" s="12">
        <f>2.5/3.281</f>
        <v>0.76196281621456874</v>
      </c>
      <c r="E97" s="12">
        <v>1.1299999999999999</v>
      </c>
      <c r="F97" s="12">
        <f>PRODUCT(C97:E97)</f>
        <v>415.01066747942701</v>
      </c>
      <c r="G97" s="128">
        <f t="shared" si="6"/>
        <v>415.01066747942701</v>
      </c>
      <c r="H97" s="125"/>
      <c r="I97" s="125"/>
      <c r="J97" s="125"/>
      <c r="K97" s="123"/>
      <c r="M97" s="129"/>
    </row>
    <row r="98" spans="1:13" ht="15" customHeight="1">
      <c r="A98" s="18"/>
      <c r="B98" s="36" t="s">
        <v>41</v>
      </c>
      <c r="C98" s="19"/>
      <c r="D98" s="20"/>
      <c r="E98" s="21"/>
      <c r="F98" s="21"/>
      <c r="G98" s="23">
        <f>SUM(G89:G97)</f>
        <v>734.74624078024999</v>
      </c>
      <c r="H98" s="22" t="s">
        <v>122</v>
      </c>
      <c r="I98" s="23">
        <v>181.17</v>
      </c>
      <c r="J98" s="40">
        <f>G98*I98</f>
        <v>133113.97644215787</v>
      </c>
      <c r="K98" s="21"/>
    </row>
    <row r="99" spans="1:13" ht="15" customHeight="1">
      <c r="A99" s="18"/>
      <c r="B99" s="36" t="s">
        <v>40</v>
      </c>
      <c r="C99" s="19"/>
      <c r="D99" s="20"/>
      <c r="E99" s="21"/>
      <c r="F99" s="21"/>
      <c r="G99" s="23"/>
      <c r="H99" s="22"/>
      <c r="I99" s="23"/>
      <c r="J99" s="40">
        <f>0.13*G98*1871.42/18.94</f>
        <v>9437.8271008303491</v>
      </c>
      <c r="K99" s="21"/>
    </row>
    <row r="100" spans="1:13" ht="15" customHeight="1">
      <c r="A100" s="18"/>
      <c r="B100" s="36"/>
      <c r="C100" s="19"/>
      <c r="D100" s="20"/>
      <c r="E100" s="21"/>
      <c r="F100" s="21"/>
      <c r="G100" s="23"/>
      <c r="H100" s="22"/>
      <c r="I100" s="23"/>
      <c r="J100" s="40"/>
      <c r="K100" s="21"/>
    </row>
    <row r="101" spans="1:13" s="1" customFormat="1" ht="30">
      <c r="A101" s="18">
        <v>15</v>
      </c>
      <c r="B101" s="130" t="s">
        <v>127</v>
      </c>
      <c r="C101" s="19"/>
      <c r="D101" s="20"/>
      <c r="E101" s="21"/>
      <c r="F101" s="21"/>
      <c r="G101" s="125"/>
      <c r="H101" s="22"/>
      <c r="I101" s="23"/>
      <c r="J101" s="125"/>
      <c r="K101" s="21"/>
    </row>
    <row r="102" spans="1:13" s="1" customFormat="1">
      <c r="A102" s="18"/>
      <c r="B102" s="127" t="s">
        <v>128</v>
      </c>
      <c r="C102" s="19">
        <v>2</v>
      </c>
      <c r="D102" s="20">
        <f>(4/3.281)+0.85</f>
        <v>2.0691405059433099</v>
      </c>
      <c r="E102" s="21"/>
      <c r="F102" s="21">
        <v>1.6</v>
      </c>
      <c r="G102" s="128">
        <f t="shared" ref="G102:G112" si="7">PRODUCT(C102:F102)</f>
        <v>6.6212496190185917</v>
      </c>
      <c r="H102" s="22"/>
      <c r="I102" s="23"/>
      <c r="J102" s="125"/>
      <c r="K102" s="21"/>
    </row>
    <row r="103" spans="1:13" s="1" customFormat="1">
      <c r="A103" s="18"/>
      <c r="B103" s="127"/>
      <c r="C103" s="19">
        <v>1</v>
      </c>
      <c r="D103" s="20">
        <f>5.2+6.9</f>
        <v>12.100000000000001</v>
      </c>
      <c r="E103" s="21"/>
      <c r="F103" s="21">
        <f>(1.5+1.3+1.75)/3</f>
        <v>1.5166666666666666</v>
      </c>
      <c r="G103" s="128">
        <f t="shared" si="7"/>
        <v>18.351666666666667</v>
      </c>
      <c r="H103" s="22"/>
      <c r="I103" s="23"/>
      <c r="J103" s="125"/>
      <c r="K103" s="21"/>
    </row>
    <row r="104" spans="1:13" s="1" customFormat="1">
      <c r="A104" s="18"/>
      <c r="B104" s="127"/>
      <c r="C104" s="19">
        <v>1</v>
      </c>
      <c r="D104" s="20">
        <f>5.2+6.9</f>
        <v>12.100000000000001</v>
      </c>
      <c r="E104" s="21"/>
      <c r="F104" s="21">
        <v>1.3</v>
      </c>
      <c r="G104" s="128">
        <f t="shared" si="7"/>
        <v>15.730000000000002</v>
      </c>
      <c r="H104" s="22"/>
      <c r="I104" s="23"/>
      <c r="J104" s="125"/>
      <c r="K104" s="21"/>
    </row>
    <row r="105" spans="1:13" s="1" customFormat="1">
      <c r="A105" s="18"/>
      <c r="B105" s="127"/>
      <c r="C105" s="19">
        <v>1</v>
      </c>
      <c r="D105" s="20">
        <f>5.8</f>
        <v>5.8</v>
      </c>
      <c r="E105" s="21"/>
      <c r="F105" s="21">
        <v>1.4</v>
      </c>
      <c r="G105" s="128">
        <f t="shared" si="7"/>
        <v>8.1199999999999992</v>
      </c>
      <c r="H105" s="22"/>
      <c r="I105" s="23"/>
      <c r="J105" s="125"/>
      <c r="K105" s="21"/>
    </row>
    <row r="106" spans="1:13" s="1" customFormat="1">
      <c r="A106" s="18"/>
      <c r="B106" s="127"/>
      <c r="C106" s="19">
        <v>1</v>
      </c>
      <c r="D106" s="20">
        <v>5.8</v>
      </c>
      <c r="E106" s="21"/>
      <c r="F106" s="21">
        <f>3.6/3.281</f>
        <v>1.097226455348979</v>
      </c>
      <c r="G106" s="128">
        <f t="shared" si="7"/>
        <v>6.3639134410240779</v>
      </c>
      <c r="H106" s="22"/>
      <c r="I106" s="23"/>
      <c r="J106" s="125"/>
      <c r="K106" s="21"/>
    </row>
    <row r="107" spans="1:13" s="1" customFormat="1">
      <c r="A107" s="18"/>
      <c r="B107" s="127"/>
      <c r="C107" s="19">
        <v>1</v>
      </c>
      <c r="D107" s="20">
        <f>4.3+6.3</f>
        <v>10.6</v>
      </c>
      <c r="E107" s="21"/>
      <c r="F107" s="21">
        <v>1.27</v>
      </c>
      <c r="G107" s="128">
        <f t="shared" si="7"/>
        <v>13.462</v>
      </c>
      <c r="H107" s="22"/>
      <c r="I107" s="23"/>
      <c r="J107" s="125"/>
      <c r="K107" s="21"/>
    </row>
    <row r="108" spans="1:13" s="1" customFormat="1">
      <c r="A108" s="18"/>
      <c r="B108" s="127"/>
      <c r="C108" s="19">
        <v>1</v>
      </c>
      <c r="D108" s="20">
        <f>6/3.281</f>
        <v>1.8287107589149649</v>
      </c>
      <c r="E108" s="21"/>
      <c r="F108" s="21">
        <f>3/3.281</f>
        <v>0.91435537945748246</v>
      </c>
      <c r="G108" s="128">
        <f t="shared" si="7"/>
        <v>1.6720915198856734</v>
      </c>
      <c r="H108" s="22"/>
      <c r="I108" s="23"/>
      <c r="J108" s="125"/>
      <c r="K108" s="21"/>
    </row>
    <row r="109" spans="1:13" s="1" customFormat="1">
      <c r="A109" s="18"/>
      <c r="B109" s="127"/>
      <c r="C109" s="19">
        <v>1</v>
      </c>
      <c r="D109" s="20">
        <f>5/3.281</f>
        <v>1.5239256324291375</v>
      </c>
      <c r="E109" s="21"/>
      <c r="F109" s="21">
        <f>2/3.281</f>
        <v>0.6095702529716549</v>
      </c>
      <c r="G109" s="128">
        <f t="shared" si="7"/>
        <v>0.92893973326981849</v>
      </c>
      <c r="H109" s="22"/>
      <c r="I109" s="23"/>
      <c r="J109" s="125"/>
      <c r="K109" s="21"/>
    </row>
    <row r="110" spans="1:13" s="1" customFormat="1">
      <c r="A110" s="18"/>
      <c r="B110" s="127"/>
      <c r="C110" s="19">
        <v>1</v>
      </c>
      <c r="D110" s="20">
        <f>5.45+6.25+1.27</f>
        <v>12.969999999999999</v>
      </c>
      <c r="E110" s="21"/>
      <c r="F110" s="21">
        <v>0.3</v>
      </c>
      <c r="G110" s="128">
        <f t="shared" si="7"/>
        <v>3.8909999999999996</v>
      </c>
      <c r="H110" s="22"/>
      <c r="I110" s="23"/>
      <c r="J110" s="125"/>
      <c r="K110" s="21"/>
    </row>
    <row r="111" spans="1:13" s="1" customFormat="1">
      <c r="A111" s="18"/>
      <c r="B111" s="127" t="str">
        <f>B55</f>
        <v>-at one side drain</v>
      </c>
      <c r="C111" s="19">
        <f>C55</f>
        <v>1</v>
      </c>
      <c r="D111" s="20">
        <f>D55</f>
        <v>6.55</v>
      </c>
      <c r="E111" s="21"/>
      <c r="F111" s="21">
        <v>0.23</v>
      </c>
      <c r="G111" s="128">
        <f t="shared" si="7"/>
        <v>1.5065</v>
      </c>
      <c r="H111" s="22"/>
      <c r="I111" s="23"/>
      <c r="J111" s="125"/>
      <c r="K111" s="21"/>
    </row>
    <row r="112" spans="1:13" s="1" customFormat="1">
      <c r="A112" s="18"/>
      <c r="B112" s="127" t="str">
        <f>B14</f>
        <v>-at roof</v>
      </c>
      <c r="C112" s="19">
        <f>C14</f>
        <v>1</v>
      </c>
      <c r="D112" s="20">
        <f>D14</f>
        <v>18</v>
      </c>
      <c r="E112" s="21"/>
      <c r="F112" s="21">
        <f>F14</f>
        <v>0.7110637000914356</v>
      </c>
      <c r="G112" s="128">
        <f t="shared" si="7"/>
        <v>12.799146601645841</v>
      </c>
      <c r="H112" s="22"/>
      <c r="I112" s="23"/>
      <c r="J112" s="125"/>
      <c r="K112" s="21"/>
    </row>
    <row r="113" spans="1:17" s="1" customFormat="1">
      <c r="A113" s="18"/>
      <c r="B113" s="127" t="s">
        <v>129</v>
      </c>
      <c r="C113" s="19"/>
      <c r="D113" s="20"/>
      <c r="E113" s="21"/>
      <c r="F113" s="21"/>
      <c r="G113" s="125">
        <f>SUM(G102:G112)</f>
        <v>89.446507581510673</v>
      </c>
      <c r="H113" s="22" t="s">
        <v>43</v>
      </c>
      <c r="I113" s="23">
        <v>405.86</v>
      </c>
      <c r="J113" s="125">
        <f>G113*I113</f>
        <v>36302.759567031921</v>
      </c>
      <c r="K113" s="21"/>
    </row>
    <row r="114" spans="1:17" s="1" customFormat="1">
      <c r="A114" s="18"/>
      <c r="B114" s="127" t="s">
        <v>130</v>
      </c>
      <c r="C114" s="19"/>
      <c r="D114" s="20"/>
      <c r="E114" s="21"/>
      <c r="F114" s="21"/>
      <c r="G114" s="125"/>
      <c r="H114" s="22"/>
      <c r="I114" s="23"/>
      <c r="J114" s="125">
        <f>0.13*G113*11166.2/100</f>
        <v>1298.410870843664</v>
      </c>
      <c r="K114" s="21"/>
    </row>
    <row r="115" spans="1:17" s="1" customFormat="1">
      <c r="A115" s="18"/>
      <c r="B115" s="127"/>
      <c r="C115" s="19"/>
      <c r="D115" s="20"/>
      <c r="E115" s="21"/>
      <c r="F115" s="21"/>
      <c r="G115" s="125"/>
      <c r="H115" s="22"/>
      <c r="I115" s="23"/>
      <c r="J115" s="125"/>
      <c r="K115" s="21"/>
    </row>
    <row r="116" spans="1:17" ht="30.6">
      <c r="A116" s="18">
        <v>16</v>
      </c>
      <c r="B116" s="121" t="s">
        <v>131</v>
      </c>
      <c r="C116" s="19"/>
      <c r="D116" s="20"/>
      <c r="E116" s="21"/>
      <c r="F116" s="21"/>
      <c r="G116" s="23"/>
      <c r="H116" s="22"/>
      <c r="I116" s="23"/>
      <c r="J116" s="40"/>
      <c r="K116" s="21"/>
    </row>
    <row r="117" spans="1:17" ht="15" customHeight="1">
      <c r="A117" s="18"/>
      <c r="B117" s="36" t="s">
        <v>156</v>
      </c>
      <c r="C117" s="19">
        <v>1</v>
      </c>
      <c r="D117" s="20"/>
      <c r="E117" s="21"/>
      <c r="F117" s="21"/>
      <c r="G117" s="38">
        <f>G113-G111</f>
        <v>87.94000758151067</v>
      </c>
      <c r="H117" s="22"/>
      <c r="I117" s="23"/>
      <c r="J117" s="40"/>
      <c r="K117" s="21"/>
    </row>
    <row r="118" spans="1:17" ht="15" customHeight="1">
      <c r="A118" s="18"/>
      <c r="B118" s="36" t="s">
        <v>41</v>
      </c>
      <c r="C118" s="19"/>
      <c r="D118" s="20"/>
      <c r="E118" s="21"/>
      <c r="F118" s="21"/>
      <c r="G118" s="23">
        <f>SUM(G117:G117)</f>
        <v>87.94000758151067</v>
      </c>
      <c r="H118" s="22" t="s">
        <v>43</v>
      </c>
      <c r="I118" s="23">
        <v>251.77</v>
      </c>
      <c r="J118" s="40">
        <f>G118*I118</f>
        <v>22140.655708796941</v>
      </c>
      <c r="K118" s="21"/>
    </row>
    <row r="119" spans="1:17" ht="15" customHeight="1">
      <c r="A119" s="18"/>
      <c r="B119" s="36" t="s">
        <v>40</v>
      </c>
      <c r="C119" s="19"/>
      <c r="D119" s="20"/>
      <c r="E119" s="21"/>
      <c r="F119" s="21"/>
      <c r="G119" s="23"/>
      <c r="H119" s="22"/>
      <c r="I119" s="23"/>
      <c r="J119" s="40">
        <f>0.13*G118*12736/100</f>
        <v>1456.0051175255562</v>
      </c>
      <c r="K119" s="21"/>
    </row>
    <row r="120" spans="1:17" ht="15" customHeight="1">
      <c r="A120" s="18"/>
      <c r="B120" s="36"/>
      <c r="C120" s="19"/>
      <c r="D120" s="20"/>
      <c r="E120" s="21"/>
      <c r="F120" s="21"/>
      <c r="G120" s="23"/>
      <c r="H120" s="22"/>
      <c r="I120" s="23"/>
      <c r="J120" s="40"/>
      <c r="K120" s="21"/>
    </row>
    <row r="121" spans="1:17" s="1" customFormat="1" ht="46.2">
      <c r="A121" s="18">
        <v>17</v>
      </c>
      <c r="B121" s="146" t="s">
        <v>153</v>
      </c>
      <c r="C121" s="146"/>
      <c r="D121" s="20"/>
      <c r="G121" s="125"/>
      <c r="H121" s="22"/>
      <c r="I121" s="23"/>
      <c r="J121" s="125"/>
      <c r="K121" s="21"/>
    </row>
    <row r="122" spans="1:17" ht="15" customHeight="1">
      <c r="A122" s="18"/>
      <c r="B122" s="36" t="s">
        <v>138</v>
      </c>
      <c r="C122" s="19">
        <v>1</v>
      </c>
      <c r="D122" s="20">
        <f>1.6+5.6</f>
        <v>7.1999999999999993</v>
      </c>
      <c r="E122" s="21">
        <f>(7.333+1.5)/3.281</f>
        <v>2.6921670222493144</v>
      </c>
      <c r="F122" s="21"/>
      <c r="G122" s="128">
        <f t="shared" ref="G122" si="8">PRODUCT(C122:F122)</f>
        <v>19.383602560195062</v>
      </c>
      <c r="H122" s="22"/>
      <c r="I122" s="23"/>
      <c r="J122" s="40"/>
      <c r="K122" s="21"/>
    </row>
    <row r="123" spans="1:17" ht="15" customHeight="1">
      <c r="A123" s="18"/>
      <c r="B123" s="36" t="s">
        <v>41</v>
      </c>
      <c r="C123" s="19"/>
      <c r="D123" s="20"/>
      <c r="E123" s="21"/>
      <c r="F123" s="21"/>
      <c r="G123" s="23">
        <f>SUM(G122:G122)</f>
        <v>19.383602560195062</v>
      </c>
      <c r="H123" s="22" t="s">
        <v>43</v>
      </c>
      <c r="I123" s="23">
        <v>2271.5500000000002</v>
      </c>
      <c r="J123" s="40">
        <f>G123*I123</f>
        <v>44030.822395611096</v>
      </c>
      <c r="K123" s="21"/>
    </row>
    <row r="124" spans="1:17" ht="15" customHeight="1">
      <c r="A124" s="18"/>
      <c r="B124" s="36" t="s">
        <v>40</v>
      </c>
      <c r="C124" s="19"/>
      <c r="D124" s="20"/>
      <c r="E124" s="21"/>
      <c r="F124" s="21"/>
      <c r="G124" s="23"/>
      <c r="H124" s="22"/>
      <c r="I124" s="23"/>
      <c r="J124" s="40">
        <f>0.13*G123*(20218/10)</f>
        <v>5094.6697953063094</v>
      </c>
      <c r="K124" s="21"/>
    </row>
    <row r="125" spans="1:17" ht="15" customHeight="1">
      <c r="A125" s="18"/>
      <c r="B125" s="36"/>
      <c r="C125" s="19"/>
      <c r="D125" s="20"/>
      <c r="E125" s="21"/>
      <c r="F125" s="21"/>
      <c r="G125" s="23"/>
      <c r="H125" s="22"/>
      <c r="I125" s="23"/>
      <c r="J125" s="40"/>
      <c r="K125" s="21"/>
    </row>
    <row r="126" spans="1:17" s="144" customFormat="1" ht="17.399999999999999">
      <c r="A126" s="141">
        <v>18</v>
      </c>
      <c r="B126" s="133" t="s">
        <v>142</v>
      </c>
      <c r="C126" s="134"/>
      <c r="D126" s="135"/>
      <c r="E126" s="142"/>
      <c r="F126" s="135" t="s">
        <v>145</v>
      </c>
      <c r="G126" s="135"/>
      <c r="H126" s="135"/>
      <c r="I126" s="135"/>
      <c r="J126" s="137"/>
      <c r="K126" s="143"/>
    </row>
    <row r="127" spans="1:17" ht="15" customHeight="1">
      <c r="A127" s="18"/>
      <c r="B127" s="36" t="s">
        <v>143</v>
      </c>
      <c r="C127" s="35">
        <v>1</v>
      </c>
      <c r="D127" s="37"/>
      <c r="E127" s="5"/>
      <c r="F127" s="138">
        <f>CONVERT(48.3735,"ft2","m2")</f>
        <v>4.49404520544</v>
      </c>
      <c r="G127" s="128">
        <f>PRODUCT(C127:F127)</f>
        <v>4.49404520544</v>
      </c>
      <c r="H127" s="39"/>
      <c r="I127" s="39"/>
      <c r="J127" s="39"/>
      <c r="K127" s="21"/>
      <c r="M127" s="1"/>
      <c r="N127" s="1"/>
      <c r="O127" s="1"/>
      <c r="P127" s="88"/>
      <c r="Q127" s="88"/>
    </row>
    <row r="128" spans="1:17" ht="15" customHeight="1">
      <c r="A128" s="18"/>
      <c r="B128" s="36"/>
      <c r="C128" s="35">
        <v>1</v>
      </c>
      <c r="D128" s="37"/>
      <c r="E128" s="5"/>
      <c r="F128" s="138">
        <f>CONVERT(224.2762,"ft2","m2")</f>
        <v>20.835940779647999</v>
      </c>
      <c r="G128" s="128">
        <f>PRODUCT(C128:F128)</f>
        <v>20.835940779647999</v>
      </c>
      <c r="H128" s="39"/>
      <c r="I128" s="39"/>
      <c r="J128" s="39"/>
      <c r="K128" s="21"/>
      <c r="M128" s="1"/>
      <c r="N128" s="1"/>
      <c r="O128" s="1"/>
      <c r="P128" s="88"/>
      <c r="Q128" s="88"/>
    </row>
    <row r="129" spans="1:20" ht="15" customHeight="1">
      <c r="A129" s="18"/>
      <c r="B129" s="36"/>
      <c r="C129" s="35">
        <v>1</v>
      </c>
      <c r="D129" s="37">
        <f>(4.1+4.4)/2</f>
        <v>4.25</v>
      </c>
      <c r="E129" s="37">
        <f>2.6</f>
        <v>2.6</v>
      </c>
      <c r="F129" s="37"/>
      <c r="G129" s="128">
        <f t="shared" ref="G129:G131" si="9">PRODUCT(C129:F129)</f>
        <v>11.05</v>
      </c>
      <c r="H129" s="39"/>
      <c r="I129" s="39"/>
      <c r="J129" s="39"/>
      <c r="K129" s="21"/>
      <c r="M129" s="1"/>
      <c r="N129" s="1"/>
      <c r="O129" s="1"/>
      <c r="P129" s="88"/>
      <c r="Q129" s="88"/>
    </row>
    <row r="130" spans="1:20" ht="15" customHeight="1">
      <c r="A130" s="18"/>
      <c r="B130" s="36"/>
      <c r="C130" s="35">
        <v>1</v>
      </c>
      <c r="D130" s="37">
        <v>7</v>
      </c>
      <c r="E130" s="37">
        <f>((2.5+4.75)/2)/3.281</f>
        <v>1.1048460835111247</v>
      </c>
      <c r="F130" s="37"/>
      <c r="G130" s="128">
        <f t="shared" si="9"/>
        <v>7.733922584577873</v>
      </c>
      <c r="H130" s="39"/>
      <c r="I130" s="39"/>
      <c r="J130" s="39"/>
      <c r="K130" s="21"/>
      <c r="M130" s="1"/>
      <c r="N130" s="184" t="s">
        <v>146</v>
      </c>
      <c r="O130" s="184"/>
      <c r="P130" s="184"/>
      <c r="Q130" s="184"/>
      <c r="R130" s="184"/>
      <c r="S130" s="184"/>
      <c r="T130" s="184"/>
    </row>
    <row r="131" spans="1:20" ht="15" customHeight="1">
      <c r="A131" s="18"/>
      <c r="B131" s="36"/>
      <c r="C131" s="35">
        <v>1</v>
      </c>
      <c r="D131" s="37">
        <v>6.55</v>
      </c>
      <c r="E131" s="37">
        <f>((16.17+1)/2)/3.281</f>
        <v>2.616580310880829</v>
      </c>
      <c r="F131" s="37"/>
      <c r="G131" s="128">
        <f t="shared" si="9"/>
        <v>17.138601036269428</v>
      </c>
      <c r="H131" s="39"/>
      <c r="I131" s="39"/>
      <c r="J131" s="39"/>
      <c r="K131" s="21"/>
      <c r="M131" s="1"/>
      <c r="N131" s="184" t="s">
        <v>147</v>
      </c>
      <c r="O131" s="184"/>
      <c r="P131" s="184"/>
      <c r="Q131" s="184"/>
      <c r="R131" s="184"/>
      <c r="S131" s="184"/>
      <c r="T131" s="184"/>
    </row>
    <row r="132" spans="1:20" ht="15" customHeight="1">
      <c r="A132" s="39"/>
      <c r="B132" s="36" t="s">
        <v>41</v>
      </c>
      <c r="C132" s="134"/>
      <c r="D132" s="135"/>
      <c r="E132" s="135"/>
      <c r="F132" s="135"/>
      <c r="G132" s="136">
        <f>SUM(G127:G131)</f>
        <v>61.252509605935302</v>
      </c>
      <c r="H132" s="136" t="s">
        <v>144</v>
      </c>
      <c r="I132" s="136">
        <f>35*10.7639</f>
        <v>376.73649999999998</v>
      </c>
      <c r="J132" s="137">
        <f>G132*I132</f>
        <v>23076.056085156444</v>
      </c>
      <c r="K132" s="35"/>
    </row>
    <row r="133" spans="1:20" ht="15" customHeight="1">
      <c r="A133" s="39"/>
      <c r="B133" s="36" t="s">
        <v>40</v>
      </c>
      <c r="C133" s="134"/>
      <c r="D133" s="135"/>
      <c r="E133" s="135"/>
      <c r="F133" s="135"/>
      <c r="G133" s="135"/>
      <c r="H133" s="135"/>
      <c r="I133" s="135"/>
      <c r="J133" s="41">
        <f>0.13*J132</f>
        <v>2999.8872910703381</v>
      </c>
      <c r="K133" s="35"/>
    </row>
    <row r="134" spans="1:20" ht="15" customHeight="1">
      <c r="A134" s="39"/>
      <c r="B134" s="36"/>
      <c r="C134" s="134"/>
      <c r="D134" s="135"/>
      <c r="E134" s="135"/>
      <c r="F134" s="135"/>
      <c r="G134" s="135"/>
      <c r="H134" s="135"/>
      <c r="I134" s="135"/>
      <c r="J134" s="41"/>
      <c r="K134" s="35"/>
    </row>
    <row r="135" spans="1:20" s="1" customFormat="1" ht="45">
      <c r="A135" s="59">
        <v>19</v>
      </c>
      <c r="B135" s="139" t="s">
        <v>148</v>
      </c>
      <c r="C135" s="140"/>
      <c r="D135" s="38"/>
      <c r="E135" s="38"/>
      <c r="F135" s="38"/>
      <c r="G135" s="38"/>
      <c r="H135" s="38"/>
      <c r="I135" s="38"/>
      <c r="J135" s="41"/>
      <c r="K135" s="28"/>
    </row>
    <row r="136" spans="1:20" ht="15" customHeight="1">
      <c r="A136" s="39"/>
      <c r="B136" s="36" t="s">
        <v>149</v>
      </c>
      <c r="C136" s="19"/>
      <c r="D136" s="135"/>
      <c r="E136" s="135"/>
      <c r="F136" s="135"/>
      <c r="G136" s="135">
        <f>G132</f>
        <v>61.252509605935302</v>
      </c>
      <c r="H136" s="135"/>
      <c r="I136" s="135"/>
      <c r="J136" s="41"/>
      <c r="K136" s="35"/>
    </row>
    <row r="137" spans="1:20" ht="15" customHeight="1">
      <c r="A137" s="39"/>
      <c r="B137" s="36" t="str">
        <f>B84</f>
        <v>-at entrance</v>
      </c>
      <c r="C137" s="19">
        <v>1</v>
      </c>
      <c r="D137" s="147">
        <f t="shared" ref="D137:E137" si="10">D84</f>
        <v>1.95</v>
      </c>
      <c r="E137" s="147">
        <f t="shared" si="10"/>
        <v>1</v>
      </c>
      <c r="F137" s="147"/>
      <c r="G137" s="128">
        <f t="shared" ref="G137" si="11">PRODUCT(C137:F137)</f>
        <v>1.95</v>
      </c>
      <c r="H137" s="135"/>
      <c r="I137" s="135"/>
      <c r="J137" s="41"/>
      <c r="K137" s="35"/>
    </row>
    <row r="138" spans="1:20" ht="15" customHeight="1">
      <c r="A138" s="39"/>
      <c r="B138" s="36" t="s">
        <v>41</v>
      </c>
      <c r="C138" s="134"/>
      <c r="D138" s="135"/>
      <c r="E138" s="135"/>
      <c r="F138" s="135"/>
      <c r="G138" s="136">
        <f>SUM(G136:G137)</f>
        <v>63.202509605935305</v>
      </c>
      <c r="H138" s="136" t="s">
        <v>144</v>
      </c>
      <c r="I138" s="136">
        <v>9.1999999999999993</v>
      </c>
      <c r="J138" s="137">
        <f>G138*I138</f>
        <v>581.46308837460481</v>
      </c>
      <c r="K138" s="35"/>
    </row>
    <row r="139" spans="1:20" ht="15" customHeight="1">
      <c r="A139" s="18"/>
      <c r="B139" s="36"/>
      <c r="C139" s="19"/>
      <c r="D139" s="20"/>
      <c r="E139" s="21"/>
      <c r="F139" s="21"/>
      <c r="G139" s="23"/>
      <c r="H139" s="22"/>
      <c r="I139" s="23"/>
      <c r="J139" s="40"/>
      <c r="K139" s="21"/>
    </row>
    <row r="140" spans="1:20" ht="15" customHeight="1">
      <c r="A140" s="18">
        <v>20</v>
      </c>
      <c r="B140" s="36" t="s">
        <v>139</v>
      </c>
      <c r="C140" s="19">
        <v>1</v>
      </c>
      <c r="D140" s="20"/>
      <c r="E140" s="21"/>
      <c r="F140" s="21"/>
      <c r="G140" s="128">
        <f t="shared" ref="G140" si="12">PRODUCT(C140:F140)</f>
        <v>1</v>
      </c>
      <c r="H140" s="22" t="s">
        <v>140</v>
      </c>
      <c r="I140" s="23">
        <v>6000</v>
      </c>
      <c r="J140" s="33">
        <f>G140*I140</f>
        <v>6000</v>
      </c>
      <c r="K140" s="21"/>
    </row>
    <row r="141" spans="1:20" ht="15" customHeight="1">
      <c r="A141" s="18"/>
      <c r="B141" s="36"/>
      <c r="C141" s="19"/>
      <c r="D141" s="20"/>
      <c r="E141" s="21"/>
      <c r="F141" s="21"/>
      <c r="G141" s="23"/>
      <c r="H141" s="22"/>
      <c r="I141" s="23"/>
      <c r="J141" s="40"/>
      <c r="K141" s="21"/>
    </row>
    <row r="142" spans="1:20" ht="15" customHeight="1">
      <c r="A142" s="18">
        <v>21</v>
      </c>
      <c r="B142" s="29" t="s">
        <v>30</v>
      </c>
      <c r="C142" s="19">
        <v>1</v>
      </c>
      <c r="D142" s="20"/>
      <c r="E142" s="21"/>
      <c r="F142" s="21"/>
      <c r="G142" s="33">
        <f t="shared" ref="G142" si="13">PRODUCT(C142:F142)</f>
        <v>1</v>
      </c>
      <c r="H142" s="22" t="s">
        <v>31</v>
      </c>
      <c r="I142" s="23">
        <v>1000</v>
      </c>
      <c r="J142" s="33">
        <f>G142*I142</f>
        <v>1000</v>
      </c>
      <c r="K142" s="21"/>
    </row>
    <row r="143" spans="1:20" ht="15" customHeight="1">
      <c r="A143" s="18"/>
      <c r="B143" s="24"/>
      <c r="C143" s="19"/>
      <c r="D143" s="20"/>
      <c r="E143" s="21"/>
      <c r="F143" s="21"/>
      <c r="G143" s="23"/>
      <c r="H143" s="22"/>
      <c r="I143" s="23"/>
      <c r="J143" s="40"/>
      <c r="K143" s="21"/>
    </row>
    <row r="144" spans="1:20">
      <c r="A144" s="39"/>
      <c r="B144" s="42" t="s">
        <v>17</v>
      </c>
      <c r="C144" s="43"/>
      <c r="D144" s="37"/>
      <c r="E144" s="37"/>
      <c r="F144" s="37"/>
      <c r="G144" s="40"/>
      <c r="H144" s="40"/>
      <c r="I144" s="40"/>
      <c r="J144" s="40">
        <f>SUM(J10:J142)</f>
        <v>559342.93667359848</v>
      </c>
      <c r="K144" s="35"/>
    </row>
    <row r="145" spans="1:11">
      <c r="A145" s="54"/>
      <c r="B145" s="57"/>
      <c r="C145" s="58"/>
      <c r="D145" s="55"/>
      <c r="E145" s="55"/>
      <c r="F145" s="55"/>
      <c r="G145" s="56"/>
      <c r="H145" s="56"/>
      <c r="I145" s="56"/>
      <c r="J145" s="56"/>
      <c r="K145" s="53"/>
    </row>
    <row r="146" spans="1:11" s="1" customFormat="1">
      <c r="A146" s="46"/>
      <c r="B146" s="28" t="s">
        <v>27</v>
      </c>
      <c r="C146" s="163">
        <f>J144</f>
        <v>559342.93667359848</v>
      </c>
      <c r="D146" s="163"/>
      <c r="E146" s="38">
        <v>100</v>
      </c>
      <c r="F146" s="47"/>
      <c r="G146" s="48"/>
      <c r="H146" s="47"/>
      <c r="I146" s="49"/>
      <c r="J146" s="50"/>
      <c r="K146" s="51"/>
    </row>
    <row r="147" spans="1:11">
      <c r="A147" s="52"/>
      <c r="B147" s="28" t="s">
        <v>32</v>
      </c>
      <c r="C147" s="166">
        <v>500000</v>
      </c>
      <c r="D147" s="166"/>
      <c r="E147" s="38"/>
      <c r="F147" s="45"/>
      <c r="G147" s="44"/>
      <c r="H147" s="44"/>
      <c r="I147" s="44"/>
      <c r="J147" s="44"/>
      <c r="K147" s="45"/>
    </row>
    <row r="148" spans="1:11">
      <c r="A148" s="52"/>
      <c r="B148" s="28" t="s">
        <v>33</v>
      </c>
      <c r="C148" s="166">
        <f>C147-C150-C151</f>
        <v>475000</v>
      </c>
      <c r="D148" s="166"/>
      <c r="E148" s="38">
        <f>C148/C146*100</f>
        <v>84.921068785603282</v>
      </c>
      <c r="F148" s="45"/>
      <c r="G148" s="44"/>
      <c r="H148" s="44"/>
      <c r="I148" s="44"/>
      <c r="J148" s="44"/>
      <c r="K148" s="45"/>
    </row>
    <row r="149" spans="1:11">
      <c r="A149" s="52"/>
      <c r="B149" s="28" t="s">
        <v>34</v>
      </c>
      <c r="C149" s="163">
        <f>C146-C148</f>
        <v>84342.93667359848</v>
      </c>
      <c r="D149" s="163"/>
      <c r="E149" s="38">
        <f>100-E148</f>
        <v>15.078931214396718</v>
      </c>
      <c r="F149" s="45"/>
      <c r="G149" s="44"/>
      <c r="H149" s="44"/>
      <c r="I149" s="44"/>
      <c r="J149" s="44"/>
      <c r="K149" s="45"/>
    </row>
    <row r="150" spans="1:11">
      <c r="A150" s="52"/>
      <c r="B150" s="28" t="s">
        <v>35</v>
      </c>
      <c r="C150" s="163">
        <f>C147*0.03</f>
        <v>15000</v>
      </c>
      <c r="D150" s="163"/>
      <c r="E150" s="38">
        <v>3</v>
      </c>
      <c r="F150" s="45"/>
      <c r="G150" s="44"/>
      <c r="H150" s="44"/>
      <c r="I150" s="44"/>
      <c r="J150" s="44"/>
      <c r="K150" s="45"/>
    </row>
    <row r="151" spans="1:11">
      <c r="A151" s="52"/>
      <c r="B151" s="28" t="s">
        <v>36</v>
      </c>
      <c r="C151" s="163">
        <f>C147*0.02</f>
        <v>10000</v>
      </c>
      <c r="D151" s="163"/>
      <c r="E151" s="38">
        <v>2</v>
      </c>
      <c r="F151" s="45"/>
      <c r="G151" s="44"/>
      <c r="H151" s="44"/>
      <c r="I151" s="44"/>
      <c r="J151" s="44"/>
      <c r="K151" s="45"/>
    </row>
    <row r="152" spans="1:11" s="34" customFormat="1">
      <c r="A152" s="53"/>
      <c r="B152" s="53"/>
      <c r="C152" s="53"/>
      <c r="D152" s="53"/>
      <c r="E152" s="53"/>
      <c r="F152" s="53"/>
      <c r="G152" s="53"/>
      <c r="H152" s="53"/>
      <c r="I152" s="53"/>
      <c r="J152" s="53"/>
      <c r="K152" s="53"/>
    </row>
    <row r="153" spans="1:11" s="34" customFormat="1"/>
    <row r="154" spans="1:11" s="34" customFormat="1"/>
    <row r="155" spans="1:11" s="34" customFormat="1"/>
    <row r="156" spans="1:11" s="34" customFormat="1"/>
    <row r="157" spans="1:11" s="34" customFormat="1"/>
    <row r="158" spans="1:11" s="34" customFormat="1"/>
    <row r="159" spans="1:11" s="34" customFormat="1"/>
    <row r="160" spans="1:11"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row r="177" s="34" customFormat="1"/>
    <row r="178" s="34" customFormat="1"/>
    <row r="179" s="34" customFormat="1"/>
    <row r="180" s="34" customFormat="1"/>
    <row r="181" s="34" customFormat="1"/>
    <row r="182" s="34" customFormat="1"/>
    <row r="183" s="34" customFormat="1"/>
    <row r="184" s="34" customFormat="1"/>
    <row r="185" s="34" customFormat="1"/>
    <row r="186" s="34" customFormat="1"/>
    <row r="187" s="34" customFormat="1"/>
    <row r="188" s="34" customFormat="1"/>
    <row r="189" s="34" customFormat="1"/>
    <row r="190" s="34" customFormat="1"/>
    <row r="191" s="34" customFormat="1"/>
    <row r="192" s="34" customFormat="1"/>
    <row r="193" s="34" customFormat="1"/>
    <row r="194" s="34" customFormat="1"/>
    <row r="195" s="34" customFormat="1"/>
    <row r="196" s="34" customFormat="1"/>
    <row r="197" s="34" customFormat="1"/>
    <row r="198" s="34" customFormat="1"/>
    <row r="199" s="34" customFormat="1"/>
    <row r="200" s="34" customFormat="1"/>
    <row r="201" s="34" customFormat="1"/>
    <row r="202" s="34" customFormat="1"/>
    <row r="203" s="34" customFormat="1"/>
    <row r="204" s="34" customFormat="1"/>
    <row r="205" s="34" customFormat="1"/>
    <row r="206" s="34" customFormat="1"/>
    <row r="207" s="34" customFormat="1"/>
    <row r="208" s="34" customFormat="1"/>
  </sheetData>
  <mergeCells count="20">
    <mergeCell ref="C151:D151"/>
    <mergeCell ref="N131:T131"/>
    <mergeCell ref="C146:D146"/>
    <mergeCell ref="C147:D147"/>
    <mergeCell ref="C148:D148"/>
    <mergeCell ref="C149:D149"/>
    <mergeCell ref="C150:D150"/>
    <mergeCell ref="N130:T130"/>
    <mergeCell ref="A1:K1"/>
    <mergeCell ref="A2:K2"/>
    <mergeCell ref="A3:K3"/>
    <mergeCell ref="A4:K4"/>
    <mergeCell ref="A5:K5"/>
    <mergeCell ref="A6:F6"/>
    <mergeCell ref="H6:K6"/>
    <mergeCell ref="A7:F7"/>
    <mergeCell ref="H7:K7"/>
    <mergeCell ref="N61:T61"/>
    <mergeCell ref="N74:T74"/>
    <mergeCell ref="N82:T82"/>
  </mergeCells>
  <hyperlinks>
    <hyperlink ref="B101" r:id="rId1"/>
  </hyperlinks>
  <pageMargins left="0.7" right="0.7" top="0.75" bottom="0.75" header="0.3" footer="0.3"/>
  <pageSetup paperSize="9" scale="80" orientation="portrait" r:id="rId2"/>
  <headerFooter>
    <oddFooter>&amp;LPrepared By:&amp;CChecked By:&amp;RApproved By:</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1"/>
  <sheetViews>
    <sheetView tabSelected="1" topLeftCell="A98" zoomScaleNormal="100" workbookViewId="0">
      <selection activeCell="F111" sqref="F111"/>
    </sheetView>
  </sheetViews>
  <sheetFormatPr defaultRowHeight="14.4"/>
  <cols>
    <col min="1" max="1" width="4.6640625" customWidth="1"/>
    <col min="2" max="2" width="31.33203125" customWidth="1"/>
    <col min="3" max="3" width="5.5546875" bestFit="1" customWidth="1"/>
    <col min="4" max="4" width="7.5546875" customWidth="1"/>
    <col min="5" max="5" width="8.5546875" customWidth="1"/>
    <col min="6" max="6" width="8.88671875" bestFit="1" customWidth="1"/>
    <col min="7" max="7" width="9.44140625" customWidth="1"/>
    <col min="8" max="8" width="5" bestFit="1" customWidth="1"/>
    <col min="9" max="9" width="9.5546875" bestFit="1" customWidth="1"/>
    <col min="10" max="10" width="10.6640625" bestFit="1" customWidth="1"/>
  </cols>
  <sheetData>
    <row r="1" spans="1:14" s="1" customFormat="1">
      <c r="A1" s="168" t="s">
        <v>0</v>
      </c>
      <c r="B1" s="168"/>
      <c r="C1" s="168"/>
      <c r="D1" s="168"/>
      <c r="E1" s="168"/>
      <c r="F1" s="168"/>
      <c r="G1" s="168"/>
      <c r="H1" s="168"/>
      <c r="I1" s="168"/>
      <c r="J1" s="168"/>
      <c r="K1" s="168"/>
    </row>
    <row r="2" spans="1:14" s="1" customFormat="1" ht="22.8">
      <c r="A2" s="169" t="s">
        <v>1</v>
      </c>
      <c r="B2" s="169"/>
      <c r="C2" s="169"/>
      <c r="D2" s="169"/>
      <c r="E2" s="169"/>
      <c r="F2" s="169"/>
      <c r="G2" s="169"/>
      <c r="H2" s="169"/>
      <c r="I2" s="169"/>
      <c r="J2" s="169"/>
      <c r="K2" s="169"/>
    </row>
    <row r="3" spans="1:14" s="1" customFormat="1">
      <c r="A3" s="160" t="s">
        <v>2</v>
      </c>
      <c r="B3" s="160"/>
      <c r="C3" s="160"/>
      <c r="D3" s="160"/>
      <c r="E3" s="160"/>
      <c r="F3" s="160"/>
      <c r="G3" s="160"/>
      <c r="H3" s="160"/>
      <c r="I3" s="160"/>
      <c r="J3" s="160"/>
      <c r="K3" s="160"/>
    </row>
    <row r="4" spans="1:14" s="1" customFormat="1">
      <c r="A4" s="160" t="s">
        <v>3</v>
      </c>
      <c r="B4" s="160"/>
      <c r="C4" s="160"/>
      <c r="D4" s="160"/>
      <c r="E4" s="160"/>
      <c r="F4" s="160"/>
      <c r="G4" s="160"/>
      <c r="H4" s="160"/>
      <c r="I4" s="160"/>
      <c r="J4" s="160"/>
      <c r="K4" s="160"/>
    </row>
    <row r="5" spans="1:14" ht="17.399999999999999">
      <c r="A5" s="170" t="s">
        <v>4</v>
      </c>
      <c r="B5" s="170"/>
      <c r="C5" s="170"/>
      <c r="D5" s="170"/>
      <c r="E5" s="170"/>
      <c r="F5" s="170"/>
      <c r="G5" s="170"/>
      <c r="H5" s="170"/>
      <c r="I5" s="170"/>
      <c r="J5" s="170"/>
      <c r="K5" s="170"/>
    </row>
    <row r="6" spans="1:14" ht="15.6">
      <c r="A6" s="150" t="s">
        <v>44</v>
      </c>
      <c r="B6" s="150"/>
      <c r="C6" s="150"/>
      <c r="D6" s="150"/>
      <c r="E6" s="150"/>
      <c r="F6" s="150"/>
      <c r="G6" s="2"/>
      <c r="H6" s="167" t="s">
        <v>42</v>
      </c>
      <c r="I6" s="167"/>
      <c r="J6" s="167"/>
      <c r="K6" s="167"/>
    </row>
    <row r="7" spans="1:14" ht="15.6">
      <c r="A7" s="164" t="s">
        <v>28</v>
      </c>
      <c r="B7" s="164"/>
      <c r="C7" s="164"/>
      <c r="D7" s="164"/>
      <c r="E7" s="164"/>
      <c r="F7" s="164"/>
      <c r="G7" s="3"/>
      <c r="H7" s="165" t="s">
        <v>141</v>
      </c>
      <c r="I7" s="165"/>
      <c r="J7" s="165"/>
      <c r="K7" s="165"/>
    </row>
    <row r="8" spans="1:14" ht="15" customHeight="1">
      <c r="A8" s="4" t="s">
        <v>5</v>
      </c>
      <c r="B8" s="15" t="s">
        <v>6</v>
      </c>
      <c r="C8" s="4" t="s">
        <v>7</v>
      </c>
      <c r="D8" s="16" t="s">
        <v>8</v>
      </c>
      <c r="E8" s="16" t="s">
        <v>9</v>
      </c>
      <c r="F8" s="16" t="s">
        <v>10</v>
      </c>
      <c r="G8" s="16" t="s">
        <v>11</v>
      </c>
      <c r="H8" s="4" t="s">
        <v>12</v>
      </c>
      <c r="I8" s="16" t="s">
        <v>13</v>
      </c>
      <c r="J8" s="16" t="s">
        <v>14</v>
      </c>
      <c r="K8" s="17" t="s">
        <v>15</v>
      </c>
    </row>
    <row r="9" spans="1:14" ht="27.6">
      <c r="A9" s="18">
        <v>1</v>
      </c>
      <c r="B9" s="60" t="s">
        <v>150</v>
      </c>
      <c r="C9" s="4"/>
      <c r="D9" s="16"/>
      <c r="E9" s="16"/>
      <c r="F9" s="16"/>
      <c r="G9" s="16"/>
      <c r="H9" s="4"/>
      <c r="I9" s="16"/>
      <c r="J9" s="16"/>
      <c r="K9" s="17"/>
    </row>
    <row r="10" spans="1:14" ht="15" customHeight="1">
      <c r="A10" s="18"/>
      <c r="B10" s="36" t="s">
        <v>151</v>
      </c>
      <c r="C10" s="35">
        <v>1</v>
      </c>
      <c r="D10" s="37">
        <f>3.1+3.1+2.3+2.3+5.6+1.6</f>
        <v>18</v>
      </c>
      <c r="E10" s="37">
        <f>0.1</f>
        <v>0.1</v>
      </c>
      <c r="F10" s="37">
        <f>2.333/3.281</f>
        <v>0.7110637000914356</v>
      </c>
      <c r="G10" s="38">
        <f t="shared" ref="G10" si="0">PRODUCT(C10:F10)</f>
        <v>1.2799146601645841</v>
      </c>
      <c r="H10" s="39"/>
      <c r="I10" s="39"/>
      <c r="J10" s="39"/>
      <c r="K10" s="61"/>
      <c r="N10">
        <f>5.84+1.76</f>
        <v>7.6</v>
      </c>
    </row>
    <row r="11" spans="1:14" ht="15" customHeight="1">
      <c r="A11" s="18"/>
      <c r="B11" s="36" t="s">
        <v>41</v>
      </c>
      <c r="C11" s="35"/>
      <c r="D11" s="37"/>
      <c r="E11" s="37"/>
      <c r="F11" s="37"/>
      <c r="G11" s="33">
        <f>SUM(G10:G10)</f>
        <v>1.2799146601645841</v>
      </c>
      <c r="H11" s="39" t="s">
        <v>85</v>
      </c>
      <c r="I11" s="39">
        <v>975.2</v>
      </c>
      <c r="J11" s="41">
        <f>G11*I11</f>
        <v>1248.1727765925025</v>
      </c>
      <c r="K11" s="21"/>
    </row>
    <row r="12" spans="1:14" ht="15" customHeight="1">
      <c r="A12" s="18"/>
      <c r="B12" s="36"/>
      <c r="C12" s="35"/>
      <c r="D12" s="37"/>
      <c r="E12" s="37"/>
      <c r="F12" s="37"/>
      <c r="G12" s="38"/>
      <c r="H12" s="39"/>
      <c r="I12" s="39"/>
      <c r="J12" s="41"/>
      <c r="K12" s="21"/>
    </row>
    <row r="13" spans="1:14" ht="27.6">
      <c r="A13" s="18">
        <v>2</v>
      </c>
      <c r="B13" s="60" t="s">
        <v>152</v>
      </c>
      <c r="C13" s="35"/>
      <c r="D13" s="37"/>
      <c r="E13" s="37"/>
      <c r="F13" s="37"/>
      <c r="G13" s="38"/>
      <c r="H13" s="39"/>
      <c r="I13" s="39"/>
      <c r="J13" s="41"/>
      <c r="K13" s="21"/>
    </row>
    <row r="14" spans="1:14" ht="15" customHeight="1">
      <c r="A14" s="18"/>
      <c r="B14" s="36" t="s">
        <v>48</v>
      </c>
      <c r="C14" s="35">
        <v>1</v>
      </c>
      <c r="D14" s="37">
        <f>D10</f>
        <v>18</v>
      </c>
      <c r="E14" s="37">
        <v>0.23</v>
      </c>
      <c r="F14" s="37">
        <f>F10</f>
        <v>0.7110637000914356</v>
      </c>
      <c r="G14" s="38">
        <f>PRODUCT(C14:F14)</f>
        <v>2.9438037183785437</v>
      </c>
      <c r="H14" s="39"/>
      <c r="I14" s="39"/>
      <c r="J14" s="39"/>
      <c r="K14" s="61"/>
      <c r="N14">
        <f>5.84+1.76</f>
        <v>7.6</v>
      </c>
    </row>
    <row r="15" spans="1:14" ht="15" customHeight="1">
      <c r="A15" s="18"/>
      <c r="B15" s="36" t="s">
        <v>154</v>
      </c>
      <c r="C15" s="35">
        <v>1</v>
      </c>
      <c r="D15" s="37">
        <v>6.55</v>
      </c>
      <c r="E15" s="37">
        <v>0.23</v>
      </c>
      <c r="F15" s="37">
        <v>0.3</v>
      </c>
      <c r="G15" s="38">
        <f>PRODUCT(C15:F15)</f>
        <v>0.45194999999999996</v>
      </c>
      <c r="H15" s="39"/>
      <c r="I15" s="39"/>
      <c r="J15" s="39"/>
      <c r="K15" s="61"/>
    </row>
    <row r="16" spans="1:14" ht="15" customHeight="1">
      <c r="A16" s="18"/>
      <c r="B16" s="36" t="s">
        <v>41</v>
      </c>
      <c r="C16" s="35"/>
      <c r="D16" s="37"/>
      <c r="E16" s="37"/>
      <c r="F16" s="37"/>
      <c r="G16" s="33">
        <f>SUM(G14:G15)</f>
        <v>3.3957537183785438</v>
      </c>
      <c r="H16" s="39" t="s">
        <v>85</v>
      </c>
      <c r="I16" s="39">
        <v>14362.76</v>
      </c>
      <c r="J16" s="41">
        <f>G16*I16</f>
        <v>48772.395676178618</v>
      </c>
      <c r="K16" s="21"/>
    </row>
    <row r="17" spans="1:14" ht="15" customHeight="1">
      <c r="A17" s="18"/>
      <c r="B17" s="36" t="s">
        <v>40</v>
      </c>
      <c r="C17" s="35"/>
      <c r="D17" s="37"/>
      <c r="E17" s="37"/>
      <c r="F17" s="37"/>
      <c r="G17" s="38"/>
      <c r="H17" s="39"/>
      <c r="I17" s="39"/>
      <c r="J17" s="41">
        <f>0.13*G16*10311.74</f>
        <v>4552.0968282338599</v>
      </c>
      <c r="K17" s="21"/>
    </row>
    <row r="18" spans="1:14" ht="15" customHeight="1">
      <c r="A18" s="18"/>
      <c r="B18" s="36"/>
      <c r="C18" s="35"/>
      <c r="D18" s="37"/>
      <c r="E18" s="37"/>
      <c r="F18" s="37"/>
      <c r="G18" s="38"/>
      <c r="H18" s="39"/>
      <c r="I18" s="39"/>
      <c r="J18" s="41"/>
      <c r="K18" s="21"/>
    </row>
    <row r="19" spans="1:14" s="1" customFormat="1" ht="55.2">
      <c r="A19" s="59">
        <v>3</v>
      </c>
      <c r="B19" s="60" t="s">
        <v>45</v>
      </c>
      <c r="C19" s="60"/>
      <c r="D19" s="38"/>
      <c r="E19" s="38"/>
      <c r="F19" s="38"/>
      <c r="G19" s="38"/>
      <c r="H19" s="38"/>
      <c r="I19" s="38"/>
      <c r="J19" s="41"/>
      <c r="K19" s="28"/>
    </row>
    <row r="20" spans="1:14" ht="15" customHeight="1">
      <c r="A20" s="18"/>
      <c r="B20" s="36" t="s">
        <v>46</v>
      </c>
      <c r="C20" s="35">
        <v>1</v>
      </c>
      <c r="D20" s="37">
        <f>((5.84+1.76)+(4.23+3.4))/2</f>
        <v>7.6150000000000002</v>
      </c>
      <c r="E20" s="37">
        <f>(3.48+3.5)/2</f>
        <v>3.49</v>
      </c>
      <c r="F20" s="37"/>
      <c r="G20" s="38">
        <f t="shared" ref="G20:G22" si="1">PRODUCT(C20:F20)</f>
        <v>26.576350000000001</v>
      </c>
      <c r="H20" s="39"/>
      <c r="I20" s="39"/>
      <c r="J20" s="39"/>
      <c r="K20" s="61"/>
      <c r="N20">
        <f>5.84+1.76</f>
        <v>7.6</v>
      </c>
    </row>
    <row r="21" spans="1:14" ht="15" customHeight="1">
      <c r="A21" s="18"/>
      <c r="B21" s="36"/>
      <c r="C21" s="35">
        <v>1</v>
      </c>
      <c r="D21" s="37">
        <f>((3.87+1.86)+(3.57+2.18))/2</f>
        <v>5.74</v>
      </c>
      <c r="E21" s="37">
        <f>1.15+0.59+0.59</f>
        <v>2.3299999999999996</v>
      </c>
      <c r="F21" s="37"/>
      <c r="G21" s="38">
        <f t="shared" si="1"/>
        <v>13.374199999999998</v>
      </c>
      <c r="H21" s="39"/>
      <c r="I21" s="39"/>
      <c r="J21" s="39"/>
      <c r="K21" s="61"/>
      <c r="N21">
        <f>3.87+1.86</f>
        <v>5.73</v>
      </c>
    </row>
    <row r="22" spans="1:14" ht="15" customHeight="1">
      <c r="A22" s="18"/>
      <c r="B22" s="36"/>
      <c r="C22" s="35">
        <v>1</v>
      </c>
      <c r="D22" s="37">
        <f>5.7</f>
        <v>5.7</v>
      </c>
      <c r="E22" s="37">
        <f>2.3</f>
        <v>2.2999999999999998</v>
      </c>
      <c r="F22" s="37"/>
      <c r="G22" s="38">
        <f t="shared" si="1"/>
        <v>13.11</v>
      </c>
      <c r="H22" s="39"/>
      <c r="I22" s="39"/>
      <c r="J22" s="39"/>
      <c r="K22" s="61"/>
    </row>
    <row r="23" spans="1:14" ht="15" customHeight="1">
      <c r="A23" s="18"/>
      <c r="B23" s="36" t="s">
        <v>41</v>
      </c>
      <c r="C23" s="35"/>
      <c r="D23" s="37"/>
      <c r="E23" s="37"/>
      <c r="F23" s="37"/>
      <c r="G23" s="33">
        <f>SUM(G20:G22)</f>
        <v>53.060549999999999</v>
      </c>
      <c r="H23" s="39" t="s">
        <v>43</v>
      </c>
      <c r="I23" s="39">
        <v>817.76</v>
      </c>
      <c r="J23" s="41">
        <f>G23*I23</f>
        <v>43390.795367999999</v>
      </c>
      <c r="K23" s="21"/>
    </row>
    <row r="24" spans="1:14" ht="15" customHeight="1">
      <c r="A24" s="18"/>
      <c r="B24" s="36" t="s">
        <v>40</v>
      </c>
      <c r="C24" s="35"/>
      <c r="D24" s="37"/>
      <c r="E24" s="37"/>
      <c r="F24" s="37"/>
      <c r="G24" s="38"/>
      <c r="H24" s="39"/>
      <c r="I24" s="39"/>
      <c r="J24" s="41">
        <f>0.13*J23</f>
        <v>5640.8033978399999</v>
      </c>
      <c r="K24" s="21"/>
    </row>
    <row r="25" spans="1:14" ht="15" customHeight="1">
      <c r="A25" s="18"/>
      <c r="B25" s="36"/>
      <c r="C25" s="35"/>
      <c r="D25" s="37"/>
      <c r="E25" s="37"/>
      <c r="F25" s="37"/>
      <c r="G25" s="38"/>
      <c r="H25" s="39"/>
      <c r="I25" s="39"/>
      <c r="J25" s="41"/>
      <c r="K25" s="21"/>
    </row>
    <row r="26" spans="1:14" ht="27.6">
      <c r="A26" s="18">
        <v>4</v>
      </c>
      <c r="B26" s="60" t="s">
        <v>47</v>
      </c>
      <c r="C26" s="35"/>
      <c r="D26" s="37"/>
      <c r="E26" s="37"/>
      <c r="F26" s="37"/>
      <c r="G26" s="38"/>
      <c r="H26" s="39"/>
      <c r="I26" s="39"/>
      <c r="J26" s="41"/>
      <c r="K26" s="21"/>
    </row>
    <row r="27" spans="1:14" ht="15" customHeight="1">
      <c r="A27" s="18"/>
      <c r="B27" s="36" t="s">
        <v>48</v>
      </c>
      <c r="C27" s="35">
        <v>3</v>
      </c>
      <c r="D27" s="37">
        <f>12/3.281</f>
        <v>3.6574215178299299</v>
      </c>
      <c r="E27" s="37">
        <f>3.5/3.281</f>
        <v>1.0667479427003961</v>
      </c>
      <c r="F27" s="37"/>
      <c r="G27" s="38">
        <f>PRODUCT(C27:F27)</f>
        <v>11.704640639199713</v>
      </c>
      <c r="H27" s="39"/>
      <c r="I27" s="39"/>
      <c r="J27" s="39"/>
      <c r="K27" s="61"/>
      <c r="N27">
        <f>5.84+1.76</f>
        <v>7.6</v>
      </c>
    </row>
    <row r="28" spans="1:14" ht="15" customHeight="1">
      <c r="A28" s="18"/>
      <c r="B28" s="36" t="s">
        <v>41</v>
      </c>
      <c r="C28" s="35"/>
      <c r="D28" s="37"/>
      <c r="E28" s="37"/>
      <c r="F28" s="37"/>
      <c r="G28" s="33">
        <f>SUM(G27:G27)</f>
        <v>11.704640639199713</v>
      </c>
      <c r="H28" s="39" t="s">
        <v>43</v>
      </c>
      <c r="I28" s="39">
        <v>1070.9000000000001</v>
      </c>
      <c r="J28" s="41">
        <f>G28*I28</f>
        <v>12534.499660518974</v>
      </c>
      <c r="K28" s="21"/>
    </row>
    <row r="29" spans="1:14" ht="15" customHeight="1">
      <c r="A29" s="18"/>
      <c r="B29" s="36" t="s">
        <v>40</v>
      </c>
      <c r="C29" s="35"/>
      <c r="D29" s="37"/>
      <c r="E29" s="37"/>
      <c r="F29" s="37"/>
      <c r="G29" s="38"/>
      <c r="H29" s="39"/>
      <c r="I29" s="39"/>
      <c r="J29" s="41">
        <f>0.13*G28*8587.63/10</f>
        <v>1306.6966002013382</v>
      </c>
      <c r="K29" s="21"/>
    </row>
    <row r="30" spans="1:14" ht="15" customHeight="1">
      <c r="A30" s="18"/>
      <c r="B30" s="36"/>
      <c r="C30" s="35"/>
      <c r="D30" s="37"/>
      <c r="E30" s="37"/>
      <c r="F30" s="37"/>
      <c r="G30" s="38"/>
      <c r="H30" s="39"/>
      <c r="I30" s="39"/>
      <c r="J30" s="41"/>
      <c r="K30" s="21"/>
    </row>
    <row r="31" spans="1:14" ht="27.6">
      <c r="A31" s="18">
        <v>5</v>
      </c>
      <c r="B31" s="60" t="s">
        <v>157</v>
      </c>
      <c r="C31" s="35"/>
      <c r="D31" s="37"/>
      <c r="E31" s="37"/>
      <c r="F31" s="37"/>
      <c r="G31" s="38"/>
      <c r="H31" s="39"/>
      <c r="I31" s="39"/>
      <c r="J31" s="41"/>
      <c r="K31" s="21"/>
    </row>
    <row r="32" spans="1:14" ht="15" customHeight="1">
      <c r="A32" s="18"/>
      <c r="B32" s="36" t="s">
        <v>48</v>
      </c>
      <c r="C32" s="35">
        <v>1</v>
      </c>
      <c r="D32" s="37">
        <f>3.1+3.1+5.6+1.6</f>
        <v>13.4</v>
      </c>
      <c r="E32" s="37"/>
      <c r="F32" s="37"/>
      <c r="G32" s="38">
        <f>PRODUCT(C32:F32)</f>
        <v>13.4</v>
      </c>
      <c r="H32" s="39"/>
      <c r="I32" s="39"/>
      <c r="J32" s="39"/>
      <c r="K32" s="61"/>
      <c r="N32">
        <f>5.84+1.76</f>
        <v>7.6</v>
      </c>
    </row>
    <row r="33" spans="1:19" ht="15" customHeight="1">
      <c r="A33" s="18"/>
      <c r="B33" s="36" t="s">
        <v>41</v>
      </c>
      <c r="C33" s="35"/>
      <c r="D33" s="37"/>
      <c r="E33" s="37"/>
      <c r="F33" s="37"/>
      <c r="G33" s="33">
        <f>SUM(G32:G32)</f>
        <v>13.4</v>
      </c>
      <c r="H33" s="39" t="s">
        <v>158</v>
      </c>
      <c r="I33" s="39">
        <v>1108.01</v>
      </c>
      <c r="J33" s="41">
        <f>G33*I33</f>
        <v>14847.334000000001</v>
      </c>
      <c r="K33" s="21"/>
    </row>
    <row r="34" spans="1:19" ht="15" customHeight="1">
      <c r="A34" s="18"/>
      <c r="B34" s="36" t="s">
        <v>40</v>
      </c>
      <c r="C34" s="35"/>
      <c r="D34" s="37"/>
      <c r="E34" s="37"/>
      <c r="F34" s="37"/>
      <c r="G34" s="38"/>
      <c r="H34" s="39"/>
      <c r="I34" s="39"/>
      <c r="J34" s="41">
        <f>0.13*G33*7076.41/10</f>
        <v>1232.7106220000001</v>
      </c>
      <c r="K34" s="21"/>
    </row>
    <row r="35" spans="1:19" ht="15" customHeight="1">
      <c r="A35" s="18"/>
      <c r="B35" s="36"/>
      <c r="C35" s="35"/>
      <c r="D35" s="37"/>
      <c r="E35" s="37"/>
      <c r="F35" s="37"/>
      <c r="G35" s="38"/>
      <c r="H35" s="39"/>
      <c r="I35" s="39"/>
      <c r="J35" s="41"/>
      <c r="K35" s="21"/>
    </row>
    <row r="36" spans="1:19" ht="41.4">
      <c r="A36" s="18">
        <v>6</v>
      </c>
      <c r="B36" s="60" t="s">
        <v>87</v>
      </c>
      <c r="C36" s="35"/>
      <c r="D36" s="37"/>
      <c r="E36" s="37"/>
      <c r="F36" s="37"/>
      <c r="G36" s="38"/>
      <c r="H36" s="39"/>
      <c r="I36" s="39"/>
      <c r="J36" s="41"/>
      <c r="K36" s="21"/>
    </row>
    <row r="37" spans="1:19" ht="15" customHeight="1">
      <c r="A37" s="18"/>
      <c r="B37" s="36" t="s">
        <v>84</v>
      </c>
      <c r="C37" s="35">
        <v>2</v>
      </c>
      <c r="D37" s="37">
        <f>(18+14)/3.281</f>
        <v>9.7531240475464784</v>
      </c>
      <c r="E37" s="37">
        <v>0.15</v>
      </c>
      <c r="F37" s="37">
        <v>0.6</v>
      </c>
      <c r="G37" s="38">
        <f>PRODUCT(C37:F37)</f>
        <v>1.7555623285583659</v>
      </c>
      <c r="H37" s="39"/>
      <c r="I37" s="39"/>
      <c r="J37" s="39"/>
      <c r="K37" s="61"/>
      <c r="N37">
        <f>5.84+1.76</f>
        <v>7.6</v>
      </c>
    </row>
    <row r="38" spans="1:19" ht="15" customHeight="1">
      <c r="A38" s="18"/>
      <c r="B38" s="36" t="s">
        <v>41</v>
      </c>
      <c r="C38" s="35"/>
      <c r="D38" s="37"/>
      <c r="E38" s="37"/>
      <c r="F38" s="37"/>
      <c r="G38" s="33">
        <f>SUM(G37:G37)</f>
        <v>1.7555623285583659</v>
      </c>
      <c r="H38" s="39" t="s">
        <v>85</v>
      </c>
      <c r="I38" s="39">
        <v>1950.4</v>
      </c>
      <c r="J38" s="41">
        <f>G38*I38</f>
        <v>3424.0487656202372</v>
      </c>
      <c r="K38" s="21"/>
    </row>
    <row r="39" spans="1:19" ht="15" customHeight="1">
      <c r="A39" s="18"/>
      <c r="B39" s="36" t="s">
        <v>40</v>
      </c>
      <c r="C39" s="35"/>
      <c r="D39" s="37"/>
      <c r="E39" s="37"/>
      <c r="F39" s="37"/>
      <c r="G39" s="38"/>
      <c r="H39" s="39"/>
      <c r="I39" s="39"/>
      <c r="J39" s="41">
        <f>0.13*J38</f>
        <v>445.12633953063084</v>
      </c>
      <c r="K39" s="21"/>
    </row>
    <row r="40" spans="1:19" ht="15" customHeight="1">
      <c r="A40" s="18"/>
      <c r="B40" s="36"/>
      <c r="C40" s="35"/>
      <c r="D40" s="37"/>
      <c r="E40" s="37"/>
      <c r="F40" s="37"/>
      <c r="G40" s="38"/>
      <c r="H40" s="39"/>
      <c r="I40" s="39"/>
      <c r="J40" s="41"/>
      <c r="K40" s="21"/>
    </row>
    <row r="41" spans="1:19" ht="30.6">
      <c r="A41" s="18">
        <v>7</v>
      </c>
      <c r="B41" s="87" t="s">
        <v>89</v>
      </c>
      <c r="C41" s="19"/>
      <c r="D41" s="20"/>
      <c r="E41" s="21"/>
      <c r="F41" s="21"/>
      <c r="G41" s="23"/>
      <c r="H41" s="22"/>
      <c r="I41" s="23"/>
      <c r="J41" s="40"/>
      <c r="K41" s="21"/>
      <c r="M41" s="88"/>
      <c r="N41" s="1"/>
      <c r="O41" s="1"/>
      <c r="P41" s="1"/>
      <c r="Q41" s="1"/>
      <c r="R41" s="88"/>
      <c r="S41" s="88"/>
    </row>
    <row r="42" spans="1:19" ht="15" customHeight="1">
      <c r="A42" s="18"/>
      <c r="B42" s="36" t="s">
        <v>90</v>
      </c>
      <c r="C42" s="19">
        <v>1</v>
      </c>
      <c r="D42" s="20">
        <f>D60</f>
        <v>9.7531240475464784</v>
      </c>
      <c r="E42" s="21">
        <v>0.4</v>
      </c>
      <c r="F42" s="21">
        <v>0.125</v>
      </c>
      <c r="G42" s="38">
        <f>PRODUCT(C42:F42)</f>
        <v>0.48765620237732393</v>
      </c>
      <c r="H42" s="22"/>
      <c r="I42" s="23"/>
      <c r="J42" s="40"/>
      <c r="K42" s="21"/>
    </row>
    <row r="43" spans="1:19" ht="15" customHeight="1">
      <c r="A43" s="18"/>
      <c r="B43" s="36" t="s">
        <v>41</v>
      </c>
      <c r="C43" s="19"/>
      <c r="D43" s="20"/>
      <c r="E43" s="21"/>
      <c r="F43" s="21"/>
      <c r="G43" s="23">
        <f>SUM(G42:G42)</f>
        <v>0.48765620237732393</v>
      </c>
      <c r="H43" s="22" t="s">
        <v>85</v>
      </c>
      <c r="I43" s="23">
        <v>663.31</v>
      </c>
      <c r="J43" s="40">
        <f>G43*I43</f>
        <v>323.46723559890273</v>
      </c>
      <c r="K43" s="21"/>
    </row>
    <row r="44" spans="1:19" ht="15" customHeight="1">
      <c r="A44" s="18"/>
      <c r="B44" s="36"/>
      <c r="C44" s="19"/>
      <c r="D44" s="20"/>
      <c r="E44" s="21"/>
      <c r="F44" s="21"/>
      <c r="G44" s="23"/>
      <c r="H44" s="22"/>
      <c r="I44" s="23"/>
      <c r="J44" s="40"/>
      <c r="K44" s="21"/>
    </row>
    <row r="45" spans="1:19" ht="15">
      <c r="A45" s="18">
        <v>8</v>
      </c>
      <c r="B45" s="89" t="s">
        <v>91</v>
      </c>
      <c r="C45" s="19"/>
      <c r="D45" s="20"/>
      <c r="E45" s="21"/>
      <c r="F45" s="21"/>
      <c r="G45" s="23"/>
      <c r="H45" s="22"/>
      <c r="I45" s="23"/>
      <c r="J45" s="40"/>
      <c r="K45" s="21"/>
    </row>
    <row r="46" spans="1:19" ht="15" customHeight="1">
      <c r="A46" s="18"/>
      <c r="B46" s="36" t="str">
        <f>B42</f>
        <v>-at drain wall base</v>
      </c>
      <c r="C46" s="19">
        <f>C42</f>
        <v>1</v>
      </c>
      <c r="D46" s="20">
        <f>D42</f>
        <v>9.7531240475464784</v>
      </c>
      <c r="E46" s="21">
        <f>E42+0.3</f>
        <v>0.7</v>
      </c>
      <c r="F46" s="21"/>
      <c r="G46" s="38">
        <f>PRODUCT(C46:F46)</f>
        <v>6.8271868332825347</v>
      </c>
      <c r="H46" s="22"/>
      <c r="I46" s="23"/>
      <c r="J46" s="40"/>
      <c r="K46" s="21"/>
    </row>
    <row r="47" spans="1:19" ht="15" customHeight="1">
      <c r="A47" s="18"/>
      <c r="B47" s="36" t="s">
        <v>155</v>
      </c>
      <c r="C47" s="19">
        <v>1</v>
      </c>
      <c r="D47" s="20">
        <f>D15</f>
        <v>6.55</v>
      </c>
      <c r="E47" s="21">
        <f>E15</f>
        <v>0.23</v>
      </c>
      <c r="F47" s="21"/>
      <c r="G47" s="38">
        <f>PRODUCT(C47:F47)</f>
        <v>1.5065</v>
      </c>
      <c r="H47" s="22"/>
      <c r="I47" s="23"/>
      <c r="J47" s="40"/>
      <c r="K47" s="21"/>
    </row>
    <row r="48" spans="1:19" ht="15" customHeight="1">
      <c r="A48" s="18"/>
      <c r="B48" s="36" t="str">
        <f>B83</f>
        <v>-at entrance</v>
      </c>
      <c r="C48" s="19">
        <f t="shared" ref="C48:E48" si="2">C83</f>
        <v>1</v>
      </c>
      <c r="D48" s="147">
        <f t="shared" si="2"/>
        <v>1.95</v>
      </c>
      <c r="E48" s="147">
        <f t="shared" si="2"/>
        <v>1</v>
      </c>
      <c r="F48" s="36"/>
      <c r="G48" s="38">
        <f>PRODUCT(C48:F48)</f>
        <v>1.95</v>
      </c>
      <c r="H48" s="22"/>
      <c r="I48" s="23"/>
      <c r="J48" s="40"/>
      <c r="K48" s="21"/>
    </row>
    <row r="49" spans="1:20" ht="15" customHeight="1">
      <c r="A49" s="18"/>
      <c r="B49" s="36" t="s">
        <v>41</v>
      </c>
      <c r="C49" s="19"/>
      <c r="D49" s="20"/>
      <c r="E49" s="21"/>
      <c r="F49" s="21"/>
      <c r="G49" s="23">
        <f>SUM(G46:G48)</f>
        <v>10.283686833282534</v>
      </c>
      <c r="H49" s="22" t="s">
        <v>43</v>
      </c>
      <c r="I49" s="23">
        <v>1014.97</v>
      </c>
      <c r="J49" s="40">
        <f>G49*I49</f>
        <v>10437.633625176773</v>
      </c>
      <c r="K49" s="21"/>
    </row>
    <row r="50" spans="1:20" ht="15" customHeight="1">
      <c r="A50" s="18"/>
      <c r="B50" s="36" t="s">
        <v>40</v>
      </c>
      <c r="C50" s="19"/>
      <c r="D50" s="20"/>
      <c r="E50" s="21"/>
      <c r="F50" s="21"/>
      <c r="G50" s="23"/>
      <c r="H50" s="22"/>
      <c r="I50" s="23"/>
      <c r="J50" s="40">
        <f>0.13*G49*8617.2/10</f>
        <v>1152.0156203369095</v>
      </c>
      <c r="K50" s="21"/>
    </row>
    <row r="51" spans="1:20" ht="15" customHeight="1">
      <c r="A51" s="18"/>
      <c r="B51" s="36"/>
      <c r="C51" s="19"/>
      <c r="D51" s="20"/>
      <c r="E51" s="21"/>
      <c r="F51" s="21"/>
      <c r="G51" s="23"/>
      <c r="H51" s="22"/>
      <c r="I51" s="23"/>
      <c r="J51" s="40"/>
      <c r="K51" s="21"/>
    </row>
    <row r="52" spans="1:20" ht="30">
      <c r="A52" s="18">
        <v>9</v>
      </c>
      <c r="B52" s="89" t="s">
        <v>92</v>
      </c>
      <c r="C52" s="19"/>
      <c r="D52" s="20"/>
      <c r="E52" s="21"/>
      <c r="F52" s="21"/>
      <c r="G52" s="23"/>
      <c r="H52" s="22"/>
      <c r="I52" s="23"/>
      <c r="J52" s="40"/>
      <c r="K52" s="21"/>
    </row>
    <row r="53" spans="1:20" ht="15" customHeight="1">
      <c r="A53" s="18"/>
      <c r="B53" s="36" t="str">
        <f>B46</f>
        <v>-at drain wall base</v>
      </c>
      <c r="C53" s="19">
        <f>C46</f>
        <v>1</v>
      </c>
      <c r="D53" s="20">
        <f>D46</f>
        <v>9.7531240475464784</v>
      </c>
      <c r="E53" s="21">
        <f>E46</f>
        <v>0.7</v>
      </c>
      <c r="F53" s="21">
        <v>0.1</v>
      </c>
      <c r="G53" s="38">
        <f>PRODUCT(C53:F53)</f>
        <v>0.68271868332825347</v>
      </c>
      <c r="H53" s="22"/>
      <c r="I53" s="23"/>
      <c r="J53" s="40"/>
      <c r="K53" s="21"/>
    </row>
    <row r="54" spans="1:20" ht="15" customHeight="1">
      <c r="A54" s="18"/>
      <c r="B54" s="36" t="str">
        <f>B47</f>
        <v>-at one side drain</v>
      </c>
      <c r="C54" s="19">
        <f>C47</f>
        <v>1</v>
      </c>
      <c r="D54" s="20">
        <f>D47</f>
        <v>6.55</v>
      </c>
      <c r="E54" s="21">
        <f>E47+0.3</f>
        <v>0.53</v>
      </c>
      <c r="F54" s="21">
        <v>7.4999999999999997E-2</v>
      </c>
      <c r="G54" s="38">
        <f>PRODUCT(C54:F54)</f>
        <v>0.2603625</v>
      </c>
      <c r="H54" s="22"/>
      <c r="I54" s="23"/>
      <c r="J54" s="40"/>
      <c r="K54" s="21"/>
    </row>
    <row r="55" spans="1:20" ht="15" customHeight="1">
      <c r="A55" s="18"/>
      <c r="B55" s="36" t="str">
        <f>B14</f>
        <v>-at roof</v>
      </c>
      <c r="C55" s="19">
        <f>C14</f>
        <v>1</v>
      </c>
      <c r="D55" s="20">
        <f>D14</f>
        <v>18</v>
      </c>
      <c r="E55" s="21">
        <f>E14</f>
        <v>0.23</v>
      </c>
      <c r="F55" s="21">
        <v>0.05</v>
      </c>
      <c r="G55" s="38">
        <f>PRODUCT(C55:F55)</f>
        <v>0.20700000000000005</v>
      </c>
      <c r="H55" s="22"/>
      <c r="I55" s="23"/>
      <c r="J55" s="40"/>
      <c r="K55" s="21"/>
    </row>
    <row r="56" spans="1:20" ht="15" customHeight="1">
      <c r="A56" s="18"/>
      <c r="B56" s="36" t="s">
        <v>41</v>
      </c>
      <c r="C56" s="19"/>
      <c r="D56" s="20"/>
      <c r="E56" s="21"/>
      <c r="F56" s="21"/>
      <c r="G56" s="23">
        <f>SUM(G53:G55)</f>
        <v>1.1500811833282536</v>
      </c>
      <c r="H56" s="22" t="s">
        <v>85</v>
      </c>
      <c r="I56" s="23">
        <v>12983.1</v>
      </c>
      <c r="J56" s="40">
        <f>G56*I56</f>
        <v>14931.619011269049</v>
      </c>
      <c r="K56" s="21"/>
    </row>
    <row r="57" spans="1:20" ht="15" customHeight="1">
      <c r="A57" s="18"/>
      <c r="B57" s="36" t="s">
        <v>40</v>
      </c>
      <c r="C57" s="19"/>
      <c r="D57" s="20"/>
      <c r="E57" s="21"/>
      <c r="F57" s="21"/>
      <c r="G57" s="23"/>
      <c r="H57" s="22"/>
      <c r="I57" s="23"/>
      <c r="J57" s="40">
        <f>0.13*G56*8078.11</f>
        <v>1207.7627000212537</v>
      </c>
      <c r="K57" s="21"/>
    </row>
    <row r="58" spans="1:20" ht="15">
      <c r="A58" s="18"/>
      <c r="B58" s="89"/>
      <c r="C58" s="19"/>
      <c r="D58" s="20"/>
      <c r="E58" s="21"/>
      <c r="F58" s="21"/>
      <c r="G58" s="23"/>
      <c r="H58" s="22"/>
      <c r="I58" s="23"/>
      <c r="J58" s="40"/>
      <c r="K58" s="21"/>
    </row>
    <row r="59" spans="1:20" ht="39">
      <c r="A59" s="18">
        <v>10</v>
      </c>
      <c r="B59" s="60" t="s">
        <v>88</v>
      </c>
      <c r="C59" s="35"/>
      <c r="D59" s="37"/>
      <c r="E59" s="37"/>
      <c r="F59" s="37"/>
      <c r="G59" s="38"/>
      <c r="H59" s="39"/>
      <c r="I59" s="39"/>
      <c r="J59" s="41"/>
      <c r="K59" s="21"/>
      <c r="N59" s="66" t="s">
        <v>49</v>
      </c>
      <c r="O59" s="66"/>
      <c r="P59" s="66"/>
      <c r="Q59" s="66"/>
      <c r="R59" s="66"/>
      <c r="S59" s="66"/>
      <c r="T59" s="66"/>
    </row>
    <row r="60" spans="1:20" ht="15" customHeight="1">
      <c r="A60" s="18"/>
      <c r="B60" s="36" t="s">
        <v>84</v>
      </c>
      <c r="C60" s="35">
        <v>2</v>
      </c>
      <c r="D60" s="37">
        <f>(18+14)/3.281</f>
        <v>9.7531240475464784</v>
      </c>
      <c r="E60" s="37">
        <v>0.15</v>
      </c>
      <c r="F60" s="37">
        <v>0.6</v>
      </c>
      <c r="G60" s="38">
        <f>PRODUCT(C60:F60)</f>
        <v>1.7555623285583659</v>
      </c>
      <c r="H60" s="39"/>
      <c r="I60" s="39"/>
      <c r="J60" s="39"/>
      <c r="K60" s="61"/>
      <c r="N60" s="162" t="s">
        <v>87</v>
      </c>
      <c r="O60" s="162"/>
      <c r="P60" s="162"/>
      <c r="Q60" s="162"/>
      <c r="R60" s="162"/>
      <c r="S60" s="162"/>
      <c r="T60" s="162"/>
    </row>
    <row r="61" spans="1:20" ht="15" customHeight="1">
      <c r="A61" s="18"/>
      <c r="B61" s="36" t="s">
        <v>41</v>
      </c>
      <c r="C61" s="35"/>
      <c r="D61" s="37"/>
      <c r="E61" s="37"/>
      <c r="F61" s="37"/>
      <c r="G61" s="33">
        <f>SUM(G60:G60)</f>
        <v>1.7555623285583659</v>
      </c>
      <c r="H61" s="39" t="s">
        <v>85</v>
      </c>
      <c r="I61" s="39">
        <v>8569.2999999999993</v>
      </c>
      <c r="J61" s="41">
        <f>G61*I61</f>
        <v>15043.940262115204</v>
      </c>
      <c r="K61" s="21"/>
    </row>
    <row r="62" spans="1:20" ht="15" customHeight="1">
      <c r="A62" s="18"/>
      <c r="B62" s="36" t="s">
        <v>40</v>
      </c>
      <c r="C62" s="35"/>
      <c r="D62" s="37"/>
      <c r="E62" s="37"/>
      <c r="F62" s="37"/>
      <c r="G62" s="38"/>
      <c r="H62" s="39"/>
      <c r="I62" s="39"/>
      <c r="J62" s="41">
        <f>0.13*G61*5504.3/9</f>
        <v>139.57871380676622</v>
      </c>
      <c r="K62" s="21"/>
    </row>
    <row r="63" spans="1:20" ht="15" customHeight="1">
      <c r="A63" s="18"/>
      <c r="B63" s="36"/>
      <c r="C63" s="35"/>
      <c r="D63" s="37"/>
      <c r="E63" s="37"/>
      <c r="F63" s="37"/>
      <c r="G63" s="38"/>
      <c r="H63" s="39"/>
      <c r="I63" s="39"/>
      <c r="J63" s="41"/>
      <c r="K63" s="21"/>
      <c r="N63">
        <f>9.75/0.75</f>
        <v>13</v>
      </c>
    </row>
    <row r="64" spans="1:20" ht="30">
      <c r="A64" s="18">
        <v>11</v>
      </c>
      <c r="B64" s="89" t="s">
        <v>93</v>
      </c>
      <c r="C64" s="19" t="s">
        <v>7</v>
      </c>
      <c r="D64" s="90" t="s">
        <v>94</v>
      </c>
      <c r="E64" s="91" t="s">
        <v>95</v>
      </c>
      <c r="F64" s="91" t="s">
        <v>96</v>
      </c>
      <c r="G64" s="91" t="s">
        <v>97</v>
      </c>
      <c r="H64" s="22"/>
      <c r="I64" s="23"/>
      <c r="J64" s="40"/>
      <c r="K64" s="21"/>
    </row>
    <row r="65" spans="1:20" ht="15" customHeight="1">
      <c r="A65" s="18"/>
      <c r="B65" s="36" t="s">
        <v>99</v>
      </c>
      <c r="C65" s="19">
        <f>TRUNC((D66-0.1)/0.15,0)+1</f>
        <v>5</v>
      </c>
      <c r="D65" s="20">
        <v>0.75</v>
      </c>
      <c r="E65" s="21">
        <f>8*8/162</f>
        <v>0.39506172839506171</v>
      </c>
      <c r="F65" s="21">
        <f>PRODUCT(C65:E65)</f>
        <v>1.4814814814814814</v>
      </c>
      <c r="G65" s="92">
        <f>F65/1000</f>
        <v>1.4814814814814814E-3</v>
      </c>
      <c r="H65" s="22"/>
      <c r="I65" s="23"/>
      <c r="J65" s="40"/>
      <c r="K65" s="21"/>
    </row>
    <row r="66" spans="1:20" ht="15" customHeight="1">
      <c r="A66" s="18"/>
      <c r="B66" s="36"/>
      <c r="C66" s="19">
        <f>13*(TRUNC((D65-0.1)/0.15,0)+1)</f>
        <v>65</v>
      </c>
      <c r="D66" s="20">
        <v>0.7</v>
      </c>
      <c r="E66" s="21">
        <f>8*8/162</f>
        <v>0.39506172839506171</v>
      </c>
      <c r="F66" s="21">
        <f>PRODUCT(C66:E66)</f>
        <v>17.975308641975307</v>
      </c>
      <c r="G66" s="92">
        <f>F66/1000</f>
        <v>1.7975308641975305E-2</v>
      </c>
      <c r="H66" s="22"/>
      <c r="I66" s="23"/>
      <c r="J66" s="40"/>
      <c r="K66" s="21"/>
    </row>
    <row r="67" spans="1:20" ht="15" customHeight="1">
      <c r="A67" s="18"/>
      <c r="B67" s="36"/>
      <c r="C67" s="19">
        <f>TRUNC((D68-0.1)/0.15,0)+1</f>
        <v>5</v>
      </c>
      <c r="D67" s="20">
        <v>0.9</v>
      </c>
      <c r="E67" s="21">
        <f>8*8/162</f>
        <v>0.39506172839506171</v>
      </c>
      <c r="F67" s="21">
        <f>PRODUCT(C67:E67)</f>
        <v>1.7777777777777777</v>
      </c>
      <c r="G67" s="92">
        <f>F67/1000</f>
        <v>1.7777777777777776E-3</v>
      </c>
      <c r="H67" s="22"/>
      <c r="I67" s="23"/>
      <c r="J67" s="40"/>
      <c r="K67" s="21"/>
    </row>
    <row r="68" spans="1:20" ht="15" customHeight="1">
      <c r="A68" s="18"/>
      <c r="B68" s="36"/>
      <c r="C68" s="19">
        <f>(TRUNC((D67-0.1)/0.15,0)+1)</f>
        <v>6</v>
      </c>
      <c r="D68" s="20">
        <f>2.75/3.281</f>
        <v>0.8381590978360256</v>
      </c>
      <c r="E68" s="21">
        <f>8*8/162</f>
        <v>0.39506172839506171</v>
      </c>
      <c r="F68" s="21">
        <f>PRODUCT(C68:E68)</f>
        <v>1.9867474911668754</v>
      </c>
      <c r="G68" s="92">
        <f>F68/1000</f>
        <v>1.9867474911668755E-3</v>
      </c>
      <c r="H68" s="22"/>
      <c r="I68" s="23"/>
      <c r="J68" s="40"/>
      <c r="K68" s="21"/>
    </row>
    <row r="69" spans="1:20" ht="15" customHeight="1">
      <c r="A69" s="18"/>
      <c r="B69" s="36" t="s">
        <v>41</v>
      </c>
      <c r="C69" s="19"/>
      <c r="D69" s="20"/>
      <c r="E69" s="21"/>
      <c r="F69" s="21"/>
      <c r="G69" s="23">
        <f>SUM(G65:G68)</f>
        <v>2.3221315392401441E-2</v>
      </c>
      <c r="H69" s="22" t="s">
        <v>98</v>
      </c>
      <c r="I69" s="23">
        <v>131940</v>
      </c>
      <c r="J69" s="40">
        <f>G69*I69</f>
        <v>3063.8203528734462</v>
      </c>
      <c r="K69" s="21"/>
    </row>
    <row r="70" spans="1:20" ht="15" customHeight="1">
      <c r="A70" s="18"/>
      <c r="B70" s="36" t="s">
        <v>40</v>
      </c>
      <c r="C70" s="19"/>
      <c r="D70" s="20"/>
      <c r="E70" s="21"/>
      <c r="F70" s="21"/>
      <c r="G70" s="23"/>
      <c r="H70" s="22"/>
      <c r="I70" s="23"/>
      <c r="J70" s="40">
        <f>0.13*G69*106200</f>
        <v>320.5934803074943</v>
      </c>
      <c r="K70" s="21"/>
    </row>
    <row r="71" spans="1:20" ht="15" customHeight="1">
      <c r="A71" s="18"/>
      <c r="B71" s="36"/>
      <c r="C71" s="19"/>
      <c r="D71" s="20"/>
      <c r="E71" s="21"/>
      <c r="F71" s="21"/>
      <c r="G71" s="23"/>
      <c r="H71" s="22"/>
      <c r="I71" s="23"/>
      <c r="J71" s="40"/>
      <c r="K71" s="21"/>
    </row>
    <row r="72" spans="1:20" ht="30">
      <c r="A72" s="18">
        <v>12</v>
      </c>
      <c r="B72" s="89" t="s">
        <v>100</v>
      </c>
      <c r="C72" s="19"/>
      <c r="D72" s="20"/>
      <c r="E72" s="21"/>
      <c r="F72" s="21"/>
      <c r="G72" s="23"/>
      <c r="H72" s="22"/>
      <c r="I72" s="23"/>
      <c r="J72" s="40"/>
      <c r="K72" s="21"/>
    </row>
    <row r="73" spans="1:20" ht="15" customHeight="1">
      <c r="A73" s="18"/>
      <c r="B73" s="36" t="s">
        <v>101</v>
      </c>
      <c r="C73" s="35">
        <f>2*13</f>
        <v>26</v>
      </c>
      <c r="D73" s="37">
        <v>0.75</v>
      </c>
      <c r="E73" s="37"/>
      <c r="F73" s="37">
        <v>0.1</v>
      </c>
      <c r="G73" s="38">
        <f>PRODUCT(C73:F73)</f>
        <v>1.9500000000000002</v>
      </c>
      <c r="H73" s="39"/>
      <c r="I73" s="39"/>
      <c r="J73" s="39"/>
      <c r="K73" s="61"/>
      <c r="N73" s="162" t="s">
        <v>87</v>
      </c>
      <c r="O73" s="162"/>
      <c r="P73" s="162"/>
      <c r="Q73" s="162"/>
      <c r="R73" s="162"/>
      <c r="S73" s="162"/>
      <c r="T73" s="162"/>
    </row>
    <row r="74" spans="1:20" ht="15" customHeight="1">
      <c r="A74" s="18"/>
      <c r="B74" s="36"/>
      <c r="C74" s="35">
        <f>2*13</f>
        <v>26</v>
      </c>
      <c r="D74" s="37">
        <v>0.7</v>
      </c>
      <c r="E74" s="37"/>
      <c r="F74" s="37">
        <v>0.1</v>
      </c>
      <c r="G74" s="38">
        <f>PRODUCT(C74:F74)</f>
        <v>1.82</v>
      </c>
      <c r="H74" s="39"/>
      <c r="I74" s="39"/>
      <c r="J74" s="39"/>
      <c r="K74" s="61"/>
      <c r="N74" s="145"/>
      <c r="O74" s="145"/>
      <c r="P74" s="145"/>
      <c r="Q74" s="145"/>
      <c r="R74" s="145"/>
      <c r="S74" s="145"/>
      <c r="T74" s="145"/>
    </row>
    <row r="75" spans="1:20" ht="15" customHeight="1">
      <c r="A75" s="18"/>
      <c r="B75" s="36"/>
      <c r="C75" s="35">
        <v>2</v>
      </c>
      <c r="D75" s="37">
        <v>0.9</v>
      </c>
      <c r="E75" s="37"/>
      <c r="F75" s="37">
        <v>0.1</v>
      </c>
      <c r="G75" s="38">
        <f t="shared" ref="G75:G76" si="3">PRODUCT(C75:F75)</f>
        <v>0.18000000000000002</v>
      </c>
      <c r="H75" s="39"/>
      <c r="I75" s="39"/>
      <c r="J75" s="39"/>
      <c r="K75" s="61"/>
      <c r="N75" s="145"/>
      <c r="O75" s="145"/>
      <c r="P75" s="145"/>
      <c r="Q75" s="145"/>
      <c r="R75" s="145"/>
      <c r="S75" s="145"/>
      <c r="T75" s="145"/>
    </row>
    <row r="76" spans="1:20" ht="15" customHeight="1">
      <c r="A76" s="18"/>
      <c r="B76" s="36"/>
      <c r="C76" s="35">
        <v>2</v>
      </c>
      <c r="D76" s="37">
        <f>2.75/3.281</f>
        <v>0.8381590978360256</v>
      </c>
      <c r="E76" s="37"/>
      <c r="F76" s="37">
        <v>0.1</v>
      </c>
      <c r="G76" s="38">
        <f t="shared" si="3"/>
        <v>0.16763181956720513</v>
      </c>
      <c r="H76" s="39"/>
      <c r="I76" s="39"/>
      <c r="J76" s="39"/>
      <c r="K76" s="61"/>
      <c r="N76" s="145"/>
      <c r="O76" s="145"/>
      <c r="P76" s="145"/>
      <c r="Q76" s="145"/>
      <c r="R76" s="145"/>
      <c r="S76" s="145"/>
      <c r="T76" s="145"/>
    </row>
    <row r="77" spans="1:20" ht="15" customHeight="1">
      <c r="A77" s="18"/>
      <c r="B77" s="36" t="s">
        <v>41</v>
      </c>
      <c r="C77" s="35"/>
      <c r="D77" s="37"/>
      <c r="E77" s="37"/>
      <c r="F77" s="37"/>
      <c r="G77" s="33">
        <f>SUM(G73:G76)</f>
        <v>4.1176318195672055</v>
      </c>
      <c r="H77" s="39" t="s">
        <v>43</v>
      </c>
      <c r="I77" s="23">
        <f>81404.27/100</f>
        <v>814.04270000000008</v>
      </c>
      <c r="J77" s="41">
        <f>G77*I77</f>
        <v>3351.928124006401</v>
      </c>
      <c r="K77" s="21"/>
    </row>
    <row r="78" spans="1:20" ht="15" customHeight="1">
      <c r="A78" s="18"/>
      <c r="B78" s="36" t="s">
        <v>40</v>
      </c>
      <c r="C78" s="35"/>
      <c r="D78" s="37"/>
      <c r="E78" s="37"/>
      <c r="F78" s="37"/>
      <c r="G78" s="38"/>
      <c r="H78" s="39"/>
      <c r="I78" s="39"/>
      <c r="J78" s="41">
        <f>0.13*G77*36690.27/100</f>
        <v>196.40013018666568</v>
      </c>
      <c r="K78" s="21"/>
    </row>
    <row r="79" spans="1:20" ht="15" customHeight="1">
      <c r="A79" s="18"/>
      <c r="B79" s="36"/>
      <c r="C79" s="35"/>
      <c r="D79" s="37"/>
      <c r="E79" s="37"/>
      <c r="F79" s="37"/>
      <c r="G79" s="38"/>
      <c r="H79" s="39"/>
      <c r="I79" s="39"/>
      <c r="J79" s="41"/>
      <c r="K79" s="21"/>
    </row>
    <row r="80" spans="1:20" ht="30">
      <c r="A80" s="18">
        <v>13</v>
      </c>
      <c r="B80" s="89" t="s">
        <v>119</v>
      </c>
      <c r="C80" s="35"/>
      <c r="D80" s="37"/>
      <c r="E80" s="37"/>
      <c r="F80" s="37"/>
      <c r="G80" s="38"/>
      <c r="H80" s="39"/>
      <c r="I80" s="39"/>
      <c r="J80" s="41"/>
      <c r="K80" s="21"/>
      <c r="N80">
        <f>9.75/0.75</f>
        <v>13</v>
      </c>
    </row>
    <row r="81" spans="1:20" ht="15" customHeight="1">
      <c r="A81" s="18"/>
      <c r="B81" s="36" t="s">
        <v>120</v>
      </c>
      <c r="C81" s="35">
        <v>1</v>
      </c>
      <c r="D81" s="37">
        <f>D60</f>
        <v>9.7531240475464784</v>
      </c>
      <c r="E81" s="37">
        <f>0.7</f>
        <v>0.7</v>
      </c>
      <c r="F81" s="37">
        <v>0.1</v>
      </c>
      <c r="G81" s="38">
        <f>PRODUCT(C81:F81)</f>
        <v>0.68271868332825347</v>
      </c>
      <c r="H81" s="39"/>
      <c r="I81" s="39"/>
      <c r="J81" s="39"/>
      <c r="K81" s="61"/>
      <c r="N81" s="162" t="s">
        <v>87</v>
      </c>
      <c r="O81" s="162"/>
      <c r="P81" s="162"/>
      <c r="Q81" s="162"/>
      <c r="R81" s="162"/>
      <c r="S81" s="162"/>
      <c r="T81" s="162"/>
    </row>
    <row r="82" spans="1:20" ht="15" customHeight="1">
      <c r="A82" s="18"/>
      <c r="B82" s="36"/>
      <c r="C82" s="35">
        <v>1</v>
      </c>
      <c r="D82" s="37">
        <v>0.9</v>
      </c>
      <c r="E82" s="37">
        <f>2.75/3.281</f>
        <v>0.8381590978360256</v>
      </c>
      <c r="F82" s="37">
        <v>0.1</v>
      </c>
      <c r="G82" s="38">
        <f t="shared" ref="G82:G83" si="4">PRODUCT(C82:F82)</f>
        <v>7.5434318805242317E-2</v>
      </c>
      <c r="H82" s="39"/>
      <c r="I82" s="39"/>
      <c r="J82" s="39"/>
      <c r="K82" s="61"/>
      <c r="N82" s="145"/>
      <c r="O82" s="145"/>
      <c r="P82" s="145"/>
      <c r="Q82" s="145"/>
      <c r="R82" s="145"/>
      <c r="S82" s="145"/>
      <c r="T82" s="145"/>
    </row>
    <row r="83" spans="1:20" ht="15" customHeight="1">
      <c r="A83" s="18"/>
      <c r="B83" s="36" t="s">
        <v>159</v>
      </c>
      <c r="C83" s="35">
        <v>1</v>
      </c>
      <c r="D83" s="37">
        <v>1.95</v>
      </c>
      <c r="E83" s="37">
        <v>1</v>
      </c>
      <c r="F83" s="37">
        <v>0.1</v>
      </c>
      <c r="G83" s="38">
        <f t="shared" si="4"/>
        <v>0.19500000000000001</v>
      </c>
      <c r="H83" s="39"/>
      <c r="I83" s="39"/>
      <c r="J83" s="39"/>
      <c r="K83" s="61"/>
      <c r="N83" s="145"/>
      <c r="O83" s="145"/>
      <c r="P83" s="145"/>
      <c r="Q83" s="145"/>
      <c r="R83" s="145"/>
      <c r="S83" s="145"/>
      <c r="T83" s="145"/>
    </row>
    <row r="84" spans="1:20" ht="15" customHeight="1">
      <c r="A84" s="18"/>
      <c r="B84" s="36" t="s">
        <v>41</v>
      </c>
      <c r="C84" s="35"/>
      <c r="D84" s="37"/>
      <c r="E84" s="37"/>
      <c r="F84" s="37"/>
      <c r="G84" s="33">
        <f>SUM(G81:G83)</f>
        <v>0.95315300213349574</v>
      </c>
      <c r="H84" s="39" t="s">
        <v>85</v>
      </c>
      <c r="I84" s="23">
        <v>13568.9</v>
      </c>
      <c r="J84" s="41">
        <f>G84*I84</f>
        <v>12933.23777064919</v>
      </c>
      <c r="K84" s="21"/>
    </row>
    <row r="85" spans="1:20" ht="15" customHeight="1">
      <c r="A85" s="18"/>
      <c r="B85" s="36" t="s">
        <v>40</v>
      </c>
      <c r="C85" s="35"/>
      <c r="D85" s="37"/>
      <c r="E85" s="37"/>
      <c r="F85" s="37"/>
      <c r="G85" s="38"/>
      <c r="H85" s="39"/>
      <c r="I85" s="39"/>
      <c r="J85" s="41">
        <f>0.13*G84*9524.2</f>
        <v>1180.1425769795794</v>
      </c>
      <c r="K85" s="21"/>
    </row>
    <row r="86" spans="1:20" ht="15" customHeight="1">
      <c r="A86" s="18"/>
      <c r="B86" s="36"/>
      <c r="C86" s="35"/>
      <c r="D86" s="37"/>
      <c r="E86" s="37"/>
      <c r="F86" s="37"/>
      <c r="G86" s="38"/>
      <c r="H86" s="39"/>
      <c r="I86" s="39"/>
      <c r="J86" s="41"/>
      <c r="K86" s="21"/>
    </row>
    <row r="87" spans="1:20" ht="30.6">
      <c r="A87" s="18">
        <v>14</v>
      </c>
      <c r="B87" s="121" t="s">
        <v>121</v>
      </c>
      <c r="C87" s="19" t="s">
        <v>7</v>
      </c>
      <c r="D87" s="90" t="s">
        <v>94</v>
      </c>
      <c r="E87" s="91" t="s">
        <v>95</v>
      </c>
      <c r="F87" s="91" t="s">
        <v>96</v>
      </c>
      <c r="G87" s="91" t="s">
        <v>124</v>
      </c>
      <c r="H87" s="22"/>
      <c r="I87" s="23"/>
      <c r="J87" s="40"/>
      <c r="K87" s="21"/>
    </row>
    <row r="88" spans="1:20">
      <c r="A88" s="122"/>
      <c r="B88" s="126" t="s">
        <v>123</v>
      </c>
      <c r="C88" s="124">
        <v>6</v>
      </c>
      <c r="D88" s="12">
        <f>(2.5+2+2.5)/12/3.281</f>
        <v>0.17779132378339937</v>
      </c>
      <c r="E88" s="12">
        <v>0.8</v>
      </c>
      <c r="F88" s="21">
        <f>PRODUCT(C88:E88)</f>
        <v>0.85339835416031706</v>
      </c>
      <c r="G88" s="92">
        <f>F88</f>
        <v>0.85339835416031706</v>
      </c>
      <c r="H88" s="122"/>
      <c r="I88" s="125"/>
      <c r="J88" s="125"/>
      <c r="K88" s="123"/>
    </row>
    <row r="89" spans="1:20">
      <c r="A89" s="122"/>
      <c r="B89" s="126"/>
      <c r="C89" s="124">
        <v>2</v>
      </c>
      <c r="D89" s="12">
        <f>1.6+5.6</f>
        <v>7.1999999999999993</v>
      </c>
      <c r="E89" s="12">
        <v>0.8</v>
      </c>
      <c r="F89" s="21">
        <f>PRODUCT(C89:E89)</f>
        <v>11.52</v>
      </c>
      <c r="G89" s="92">
        <f>F89</f>
        <v>11.52</v>
      </c>
      <c r="H89" s="122"/>
      <c r="I89" s="125"/>
      <c r="J89" s="125"/>
      <c r="K89" s="123"/>
    </row>
    <row r="90" spans="1:20">
      <c r="A90" s="122"/>
      <c r="B90" s="126" t="s">
        <v>135</v>
      </c>
      <c r="C90" s="124">
        <f>TRUNC(D98/0.1,0)</f>
        <v>482</v>
      </c>
      <c r="D90" s="12">
        <f>0.15</f>
        <v>0.15</v>
      </c>
      <c r="E90" s="12">
        <v>0.8</v>
      </c>
      <c r="F90" s="21">
        <f>PRODUCT(C90:E90)</f>
        <v>57.84</v>
      </c>
      <c r="G90" s="92">
        <f>F90</f>
        <v>57.84</v>
      </c>
      <c r="H90" s="122"/>
      <c r="I90" s="125"/>
      <c r="J90" s="125"/>
      <c r="K90" s="123"/>
    </row>
    <row r="91" spans="1:20" s="1" customFormat="1" ht="27.6">
      <c r="A91" s="122"/>
      <c r="B91" s="127" t="s">
        <v>125</v>
      </c>
      <c r="C91" s="124">
        <v>4</v>
      </c>
      <c r="D91" s="12">
        <f>7.5/3.281</f>
        <v>2.2858884486437061</v>
      </c>
      <c r="E91" s="12">
        <v>2.72</v>
      </c>
      <c r="F91" s="12">
        <f t="shared" ref="F91" si="5">PRODUCT(C91:E91)</f>
        <v>24.870466321243523</v>
      </c>
      <c r="G91" s="128">
        <f t="shared" ref="G91:G99" si="6">F91</f>
        <v>24.870466321243523</v>
      </c>
      <c r="H91" s="125"/>
      <c r="I91" s="125"/>
      <c r="J91" s="125"/>
      <c r="K91" s="123"/>
      <c r="M91" s="129"/>
    </row>
    <row r="92" spans="1:20" s="1" customFormat="1">
      <c r="A92" s="122"/>
      <c r="B92" s="127" t="s">
        <v>161</v>
      </c>
      <c r="C92" s="124">
        <v>5</v>
      </c>
      <c r="D92" s="12">
        <f>7/3.281</f>
        <v>2.1334958854007922</v>
      </c>
      <c r="E92" s="12">
        <v>2.72</v>
      </c>
      <c r="F92" s="12">
        <f t="shared" ref="F92" si="7">PRODUCT(C92:E92)</f>
        <v>29.015544041450777</v>
      </c>
      <c r="G92" s="128">
        <f t="shared" ref="G92" si="8">F92</f>
        <v>29.015544041450777</v>
      </c>
      <c r="H92" s="125"/>
      <c r="I92" s="125"/>
      <c r="J92" s="125"/>
      <c r="K92" s="123"/>
      <c r="M92" s="129"/>
    </row>
    <row r="93" spans="1:20" s="1" customFormat="1" ht="41.4">
      <c r="A93" s="122"/>
      <c r="B93" s="127" t="s">
        <v>126</v>
      </c>
      <c r="C93" s="124">
        <v>1</v>
      </c>
      <c r="D93" s="12">
        <f>(1.6+5.6)</f>
        <v>7.1999999999999993</v>
      </c>
      <c r="E93" s="12">
        <v>3.87</v>
      </c>
      <c r="F93" s="12">
        <f t="shared" ref="F93:F99" si="9">PRODUCT(C93:E93)</f>
        <v>27.863999999999997</v>
      </c>
      <c r="G93" s="128">
        <f t="shared" si="6"/>
        <v>27.863999999999997</v>
      </c>
      <c r="H93" s="125"/>
      <c r="I93" s="125"/>
      <c r="J93" s="125"/>
      <c r="K93" s="123"/>
      <c r="M93" s="129"/>
    </row>
    <row r="94" spans="1:20" s="1" customFormat="1">
      <c r="A94" s="122"/>
      <c r="B94" s="127"/>
      <c r="C94" s="124">
        <v>4</v>
      </c>
      <c r="D94" s="12">
        <f>(7.333+1)/3.281</f>
        <v>2.5397744590064004</v>
      </c>
      <c r="E94" s="12">
        <v>3.87</v>
      </c>
      <c r="F94" s="12">
        <f t="shared" si="9"/>
        <v>39.315708625419077</v>
      </c>
      <c r="G94" s="128">
        <f t="shared" si="6"/>
        <v>39.315708625419077</v>
      </c>
      <c r="H94" s="125"/>
      <c r="I94" s="125"/>
      <c r="J94" s="125"/>
      <c r="K94" s="123"/>
      <c r="M94" s="129"/>
    </row>
    <row r="95" spans="1:20" s="1" customFormat="1">
      <c r="A95" s="122"/>
      <c r="B95" s="127" t="str">
        <f>B92</f>
        <v>-at compound</v>
      </c>
      <c r="C95" s="124">
        <v>2</v>
      </c>
      <c r="D95" s="12">
        <f>3+3+7.2</f>
        <v>13.2</v>
      </c>
      <c r="E95" s="12">
        <v>3.87</v>
      </c>
      <c r="F95" s="12">
        <f t="shared" si="9"/>
        <v>102.16799999999999</v>
      </c>
      <c r="G95" s="128">
        <f t="shared" ref="G95" si="10">F95</f>
        <v>102.16799999999999</v>
      </c>
      <c r="H95" s="125"/>
      <c r="I95" s="125"/>
      <c r="J95" s="125"/>
      <c r="K95" s="123"/>
      <c r="M95" s="129"/>
    </row>
    <row r="96" spans="1:20" s="1" customFormat="1">
      <c r="A96" s="122"/>
      <c r="B96" s="127"/>
      <c r="C96" s="124">
        <v>5</v>
      </c>
      <c r="D96" s="12">
        <v>1.5</v>
      </c>
      <c r="E96" s="12">
        <v>3.87</v>
      </c>
      <c r="F96" s="12">
        <f t="shared" ref="F96" si="11">PRODUCT(C96:E96)</f>
        <v>29.025000000000002</v>
      </c>
      <c r="G96" s="128">
        <f t="shared" ref="G96" si="12">F96</f>
        <v>29.025000000000002</v>
      </c>
      <c r="H96" s="125"/>
      <c r="I96" s="125"/>
      <c r="J96" s="125"/>
      <c r="K96" s="123"/>
      <c r="M96" s="129"/>
    </row>
    <row r="97" spans="1:13" s="1" customFormat="1" ht="27.6">
      <c r="A97" s="122"/>
      <c r="B97" s="127" t="s">
        <v>133</v>
      </c>
      <c r="C97" s="124">
        <v>1</v>
      </c>
      <c r="D97" s="12">
        <f>1.6+5.6</f>
        <v>7.1999999999999993</v>
      </c>
      <c r="E97" s="12">
        <v>1.52</v>
      </c>
      <c r="F97" s="12">
        <f t="shared" si="9"/>
        <v>10.943999999999999</v>
      </c>
      <c r="G97" s="128">
        <f t="shared" si="6"/>
        <v>10.943999999999999</v>
      </c>
      <c r="H97" s="125"/>
      <c r="I97" s="125"/>
      <c r="J97" s="125"/>
      <c r="K97" s="123"/>
      <c r="M97" s="129"/>
    </row>
    <row r="98" spans="1:13" s="1" customFormat="1">
      <c r="A98" s="122"/>
      <c r="B98" s="127" t="s">
        <v>134</v>
      </c>
      <c r="C98" s="124">
        <v>2</v>
      </c>
      <c r="D98" s="12">
        <f>5.6+5.92+2.83+1.2+0.85+5.2+6.9+5.8+4.3+6.3+1.5+1.8</f>
        <v>48.199999999999989</v>
      </c>
      <c r="E98" s="12">
        <v>1.52</v>
      </c>
      <c r="F98" s="12">
        <f t="shared" si="9"/>
        <v>146.52799999999996</v>
      </c>
      <c r="G98" s="128">
        <f t="shared" si="6"/>
        <v>146.52799999999996</v>
      </c>
      <c r="H98" s="125"/>
      <c r="I98" s="125"/>
      <c r="J98" s="125"/>
      <c r="K98" s="123"/>
      <c r="M98" s="129"/>
    </row>
    <row r="99" spans="1:13" s="1" customFormat="1">
      <c r="A99" s="122"/>
      <c r="B99" s="127" t="s">
        <v>136</v>
      </c>
      <c r="C99" s="124">
        <f>C90</f>
        <v>482</v>
      </c>
      <c r="D99" s="12">
        <f>2.5/3.281</f>
        <v>0.76196281621456874</v>
      </c>
      <c r="E99" s="12">
        <v>1.1299999999999999</v>
      </c>
      <c r="F99" s="12">
        <f t="shared" si="9"/>
        <v>415.01066747942701</v>
      </c>
      <c r="G99" s="128">
        <f t="shared" si="6"/>
        <v>415.01066747942701</v>
      </c>
      <c r="H99" s="125"/>
      <c r="I99" s="125"/>
      <c r="J99" s="125"/>
      <c r="K99" s="123"/>
      <c r="M99" s="129"/>
    </row>
    <row r="100" spans="1:13" ht="15" customHeight="1">
      <c r="A100" s="18"/>
      <c r="B100" s="36" t="s">
        <v>41</v>
      </c>
      <c r="C100" s="19"/>
      <c r="D100" s="20"/>
      <c r="E100" s="21"/>
      <c r="F100" s="21"/>
      <c r="G100" s="23">
        <f>SUM(G88:G99)</f>
        <v>894.95478482170074</v>
      </c>
      <c r="H100" s="22" t="s">
        <v>122</v>
      </c>
      <c r="I100" s="23">
        <v>181.17</v>
      </c>
      <c r="J100" s="40">
        <f>G100*I100</f>
        <v>162138.9583661475</v>
      </c>
      <c r="K100" s="21"/>
    </row>
    <row r="101" spans="1:13" ht="15" customHeight="1">
      <c r="A101" s="18"/>
      <c r="B101" s="36" t="s">
        <v>40</v>
      </c>
      <c r="C101" s="19"/>
      <c r="D101" s="20"/>
      <c r="E101" s="21"/>
      <c r="F101" s="21"/>
      <c r="G101" s="23"/>
      <c r="H101" s="22"/>
      <c r="I101" s="23"/>
      <c r="J101" s="40">
        <f>0.13*G100*1871.42/18.94</f>
        <v>11495.708386664917</v>
      </c>
      <c r="K101" s="21"/>
    </row>
    <row r="102" spans="1:13" ht="15" customHeight="1">
      <c r="A102" s="18"/>
      <c r="B102" s="36"/>
      <c r="C102" s="19"/>
      <c r="D102" s="20"/>
      <c r="E102" s="21"/>
      <c r="F102" s="21"/>
      <c r="G102" s="23"/>
      <c r="H102" s="22"/>
      <c r="I102" s="23"/>
      <c r="J102" s="40"/>
      <c r="K102" s="21"/>
    </row>
    <row r="103" spans="1:13" s="1" customFormat="1" ht="30">
      <c r="A103" s="18">
        <v>15</v>
      </c>
      <c r="B103" s="130" t="s">
        <v>127</v>
      </c>
      <c r="C103" s="19"/>
      <c r="D103" s="20"/>
      <c r="E103" s="21"/>
      <c r="F103" s="21"/>
      <c r="G103" s="125"/>
      <c r="H103" s="22"/>
      <c r="I103" s="23"/>
      <c r="J103" s="125"/>
      <c r="K103" s="21"/>
    </row>
    <row r="104" spans="1:13" s="1" customFormat="1">
      <c r="A104" s="18"/>
      <c r="B104" s="127" t="s">
        <v>128</v>
      </c>
      <c r="C104" s="19">
        <v>2</v>
      </c>
      <c r="D104" s="20">
        <f>(4/3.281)+0.85</f>
        <v>2.0691405059433099</v>
      </c>
      <c r="E104" s="21"/>
      <c r="F104" s="21">
        <v>1.6</v>
      </c>
      <c r="G104" s="128">
        <f t="shared" ref="G104:G114" si="13">PRODUCT(C104:F104)</f>
        <v>6.6212496190185917</v>
      </c>
      <c r="H104" s="22"/>
      <c r="I104" s="23"/>
      <c r="J104" s="125"/>
      <c r="K104" s="21"/>
    </row>
    <row r="105" spans="1:13" s="1" customFormat="1">
      <c r="A105" s="18"/>
      <c r="B105" s="127"/>
      <c r="C105" s="19">
        <v>1</v>
      </c>
      <c r="D105" s="20">
        <f>5.2+6.9</f>
        <v>12.100000000000001</v>
      </c>
      <c r="E105" s="21"/>
      <c r="F105" s="21">
        <f>(1.5+1.3+1.75)/3</f>
        <v>1.5166666666666666</v>
      </c>
      <c r="G105" s="128">
        <f t="shared" si="13"/>
        <v>18.351666666666667</v>
      </c>
      <c r="H105" s="22"/>
      <c r="I105" s="23"/>
      <c r="J105" s="125"/>
      <c r="K105" s="21"/>
    </row>
    <row r="106" spans="1:13" s="1" customFormat="1">
      <c r="A106" s="18"/>
      <c r="B106" s="127"/>
      <c r="C106" s="19">
        <v>1</v>
      </c>
      <c r="D106" s="20">
        <f>5.2+6.9</f>
        <v>12.100000000000001</v>
      </c>
      <c r="E106" s="21"/>
      <c r="F106" s="21">
        <v>1.3</v>
      </c>
      <c r="G106" s="128">
        <f t="shared" si="13"/>
        <v>15.730000000000002</v>
      </c>
      <c r="H106" s="22"/>
      <c r="I106" s="23"/>
      <c r="J106" s="125"/>
      <c r="K106" s="21"/>
    </row>
    <row r="107" spans="1:13" s="1" customFormat="1">
      <c r="A107" s="18"/>
      <c r="B107" s="127"/>
      <c r="C107" s="19">
        <v>1</v>
      </c>
      <c r="D107" s="20">
        <f>5.8</f>
        <v>5.8</v>
      </c>
      <c r="E107" s="21"/>
      <c r="F107" s="21">
        <v>1.4</v>
      </c>
      <c r="G107" s="128">
        <f t="shared" si="13"/>
        <v>8.1199999999999992</v>
      </c>
      <c r="H107" s="22"/>
      <c r="I107" s="23"/>
      <c r="J107" s="125"/>
      <c r="K107" s="21"/>
    </row>
    <row r="108" spans="1:13" s="1" customFormat="1">
      <c r="A108" s="18"/>
      <c r="B108" s="127"/>
      <c r="C108" s="19">
        <v>1</v>
      </c>
      <c r="D108" s="20">
        <v>5.8</v>
      </c>
      <c r="E108" s="21"/>
      <c r="F108" s="21">
        <f>3.6/3.281</f>
        <v>1.097226455348979</v>
      </c>
      <c r="G108" s="128">
        <f t="shared" si="13"/>
        <v>6.3639134410240779</v>
      </c>
      <c r="H108" s="22"/>
      <c r="I108" s="23"/>
      <c r="J108" s="125"/>
      <c r="K108" s="21"/>
    </row>
    <row r="109" spans="1:13" s="1" customFormat="1">
      <c r="A109" s="18"/>
      <c r="B109" s="127"/>
      <c r="C109" s="19">
        <v>1</v>
      </c>
      <c r="D109" s="20">
        <f>4.3+6.3</f>
        <v>10.6</v>
      </c>
      <c r="E109" s="21"/>
      <c r="F109" s="21">
        <v>1.27</v>
      </c>
      <c r="G109" s="128">
        <f t="shared" si="13"/>
        <v>13.462</v>
      </c>
      <c r="H109" s="22"/>
      <c r="I109" s="23"/>
      <c r="J109" s="125"/>
      <c r="K109" s="21"/>
    </row>
    <row r="110" spans="1:13" s="1" customFormat="1">
      <c r="A110" s="18"/>
      <c r="B110" s="127"/>
      <c r="C110" s="19">
        <v>1</v>
      </c>
      <c r="D110" s="20">
        <f>6/3.281</f>
        <v>1.8287107589149649</v>
      </c>
      <c r="E110" s="21"/>
      <c r="F110" s="21">
        <f>3/3.281</f>
        <v>0.91435537945748246</v>
      </c>
      <c r="G110" s="128">
        <f t="shared" si="13"/>
        <v>1.6720915198856734</v>
      </c>
      <c r="H110" s="22"/>
      <c r="I110" s="23"/>
      <c r="J110" s="125"/>
      <c r="K110" s="21"/>
    </row>
    <row r="111" spans="1:13" s="1" customFormat="1">
      <c r="A111" s="18"/>
      <c r="B111" s="127"/>
      <c r="C111" s="19">
        <v>1</v>
      </c>
      <c r="D111" s="20">
        <f>5/3.281</f>
        <v>1.5239256324291375</v>
      </c>
      <c r="E111" s="21"/>
      <c r="F111" s="21">
        <f>2/3.281</f>
        <v>0.6095702529716549</v>
      </c>
      <c r="G111" s="128">
        <f t="shared" si="13"/>
        <v>0.92893973326981849</v>
      </c>
      <c r="H111" s="22"/>
      <c r="I111" s="23"/>
      <c r="J111" s="125"/>
      <c r="K111" s="21"/>
    </row>
    <row r="112" spans="1:13" s="1" customFormat="1">
      <c r="A112" s="18"/>
      <c r="B112" s="127"/>
      <c r="C112" s="19">
        <v>1</v>
      </c>
      <c r="D112" s="20">
        <f>5.45+6.25+1.27</f>
        <v>12.969999999999999</v>
      </c>
      <c r="E112" s="21"/>
      <c r="F112" s="21">
        <v>0.3</v>
      </c>
      <c r="G112" s="128">
        <f t="shared" si="13"/>
        <v>3.8909999999999996</v>
      </c>
      <c r="H112" s="22"/>
      <c r="I112" s="23"/>
      <c r="J112" s="125"/>
      <c r="K112" s="21"/>
    </row>
    <row r="113" spans="1:11" s="1" customFormat="1">
      <c r="A113" s="18"/>
      <c r="B113" s="127" t="str">
        <f>B54</f>
        <v>-at one side drain</v>
      </c>
      <c r="C113" s="19">
        <f>C54</f>
        <v>1</v>
      </c>
      <c r="D113" s="20">
        <f>D54</f>
        <v>6.55</v>
      </c>
      <c r="E113" s="21"/>
      <c r="F113" s="21">
        <v>0.23</v>
      </c>
      <c r="G113" s="128">
        <f t="shared" si="13"/>
        <v>1.5065</v>
      </c>
      <c r="H113" s="22"/>
      <c r="I113" s="23"/>
      <c r="J113" s="125"/>
      <c r="K113" s="21"/>
    </row>
    <row r="114" spans="1:11" s="1" customFormat="1">
      <c r="A114" s="18"/>
      <c r="B114" s="127" t="str">
        <f>B14</f>
        <v>-at roof</v>
      </c>
      <c r="C114" s="19">
        <f>C14</f>
        <v>1</v>
      </c>
      <c r="D114" s="20">
        <f>D14</f>
        <v>18</v>
      </c>
      <c r="E114" s="21"/>
      <c r="F114" s="21">
        <f>F14</f>
        <v>0.7110637000914356</v>
      </c>
      <c r="G114" s="128">
        <f t="shared" si="13"/>
        <v>12.799146601645841</v>
      </c>
      <c r="H114" s="22"/>
      <c r="I114" s="23"/>
      <c r="J114" s="125"/>
      <c r="K114" s="21"/>
    </row>
    <row r="115" spans="1:11" s="1" customFormat="1">
      <c r="A115" s="18"/>
      <c r="B115" s="127" t="s">
        <v>129</v>
      </c>
      <c r="C115" s="19"/>
      <c r="D115" s="20"/>
      <c r="E115" s="21"/>
      <c r="F115" s="21"/>
      <c r="G115" s="125">
        <f>SUM(G104:G114)</f>
        <v>89.446507581510673</v>
      </c>
      <c r="H115" s="22" t="s">
        <v>43</v>
      </c>
      <c r="I115" s="23">
        <v>405.86</v>
      </c>
      <c r="J115" s="125">
        <f>G115*I115</f>
        <v>36302.759567031921</v>
      </c>
      <c r="K115" s="21"/>
    </row>
    <row r="116" spans="1:11" s="1" customFormat="1">
      <c r="A116" s="18"/>
      <c r="B116" s="127" t="s">
        <v>130</v>
      </c>
      <c r="C116" s="19"/>
      <c r="D116" s="20"/>
      <c r="E116" s="21"/>
      <c r="F116" s="21"/>
      <c r="G116" s="125"/>
      <c r="H116" s="22"/>
      <c r="I116" s="23"/>
      <c r="J116" s="125">
        <f>0.13*G115*11166.2/100</f>
        <v>1298.410870843664</v>
      </c>
      <c r="K116" s="21"/>
    </row>
    <row r="117" spans="1:11" s="1" customFormat="1">
      <c r="A117" s="18"/>
      <c r="B117" s="127"/>
      <c r="C117" s="19"/>
      <c r="D117" s="20"/>
      <c r="E117" s="21"/>
      <c r="F117" s="21"/>
      <c r="G117" s="125"/>
      <c r="H117" s="22"/>
      <c r="I117" s="23"/>
      <c r="J117" s="125"/>
      <c r="K117" s="21"/>
    </row>
    <row r="118" spans="1:11" ht="30.6">
      <c r="A118" s="18">
        <v>16</v>
      </c>
      <c r="B118" s="121" t="s">
        <v>131</v>
      </c>
      <c r="C118" s="19"/>
      <c r="D118" s="20"/>
      <c r="E118" s="21"/>
      <c r="F118" s="21"/>
      <c r="G118" s="23"/>
      <c r="H118" s="22"/>
      <c r="I118" s="23"/>
      <c r="J118" s="40"/>
      <c r="K118" s="21"/>
    </row>
    <row r="119" spans="1:11" ht="15" customHeight="1">
      <c r="A119" s="18"/>
      <c r="B119" s="36" t="s">
        <v>156</v>
      </c>
      <c r="C119" s="19">
        <v>1</v>
      </c>
      <c r="D119" s="20"/>
      <c r="E119" s="21"/>
      <c r="F119" s="21"/>
      <c r="G119" s="38">
        <f>G115-G113</f>
        <v>87.94000758151067</v>
      </c>
      <c r="H119" s="22"/>
      <c r="I119" s="23"/>
      <c r="J119" s="40"/>
      <c r="K119" s="21"/>
    </row>
    <row r="120" spans="1:11" ht="15" customHeight="1">
      <c r="A120" s="18"/>
      <c r="B120" s="36" t="s">
        <v>41</v>
      </c>
      <c r="C120" s="19"/>
      <c r="D120" s="20"/>
      <c r="E120" s="21"/>
      <c r="F120" s="21"/>
      <c r="G120" s="23">
        <f>SUM(G119:G119)</f>
        <v>87.94000758151067</v>
      </c>
      <c r="H120" s="22" t="s">
        <v>43</v>
      </c>
      <c r="I120" s="23">
        <v>251.77</v>
      </c>
      <c r="J120" s="40">
        <f>G120*I120</f>
        <v>22140.655708796941</v>
      </c>
      <c r="K120" s="21"/>
    </row>
    <row r="121" spans="1:11" ht="15" customHeight="1">
      <c r="A121" s="18"/>
      <c r="B121" s="36" t="s">
        <v>40</v>
      </c>
      <c r="C121" s="19"/>
      <c r="D121" s="20"/>
      <c r="E121" s="21"/>
      <c r="F121" s="21"/>
      <c r="G121" s="23"/>
      <c r="H121" s="22"/>
      <c r="I121" s="23"/>
      <c r="J121" s="40">
        <f>0.13*G120*12736/100</f>
        <v>1456.0051175255562</v>
      </c>
      <c r="K121" s="21"/>
    </row>
    <row r="122" spans="1:11" ht="15" customHeight="1">
      <c r="A122" s="18"/>
      <c r="B122" s="36"/>
      <c r="C122" s="19"/>
      <c r="D122" s="20"/>
      <c r="E122" s="21"/>
      <c r="F122" s="21"/>
      <c r="G122" s="23"/>
      <c r="H122" s="22"/>
      <c r="I122" s="23"/>
      <c r="J122" s="40"/>
      <c r="K122" s="21"/>
    </row>
    <row r="123" spans="1:11" s="1" customFormat="1" ht="46.2">
      <c r="A123" s="18">
        <v>17</v>
      </c>
      <c r="B123" s="146" t="s">
        <v>153</v>
      </c>
      <c r="C123" s="146"/>
      <c r="D123" s="20"/>
      <c r="G123" s="125"/>
      <c r="H123" s="22"/>
      <c r="I123" s="23"/>
      <c r="J123" s="125"/>
      <c r="K123" s="21"/>
    </row>
    <row r="124" spans="1:11" ht="15" customHeight="1">
      <c r="A124" s="18"/>
      <c r="B124" s="36" t="s">
        <v>138</v>
      </c>
      <c r="C124" s="19">
        <v>1</v>
      </c>
      <c r="D124" s="20">
        <f>1.6+5.6</f>
        <v>7.1999999999999993</v>
      </c>
      <c r="E124" s="21">
        <f>(7.333+1.5)/3.281</f>
        <v>2.6921670222493144</v>
      </c>
      <c r="F124" s="21"/>
      <c r="G124" s="128">
        <f t="shared" ref="G124:G125" si="14">PRODUCT(C124:F124)</f>
        <v>19.383602560195062</v>
      </c>
      <c r="H124" s="22"/>
      <c r="I124" s="23"/>
      <c r="J124" s="40"/>
      <c r="K124" s="21"/>
    </row>
    <row r="125" spans="1:11" ht="15" customHeight="1">
      <c r="A125" s="18"/>
      <c r="B125" s="36" t="str">
        <f>B95</f>
        <v>-at compound</v>
      </c>
      <c r="C125" s="19">
        <v>1</v>
      </c>
      <c r="D125" s="20">
        <f>13.2</f>
        <v>13.2</v>
      </c>
      <c r="E125" s="21">
        <v>1.5</v>
      </c>
      <c r="F125" s="21"/>
      <c r="G125" s="128">
        <f t="shared" si="14"/>
        <v>19.799999999999997</v>
      </c>
      <c r="H125" s="22"/>
      <c r="I125" s="23"/>
      <c r="J125" s="40"/>
      <c r="K125" s="21"/>
    </row>
    <row r="126" spans="1:11" ht="15" customHeight="1">
      <c r="A126" s="18"/>
      <c r="B126" s="36" t="s">
        <v>41</v>
      </c>
      <c r="C126" s="19"/>
      <c r="D126" s="20"/>
      <c r="E126" s="21"/>
      <c r="F126" s="21"/>
      <c r="G126" s="23">
        <f>SUM(G124:G125)</f>
        <v>39.183602560195055</v>
      </c>
      <c r="H126" s="22" t="s">
        <v>43</v>
      </c>
      <c r="I126" s="23">
        <v>2271.5500000000002</v>
      </c>
      <c r="J126" s="40">
        <f>G126*I126</f>
        <v>89007.512395611091</v>
      </c>
      <c r="K126" s="21"/>
    </row>
    <row r="127" spans="1:11" ht="15" customHeight="1">
      <c r="A127" s="18"/>
      <c r="B127" s="36" t="s">
        <v>40</v>
      </c>
      <c r="C127" s="19"/>
      <c r="D127" s="20"/>
      <c r="E127" s="21"/>
      <c r="F127" s="21"/>
      <c r="G127" s="23"/>
      <c r="H127" s="22"/>
      <c r="I127" s="23"/>
      <c r="J127" s="40">
        <f>0.13*G126*(20218/10)</f>
        <v>10298.782995306306</v>
      </c>
      <c r="K127" s="21"/>
    </row>
    <row r="128" spans="1:11" ht="15" customHeight="1">
      <c r="A128" s="18"/>
      <c r="B128" s="36"/>
      <c r="C128" s="19"/>
      <c r="D128" s="20"/>
      <c r="E128" s="21"/>
      <c r="F128" s="21"/>
      <c r="G128" s="23"/>
      <c r="H128" s="22"/>
      <c r="I128" s="23"/>
      <c r="J128" s="40"/>
      <c r="K128" s="21"/>
    </row>
    <row r="129" spans="1:20" s="144" customFormat="1" ht="17.399999999999999">
      <c r="A129" s="141">
        <v>18</v>
      </c>
      <c r="B129" s="133" t="s">
        <v>142</v>
      </c>
      <c r="C129" s="134"/>
      <c r="D129" s="135"/>
      <c r="E129" s="142"/>
      <c r="F129" s="135" t="s">
        <v>145</v>
      </c>
      <c r="G129" s="135"/>
      <c r="H129" s="135"/>
      <c r="I129" s="135"/>
      <c r="J129" s="137"/>
      <c r="K129" s="143"/>
    </row>
    <row r="130" spans="1:20" ht="15" customHeight="1">
      <c r="A130" s="18"/>
      <c r="B130" s="36" t="s">
        <v>143</v>
      </c>
      <c r="C130" s="35">
        <v>1</v>
      </c>
      <c r="D130" s="37"/>
      <c r="E130" s="5"/>
      <c r="F130" s="138">
        <f>CONVERT(48.3735,"ft2","m2")</f>
        <v>4.49404520544</v>
      </c>
      <c r="G130" s="128">
        <f>PRODUCT(C130:F130)</f>
        <v>4.49404520544</v>
      </c>
      <c r="H130" s="39"/>
      <c r="I130" s="39"/>
      <c r="J130" s="39"/>
      <c r="K130" s="21"/>
      <c r="M130" s="1"/>
      <c r="N130" s="1"/>
      <c r="O130" s="1"/>
      <c r="P130" s="88"/>
      <c r="Q130" s="88"/>
    </row>
    <row r="131" spans="1:20" ht="15" customHeight="1">
      <c r="A131" s="18"/>
      <c r="B131" s="36"/>
      <c r="C131" s="35">
        <v>1</v>
      </c>
      <c r="D131" s="37"/>
      <c r="E131" s="5"/>
      <c r="F131" s="138">
        <f>CONVERT(224.2762,"ft2","m2")</f>
        <v>20.835940779647999</v>
      </c>
      <c r="G131" s="128">
        <f>PRODUCT(C131:F131)</f>
        <v>20.835940779647999</v>
      </c>
      <c r="H131" s="39"/>
      <c r="I131" s="39"/>
      <c r="J131" s="39"/>
      <c r="K131" s="21"/>
      <c r="M131" s="1"/>
      <c r="N131" s="1"/>
      <c r="O131" s="1"/>
      <c r="P131" s="88"/>
      <c r="Q131" s="88"/>
    </row>
    <row r="132" spans="1:20" ht="15" customHeight="1">
      <c r="A132" s="18"/>
      <c r="B132" s="36"/>
      <c r="C132" s="35">
        <v>1</v>
      </c>
      <c r="D132" s="37">
        <f>(4.1+4.4)/2</f>
        <v>4.25</v>
      </c>
      <c r="E132" s="37">
        <f>2.6</f>
        <v>2.6</v>
      </c>
      <c r="F132" s="37"/>
      <c r="G132" s="128">
        <f t="shared" ref="G132:G134" si="15">PRODUCT(C132:F132)</f>
        <v>11.05</v>
      </c>
      <c r="H132" s="39"/>
      <c r="I132" s="39"/>
      <c r="J132" s="39"/>
      <c r="K132" s="21"/>
      <c r="M132" s="1"/>
      <c r="N132" s="1"/>
      <c r="O132" s="1"/>
      <c r="P132" s="88"/>
      <c r="Q132" s="88"/>
    </row>
    <row r="133" spans="1:20" ht="15" customHeight="1">
      <c r="A133" s="18"/>
      <c r="B133" s="36"/>
      <c r="C133" s="35">
        <v>1</v>
      </c>
      <c r="D133" s="37">
        <v>7</v>
      </c>
      <c r="E133" s="37">
        <f>((2.5+4.75)/2)/3.281</f>
        <v>1.1048460835111247</v>
      </c>
      <c r="F133" s="37"/>
      <c r="G133" s="128">
        <f t="shared" si="15"/>
        <v>7.733922584577873</v>
      </c>
      <c r="H133" s="39"/>
      <c r="I133" s="39"/>
      <c r="J133" s="39"/>
      <c r="K133" s="21"/>
      <c r="M133" s="1"/>
      <c r="N133" s="184" t="s">
        <v>146</v>
      </c>
      <c r="O133" s="184"/>
      <c r="P133" s="184"/>
      <c r="Q133" s="184"/>
      <c r="R133" s="184"/>
      <c r="S133" s="184"/>
      <c r="T133" s="184"/>
    </row>
    <row r="134" spans="1:20" ht="15" customHeight="1">
      <c r="A134" s="18"/>
      <c r="B134" s="36"/>
      <c r="C134" s="35">
        <v>1</v>
      </c>
      <c r="D134" s="37">
        <v>6.55</v>
      </c>
      <c r="E134" s="37">
        <f>((16.17+1)/2)/3.281</f>
        <v>2.616580310880829</v>
      </c>
      <c r="F134" s="37"/>
      <c r="G134" s="128">
        <f t="shared" si="15"/>
        <v>17.138601036269428</v>
      </c>
      <c r="H134" s="39"/>
      <c r="I134" s="39"/>
      <c r="J134" s="39"/>
      <c r="K134" s="21"/>
      <c r="M134" s="1"/>
      <c r="N134" s="184" t="s">
        <v>147</v>
      </c>
      <c r="O134" s="184"/>
      <c r="P134" s="184"/>
      <c r="Q134" s="184"/>
      <c r="R134" s="184"/>
      <c r="S134" s="184"/>
      <c r="T134" s="184"/>
    </row>
    <row r="135" spans="1:20" ht="15" customHeight="1">
      <c r="A135" s="39"/>
      <c r="B135" s="36" t="s">
        <v>41</v>
      </c>
      <c r="C135" s="134"/>
      <c r="D135" s="135"/>
      <c r="E135" s="135"/>
      <c r="F135" s="135"/>
      <c r="G135" s="136">
        <f>SUM(G130:G134)</f>
        <v>61.252509605935302</v>
      </c>
      <c r="H135" s="136" t="s">
        <v>144</v>
      </c>
      <c r="I135" s="136">
        <f>35*10.7639</f>
        <v>376.73649999999998</v>
      </c>
      <c r="J135" s="137">
        <f>G135*I135</f>
        <v>23076.056085156444</v>
      </c>
      <c r="K135" s="35"/>
    </row>
    <row r="136" spans="1:20" ht="15" customHeight="1">
      <c r="A136" s="39"/>
      <c r="B136" s="36" t="s">
        <v>40</v>
      </c>
      <c r="C136" s="134"/>
      <c r="D136" s="135"/>
      <c r="E136" s="135"/>
      <c r="F136" s="135"/>
      <c r="G136" s="135"/>
      <c r="H136" s="135"/>
      <c r="I136" s="135"/>
      <c r="J136" s="41">
        <f>0.13*J135</f>
        <v>2999.8872910703381</v>
      </c>
      <c r="K136" s="35"/>
    </row>
    <row r="137" spans="1:20" ht="15" customHeight="1">
      <c r="A137" s="39"/>
      <c r="B137" s="36"/>
      <c r="C137" s="134"/>
      <c r="D137" s="135"/>
      <c r="E137" s="135"/>
      <c r="F137" s="135"/>
      <c r="G137" s="135"/>
      <c r="H137" s="135"/>
      <c r="I137" s="135"/>
      <c r="J137" s="41"/>
      <c r="K137" s="35"/>
    </row>
    <row r="138" spans="1:20" s="1" customFormat="1" ht="45">
      <c r="A138" s="59">
        <v>19</v>
      </c>
      <c r="B138" s="139" t="s">
        <v>148</v>
      </c>
      <c r="C138" s="140"/>
      <c r="D138" s="38"/>
      <c r="E138" s="38"/>
      <c r="F138" s="38"/>
      <c r="G138" s="38"/>
      <c r="H138" s="38"/>
      <c r="I138" s="38"/>
      <c r="J138" s="41"/>
      <c r="K138" s="28"/>
    </row>
    <row r="139" spans="1:20" ht="15" customHeight="1">
      <c r="A139" s="39"/>
      <c r="B139" s="36" t="s">
        <v>149</v>
      </c>
      <c r="C139" s="19"/>
      <c r="D139" s="135"/>
      <c r="E139" s="135"/>
      <c r="F139" s="135"/>
      <c r="G139" s="135">
        <f>G135</f>
        <v>61.252509605935302</v>
      </c>
      <c r="H139" s="135"/>
      <c r="I139" s="135"/>
      <c r="J139" s="41"/>
      <c r="K139" s="35"/>
    </row>
    <row r="140" spans="1:20" ht="15" customHeight="1">
      <c r="A140" s="39"/>
      <c r="B140" s="36" t="str">
        <f>B83</f>
        <v>-at entrance</v>
      </c>
      <c r="C140" s="19">
        <v>1</v>
      </c>
      <c r="D140" s="147">
        <f t="shared" ref="D140:E140" si="16">D83</f>
        <v>1.95</v>
      </c>
      <c r="E140" s="147">
        <f t="shared" si="16"/>
        <v>1</v>
      </c>
      <c r="F140" s="147"/>
      <c r="G140" s="128">
        <f t="shared" ref="G140" si="17">PRODUCT(C140:F140)</f>
        <v>1.95</v>
      </c>
      <c r="H140" s="135"/>
      <c r="I140" s="135"/>
      <c r="J140" s="41"/>
      <c r="K140" s="35"/>
    </row>
    <row r="141" spans="1:20" ht="15" customHeight="1">
      <c r="A141" s="39"/>
      <c r="B141" s="36" t="s">
        <v>41</v>
      </c>
      <c r="C141" s="134"/>
      <c r="D141" s="135"/>
      <c r="E141" s="135"/>
      <c r="F141" s="135"/>
      <c r="G141" s="136">
        <f>SUM(G139:G140)</f>
        <v>63.202509605935305</v>
      </c>
      <c r="H141" s="136" t="s">
        <v>144</v>
      </c>
      <c r="I141" s="136">
        <v>9.1999999999999993</v>
      </c>
      <c r="J141" s="137">
        <f>G141*I141</f>
        <v>581.46308837460481</v>
      </c>
      <c r="K141" s="35"/>
    </row>
    <row r="142" spans="1:20" ht="15" customHeight="1">
      <c r="A142" s="18"/>
      <c r="B142" s="36"/>
      <c r="C142" s="19"/>
      <c r="D142" s="20"/>
      <c r="E142" s="21"/>
      <c r="F142" s="21"/>
      <c r="G142" s="23"/>
      <c r="H142" s="22"/>
      <c r="I142" s="23"/>
      <c r="J142" s="40"/>
      <c r="K142" s="21"/>
    </row>
    <row r="143" spans="1:20" ht="15" customHeight="1">
      <c r="A143" s="18">
        <v>20</v>
      </c>
      <c r="B143" s="36" t="s">
        <v>139</v>
      </c>
      <c r="C143" s="19">
        <v>1</v>
      </c>
      <c r="D143" s="20"/>
      <c r="E143" s="21"/>
      <c r="F143" s="21"/>
      <c r="G143" s="128">
        <f t="shared" ref="G143" si="18">PRODUCT(C143:F143)</f>
        <v>1</v>
      </c>
      <c r="H143" s="22" t="s">
        <v>140</v>
      </c>
      <c r="I143" s="23">
        <v>5000</v>
      </c>
      <c r="J143" s="33">
        <f>G143*I143</f>
        <v>5000</v>
      </c>
      <c r="K143" s="21"/>
    </row>
    <row r="144" spans="1:20" ht="15" customHeight="1">
      <c r="A144" s="18"/>
      <c r="B144" s="36"/>
      <c r="C144" s="19"/>
      <c r="D144" s="20"/>
      <c r="E144" s="21"/>
      <c r="F144" s="21"/>
      <c r="G144" s="23"/>
      <c r="H144" s="22"/>
      <c r="I144" s="23"/>
      <c r="J144" s="40"/>
      <c r="K144" s="21"/>
    </row>
    <row r="145" spans="1:11" ht="15" customHeight="1">
      <c r="A145" s="18">
        <v>21</v>
      </c>
      <c r="B145" s="29" t="s">
        <v>30</v>
      </c>
      <c r="C145" s="19">
        <v>1</v>
      </c>
      <c r="D145" s="20"/>
      <c r="E145" s="21"/>
      <c r="F145" s="21"/>
      <c r="G145" s="33">
        <f t="shared" ref="G145" si="19">PRODUCT(C145:F145)</f>
        <v>1</v>
      </c>
      <c r="H145" s="22" t="s">
        <v>31</v>
      </c>
      <c r="I145" s="23">
        <v>1000</v>
      </c>
      <c r="J145" s="33">
        <f>G145*I145</f>
        <v>1000</v>
      </c>
      <c r="K145" s="21"/>
    </row>
    <row r="146" spans="1:11" ht="15" customHeight="1">
      <c r="A146" s="18"/>
      <c r="B146" s="24"/>
      <c r="C146" s="19"/>
      <c r="D146" s="20"/>
      <c r="E146" s="21"/>
      <c r="F146" s="21"/>
      <c r="G146" s="23"/>
      <c r="H146" s="22"/>
      <c r="I146" s="23"/>
      <c r="J146" s="40"/>
      <c r="K146" s="21"/>
    </row>
    <row r="147" spans="1:11">
      <c r="A147" s="39"/>
      <c r="B147" s="42" t="s">
        <v>17</v>
      </c>
      <c r="C147" s="43"/>
      <c r="D147" s="37"/>
      <c r="E147" s="37"/>
      <c r="F147" s="37"/>
      <c r="G147" s="40"/>
      <c r="H147" s="40"/>
      <c r="I147" s="40"/>
      <c r="J147" s="40">
        <f>SUM(J10:J145)</f>
        <v>568473.01951057301</v>
      </c>
      <c r="K147" s="35"/>
    </row>
    <row r="148" spans="1:11">
      <c r="A148" s="54"/>
      <c r="B148" s="57"/>
      <c r="C148" s="58"/>
      <c r="D148" s="55"/>
      <c r="E148" s="55"/>
      <c r="F148" s="55"/>
      <c r="G148" s="56"/>
      <c r="H148" s="56"/>
      <c r="I148" s="56"/>
      <c r="J148" s="56"/>
      <c r="K148" s="53"/>
    </row>
    <row r="149" spans="1:11" s="1" customFormat="1">
      <c r="A149" s="46"/>
      <c r="B149" s="28" t="s">
        <v>27</v>
      </c>
      <c r="C149" s="163">
        <f>J147</f>
        <v>568473.01951057301</v>
      </c>
      <c r="D149" s="163"/>
      <c r="E149" s="38">
        <v>100</v>
      </c>
      <c r="F149" s="47"/>
      <c r="G149" s="48"/>
      <c r="H149" s="47"/>
      <c r="I149" s="49"/>
      <c r="J149" s="50"/>
      <c r="K149" s="51"/>
    </row>
    <row r="150" spans="1:11">
      <c r="A150" s="52"/>
      <c r="B150" s="28" t="s">
        <v>32</v>
      </c>
      <c r="C150" s="166">
        <v>500000</v>
      </c>
      <c r="D150" s="166"/>
      <c r="E150" s="38"/>
      <c r="F150" s="45"/>
      <c r="G150" s="44"/>
      <c r="H150" s="44"/>
      <c r="I150" s="44"/>
      <c r="J150" s="44"/>
      <c r="K150" s="45"/>
    </row>
    <row r="151" spans="1:11">
      <c r="A151" s="52"/>
      <c r="B151" s="28" t="s">
        <v>33</v>
      </c>
      <c r="C151" s="166">
        <f>C150-C153-C154</f>
        <v>475000</v>
      </c>
      <c r="D151" s="166"/>
      <c r="E151" s="38">
        <f>C151/C149*100</f>
        <v>83.557175749334831</v>
      </c>
      <c r="F151" s="45"/>
      <c r="G151" s="44"/>
      <c r="H151" s="44"/>
      <c r="I151" s="44"/>
      <c r="J151" s="44"/>
      <c r="K151" s="45"/>
    </row>
    <row r="152" spans="1:11">
      <c r="A152" s="52"/>
      <c r="B152" s="28" t="s">
        <v>34</v>
      </c>
      <c r="C152" s="163">
        <f>C149-C151</f>
        <v>93473.019510573009</v>
      </c>
      <c r="D152" s="163"/>
      <c r="E152" s="38">
        <f>100-E151</f>
        <v>16.442824250665169</v>
      </c>
      <c r="F152" s="45"/>
      <c r="G152" s="44"/>
      <c r="H152" s="44"/>
      <c r="I152" s="44"/>
      <c r="J152" s="44"/>
      <c r="K152" s="45"/>
    </row>
    <row r="153" spans="1:11">
      <c r="A153" s="52"/>
      <c r="B153" s="28" t="s">
        <v>35</v>
      </c>
      <c r="C153" s="163">
        <f>C150*0.03</f>
        <v>15000</v>
      </c>
      <c r="D153" s="163"/>
      <c r="E153" s="38">
        <v>3</v>
      </c>
      <c r="F153" s="45"/>
      <c r="G153" s="44"/>
      <c r="H153" s="44"/>
      <c r="I153" s="44"/>
      <c r="J153" s="44"/>
      <c r="K153" s="45"/>
    </row>
    <row r="154" spans="1:11">
      <c r="A154" s="52"/>
      <c r="B154" s="28" t="s">
        <v>36</v>
      </c>
      <c r="C154" s="163">
        <f>C150*0.02</f>
        <v>10000</v>
      </c>
      <c r="D154" s="163"/>
      <c r="E154" s="38">
        <v>2</v>
      </c>
      <c r="F154" s="45"/>
      <c r="G154" s="44"/>
      <c r="H154" s="44"/>
      <c r="I154" s="44"/>
      <c r="J154" s="44"/>
      <c r="K154" s="45"/>
    </row>
    <row r="155" spans="1:11" s="34" customFormat="1">
      <c r="A155" s="53"/>
      <c r="B155" s="53"/>
      <c r="C155" s="53"/>
      <c r="D155" s="53"/>
      <c r="E155" s="53"/>
      <c r="F155" s="53"/>
      <c r="G155" s="53"/>
      <c r="H155" s="53"/>
      <c r="I155" s="53"/>
      <c r="J155" s="53"/>
      <c r="K155" s="53"/>
    </row>
    <row r="156" spans="1:11" s="34" customFormat="1"/>
    <row r="157" spans="1:11" s="34" customFormat="1"/>
    <row r="158" spans="1:11" s="34" customFormat="1"/>
    <row r="159" spans="1:11" s="34" customFormat="1"/>
    <row r="160" spans="1:11"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row r="177" s="34" customFormat="1"/>
    <row r="178" s="34" customFormat="1"/>
    <row r="179" s="34" customFormat="1"/>
    <row r="180" s="34" customFormat="1"/>
    <row r="181" s="34" customFormat="1"/>
    <row r="182" s="34" customFormat="1"/>
    <row r="183" s="34" customFormat="1"/>
    <row r="184" s="34" customFormat="1"/>
    <row r="185" s="34" customFormat="1"/>
    <row r="186" s="34" customFormat="1"/>
    <row r="187" s="34" customFormat="1"/>
    <row r="188" s="34" customFormat="1"/>
    <row r="189" s="34" customFormat="1"/>
    <row r="190" s="34" customFormat="1"/>
    <row r="191" s="34" customFormat="1"/>
    <row r="192" s="34" customFormat="1"/>
    <row r="193" s="34" customFormat="1"/>
    <row r="194" s="34" customFormat="1"/>
    <row r="195" s="34" customFormat="1"/>
    <row r="196" s="34" customFormat="1"/>
    <row r="197" s="34" customFormat="1"/>
    <row r="198" s="34" customFormat="1"/>
    <row r="199" s="34" customFormat="1"/>
    <row r="200" s="34" customFormat="1"/>
    <row r="201" s="34" customFormat="1"/>
    <row r="202" s="34" customFormat="1"/>
    <row r="203" s="34" customFormat="1"/>
    <row r="204" s="34" customFormat="1"/>
    <row r="205" s="34" customFormat="1"/>
    <row r="206" s="34" customFormat="1"/>
    <row r="207" s="34" customFormat="1"/>
    <row r="208" s="34" customFormat="1"/>
    <row r="209" s="34" customFormat="1"/>
    <row r="210" s="34" customFormat="1"/>
    <row r="211" s="34" customFormat="1"/>
  </sheetData>
  <mergeCells count="20">
    <mergeCell ref="N133:T133"/>
    <mergeCell ref="A1:K1"/>
    <mergeCell ref="A2:K2"/>
    <mergeCell ref="A3:K3"/>
    <mergeCell ref="A4:K4"/>
    <mergeCell ref="A5:K5"/>
    <mergeCell ref="A6:F6"/>
    <mergeCell ref="H6:K6"/>
    <mergeCell ref="A7:F7"/>
    <mergeCell ref="H7:K7"/>
    <mergeCell ref="N60:T60"/>
    <mergeCell ref="N73:T73"/>
    <mergeCell ref="N81:T81"/>
    <mergeCell ref="C154:D154"/>
    <mergeCell ref="N134:T134"/>
    <mergeCell ref="C149:D149"/>
    <mergeCell ref="C150:D150"/>
    <mergeCell ref="C151:D151"/>
    <mergeCell ref="C152:D152"/>
    <mergeCell ref="C153:D153"/>
  </mergeCells>
  <hyperlinks>
    <hyperlink ref="B103" r:id="rId1"/>
  </hyperlinks>
  <pageMargins left="0.7" right="0.7" top="0.75" bottom="0.75" header="0.3" footer="0.3"/>
  <pageSetup paperSize="9" scale="80" orientation="portrait" r:id="rId2"/>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WCR</vt:lpstr>
      <vt:lpstr>Sheet4 (2)</vt:lpstr>
      <vt:lpstr>rate analysis</vt:lpstr>
      <vt:lpstr>upvc</vt:lpstr>
      <vt:lpstr>upvc (2)</vt:lpstr>
      <vt:lpstr>backyard</vt:lpstr>
      <vt:lpstr>backyard!Print_Area</vt:lpstr>
      <vt:lpstr>'Sheet4 (2)'!Print_Area</vt:lpstr>
      <vt:lpstr>upvc!Print_Area</vt:lpstr>
      <vt:lpstr>'upvc (2)'!Print_Area</vt:lpstr>
      <vt:lpstr>backyard!Print_Titles</vt:lpstr>
      <vt:lpstr>'Sheet4 (2)'!Print_Titles</vt:lpstr>
      <vt:lpstr>upvc!Print_Titles</vt:lpstr>
      <vt:lpstr>'upvc (2)'!Print_Titles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2025-01-13T07:06:59Z</cp:lastPrinted>
  <dcterms:created xsi:type="dcterms:W3CDTF">2015-06-05T18:17:20Z</dcterms:created>
  <dcterms:modified xsi:type="dcterms:W3CDTF">2025-01-26T02:35:15Z</dcterms:modified>
</cp:coreProperties>
</file>