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सेतिदेवी मन्दिर संरक्षण\"/>
    </mc:Choice>
  </mc:AlternateContent>
  <bookViews>
    <workbookView xWindow="-120" yWindow="-120" windowWidth="20730" windowHeight="11160"/>
  </bookViews>
  <sheets>
    <sheet name="estimate" sheetId="21" r:id="rId1"/>
    <sheet name="WCR" sheetId="6" r:id="rId2"/>
    <sheet name="Valuated" sheetId="22"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estimate!$A$1:$K$54</definedName>
    <definedName name="_xlnm.Print_Area" localSheetId="2">Valuated!$A$1:$K$54</definedName>
    <definedName name="_xlnm.Print_Titles" localSheetId="0">estimate!$1:$8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4" i="21" l="1"/>
  <c r="E28" i="21"/>
  <c r="E22" i="21" s="1"/>
  <c r="J47" i="22"/>
  <c r="E21" i="22"/>
  <c r="D21" i="22"/>
  <c r="B21" i="22"/>
  <c r="B16" i="22" s="1"/>
  <c r="B10" i="22" s="1"/>
  <c r="G29" i="22"/>
  <c r="B27" i="22"/>
  <c r="C27" i="22"/>
  <c r="C28" i="22" s="1"/>
  <c r="E40" i="22"/>
  <c r="D41" i="22"/>
  <c r="D40" i="22" s="1"/>
  <c r="E41" i="22"/>
  <c r="G41" i="22" s="1"/>
  <c r="C54" i="22"/>
  <c r="C53" i="22"/>
  <c r="C51" i="22" s="1"/>
  <c r="N46" i="22"/>
  <c r="G45" i="22"/>
  <c r="J45" i="22" s="1"/>
  <c r="G33" i="22"/>
  <c r="G34" i="22" s="1"/>
  <c r="F33" i="22"/>
  <c r="E33" i="22"/>
  <c r="D33" i="22"/>
  <c r="D27" i="22" s="1"/>
  <c r="E22" i="22"/>
  <c r="C22" i="22"/>
  <c r="B22" i="22"/>
  <c r="B17" i="22" s="1"/>
  <c r="B11" i="22" s="1"/>
  <c r="F11" i="22"/>
  <c r="F10" i="22"/>
  <c r="E10" i="22"/>
  <c r="E41" i="21"/>
  <c r="E10" i="21"/>
  <c r="D34" i="21"/>
  <c r="D28" i="22" l="1"/>
  <c r="G28" i="22" s="1"/>
  <c r="D22" i="22"/>
  <c r="G22" i="22" s="1"/>
  <c r="G27" i="22"/>
  <c r="G40" i="22"/>
  <c r="G42" i="22" s="1"/>
  <c r="D10" i="22"/>
  <c r="G10" i="22" s="1"/>
  <c r="G21" i="22"/>
  <c r="G23" i="22" s="1"/>
  <c r="D17" i="22"/>
  <c r="J35" i="22"/>
  <c r="J34" i="22"/>
  <c r="J43" i="22" l="1"/>
  <c r="J42" i="22"/>
  <c r="D16" i="22"/>
  <c r="G16" i="22" s="1"/>
  <c r="G18" i="22" s="1"/>
  <c r="J29" i="22"/>
  <c r="J30" i="22"/>
  <c r="J23" i="22"/>
  <c r="J24" i="22"/>
  <c r="G17" i="22"/>
  <c r="D11" i="22"/>
  <c r="G11" i="22" s="1"/>
  <c r="G12" i="22" s="1"/>
  <c r="J18" i="22" l="1"/>
  <c r="J12" i="22"/>
  <c r="J13" i="22"/>
  <c r="C49" i="22" l="1"/>
  <c r="E51" i="22" s="1"/>
  <c r="E52" i="22" s="1"/>
  <c r="C52" i="22" l="1"/>
  <c r="D28" i="21" l="1"/>
  <c r="E11" i="21"/>
  <c r="F11" i="21"/>
  <c r="B27" i="21"/>
  <c r="B21" i="21" s="1"/>
  <c r="B16" i="21" s="1"/>
  <c r="B10" i="21" s="1"/>
  <c r="C28" i="21"/>
  <c r="C29" i="21" s="1"/>
  <c r="B28" i="21"/>
  <c r="B22" i="21" s="1"/>
  <c r="B17" i="21" s="1"/>
  <c r="B11" i="21" s="1"/>
  <c r="C22" i="21" l="1"/>
  <c r="D22" i="21"/>
  <c r="G28" i="21"/>
  <c r="D29" i="21"/>
  <c r="G29" i="21" s="1"/>
  <c r="G34" i="21"/>
  <c r="G35" i="21" s="1"/>
  <c r="J36" i="21" s="1"/>
  <c r="G30" i="21" l="1"/>
  <c r="J35" i="21"/>
  <c r="D17" i="21"/>
  <c r="G22" i="21"/>
  <c r="D11" i="21" l="1"/>
  <c r="G11" i="21" s="1"/>
  <c r="G17" i="21"/>
  <c r="F10" i="21" l="1"/>
  <c r="C54" i="21" l="1"/>
  <c r="C53" i="21"/>
  <c r="C51" i="21"/>
  <c r="N46" i="21"/>
  <c r="G45" i="21"/>
  <c r="J45" i="21" s="1"/>
  <c r="G41" i="21"/>
  <c r="G42" i="21" s="1"/>
  <c r="E21" i="21"/>
  <c r="D27" i="21"/>
  <c r="D10" i="21"/>
  <c r="G10" i="21" s="1"/>
  <c r="G12" i="21" s="1"/>
  <c r="J13" i="21" s="1"/>
  <c r="G27" i="21" l="1"/>
  <c r="J43" i="21"/>
  <c r="J42" i="21"/>
  <c r="J12" i="21"/>
  <c r="D21" i="21"/>
  <c r="J31" i="21" l="1"/>
  <c r="D16" i="21"/>
  <c r="G21" i="21"/>
  <c r="G23" i="21" s="1"/>
  <c r="G16" i="21" l="1"/>
  <c r="G18" i="21" s="1"/>
  <c r="J18" i="21" s="1"/>
  <c r="J30" i="21"/>
  <c r="J24" i="21"/>
  <c r="J23" i="21"/>
  <c r="J47" i="21" l="1"/>
  <c r="C49" i="21" s="1"/>
  <c r="C52" i="21" s="1"/>
  <c r="E51" i="21" l="1"/>
  <c r="E52" i="21"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<sst xmlns="http://schemas.openxmlformats.org/spreadsheetml/2006/main" count="141" uniqueCount="58">
  <si>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</si>
  <si>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</si>
  <si>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</si>
  <si>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</si>
  <si>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</si>
  <si>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</si>
  <si>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</si>
  <si>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</si>
  <si>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</si>
  <si>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</si>
  <si>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</si>
  <si>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</si>
  <si>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</si>
  <si>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</si>
  <si>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</si>
  <si>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</si>
  <si>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</si>
  <si>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</si>
  <si>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</si>
  <si>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</si>
  <si>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</si>
  <si>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</si>
  <si>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</si>
  <si>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</si>
  <si>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</si>
  <si>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</si>
  <si>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</si>
  <si>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</si>
  <si>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</si>
  <si>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</si>
  <si>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</si>
  <si>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</si>
  <si>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</si>
  <si>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</si>
  <si>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</si>
  <si>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</si>
  <si>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</si>
  <si>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</si>
  <si>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</si>
  <si>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</si>
  <si>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</si>
  <si>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</si>
  <si>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</si>
  <si>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</si>
  <si>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</si>
  <si>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</si>
  <si>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</si>
  <si>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</si>
  <si>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</si>
  <si>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</si>
  <si>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</si>
  <si>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</si>
  <si>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Project:- सेतिदेवी मन्दिर संरक्षण</t>
  </si>
  <si>
    <t>Providing and laying Plum concrete ( Boulder mixed concrete) including form work and 110mm dia PN6 HDPE pipe for Weep hole as per Drawing and Specifications, 60% M 15  concrete and 40% boulders/stones, using Mechanical Aids</t>
  </si>
  <si>
    <t>Date:2081/09/29</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</si>
  <si>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</si>
  <si>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plum wall</t>
  </si>
  <si>
    <t>-For masonary wall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</si>
</sst>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abSelected="1" topLeftCell="A24" zoomScaleNormal="100" workbookViewId="0">
      <selection activeCell="F17" sqref="F17"/>
    </sheetView>
  </sheetViews>
  <sheetFormatPr defaultRowHeight="15" x14ac:dyDescent="0.25"/>
  <cols>
    <col min="1" max="1" width="4.7109375" customWidth="1"/>
    <col min="2" max="2" width="33.710937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x14ac:dyDescent="0.25">
      <c r="A1" s="85" t="s">
        <v>0</v>
      </c>
      <c r="B1" s="85"/>
      <c r="C1" s="85"/>
      <c r="D1" s="85"/>
      <c r="E1" s="85"/>
      <c r="F1" s="85"/>
      <c r="G1" s="85"/>
      <c r="H1" s="85"/>
      <c r="I1" s="85"/>
      <c r="J1" s="85"/>
      <c r="K1" s="85"/>
    </row>
    <row r="2" spans="1:19" s="1" customFormat="1" ht="22.5" x14ac:dyDescent="0.25">
      <c r="A2" s="86" t="s">
        <v>1</v>
      </c>
      <c r="B2" s="86"/>
      <c r="C2" s="86"/>
      <c r="D2" s="86"/>
      <c r="E2" s="86"/>
      <c r="F2" s="86"/>
      <c r="G2" s="86"/>
      <c r="H2" s="86"/>
      <c r="I2" s="86"/>
      <c r="J2" s="86"/>
      <c r="K2" s="86"/>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87" t="s">
        <v>4</v>
      </c>
      <c r="B5" s="87"/>
      <c r="C5" s="87"/>
      <c r="D5" s="87"/>
      <c r="E5" s="87"/>
      <c r="F5" s="87"/>
      <c r="G5" s="87"/>
      <c r="H5" s="87"/>
      <c r="I5" s="87"/>
      <c r="J5" s="87"/>
      <c r="K5" s="87"/>
    </row>
    <row r="6" spans="1:19" ht="15.75" x14ac:dyDescent="0.25">
      <c r="A6" s="68" t="s">
        <v>52</v>
      </c>
      <c r="B6" s="68"/>
      <c r="C6" s="68"/>
      <c r="D6" s="68"/>
      <c r="E6" s="68"/>
      <c r="F6" s="68"/>
      <c r="G6" s="2"/>
      <c r="H6" s="84" t="s">
        <v>45</v>
      </c>
      <c r="I6" s="84"/>
      <c r="J6" s="84"/>
      <c r="K6" s="84"/>
      <c r="O6" t="s">
        <v>51</v>
      </c>
    </row>
    <row r="7" spans="1:19" ht="15.75" x14ac:dyDescent="0.25">
      <c r="A7" s="81" t="s">
        <v>28</v>
      </c>
      <c r="B7" s="81"/>
      <c r="C7" s="81"/>
      <c r="D7" s="81"/>
      <c r="E7" s="81"/>
      <c r="F7" s="81"/>
      <c r="G7" s="3"/>
      <c r="H7" s="82" t="s">
        <v>54</v>
      </c>
      <c r="I7" s="82"/>
      <c r="J7" s="82"/>
      <c r="K7" s="82"/>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35" x14ac:dyDescent="0.25">
      <c r="A9" s="64">
        <v>1</v>
      </c>
      <c r="B9" s="30" t="s">
        <v>55</v>
      </c>
      <c r="C9" s="37"/>
      <c r="D9" s="37"/>
      <c r="E9" s="37"/>
      <c r="F9" s="37"/>
      <c r="G9" s="37"/>
      <c r="H9" s="37"/>
      <c r="I9" s="37"/>
      <c r="J9" s="37"/>
      <c r="K9" s="37"/>
      <c r="N9" t="s">
        <v>47</v>
      </c>
      <c r="O9" t="s">
        <v>48</v>
      </c>
    </row>
    <row r="10" spans="1:19" ht="15" customHeight="1" x14ac:dyDescent="0.25">
      <c r="A10" s="18"/>
      <c r="B10" s="38" t="str">
        <f>B16</f>
        <v>-For plum wall</v>
      </c>
      <c r="C10" s="37">
        <v>0.5</v>
      </c>
      <c r="D10" s="39">
        <f>D41</f>
        <v>12.3</v>
      </c>
      <c r="E10" s="39">
        <f>1.75</f>
        <v>1.75</v>
      </c>
      <c r="F10" s="39">
        <f>2</f>
        <v>2</v>
      </c>
      <c r="G10" s="40">
        <f>PRODUCT(C10:F10)</f>
        <v>21.525000000000002</v>
      </c>
      <c r="H10" s="41"/>
      <c r="I10" s="41"/>
      <c r="J10" s="41"/>
      <c r="K10" s="21"/>
      <c r="M10" s="25"/>
      <c r="N10" s="1"/>
      <c r="O10" s="1"/>
      <c r="P10" s="1"/>
      <c r="Q10" s="1"/>
      <c r="R10" s="25"/>
      <c r="S10" s="25"/>
    </row>
    <row r="11" spans="1:19" ht="15" customHeight="1" x14ac:dyDescent="0.25">
      <c r="A11" s="18"/>
      <c r="B11" s="38" t="str">
        <f>B17</f>
        <v>-For masonary wall</v>
      </c>
      <c r="C11" s="37">
        <v>0.5</v>
      </c>
      <c r="D11" s="39">
        <f>D17</f>
        <v>2.7430661383724475</v>
      </c>
      <c r="E11" s="39">
        <f>F34/2</f>
        <v>1.2</v>
      </c>
      <c r="F11" s="39">
        <f>2</f>
        <v>2</v>
      </c>
      <c r="G11" s="40">
        <f>PRODUCT(C11:F11)</f>
        <v>3.291679366046937</v>
      </c>
      <c r="H11" s="41"/>
      <c r="I11" s="41"/>
      <c r="J11" s="41"/>
      <c r="K11" s="21"/>
      <c r="M11" s="25"/>
      <c r="N11" s="1"/>
      <c r="O11" s="1"/>
      <c r="P11" s="1"/>
      <c r="Q11" s="1"/>
      <c r="R11" s="25"/>
      <c r="S11" s="25"/>
    </row>
    <row r="12" spans="1:19" ht="15" customHeight="1" x14ac:dyDescent="0.25">
      <c r="A12" s="18"/>
      <c r="B12" s="38" t="s">
        <v>42</v>
      </c>
      <c r="C12" s="19"/>
      <c r="D12" s="20"/>
      <c r="E12" s="21"/>
      <c r="F12" s="21"/>
      <c r="G12" s="23">
        <f>SUM(G10:G11)</f>
        <v>24.816679366046941</v>
      </c>
      <c r="H12" s="22" t="s">
        <v>41</v>
      </c>
      <c r="I12" s="23">
        <v>64.63</v>
      </c>
      <c r="J12" s="42">
        <f>G12*I12</f>
        <v>1603.9019874276137</v>
      </c>
      <c r="K12" s="21"/>
      <c r="M12" s="25"/>
      <c r="N12" s="1"/>
      <c r="O12" s="1"/>
      <c r="P12" s="1"/>
      <c r="Q12" s="1"/>
      <c r="R12" s="25"/>
      <c r="S12" s="25"/>
    </row>
    <row r="13" spans="1:19" x14ac:dyDescent="0.25">
      <c r="A13" s="41"/>
      <c r="B13" s="38" t="s">
        <v>40</v>
      </c>
      <c r="C13" s="43"/>
      <c r="D13" s="44"/>
      <c r="E13" s="44"/>
      <c r="F13" s="44"/>
      <c r="G13" s="44"/>
      <c r="H13" s="44"/>
      <c r="I13" s="44"/>
      <c r="J13" s="46">
        <f>0.13*G12*(19284/360)</f>
        <v>172.81508287869556</v>
      </c>
      <c r="K13" s="37"/>
    </row>
    <row r="14" spans="1:19" ht="15" customHeight="1" x14ac:dyDescent="0.25">
      <c r="A14" s="18"/>
      <c r="B14" s="38"/>
      <c r="C14" s="19"/>
      <c r="D14" s="20"/>
      <c r="E14" s="21"/>
      <c r="F14" s="21"/>
      <c r="G14" s="23"/>
      <c r="H14" s="22"/>
      <c r="I14" s="23"/>
      <c r="J14" s="42"/>
      <c r="K14" s="21"/>
      <c r="M14" s="25"/>
      <c r="N14" s="1"/>
      <c r="O14" s="1"/>
      <c r="P14" s="1"/>
      <c r="Q14" s="1"/>
      <c r="R14" s="25"/>
      <c r="S14" s="25"/>
    </row>
    <row r="15" spans="1:19" ht="90" x14ac:dyDescent="0.25">
      <c r="A15" s="18">
        <v>2</v>
      </c>
      <c r="B15" s="30" t="s">
        <v>49</v>
      </c>
      <c r="C15" s="19"/>
      <c r="D15" s="20"/>
      <c r="E15" s="21"/>
      <c r="F15" s="21"/>
      <c r="G15" s="23"/>
      <c r="H15" s="22"/>
      <c r="I15" s="23"/>
      <c r="J15" s="42"/>
      <c r="K15" s="21"/>
      <c r="M15" s="25"/>
      <c r="N15" s="1"/>
      <c r="O15" s="1"/>
      <c r="P15" s="1"/>
      <c r="Q15" s="1"/>
      <c r="R15" s="25"/>
      <c r="S15" s="25"/>
    </row>
    <row r="16" spans="1:19" ht="15" customHeight="1" x14ac:dyDescent="0.25">
      <c r="A16" s="18"/>
      <c r="B16" s="38" t="str">
        <f>B21</f>
        <v>-For plum wall</v>
      </c>
      <c r="C16" s="37">
        <v>0.5</v>
      </c>
      <c r="D16" s="39">
        <f>D21</f>
        <v>12.3</v>
      </c>
      <c r="E16" s="39">
        <v>1.75</v>
      </c>
      <c r="F16" s="39">
        <v>2</v>
      </c>
      <c r="G16" s="40">
        <f>PRODUCT(C16:F16)</f>
        <v>21.525000000000002</v>
      </c>
      <c r="H16" s="41"/>
      <c r="I16" s="41"/>
      <c r="J16" s="41"/>
      <c r="K16" s="21"/>
      <c r="M16" s="25"/>
      <c r="N16" s="1"/>
      <c r="O16" s="1"/>
      <c r="P16" s="1"/>
      <c r="Q16" s="1"/>
      <c r="R16" s="25"/>
      <c r="S16" s="25"/>
    </row>
    <row r="17" spans="1:19" ht="15" customHeight="1" x14ac:dyDescent="0.25">
      <c r="A17" s="18"/>
      <c r="B17" s="38" t="str">
        <f>B22</f>
        <v>-For masonary wall</v>
      </c>
      <c r="C17" s="37">
        <v>0.5</v>
      </c>
      <c r="D17" s="39">
        <f>D22</f>
        <v>2.7430661383724475</v>
      </c>
      <c r="E17" s="39">
        <v>1.2</v>
      </c>
      <c r="F17" s="39">
        <v>1.5</v>
      </c>
      <c r="G17" s="40">
        <f>PRODUCT(C17:F17)</f>
        <v>2.4687595245352028</v>
      </c>
      <c r="H17" s="41"/>
      <c r="I17" s="41"/>
      <c r="J17" s="41"/>
      <c r="K17" s="21"/>
      <c r="M17" s="25"/>
      <c r="N17" s="1"/>
      <c r="O17" s="1"/>
      <c r="P17" s="1"/>
      <c r="Q17" s="1"/>
      <c r="R17" s="25"/>
      <c r="S17" s="25"/>
    </row>
    <row r="18" spans="1:19" ht="15" customHeight="1" x14ac:dyDescent="0.25">
      <c r="A18" s="18"/>
      <c r="B18" s="38" t="s">
        <v>42</v>
      </c>
      <c r="C18" s="19"/>
      <c r="D18" s="20"/>
      <c r="E18" s="21"/>
      <c r="F18" s="21"/>
      <c r="G18" s="23">
        <f>SUM(G16:G17)</f>
        <v>23.993759524535204</v>
      </c>
      <c r="H18" s="22" t="s">
        <v>41</v>
      </c>
      <c r="I18" s="23">
        <v>404.28</v>
      </c>
      <c r="J18" s="42">
        <f>G18*I18</f>
        <v>9700.1971005790911</v>
      </c>
      <c r="K18" s="21"/>
      <c r="M18" s="25"/>
      <c r="N18" s="1"/>
      <c r="O18" s="1"/>
      <c r="P18" s="1"/>
      <c r="Q18" s="1"/>
      <c r="R18" s="25"/>
      <c r="S18" s="25"/>
    </row>
    <row r="19" spans="1:19" ht="15" customHeight="1" x14ac:dyDescent="0.25">
      <c r="A19" s="18"/>
      <c r="B19" s="38"/>
      <c r="C19" s="19"/>
      <c r="D19" s="20"/>
      <c r="E19" s="21"/>
      <c r="F19" s="21"/>
      <c r="G19" s="23"/>
      <c r="H19" s="22"/>
      <c r="I19" s="23"/>
      <c r="J19" s="42"/>
      <c r="K19" s="21"/>
      <c r="M19" s="25"/>
      <c r="N19" s="1"/>
      <c r="O19" s="1"/>
      <c r="P19" s="1"/>
      <c r="Q19" s="1"/>
      <c r="R19" s="25"/>
      <c r="S19" s="25"/>
    </row>
    <row r="20" spans="1:19" ht="90" x14ac:dyDescent="0.25">
      <c r="A20" s="18">
        <v>3</v>
      </c>
      <c r="B20" s="30" t="s">
        <v>44</v>
      </c>
      <c r="C20" s="19"/>
      <c r="D20" s="20"/>
      <c r="E20" s="21"/>
      <c r="F20" s="21"/>
      <c r="G20" s="23"/>
      <c r="H20" s="22"/>
      <c r="I20" s="23"/>
      <c r="J20" s="42"/>
      <c r="K20" s="21"/>
      <c r="M20" s="25"/>
      <c r="N20" s="1"/>
      <c r="O20" s="1"/>
      <c r="P20" s="1"/>
      <c r="Q20" s="1"/>
      <c r="R20" s="25"/>
      <c r="S20" s="25"/>
    </row>
    <row r="21" spans="1:19" ht="15" customHeight="1" x14ac:dyDescent="0.25">
      <c r="A21" s="18"/>
      <c r="B21" s="38" t="str">
        <f>B27</f>
        <v>-For plum wall</v>
      </c>
      <c r="C21" s="37">
        <v>1</v>
      </c>
      <c r="D21" s="39">
        <f>D27</f>
        <v>12.3</v>
      </c>
      <c r="E21" s="39">
        <f>E27</f>
        <v>1.75</v>
      </c>
      <c r="F21" s="39">
        <v>0.15</v>
      </c>
      <c r="G21" s="40">
        <f>PRODUCT(C21:F21)</f>
        <v>3.2287500000000002</v>
      </c>
      <c r="H21" s="41"/>
      <c r="I21" s="41"/>
      <c r="J21" s="41"/>
      <c r="K21" s="21"/>
      <c r="M21" s="25"/>
      <c r="N21" s="1"/>
      <c r="O21" s="1"/>
      <c r="P21" s="1"/>
      <c r="Q21" s="1"/>
      <c r="R21" s="25"/>
      <c r="S21" s="25"/>
    </row>
    <row r="22" spans="1:19" ht="15" customHeight="1" x14ac:dyDescent="0.25">
      <c r="A22" s="18"/>
      <c r="B22" s="38" t="str">
        <f>B28</f>
        <v>-For masonary wall</v>
      </c>
      <c r="C22" s="37">
        <f>C28</f>
        <v>1</v>
      </c>
      <c r="D22" s="39">
        <f>D28</f>
        <v>2.7430661383724475</v>
      </c>
      <c r="E22" s="39">
        <f>E28</f>
        <v>1.2</v>
      </c>
      <c r="F22" s="39">
        <v>0.15</v>
      </c>
      <c r="G22" s="40">
        <f>PRODUCT(C22:F22)</f>
        <v>0.49375190490704052</v>
      </c>
      <c r="H22" s="41"/>
      <c r="I22" s="41"/>
      <c r="J22" s="41"/>
      <c r="K22" s="21"/>
      <c r="M22" s="25"/>
      <c r="N22" s="1"/>
      <c r="O22" s="1"/>
      <c r="P22" s="1"/>
      <c r="Q22" s="1"/>
      <c r="R22" s="25"/>
      <c r="S22" s="25"/>
    </row>
    <row r="23" spans="1:19" ht="15" customHeight="1" x14ac:dyDescent="0.25">
      <c r="A23" s="41"/>
      <c r="B23" s="38" t="s">
        <v>42</v>
      </c>
      <c r="C23" s="43"/>
      <c r="D23" s="44"/>
      <c r="E23" s="44"/>
      <c r="F23" s="44"/>
      <c r="G23" s="34">
        <f>SUM(G21:G22)</f>
        <v>3.7225019049070407</v>
      </c>
      <c r="H23" s="34" t="s">
        <v>41</v>
      </c>
      <c r="I23" s="34">
        <v>4561.53</v>
      </c>
      <c r="J23" s="45">
        <f>G23*I23</f>
        <v>16980.304114290611</v>
      </c>
      <c r="K23" s="37"/>
    </row>
    <row r="24" spans="1:19" x14ac:dyDescent="0.25">
      <c r="A24" s="41"/>
      <c r="B24" s="38" t="s">
        <v>40</v>
      </c>
      <c r="C24" s="43"/>
      <c r="D24" s="44"/>
      <c r="E24" s="44"/>
      <c r="F24" s="44"/>
      <c r="G24" s="44"/>
      <c r="H24" s="44"/>
      <c r="I24" s="44"/>
      <c r="J24" s="46">
        <f>0.13*G23*(15452.6/5)</f>
        <v>1495.58065632993</v>
      </c>
      <c r="K24" s="37"/>
    </row>
    <row r="25" spans="1:19" x14ac:dyDescent="0.25">
      <c r="A25" s="41"/>
      <c r="B25" s="38"/>
      <c r="C25" s="43"/>
      <c r="D25" s="44"/>
      <c r="E25" s="44"/>
      <c r="F25" s="44"/>
      <c r="G25" s="44"/>
      <c r="H25" s="44"/>
      <c r="I25" s="44"/>
      <c r="J25" s="46"/>
      <c r="K25" s="37"/>
    </row>
    <row r="26" spans="1:19" ht="75" x14ac:dyDescent="0.25">
      <c r="A26" s="18">
        <v>4</v>
      </c>
      <c r="B26" s="30" t="s">
        <v>43</v>
      </c>
      <c r="C26" s="19"/>
      <c r="D26" s="20"/>
      <c r="E26" s="21"/>
      <c r="F26" s="21"/>
      <c r="G26" s="23"/>
      <c r="H26" s="22"/>
      <c r="I26" s="23"/>
      <c r="J26" s="42"/>
      <c r="K26" s="21"/>
      <c r="M26" s="25"/>
      <c r="N26" s="1"/>
      <c r="O26" s="1"/>
      <c r="P26" s="1"/>
      <c r="Q26" s="1"/>
      <c r="R26" s="25"/>
      <c r="S26" s="25"/>
    </row>
    <row r="27" spans="1:19" ht="15" customHeight="1" x14ac:dyDescent="0.25">
      <c r="A27" s="18"/>
      <c r="B27" s="38" t="str">
        <f>B41</f>
        <v>-For plum wall</v>
      </c>
      <c r="C27" s="37">
        <v>1</v>
      </c>
      <c r="D27" s="39">
        <f>D41</f>
        <v>12.3</v>
      </c>
      <c r="E27" s="39">
        <v>1.75</v>
      </c>
      <c r="F27" s="39">
        <v>7.4999999999999997E-2</v>
      </c>
      <c r="G27" s="40">
        <f>PRODUCT(C27:F27)</f>
        <v>1.6143750000000001</v>
      </c>
      <c r="H27" s="41"/>
      <c r="I27" s="41"/>
      <c r="J27" s="41"/>
      <c r="K27" s="21"/>
      <c r="M27" s="25"/>
      <c r="N27" s="1"/>
      <c r="O27" s="1"/>
      <c r="P27" s="1"/>
      <c r="Q27" s="1"/>
      <c r="R27" s="25"/>
      <c r="S27" s="25"/>
    </row>
    <row r="28" spans="1:19" ht="15" customHeight="1" x14ac:dyDescent="0.25">
      <c r="A28" s="18"/>
      <c r="B28" s="38" t="str">
        <f>B34</f>
        <v>-For masonary wall</v>
      </c>
      <c r="C28" s="37">
        <f>C34</f>
        <v>1</v>
      </c>
      <c r="D28" s="39">
        <f>D34</f>
        <v>2.7430661383724475</v>
      </c>
      <c r="E28" s="39">
        <f>F34/2</f>
        <v>1.2</v>
      </c>
      <c r="F28" s="39">
        <v>7.4999999999999997E-2</v>
      </c>
      <c r="G28" s="40">
        <f t="shared" ref="G28:G29" si="0">PRODUCT(C28:F28)</f>
        <v>0.24687595245352026</v>
      </c>
      <c r="H28" s="41"/>
      <c r="I28" s="41"/>
      <c r="J28" s="41"/>
      <c r="K28" s="21"/>
      <c r="M28" s="25"/>
      <c r="N28" s="1"/>
      <c r="O28" s="1"/>
      <c r="P28" s="1"/>
      <c r="Q28" s="1"/>
      <c r="R28" s="25"/>
      <c r="S28" s="25"/>
    </row>
    <row r="29" spans="1:19" ht="15" customHeight="1" x14ac:dyDescent="0.25">
      <c r="A29" s="18"/>
      <c r="B29" s="38"/>
      <c r="C29" s="37">
        <f>C28</f>
        <v>1</v>
      </c>
      <c r="D29" s="39">
        <f>D28</f>
        <v>2.7430661383724475</v>
      </c>
      <c r="E29" s="39">
        <v>0.5</v>
      </c>
      <c r="F29" s="39">
        <v>0.05</v>
      </c>
      <c r="G29" s="40">
        <f t="shared" si="0"/>
        <v>6.8576653459311188E-2</v>
      </c>
      <c r="H29" s="41"/>
      <c r="I29" s="41"/>
      <c r="J29" s="41"/>
      <c r="K29" s="21"/>
      <c r="M29" s="25"/>
      <c r="N29" s="1"/>
      <c r="O29" s="1"/>
      <c r="P29" s="1"/>
      <c r="Q29" s="1"/>
      <c r="R29" s="25"/>
      <c r="S29" s="25"/>
    </row>
    <row r="30" spans="1:19" ht="15" customHeight="1" x14ac:dyDescent="0.25">
      <c r="A30" s="41"/>
      <c r="B30" s="38" t="s">
        <v>42</v>
      </c>
      <c r="C30" s="43"/>
      <c r="D30" s="44"/>
      <c r="E30" s="44"/>
      <c r="F30" s="44"/>
      <c r="G30" s="34">
        <f>SUM(G27:G29)</f>
        <v>1.9298276059128314</v>
      </c>
      <c r="H30" s="34" t="s">
        <v>41</v>
      </c>
      <c r="I30" s="34">
        <v>10634.5</v>
      </c>
      <c r="J30" s="45">
        <f>G30*I30</f>
        <v>20522.751675080006</v>
      </c>
      <c r="K30" s="37"/>
    </row>
    <row r="31" spans="1:19" ht="15" customHeight="1" x14ac:dyDescent="0.25">
      <c r="A31" s="41"/>
      <c r="B31" s="38" t="s">
        <v>40</v>
      </c>
      <c r="C31" s="43"/>
      <c r="D31" s="44"/>
      <c r="E31" s="44"/>
      <c r="F31" s="44"/>
      <c r="G31" s="44"/>
      <c r="H31" s="44"/>
      <c r="I31" s="44"/>
      <c r="J31" s="46">
        <f>0.13*G30*((114907.3+6135.3)/15)</f>
        <v>2024.4583750860259</v>
      </c>
      <c r="K31" s="37"/>
    </row>
    <row r="32" spans="1:19" ht="15" customHeight="1" x14ac:dyDescent="0.25">
      <c r="A32" s="41"/>
      <c r="B32" s="38"/>
      <c r="C32" s="43"/>
      <c r="D32" s="44"/>
      <c r="E32" s="44"/>
      <c r="F32" s="44"/>
      <c r="G32" s="44"/>
      <c r="H32" s="44"/>
      <c r="I32" s="44"/>
      <c r="J32" s="46"/>
      <c r="K32" s="37"/>
    </row>
    <row r="33" spans="1:19" s="1" customFormat="1" ht="75" x14ac:dyDescent="0.25">
      <c r="A33" s="64">
        <v>5</v>
      </c>
      <c r="B33" s="30" t="s">
        <v>50</v>
      </c>
      <c r="C33" s="65"/>
      <c r="D33" s="40"/>
      <c r="E33" s="40"/>
      <c r="F33" s="40"/>
      <c r="G33" s="40"/>
      <c r="H33" s="40"/>
      <c r="I33" s="40"/>
      <c r="J33" s="46"/>
      <c r="K33" s="29"/>
    </row>
    <row r="34" spans="1:19" ht="15" customHeight="1" x14ac:dyDescent="0.25">
      <c r="A34" s="18"/>
      <c r="B34" s="38" t="s">
        <v>57</v>
      </c>
      <c r="C34" s="37">
        <v>1</v>
      </c>
      <c r="D34" s="39">
        <f>9/3.281</f>
        <v>2.7430661383724475</v>
      </c>
      <c r="E34" s="39">
        <f>((1.2+0.5)/2)</f>
        <v>0.85</v>
      </c>
      <c r="F34" s="39">
        <v>2.4</v>
      </c>
      <c r="G34" s="40">
        <f>PRODUCT(C34:F34)</f>
        <v>5.5958549222797922</v>
      </c>
      <c r="H34" s="41"/>
      <c r="I34" s="41"/>
      <c r="J34" s="41"/>
      <c r="K34" s="21"/>
      <c r="M34" s="25"/>
      <c r="N34" s="1"/>
      <c r="O34" s="1"/>
      <c r="P34" s="1"/>
      <c r="Q34" s="1"/>
      <c r="R34" s="25"/>
      <c r="S34" s="25"/>
    </row>
    <row r="35" spans="1:19" ht="15" customHeight="1" x14ac:dyDescent="0.25">
      <c r="A35" s="41"/>
      <c r="B35" s="38" t="s">
        <v>42</v>
      </c>
      <c r="C35" s="43"/>
      <c r="D35" s="44"/>
      <c r="E35" s="44"/>
      <c r="F35" s="44"/>
      <c r="G35" s="34">
        <f>SUM(G34:G34)</f>
        <v>5.5958549222797922</v>
      </c>
      <c r="H35" s="34" t="s">
        <v>41</v>
      </c>
      <c r="I35" s="34">
        <v>9709.43</v>
      </c>
      <c r="J35" s="45">
        <f>G35*I35</f>
        <v>54332.561658031082</v>
      </c>
      <c r="K35" s="37"/>
    </row>
    <row r="36" spans="1:19" ht="15" customHeight="1" x14ac:dyDescent="0.25">
      <c r="A36" s="41"/>
      <c r="B36" s="38" t="s">
        <v>40</v>
      </c>
      <c r="C36" s="43"/>
      <c r="D36" s="44"/>
      <c r="E36" s="44"/>
      <c r="F36" s="44"/>
      <c r="G36" s="44"/>
      <c r="H36" s="44"/>
      <c r="I36" s="44"/>
      <c r="J36" s="46">
        <f>0.13*G35*(27092.1/5)</f>
        <v>3941.6899896373056</v>
      </c>
      <c r="K36" s="37"/>
    </row>
    <row r="37" spans="1:19" ht="15" customHeight="1" x14ac:dyDescent="0.25">
      <c r="A37" s="41"/>
      <c r="B37" s="38"/>
      <c r="C37" s="43"/>
      <c r="D37" s="44"/>
      <c r="E37" s="44"/>
      <c r="F37" s="44"/>
      <c r="G37" s="44"/>
      <c r="H37" s="44"/>
      <c r="I37" s="44"/>
      <c r="J37" s="46"/>
      <c r="K37" s="37"/>
    </row>
    <row r="38" spans="1:19" ht="15" customHeight="1" x14ac:dyDescent="0.25">
      <c r="A38" s="41"/>
      <c r="B38" s="38"/>
      <c r="C38" s="43"/>
      <c r="D38" s="44"/>
      <c r="E38" s="44"/>
      <c r="F38" s="44"/>
      <c r="G38" s="44"/>
      <c r="H38" s="44"/>
      <c r="I38" s="44"/>
      <c r="J38" s="46"/>
      <c r="K38" s="37"/>
    </row>
    <row r="39" spans="1:19" ht="15" customHeight="1" x14ac:dyDescent="0.25">
      <c r="A39" s="41"/>
      <c r="B39" s="38"/>
      <c r="C39" s="43"/>
      <c r="D39" s="44"/>
      <c r="E39" s="44"/>
      <c r="F39" s="44"/>
      <c r="G39" s="44"/>
      <c r="H39" s="44"/>
      <c r="I39" s="44"/>
      <c r="J39" s="46"/>
      <c r="K39" s="37"/>
    </row>
    <row r="40" spans="1:19" s="1" customFormat="1" ht="120" x14ac:dyDescent="0.25">
      <c r="A40" s="64">
        <v>5</v>
      </c>
      <c r="B40" s="30" t="s">
        <v>53</v>
      </c>
      <c r="C40" s="65"/>
      <c r="D40" s="40"/>
      <c r="E40" s="40"/>
      <c r="F40" s="40"/>
      <c r="G40" s="40"/>
      <c r="H40" s="40"/>
      <c r="I40" s="40"/>
      <c r="J40" s="46"/>
      <c r="K40" s="29"/>
    </row>
    <row r="41" spans="1:19" ht="15" customHeight="1" x14ac:dyDescent="0.25">
      <c r="A41" s="18"/>
      <c r="B41" s="38" t="s">
        <v>56</v>
      </c>
      <c r="C41" s="37">
        <v>1</v>
      </c>
      <c r="D41" s="39">
        <v>12.3</v>
      </c>
      <c r="E41" s="39">
        <f>((1.75+0.6)/2)</f>
        <v>1.175</v>
      </c>
      <c r="F41" s="39">
        <v>3</v>
      </c>
      <c r="G41" s="40">
        <f>PRODUCT(C41:F41)</f>
        <v>43.357500000000002</v>
      </c>
      <c r="H41" s="41"/>
      <c r="I41" s="41"/>
      <c r="J41" s="41"/>
      <c r="K41" s="21"/>
      <c r="M41" s="25"/>
      <c r="N41" s="1"/>
      <c r="O41" s="1"/>
      <c r="P41" s="1"/>
      <c r="Q41" s="1"/>
      <c r="R41" s="25"/>
      <c r="S41" s="25"/>
    </row>
    <row r="42" spans="1:19" ht="15" customHeight="1" x14ac:dyDescent="0.25">
      <c r="A42" s="41"/>
      <c r="B42" s="38" t="s">
        <v>42</v>
      </c>
      <c r="C42" s="43"/>
      <c r="D42" s="44"/>
      <c r="E42" s="44"/>
      <c r="F42" s="44"/>
      <c r="G42" s="34">
        <f>SUM(G41:G41)</f>
        <v>43.357500000000002</v>
      </c>
      <c r="H42" s="34" t="s">
        <v>41</v>
      </c>
      <c r="I42" s="34">
        <v>9623.4699999999993</v>
      </c>
      <c r="J42" s="45">
        <f>G42*I42</f>
        <v>417249.60052500002</v>
      </c>
      <c r="K42" s="37"/>
    </row>
    <row r="43" spans="1:19" ht="15" customHeight="1" x14ac:dyDescent="0.25">
      <c r="A43" s="41"/>
      <c r="B43" s="38" t="s">
        <v>40</v>
      </c>
      <c r="C43" s="43"/>
      <c r="D43" s="44"/>
      <c r="E43" s="44"/>
      <c r="F43" s="44"/>
      <c r="G43" s="44"/>
      <c r="H43" s="44"/>
      <c r="I43" s="44"/>
      <c r="J43" s="46">
        <f>0.13*G42*((59609.3+3478.36)/10)</f>
        <v>35559.201839850008</v>
      </c>
      <c r="K43" s="37"/>
    </row>
    <row r="44" spans="1:19" ht="15" customHeight="1" x14ac:dyDescent="0.25">
      <c r="A44" s="41"/>
      <c r="B44" s="38"/>
      <c r="C44" s="43"/>
      <c r="D44" s="44"/>
      <c r="E44" s="44"/>
      <c r="F44" s="44"/>
      <c r="G44" s="34"/>
      <c r="H44" s="34"/>
      <c r="I44" s="34"/>
      <c r="J44" s="45"/>
      <c r="K44" s="37"/>
    </row>
    <row r="45" spans="1:19" ht="15" customHeight="1" x14ac:dyDescent="0.25">
      <c r="A45" s="18">
        <v>6</v>
      </c>
      <c r="B45" s="30" t="s">
        <v>30</v>
      </c>
      <c r="C45" s="19">
        <v>1</v>
      </c>
      <c r="D45" s="20"/>
      <c r="E45" s="21"/>
      <c r="F45" s="21"/>
      <c r="G45" s="35">
        <f t="shared" ref="G45" si="1">PRODUCT(C45:F45)</f>
        <v>1</v>
      </c>
      <c r="H45" s="22" t="s">
        <v>31</v>
      </c>
      <c r="I45" s="23">
        <v>500</v>
      </c>
      <c r="J45" s="35">
        <f>G45*I45</f>
        <v>500</v>
      </c>
      <c r="K45" s="21"/>
      <c r="M45" s="25"/>
      <c r="N45" s="1"/>
      <c r="O45" s="1"/>
      <c r="P45" s="1"/>
      <c r="Q45" s="1"/>
      <c r="R45" s="25"/>
      <c r="S45" s="25"/>
    </row>
    <row r="46" spans="1:19" ht="15" customHeight="1" x14ac:dyDescent="0.25">
      <c r="A46" s="18"/>
      <c r="B46" s="24"/>
      <c r="C46" s="19"/>
      <c r="D46" s="20"/>
      <c r="E46" s="21"/>
      <c r="F46" s="21"/>
      <c r="G46" s="23"/>
      <c r="H46" s="22"/>
      <c r="I46" s="23"/>
      <c r="J46" s="42"/>
      <c r="K46" s="21"/>
      <c r="M46" s="25"/>
      <c r="N46" s="1">
        <f>2.4*3.281</f>
        <v>7.8743999999999996</v>
      </c>
      <c r="O46" s="1"/>
      <c r="P46" s="1"/>
      <c r="Q46" s="1"/>
      <c r="R46" s="25"/>
      <c r="S46" s="25"/>
    </row>
    <row r="47" spans="1:19" x14ac:dyDescent="0.25">
      <c r="A47" s="41"/>
      <c r="B47" s="47" t="s">
        <v>17</v>
      </c>
      <c r="C47" s="48"/>
      <c r="D47" s="39"/>
      <c r="E47" s="39"/>
      <c r="F47" s="39"/>
      <c r="G47" s="42"/>
      <c r="H47" s="42"/>
      <c r="I47" s="42"/>
      <c r="J47" s="42">
        <f>SUM(J10:J45)</f>
        <v>564083.06300419045</v>
      </c>
      <c r="K47" s="37"/>
    </row>
    <row r="48" spans="1:19" x14ac:dyDescent="0.25">
      <c r="A48" s="59"/>
      <c r="B48" s="62"/>
      <c r="C48" s="63"/>
      <c r="D48" s="60"/>
      <c r="E48" s="60"/>
      <c r="F48" s="60"/>
      <c r="G48" s="61"/>
      <c r="H48" s="61"/>
      <c r="I48" s="61"/>
      <c r="J48" s="61"/>
      <c r="K48" s="58"/>
    </row>
    <row r="49" spans="1:11" s="1" customFormat="1" x14ac:dyDescent="0.25">
      <c r="A49" s="51"/>
      <c r="B49" s="29" t="s">
        <v>27</v>
      </c>
      <c r="C49" s="80">
        <f>J47</f>
        <v>564083.06300419045</v>
      </c>
      <c r="D49" s="80"/>
      <c r="E49" s="40">
        <v>100</v>
      </c>
      <c r="F49" s="52"/>
      <c r="G49" s="53"/>
      <c r="H49" s="52"/>
      <c r="I49" s="54"/>
      <c r="J49" s="55"/>
      <c r="K49" s="56"/>
    </row>
    <row r="50" spans="1:11" x14ac:dyDescent="0.25">
      <c r="A50" s="57"/>
      <c r="B50" s="29" t="s">
        <v>32</v>
      </c>
      <c r="C50" s="83">
        <v>500000</v>
      </c>
      <c r="D50" s="83"/>
      <c r="E50" s="40"/>
      <c r="F50" s="50"/>
      <c r="G50" s="49"/>
      <c r="H50" s="49"/>
      <c r="I50" s="49"/>
      <c r="J50" s="49"/>
      <c r="K50" s="50"/>
    </row>
    <row r="51" spans="1:11" x14ac:dyDescent="0.25">
      <c r="A51" s="57"/>
      <c r="B51" s="29" t="s">
        <v>33</v>
      </c>
      <c r="C51" s="83">
        <f>C50-C53-C54</f>
        <v>475000</v>
      </c>
      <c r="D51" s="83"/>
      <c r="E51" s="40">
        <f>C51/C49*100</f>
        <v>84.207456517174549</v>
      </c>
      <c r="F51" s="50"/>
      <c r="G51" s="49"/>
      <c r="H51" s="49"/>
      <c r="I51" s="49"/>
      <c r="J51" s="49"/>
      <c r="K51" s="50"/>
    </row>
    <row r="52" spans="1:11" x14ac:dyDescent="0.25">
      <c r="A52" s="57"/>
      <c r="B52" s="29" t="s">
        <v>34</v>
      </c>
      <c r="C52" s="80">
        <f>C49-C51</f>
        <v>89083.063004190451</v>
      </c>
      <c r="D52" s="80"/>
      <c r="E52" s="40">
        <f>100-E51</f>
        <v>15.792543482825451</v>
      </c>
      <c r="F52" s="50"/>
      <c r="G52" s="49"/>
      <c r="H52" s="49"/>
      <c r="I52" s="49"/>
      <c r="J52" s="49"/>
      <c r="K52" s="50"/>
    </row>
    <row r="53" spans="1:11" x14ac:dyDescent="0.25">
      <c r="A53" s="57"/>
      <c r="B53" s="29" t="s">
        <v>35</v>
      </c>
      <c r="C53" s="80">
        <f>C50*0.03</f>
        <v>15000</v>
      </c>
      <c r="D53" s="80"/>
      <c r="E53" s="40">
        <v>3</v>
      </c>
      <c r="F53" s="50"/>
      <c r="G53" s="49"/>
      <c r="H53" s="49"/>
      <c r="I53" s="49"/>
      <c r="J53" s="49"/>
      <c r="K53" s="50"/>
    </row>
    <row r="54" spans="1:11" x14ac:dyDescent="0.25">
      <c r="A54" s="57"/>
      <c r="B54" s="29" t="s">
        <v>36</v>
      </c>
      <c r="C54" s="80">
        <f>C50*0.02</f>
        <v>10000</v>
      </c>
      <c r="D54" s="80"/>
      <c r="E54" s="40">
        <v>2</v>
      </c>
      <c r="F54" s="50"/>
      <c r="G54" s="49"/>
      <c r="H54" s="49"/>
      <c r="I54" s="49"/>
      <c r="J54" s="49"/>
      <c r="K54" s="50"/>
    </row>
    <row r="55" spans="1:11" s="36" customFormat="1" x14ac:dyDescent="0.25">
      <c r="A55" s="58"/>
      <c r="B55" s="58"/>
      <c r="C55" s="58"/>
      <c r="D55" s="58"/>
      <c r="E55" s="58"/>
      <c r="F55" s="58"/>
      <c r="G55" s="58"/>
      <c r="H55" s="58"/>
      <c r="I55" s="58"/>
      <c r="J55" s="58"/>
      <c r="K55" s="58"/>
    </row>
    <row r="56" spans="1:11" s="36" customFormat="1" x14ac:dyDescent="0.25"/>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sheetData>
  <mergeCells count="15">
    <mergeCell ref="A6:F6"/>
    <mergeCell ref="H6:K6"/>
    <mergeCell ref="A1:K1"/>
    <mergeCell ref="A2:K2"/>
    <mergeCell ref="A3:K3"/>
    <mergeCell ref="A4:K4"/>
    <mergeCell ref="A5:K5"/>
    <mergeCell ref="C53:D53"/>
    <mergeCell ref="C54:D54"/>
    <mergeCell ref="A7:F7"/>
    <mergeCell ref="H7:K7"/>
    <mergeCell ref="C49:D49"/>
    <mergeCell ref="C50:D50"/>
    <mergeCell ref="C51:D51"/>
    <mergeCell ref="C52:D52"/>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6" t="s">
        <v>0</v>
      </c>
      <c r="B1" s="76"/>
      <c r="C1" s="76"/>
      <c r="D1" s="76"/>
      <c r="E1" s="76"/>
      <c r="F1" s="76"/>
      <c r="G1" s="76"/>
      <c r="H1" s="76"/>
      <c r="I1" s="76"/>
      <c r="J1" s="76"/>
      <c r="K1" s="76"/>
    </row>
    <row r="2" spans="1:11" ht="25.5" x14ac:dyDescent="0.35">
      <c r="A2" s="77" t="s">
        <v>1</v>
      </c>
      <c r="B2" s="77"/>
      <c r="C2" s="77"/>
      <c r="D2" s="77"/>
      <c r="E2" s="77"/>
      <c r="F2" s="77"/>
      <c r="G2" s="77"/>
      <c r="H2" s="77"/>
      <c r="I2" s="77"/>
      <c r="J2" s="77"/>
      <c r="K2" s="77"/>
    </row>
    <row r="3" spans="1:11" s="1" customFormat="1" x14ac:dyDescent="0.25">
      <c r="A3" s="78" t="s">
        <v>2</v>
      </c>
      <c r="B3" s="78"/>
      <c r="C3" s="78"/>
      <c r="D3" s="78"/>
      <c r="E3" s="78"/>
      <c r="F3" s="78"/>
      <c r="G3" s="78"/>
      <c r="H3" s="78"/>
      <c r="I3" s="78"/>
      <c r="J3" s="78"/>
      <c r="K3" s="78"/>
    </row>
    <row r="4" spans="1:11" s="1" customFormat="1" x14ac:dyDescent="0.25">
      <c r="A4" s="78" t="s">
        <v>3</v>
      </c>
      <c r="B4" s="78"/>
      <c r="C4" s="78"/>
      <c r="D4" s="78"/>
      <c r="E4" s="78"/>
      <c r="F4" s="78"/>
      <c r="G4" s="78"/>
      <c r="H4" s="78"/>
      <c r="I4" s="78"/>
      <c r="J4" s="78"/>
      <c r="K4" s="78"/>
    </row>
    <row r="5" spans="1:11" ht="18.75" x14ac:dyDescent="0.3">
      <c r="A5" s="79" t="s">
        <v>18</v>
      </c>
      <c r="B5" s="79"/>
      <c r="C5" s="79"/>
      <c r="D5" s="79"/>
      <c r="E5" s="79"/>
      <c r="F5" s="79"/>
      <c r="G5" s="79"/>
      <c r="H5" s="79"/>
      <c r="I5" s="79"/>
      <c r="J5" s="79"/>
      <c r="K5" s="79"/>
    </row>
    <row r="6" spans="1:11" ht="18.75" x14ac:dyDescent="0.3">
      <c r="A6" s="8" t="s">
        <v>19</v>
      </c>
      <c r="B6" s="8"/>
      <c r="C6" s="74" t="e">
        <f>F18</f>
        <v>#REF!</v>
      </c>
      <c r="D6" s="75"/>
      <c r="E6" s="9"/>
      <c r="F6" s="8"/>
      <c r="G6" s="8"/>
      <c r="H6" s="8" t="s">
        <v>20</v>
      </c>
      <c r="I6" s="8"/>
      <c r="J6" s="74" t="e">
        <f>I18</f>
        <v>#REF!</v>
      </c>
      <c r="K6" s="75"/>
    </row>
    <row r="7" spans="1:11" x14ac:dyDescent="0.25">
      <c r="A7" s="26" t="s">
        <v>29</v>
      </c>
      <c r="B7" s="10"/>
      <c r="C7" s="10"/>
      <c r="D7" s="10"/>
      <c r="F7" s="69"/>
      <c r="G7" s="69"/>
      <c r="I7" s="70" t="s">
        <v>37</v>
      </c>
      <c r="J7" s="70"/>
      <c r="K7" s="70"/>
    </row>
    <row r="8" spans="1:11" ht="15.75" x14ac:dyDescent="0.25">
      <c r="A8" s="68" t="e">
        <f>#REF!</f>
        <v>#REF!</v>
      </c>
      <c r="B8" s="68"/>
      <c r="C8" s="68"/>
      <c r="D8" s="68"/>
      <c r="E8" s="68"/>
      <c r="F8" s="68"/>
      <c r="I8" s="71" t="s">
        <v>38</v>
      </c>
      <c r="J8" s="71"/>
      <c r="K8" s="71"/>
    </row>
    <row r="9" spans="1:11" x14ac:dyDescent="0.25">
      <c r="A9" s="72" t="e">
        <f>#REF!</f>
        <v>#REF!</v>
      </c>
      <c r="B9" s="72"/>
      <c r="C9" s="72"/>
      <c r="D9" s="72"/>
      <c r="E9" s="72"/>
      <c r="F9" s="72"/>
      <c r="I9" s="71" t="s">
        <v>39</v>
      </c>
      <c r="J9" s="71"/>
      <c r="K9" s="71"/>
    </row>
    <row r="11" spans="1:11" x14ac:dyDescent="0.25">
      <c r="A11" s="66" t="s">
        <v>21</v>
      </c>
      <c r="B11" s="66" t="s">
        <v>22</v>
      </c>
      <c r="C11" s="66" t="s">
        <v>12</v>
      </c>
      <c r="D11" s="73" t="s">
        <v>23</v>
      </c>
      <c r="E11" s="73"/>
      <c r="F11" s="73"/>
      <c r="G11" s="73" t="s">
        <v>24</v>
      </c>
      <c r="H11" s="73"/>
      <c r="I11" s="73"/>
      <c r="J11" s="66" t="s">
        <v>25</v>
      </c>
      <c r="K11" s="67" t="s">
        <v>15</v>
      </c>
    </row>
    <row r="12" spans="1:11" x14ac:dyDescent="0.25">
      <c r="A12" s="66"/>
      <c r="B12" s="66"/>
      <c r="C12" s="66"/>
      <c r="D12" s="11" t="s">
        <v>26</v>
      </c>
      <c r="E12" s="11" t="s">
        <v>13</v>
      </c>
      <c r="F12" s="11" t="s">
        <v>14</v>
      </c>
      <c r="G12" s="11" t="s">
        <v>26</v>
      </c>
      <c r="H12" s="11" t="s">
        <v>13</v>
      </c>
      <c r="I12" s="11" t="s">
        <v>14</v>
      </c>
      <c r="J12" s="66"/>
      <c r="K12" s="67"/>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topLeftCell="A34" zoomScaleNormal="100" workbookViewId="0">
      <selection activeCell="J48" sqref="J48"/>
    </sheetView>
  </sheetViews>
  <sheetFormatPr defaultRowHeight="15" x14ac:dyDescent="0.25"/>
  <cols>
    <col min="1" max="1" width="4.7109375" customWidth="1"/>
    <col min="2" max="2" width="33.710937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x14ac:dyDescent="0.25">
      <c r="A1" s="85" t="s">
        <v>0</v>
      </c>
      <c r="B1" s="85"/>
      <c r="C1" s="85"/>
      <c r="D1" s="85"/>
      <c r="E1" s="85"/>
      <c r="F1" s="85"/>
      <c r="G1" s="85"/>
      <c r="H1" s="85"/>
      <c r="I1" s="85"/>
      <c r="J1" s="85"/>
      <c r="K1" s="85"/>
    </row>
    <row r="2" spans="1:19" s="1" customFormat="1" ht="22.5" x14ac:dyDescent="0.25">
      <c r="A2" s="86" t="s">
        <v>1</v>
      </c>
      <c r="B2" s="86"/>
      <c r="C2" s="86"/>
      <c r="D2" s="86"/>
      <c r="E2" s="86"/>
      <c r="F2" s="86"/>
      <c r="G2" s="86"/>
      <c r="H2" s="86"/>
      <c r="I2" s="86"/>
      <c r="J2" s="86"/>
      <c r="K2" s="86"/>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87" t="s">
        <v>4</v>
      </c>
      <c r="B5" s="87"/>
      <c r="C5" s="87"/>
      <c r="D5" s="87"/>
      <c r="E5" s="87"/>
      <c r="F5" s="87"/>
      <c r="G5" s="87"/>
      <c r="H5" s="87"/>
      <c r="I5" s="87"/>
      <c r="J5" s="87"/>
      <c r="K5" s="87"/>
    </row>
    <row r="6" spans="1:19" ht="15.75" x14ac:dyDescent="0.25">
      <c r="A6" s="68" t="s">
        <v>52</v>
      </c>
      <c r="B6" s="68"/>
      <c r="C6" s="68"/>
      <c r="D6" s="68"/>
      <c r="E6" s="68"/>
      <c r="F6" s="68"/>
      <c r="G6" s="2"/>
      <c r="H6" s="84" t="s">
        <v>45</v>
      </c>
      <c r="I6" s="84"/>
      <c r="J6" s="84"/>
      <c r="K6" s="84"/>
      <c r="O6" t="s">
        <v>51</v>
      </c>
    </row>
    <row r="7" spans="1:19" ht="15.75" x14ac:dyDescent="0.25">
      <c r="A7" s="81" t="s">
        <v>28</v>
      </c>
      <c r="B7" s="81"/>
      <c r="C7" s="81"/>
      <c r="D7" s="81"/>
      <c r="E7" s="81"/>
      <c r="F7" s="81"/>
      <c r="G7" s="3"/>
      <c r="H7" s="82" t="s">
        <v>54</v>
      </c>
      <c r="I7" s="82"/>
      <c r="J7" s="82"/>
      <c r="K7" s="82"/>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35" x14ac:dyDescent="0.25">
      <c r="A9" s="64">
        <v>1</v>
      </c>
      <c r="B9" s="30" t="s">
        <v>55</v>
      </c>
      <c r="C9" s="37"/>
      <c r="D9" s="37"/>
      <c r="E9" s="37"/>
      <c r="F9" s="37"/>
      <c r="G9" s="37"/>
      <c r="H9" s="37"/>
      <c r="I9" s="37"/>
      <c r="J9" s="37"/>
      <c r="K9" s="37"/>
      <c r="N9" t="s">
        <v>47</v>
      </c>
      <c r="O9" t="s">
        <v>48</v>
      </c>
    </row>
    <row r="10" spans="1:19" ht="15" customHeight="1" x14ac:dyDescent="0.25">
      <c r="A10" s="18"/>
      <c r="B10" s="38" t="str">
        <f>B16</f>
        <v>-For plum wall</v>
      </c>
      <c r="C10" s="37">
        <v>0.5</v>
      </c>
      <c r="D10" s="39">
        <f>D40</f>
        <v>6.7000000000000011</v>
      </c>
      <c r="E10" s="39">
        <f>1.75</f>
        <v>1.75</v>
      </c>
      <c r="F10" s="39">
        <f>2</f>
        <v>2</v>
      </c>
      <c r="G10" s="40">
        <f>PRODUCT(C10:F10)</f>
        <v>11.725000000000001</v>
      </c>
      <c r="H10" s="41"/>
      <c r="I10" s="41"/>
      <c r="J10" s="41"/>
      <c r="K10" s="21"/>
      <c r="M10" s="25"/>
      <c r="N10" s="1"/>
      <c r="O10" s="1"/>
      <c r="P10" s="1"/>
      <c r="Q10" s="1"/>
      <c r="R10" s="25"/>
      <c r="S10" s="25"/>
    </row>
    <row r="11" spans="1:19" ht="15" customHeight="1" x14ac:dyDescent="0.25">
      <c r="A11" s="18"/>
      <c r="B11" s="38" t="str">
        <f>B17</f>
        <v>-For masonary wall</v>
      </c>
      <c r="C11" s="37">
        <v>0.5</v>
      </c>
      <c r="D11" s="39">
        <f>D17</f>
        <v>2.7430661383724475</v>
      </c>
      <c r="E11" s="39">
        <v>1.2</v>
      </c>
      <c r="F11" s="39">
        <f>2</f>
        <v>2</v>
      </c>
      <c r="G11" s="40">
        <f>PRODUCT(C11:F11)</f>
        <v>3.291679366046937</v>
      </c>
      <c r="H11" s="41"/>
      <c r="I11" s="41"/>
      <c r="J11" s="41"/>
      <c r="K11" s="21"/>
      <c r="M11" s="25"/>
      <c r="N11" s="1"/>
      <c r="O11" s="1"/>
      <c r="P11" s="1"/>
      <c r="Q11" s="1"/>
      <c r="R11" s="25"/>
      <c r="S11" s="25"/>
    </row>
    <row r="12" spans="1:19" ht="15" customHeight="1" x14ac:dyDescent="0.25">
      <c r="A12" s="18"/>
      <c r="B12" s="38" t="s">
        <v>42</v>
      </c>
      <c r="C12" s="19"/>
      <c r="D12" s="20"/>
      <c r="E12" s="21"/>
      <c r="F12" s="21"/>
      <c r="G12" s="23">
        <f>SUM(G10:G11)</f>
        <v>15.016679366046938</v>
      </c>
      <c r="H12" s="22" t="s">
        <v>41</v>
      </c>
      <c r="I12" s="23">
        <v>64.63</v>
      </c>
      <c r="J12" s="42">
        <f>G12*I12</f>
        <v>970.52798742761354</v>
      </c>
      <c r="K12" s="21"/>
      <c r="M12" s="25"/>
      <c r="N12" s="1"/>
      <c r="O12" s="1"/>
      <c r="P12" s="1"/>
      <c r="Q12" s="1"/>
      <c r="R12" s="25"/>
      <c r="S12" s="25"/>
    </row>
    <row r="13" spans="1:19" x14ac:dyDescent="0.25">
      <c r="A13" s="41"/>
      <c r="B13" s="38" t="s">
        <v>40</v>
      </c>
      <c r="C13" s="43"/>
      <c r="D13" s="44"/>
      <c r="E13" s="44"/>
      <c r="F13" s="44"/>
      <c r="G13" s="44"/>
      <c r="H13" s="44"/>
      <c r="I13" s="44"/>
      <c r="J13" s="46">
        <f>0.13*G12*(19284/360)</f>
        <v>104.5711495453622</v>
      </c>
      <c r="K13" s="37"/>
    </row>
    <row r="14" spans="1:19" ht="15" customHeight="1" x14ac:dyDescent="0.25">
      <c r="A14" s="18"/>
      <c r="B14" s="38"/>
      <c r="C14" s="19"/>
      <c r="D14" s="20"/>
      <c r="E14" s="21"/>
      <c r="F14" s="21"/>
      <c r="G14" s="23"/>
      <c r="H14" s="22"/>
      <c r="I14" s="23"/>
      <c r="J14" s="42"/>
      <c r="K14" s="21"/>
      <c r="M14" s="25"/>
      <c r="N14" s="1"/>
      <c r="O14" s="1"/>
      <c r="P14" s="1"/>
      <c r="Q14" s="1"/>
      <c r="R14" s="25"/>
      <c r="S14" s="25"/>
    </row>
    <row r="15" spans="1:19" ht="90" x14ac:dyDescent="0.25">
      <c r="A15" s="18">
        <v>2</v>
      </c>
      <c r="B15" s="30" t="s">
        <v>49</v>
      </c>
      <c r="C15" s="19"/>
      <c r="D15" s="20"/>
      <c r="E15" s="21"/>
      <c r="F15" s="21"/>
      <c r="G15" s="23"/>
      <c r="H15" s="22"/>
      <c r="I15" s="23"/>
      <c r="J15" s="42"/>
      <c r="K15" s="21"/>
      <c r="M15" s="25"/>
      <c r="N15" s="1"/>
      <c r="O15" s="1"/>
      <c r="P15" s="1"/>
      <c r="Q15" s="1"/>
      <c r="R15" s="25"/>
      <c r="S15" s="25"/>
    </row>
    <row r="16" spans="1:19" ht="15" customHeight="1" x14ac:dyDescent="0.25">
      <c r="A16" s="18"/>
      <c r="B16" s="38" t="str">
        <f>B21</f>
        <v>-For plum wall</v>
      </c>
      <c r="C16" s="37">
        <v>0.5</v>
      </c>
      <c r="D16" s="39">
        <f>D21</f>
        <v>12.3</v>
      </c>
      <c r="E16" s="39">
        <v>1</v>
      </c>
      <c r="F16" s="39">
        <v>1.5</v>
      </c>
      <c r="G16" s="40">
        <f>PRODUCT(C16:F16)</f>
        <v>9.2250000000000014</v>
      </c>
      <c r="H16" s="41"/>
      <c r="I16" s="41"/>
      <c r="J16" s="41"/>
      <c r="K16" s="21"/>
      <c r="M16" s="25"/>
      <c r="N16" s="1"/>
      <c r="O16" s="1"/>
      <c r="P16" s="1"/>
      <c r="Q16" s="1"/>
      <c r="R16" s="25"/>
      <c r="S16" s="25"/>
    </row>
    <row r="17" spans="1:19" ht="15" customHeight="1" x14ac:dyDescent="0.25">
      <c r="A17" s="18"/>
      <c r="B17" s="38" t="str">
        <f>B22</f>
        <v>-For masonary wall</v>
      </c>
      <c r="C17" s="37">
        <v>0.5</v>
      </c>
      <c r="D17" s="39">
        <f>D22</f>
        <v>2.7430661383724475</v>
      </c>
      <c r="E17" s="39">
        <v>1</v>
      </c>
      <c r="F17" s="39">
        <v>1.5</v>
      </c>
      <c r="G17" s="40">
        <f>PRODUCT(C17:F17)</f>
        <v>2.0572996037793354</v>
      </c>
      <c r="H17" s="41"/>
      <c r="I17" s="41"/>
      <c r="J17" s="41"/>
      <c r="K17" s="21"/>
      <c r="M17" s="25"/>
      <c r="N17" s="1"/>
      <c r="O17" s="1"/>
      <c r="P17" s="1"/>
      <c r="Q17" s="1"/>
      <c r="R17" s="25"/>
      <c r="S17" s="25"/>
    </row>
    <row r="18" spans="1:19" ht="15" customHeight="1" x14ac:dyDescent="0.25">
      <c r="A18" s="18"/>
      <c r="B18" s="38" t="s">
        <v>42</v>
      </c>
      <c r="C18" s="19"/>
      <c r="D18" s="20"/>
      <c r="E18" s="21"/>
      <c r="F18" s="21"/>
      <c r="G18" s="23">
        <f>SUM(G16:G17)</f>
        <v>11.282299603779336</v>
      </c>
      <c r="H18" s="22" t="s">
        <v>41</v>
      </c>
      <c r="I18" s="23">
        <v>404.28</v>
      </c>
      <c r="J18" s="42">
        <f>G18*I18</f>
        <v>4561.20808381591</v>
      </c>
      <c r="K18" s="21"/>
      <c r="M18" s="25"/>
      <c r="N18" s="1"/>
      <c r="O18" s="1"/>
      <c r="P18" s="1"/>
      <c r="Q18" s="1"/>
      <c r="R18" s="25"/>
      <c r="S18" s="25"/>
    </row>
    <row r="19" spans="1:19" ht="15" customHeight="1" x14ac:dyDescent="0.25">
      <c r="A19" s="18"/>
      <c r="B19" s="38"/>
      <c r="C19" s="19"/>
      <c r="D19" s="20"/>
      <c r="E19" s="21"/>
      <c r="F19" s="21"/>
      <c r="G19" s="23"/>
      <c r="H19" s="22"/>
      <c r="I19" s="23"/>
      <c r="J19" s="42"/>
      <c r="K19" s="21"/>
      <c r="M19" s="25"/>
      <c r="N19" s="1"/>
      <c r="O19" s="1"/>
      <c r="P19" s="1"/>
      <c r="Q19" s="1"/>
      <c r="R19" s="25"/>
      <c r="S19" s="25"/>
    </row>
    <row r="20" spans="1:19" ht="90" x14ac:dyDescent="0.25">
      <c r="A20" s="18">
        <v>3</v>
      </c>
      <c r="B20" s="30" t="s">
        <v>44</v>
      </c>
      <c r="C20" s="19"/>
      <c r="D20" s="20"/>
      <c r="E20" s="21"/>
      <c r="F20" s="21"/>
      <c r="G20" s="23"/>
      <c r="H20" s="22"/>
      <c r="I20" s="23"/>
      <c r="J20" s="42"/>
      <c r="K20" s="21"/>
      <c r="M20" s="25"/>
      <c r="N20" s="1"/>
      <c r="O20" s="1"/>
      <c r="P20" s="1"/>
      <c r="Q20" s="1"/>
      <c r="R20" s="25"/>
      <c r="S20" s="25"/>
    </row>
    <row r="21" spans="1:19" ht="15" customHeight="1" x14ac:dyDescent="0.25">
      <c r="A21" s="18"/>
      <c r="B21" s="38" t="str">
        <f>B40</f>
        <v>-For plum wall</v>
      </c>
      <c r="C21" s="37">
        <v>1</v>
      </c>
      <c r="D21" s="39">
        <f>D40+D41</f>
        <v>12.3</v>
      </c>
      <c r="E21" s="39">
        <f>1.75</f>
        <v>1.75</v>
      </c>
      <c r="F21" s="39">
        <v>0.15</v>
      </c>
      <c r="G21" s="40">
        <f>PRODUCT(C21:F21)</f>
        <v>3.2287500000000002</v>
      </c>
      <c r="H21" s="41"/>
      <c r="I21" s="41"/>
      <c r="J21" s="41"/>
      <c r="K21" s="21"/>
      <c r="M21" s="25"/>
      <c r="N21" s="1"/>
      <c r="O21" s="1"/>
      <c r="P21" s="1"/>
      <c r="Q21" s="1"/>
      <c r="R21" s="25"/>
      <c r="S21" s="25"/>
    </row>
    <row r="22" spans="1:19" ht="15" customHeight="1" x14ac:dyDescent="0.25">
      <c r="A22" s="18"/>
      <c r="B22" s="38" t="str">
        <f>B27</f>
        <v>-For masonary wall</v>
      </c>
      <c r="C22" s="37">
        <f>C27</f>
        <v>1</v>
      </c>
      <c r="D22" s="39">
        <f>D27</f>
        <v>2.7430661383724475</v>
      </c>
      <c r="E22" s="39">
        <f>E27</f>
        <v>1.2</v>
      </c>
      <c r="F22" s="39">
        <v>0.15</v>
      </c>
      <c r="G22" s="40">
        <f>PRODUCT(C22:F22)</f>
        <v>0.49375190490704052</v>
      </c>
      <c r="H22" s="41"/>
      <c r="I22" s="41"/>
      <c r="J22" s="41"/>
      <c r="K22" s="21"/>
      <c r="M22" s="25"/>
      <c r="N22" s="1"/>
      <c r="O22" s="1"/>
      <c r="P22" s="1"/>
      <c r="Q22" s="1"/>
      <c r="R22" s="25"/>
      <c r="S22" s="25"/>
    </row>
    <row r="23" spans="1:19" ht="15" customHeight="1" x14ac:dyDescent="0.25">
      <c r="A23" s="41"/>
      <c r="B23" s="38" t="s">
        <v>42</v>
      </c>
      <c r="C23" s="43"/>
      <c r="D23" s="44"/>
      <c r="E23" s="44"/>
      <c r="F23" s="44"/>
      <c r="G23" s="34">
        <f>SUM(G21:G22)</f>
        <v>3.7225019049070407</v>
      </c>
      <c r="H23" s="34" t="s">
        <v>41</v>
      </c>
      <c r="I23" s="34">
        <v>4561.53</v>
      </c>
      <c r="J23" s="45">
        <f>G23*I23</f>
        <v>16980.304114290611</v>
      </c>
      <c r="K23" s="37"/>
    </row>
    <row r="24" spans="1:19" x14ac:dyDescent="0.25">
      <c r="A24" s="41"/>
      <c r="B24" s="38" t="s">
        <v>40</v>
      </c>
      <c r="C24" s="43"/>
      <c r="D24" s="44"/>
      <c r="E24" s="44"/>
      <c r="F24" s="44"/>
      <c r="G24" s="44"/>
      <c r="H24" s="44"/>
      <c r="I24" s="44"/>
      <c r="J24" s="46">
        <f>0.13*G23*(15452.6/5)</f>
        <v>1495.58065632993</v>
      </c>
      <c r="K24" s="37"/>
    </row>
    <row r="25" spans="1:19" x14ac:dyDescent="0.25">
      <c r="A25" s="41"/>
      <c r="B25" s="38"/>
      <c r="C25" s="43"/>
      <c r="D25" s="44"/>
      <c r="E25" s="44"/>
      <c r="F25" s="44"/>
      <c r="G25" s="44"/>
      <c r="H25" s="44"/>
      <c r="I25" s="44"/>
      <c r="J25" s="46"/>
      <c r="K25" s="37"/>
    </row>
    <row r="26" spans="1:19" ht="75" x14ac:dyDescent="0.25">
      <c r="A26" s="18">
        <v>4</v>
      </c>
      <c r="B26" s="30" t="s">
        <v>43</v>
      </c>
      <c r="C26" s="19"/>
      <c r="D26" s="20"/>
      <c r="E26" s="21"/>
      <c r="F26" s="21"/>
      <c r="G26" s="23"/>
      <c r="H26" s="22"/>
      <c r="I26" s="23"/>
      <c r="J26" s="42"/>
      <c r="K26" s="21"/>
      <c r="M26" s="25"/>
      <c r="N26" s="1"/>
      <c r="O26" s="1"/>
      <c r="P26" s="1"/>
      <c r="Q26" s="1"/>
      <c r="R26" s="25"/>
      <c r="S26" s="25"/>
    </row>
    <row r="27" spans="1:19" ht="15" customHeight="1" x14ac:dyDescent="0.25">
      <c r="A27" s="18"/>
      <c r="B27" s="38" t="str">
        <f>B33</f>
        <v>-For masonary wall</v>
      </c>
      <c r="C27" s="37">
        <f>C33</f>
        <v>1</v>
      </c>
      <c r="D27" s="39">
        <f>D33</f>
        <v>2.7430661383724475</v>
      </c>
      <c r="E27" s="39">
        <v>1.2</v>
      </c>
      <c r="F27" s="39">
        <v>0.05</v>
      </c>
      <c r="G27" s="40">
        <f t="shared" ref="G27:G28" si="0">PRODUCT(C27:F27)</f>
        <v>0.16458396830234687</v>
      </c>
      <c r="H27" s="41"/>
      <c r="I27" s="41"/>
      <c r="J27" s="41"/>
      <c r="K27" s="21"/>
      <c r="M27" s="25"/>
      <c r="N27" s="1"/>
      <c r="O27" s="1"/>
      <c r="P27" s="1"/>
      <c r="Q27" s="1"/>
      <c r="R27" s="25"/>
      <c r="S27" s="25"/>
    </row>
    <row r="28" spans="1:19" ht="15" customHeight="1" x14ac:dyDescent="0.25">
      <c r="A28" s="18"/>
      <c r="B28" s="38"/>
      <c r="C28" s="37">
        <f>C27</f>
        <v>1</v>
      </c>
      <c r="D28" s="39">
        <f>D27</f>
        <v>2.7430661383724475</v>
      </c>
      <c r="E28" s="39">
        <v>0.53</v>
      </c>
      <c r="F28" s="39">
        <v>0.05</v>
      </c>
      <c r="G28" s="40">
        <f t="shared" si="0"/>
        <v>7.2691252666869863E-2</v>
      </c>
      <c r="H28" s="41"/>
      <c r="I28" s="41"/>
      <c r="J28" s="41"/>
      <c r="K28" s="21"/>
      <c r="M28" s="25"/>
      <c r="N28" s="1"/>
      <c r="O28" s="1"/>
      <c r="P28" s="1"/>
      <c r="Q28" s="1"/>
      <c r="R28" s="25"/>
      <c r="S28" s="25"/>
    </row>
    <row r="29" spans="1:19" ht="15" customHeight="1" x14ac:dyDescent="0.25">
      <c r="A29" s="41"/>
      <c r="B29" s="38" t="s">
        <v>42</v>
      </c>
      <c r="C29" s="43"/>
      <c r="D29" s="44"/>
      <c r="E29" s="44"/>
      <c r="F29" s="44"/>
      <c r="G29" s="34">
        <f>SUM(G27:G28)</f>
        <v>0.23727522096921672</v>
      </c>
      <c r="H29" s="34" t="s">
        <v>41</v>
      </c>
      <c r="I29" s="34">
        <v>10634.5</v>
      </c>
      <c r="J29" s="45">
        <f>G29*I29</f>
        <v>2523.3033373971352</v>
      </c>
      <c r="K29" s="37"/>
    </row>
    <row r="30" spans="1:19" ht="15" customHeight="1" x14ac:dyDescent="0.25">
      <c r="A30" s="41"/>
      <c r="B30" s="38" t="s">
        <v>40</v>
      </c>
      <c r="C30" s="43"/>
      <c r="D30" s="44"/>
      <c r="E30" s="44"/>
      <c r="F30" s="44"/>
      <c r="G30" s="44"/>
      <c r="H30" s="44"/>
      <c r="I30" s="44"/>
      <c r="J30" s="46">
        <f>0.13*G29*((114907.3+6135.3)/15)</f>
        <v>248.91021706796712</v>
      </c>
      <c r="K30" s="37"/>
    </row>
    <row r="31" spans="1:19" ht="15" customHeight="1" x14ac:dyDescent="0.25">
      <c r="A31" s="41"/>
      <c r="B31" s="38"/>
      <c r="C31" s="43"/>
      <c r="D31" s="44"/>
      <c r="E31" s="44"/>
      <c r="F31" s="44"/>
      <c r="G31" s="44"/>
      <c r="H31" s="44"/>
      <c r="I31" s="44"/>
      <c r="J31" s="46"/>
      <c r="K31" s="37"/>
    </row>
    <row r="32" spans="1:19" s="1" customFormat="1" ht="75" x14ac:dyDescent="0.25">
      <c r="A32" s="64">
        <v>5</v>
      </c>
      <c r="B32" s="30" t="s">
        <v>50</v>
      </c>
      <c r="C32" s="65"/>
      <c r="D32" s="40"/>
      <c r="E32" s="40"/>
      <c r="F32" s="40"/>
      <c r="G32" s="40"/>
      <c r="H32" s="40"/>
      <c r="I32" s="40"/>
      <c r="J32" s="46"/>
      <c r="K32" s="29"/>
    </row>
    <row r="33" spans="1:19" ht="15" customHeight="1" x14ac:dyDescent="0.25">
      <c r="A33" s="18"/>
      <c r="B33" s="38" t="s">
        <v>57</v>
      </c>
      <c r="C33" s="37">
        <v>1</v>
      </c>
      <c r="D33" s="39">
        <f>9/3.281</f>
        <v>2.7430661383724475</v>
      </c>
      <c r="E33" s="39">
        <f>((1.2+0.53)/2)</f>
        <v>0.86499999999999999</v>
      </c>
      <c r="F33" s="39">
        <f>(99-2-4-6)/12/3.281</f>
        <v>2.2096921670222494</v>
      </c>
      <c r="G33" s="40">
        <f>PRODUCT(C33:F33)</f>
        <v>5.2430519720415152</v>
      </c>
      <c r="H33" s="41"/>
      <c r="I33" s="41"/>
      <c r="J33" s="41"/>
      <c r="K33" s="21"/>
      <c r="M33" s="25"/>
      <c r="N33" s="1"/>
      <c r="O33" s="1"/>
      <c r="P33" s="1"/>
      <c r="Q33" s="1"/>
      <c r="R33" s="25"/>
      <c r="S33" s="25"/>
    </row>
    <row r="34" spans="1:19" ht="15" customHeight="1" x14ac:dyDescent="0.25">
      <c r="A34" s="41"/>
      <c r="B34" s="38" t="s">
        <v>42</v>
      </c>
      <c r="C34" s="43"/>
      <c r="D34" s="44"/>
      <c r="E34" s="44"/>
      <c r="F34" s="44"/>
      <c r="G34" s="34">
        <f>SUM(G33:G33)</f>
        <v>5.2430519720415152</v>
      </c>
      <c r="H34" s="34" t="s">
        <v>41</v>
      </c>
      <c r="I34" s="34">
        <v>9709.43</v>
      </c>
      <c r="J34" s="45">
        <f>G34*I34</f>
        <v>50907.046108899049</v>
      </c>
      <c r="K34" s="37"/>
    </row>
    <row r="35" spans="1:19" ht="15" customHeight="1" x14ac:dyDescent="0.25">
      <c r="A35" s="41"/>
      <c r="B35" s="38" t="s">
        <v>40</v>
      </c>
      <c r="C35" s="43"/>
      <c r="D35" s="44"/>
      <c r="E35" s="44"/>
      <c r="F35" s="44"/>
      <c r="G35" s="44"/>
      <c r="H35" s="44"/>
      <c r="I35" s="44"/>
      <c r="J35" s="46">
        <f>0.13*G34*(27092.1/5)</f>
        <v>3693.1774966253943</v>
      </c>
      <c r="K35" s="37"/>
    </row>
    <row r="36" spans="1:19" ht="15" customHeight="1" x14ac:dyDescent="0.25">
      <c r="A36" s="41"/>
      <c r="B36" s="38"/>
      <c r="C36" s="43"/>
      <c r="D36" s="44"/>
      <c r="E36" s="44"/>
      <c r="F36" s="44"/>
      <c r="G36" s="44"/>
      <c r="H36" s="44"/>
      <c r="I36" s="44"/>
      <c r="J36" s="46"/>
      <c r="K36" s="37"/>
    </row>
    <row r="37" spans="1:19" ht="15" customHeight="1" x14ac:dyDescent="0.25">
      <c r="A37" s="41"/>
      <c r="B37" s="38"/>
      <c r="C37" s="43"/>
      <c r="D37" s="44"/>
      <c r="E37" s="44"/>
      <c r="F37" s="44"/>
      <c r="G37" s="44"/>
      <c r="H37" s="44"/>
      <c r="I37" s="44"/>
      <c r="J37" s="46"/>
      <c r="K37" s="37"/>
    </row>
    <row r="38" spans="1:19" ht="15" customHeight="1" x14ac:dyDescent="0.25">
      <c r="A38" s="41"/>
      <c r="B38" s="38"/>
      <c r="C38" s="43"/>
      <c r="D38" s="44"/>
      <c r="E38" s="44"/>
      <c r="F38" s="44"/>
      <c r="G38" s="44"/>
      <c r="H38" s="44"/>
      <c r="I38" s="44"/>
      <c r="J38" s="46"/>
      <c r="K38" s="37"/>
    </row>
    <row r="39" spans="1:19" s="1" customFormat="1" ht="120" x14ac:dyDescent="0.25">
      <c r="A39" s="64">
        <v>5</v>
      </c>
      <c r="B39" s="30" t="s">
        <v>53</v>
      </c>
      <c r="C39" s="65"/>
      <c r="D39" s="40"/>
      <c r="E39" s="40"/>
      <c r="F39" s="40"/>
      <c r="G39" s="40"/>
      <c r="H39" s="40"/>
      <c r="I39" s="40"/>
      <c r="J39" s="46"/>
      <c r="K39" s="29"/>
    </row>
    <row r="40" spans="1:19" ht="15" customHeight="1" x14ac:dyDescent="0.25">
      <c r="A40" s="18"/>
      <c r="B40" s="38" t="s">
        <v>56</v>
      </c>
      <c r="C40" s="37">
        <v>1</v>
      </c>
      <c r="D40" s="39">
        <f>12.3-D41</f>
        <v>6.7000000000000011</v>
      </c>
      <c r="E40" s="39">
        <f>((1.75+0.63)/2)</f>
        <v>1.19</v>
      </c>
      <c r="F40" s="39">
        <v>3</v>
      </c>
      <c r="G40" s="40">
        <f>PRODUCT(C40:F40)</f>
        <v>23.919000000000004</v>
      </c>
      <c r="H40" s="41"/>
      <c r="I40" s="41"/>
      <c r="J40" s="41"/>
      <c r="K40" s="21"/>
      <c r="M40" s="25"/>
      <c r="N40" s="1"/>
      <c r="O40" s="1"/>
      <c r="P40" s="1"/>
      <c r="Q40" s="1"/>
      <c r="R40" s="25"/>
      <c r="S40" s="25"/>
    </row>
    <row r="41" spans="1:19" ht="15" customHeight="1" x14ac:dyDescent="0.25">
      <c r="A41" s="18"/>
      <c r="B41" s="38"/>
      <c r="C41" s="37">
        <v>1</v>
      </c>
      <c r="D41" s="39">
        <f>5.6</f>
        <v>5.6</v>
      </c>
      <c r="E41" s="39">
        <f>((1.75+0.6)/2)</f>
        <v>1.175</v>
      </c>
      <c r="F41" s="39">
        <v>3</v>
      </c>
      <c r="G41" s="40">
        <f>PRODUCT(C41:F41)</f>
        <v>19.740000000000002</v>
      </c>
      <c r="H41" s="41"/>
      <c r="I41" s="41"/>
      <c r="J41" s="41"/>
      <c r="K41" s="21"/>
      <c r="M41" s="25"/>
      <c r="N41" s="1"/>
      <c r="O41" s="1"/>
      <c r="P41" s="1"/>
      <c r="Q41" s="1"/>
      <c r="R41" s="25"/>
      <c r="S41" s="25"/>
    </row>
    <row r="42" spans="1:19" ht="15" customHeight="1" x14ac:dyDescent="0.25">
      <c r="A42" s="41"/>
      <c r="B42" s="38" t="s">
        <v>42</v>
      </c>
      <c r="C42" s="43"/>
      <c r="D42" s="44"/>
      <c r="E42" s="44"/>
      <c r="F42" s="44"/>
      <c r="G42" s="34">
        <f>SUM(G40:G41)</f>
        <v>43.659000000000006</v>
      </c>
      <c r="H42" s="34" t="s">
        <v>41</v>
      </c>
      <c r="I42" s="34">
        <v>9623.4699999999993</v>
      </c>
      <c r="J42" s="45">
        <f>G42*I42</f>
        <v>420151.07673000003</v>
      </c>
      <c r="K42" s="37"/>
    </row>
    <row r="43" spans="1:19" ht="15" customHeight="1" x14ac:dyDescent="0.25">
      <c r="A43" s="41"/>
      <c r="B43" s="38" t="s">
        <v>40</v>
      </c>
      <c r="C43" s="43"/>
      <c r="D43" s="44"/>
      <c r="E43" s="44"/>
      <c r="F43" s="44"/>
      <c r="G43" s="44"/>
      <c r="H43" s="44"/>
      <c r="I43" s="44"/>
      <c r="J43" s="46">
        <f>0.13*G42*((59609.3+3478.36)/10)</f>
        <v>35806.473923220008</v>
      </c>
      <c r="K43" s="37"/>
    </row>
    <row r="44" spans="1:19" ht="15" customHeight="1" x14ac:dyDescent="0.25">
      <c r="A44" s="41"/>
      <c r="B44" s="38"/>
      <c r="C44" s="43"/>
      <c r="D44" s="44"/>
      <c r="E44" s="44"/>
      <c r="F44" s="44"/>
      <c r="G44" s="34"/>
      <c r="H44" s="34"/>
      <c r="I44" s="34"/>
      <c r="J44" s="45"/>
      <c r="K44" s="37"/>
    </row>
    <row r="45" spans="1:19" ht="15" customHeight="1" x14ac:dyDescent="0.25">
      <c r="A45" s="18">
        <v>6</v>
      </c>
      <c r="B45" s="30" t="s">
        <v>30</v>
      </c>
      <c r="C45" s="19">
        <v>1</v>
      </c>
      <c r="D45" s="20"/>
      <c r="E45" s="21"/>
      <c r="F45" s="21"/>
      <c r="G45" s="35">
        <f t="shared" ref="G45" si="1">PRODUCT(C45:F45)</f>
        <v>1</v>
      </c>
      <c r="H45" s="22" t="s">
        <v>31</v>
      </c>
      <c r="I45" s="23">
        <v>500</v>
      </c>
      <c r="J45" s="35">
        <f>G45*I45</f>
        <v>500</v>
      </c>
      <c r="K45" s="21"/>
      <c r="M45" s="25"/>
      <c r="N45" s="1"/>
      <c r="O45" s="1"/>
      <c r="P45" s="1"/>
      <c r="Q45" s="1"/>
      <c r="R45" s="25"/>
      <c r="S45" s="25"/>
    </row>
    <row r="46" spans="1:19" ht="15" customHeight="1" x14ac:dyDescent="0.25">
      <c r="A46" s="18"/>
      <c r="B46" s="24"/>
      <c r="C46" s="19"/>
      <c r="D46" s="20"/>
      <c r="E46" s="21"/>
      <c r="F46" s="21"/>
      <c r="G46" s="23"/>
      <c r="H46" s="22"/>
      <c r="I46" s="23"/>
      <c r="J46" s="42"/>
      <c r="K46" s="21"/>
      <c r="M46" s="25"/>
      <c r="N46" s="1">
        <f>2.4*3.281</f>
        <v>7.8743999999999996</v>
      </c>
      <c r="O46" s="1"/>
      <c r="P46" s="1"/>
      <c r="Q46" s="1"/>
      <c r="R46" s="25"/>
      <c r="S46" s="25"/>
    </row>
    <row r="47" spans="1:19" x14ac:dyDescent="0.25">
      <c r="A47" s="41"/>
      <c r="B47" s="47" t="s">
        <v>17</v>
      </c>
      <c r="C47" s="48"/>
      <c r="D47" s="39"/>
      <c r="E47" s="39"/>
      <c r="F47" s="39"/>
      <c r="G47" s="42"/>
      <c r="H47" s="42"/>
      <c r="I47" s="42"/>
      <c r="J47" s="42">
        <f>SUM(J10:J45)</f>
        <v>537942.17980461894</v>
      </c>
      <c r="K47" s="37"/>
    </row>
    <row r="48" spans="1:19" x14ac:dyDescent="0.25">
      <c r="A48" s="59"/>
      <c r="B48" s="62"/>
      <c r="C48" s="63"/>
      <c r="D48" s="60"/>
      <c r="E48" s="60"/>
      <c r="F48" s="60"/>
      <c r="G48" s="61"/>
      <c r="H48" s="61"/>
      <c r="I48" s="61"/>
      <c r="J48" s="61"/>
      <c r="K48" s="58"/>
    </row>
    <row r="49" spans="1:11" s="1" customFormat="1" x14ac:dyDescent="0.25">
      <c r="A49" s="51"/>
      <c r="B49" s="29" t="s">
        <v>27</v>
      </c>
      <c r="C49" s="80">
        <f>J47</f>
        <v>537942.17980461894</v>
      </c>
      <c r="D49" s="80"/>
      <c r="E49" s="40">
        <v>100</v>
      </c>
      <c r="F49" s="52"/>
      <c r="G49" s="53"/>
      <c r="H49" s="52"/>
      <c r="I49" s="54"/>
      <c r="J49" s="55"/>
      <c r="K49" s="56"/>
    </row>
    <row r="50" spans="1:11" x14ac:dyDescent="0.25">
      <c r="A50" s="57"/>
      <c r="B50" s="29" t="s">
        <v>32</v>
      </c>
      <c r="C50" s="83">
        <v>500000</v>
      </c>
      <c r="D50" s="83"/>
      <c r="E50" s="40"/>
      <c r="F50" s="50"/>
      <c r="G50" s="49"/>
      <c r="H50" s="49"/>
      <c r="I50" s="49"/>
      <c r="J50" s="49"/>
      <c r="K50" s="50"/>
    </row>
    <row r="51" spans="1:11" x14ac:dyDescent="0.25">
      <c r="A51" s="57"/>
      <c r="B51" s="29" t="s">
        <v>33</v>
      </c>
      <c r="C51" s="83">
        <f>C50-C53-C54</f>
        <v>475000</v>
      </c>
      <c r="D51" s="83"/>
      <c r="E51" s="40">
        <f>C51/C49*100</f>
        <v>88.299452586618216</v>
      </c>
      <c r="F51" s="50"/>
      <c r="G51" s="49"/>
      <c r="H51" s="49"/>
      <c r="I51" s="49"/>
      <c r="J51" s="49"/>
      <c r="K51" s="50"/>
    </row>
    <row r="52" spans="1:11" x14ac:dyDescent="0.25">
      <c r="A52" s="57"/>
      <c r="B52" s="29" t="s">
        <v>34</v>
      </c>
      <c r="C52" s="80">
        <f>C49-C51</f>
        <v>62942.179804618936</v>
      </c>
      <c r="D52" s="80"/>
      <c r="E52" s="40">
        <f>100-E51</f>
        <v>11.700547413381784</v>
      </c>
      <c r="F52" s="50"/>
      <c r="G52" s="49"/>
      <c r="H52" s="49"/>
      <c r="I52" s="49"/>
      <c r="J52" s="49"/>
      <c r="K52" s="50"/>
    </row>
    <row r="53" spans="1:11" x14ac:dyDescent="0.25">
      <c r="A53" s="57"/>
      <c r="B53" s="29" t="s">
        <v>35</v>
      </c>
      <c r="C53" s="80">
        <f>C50*0.03</f>
        <v>15000</v>
      </c>
      <c r="D53" s="80"/>
      <c r="E53" s="40">
        <v>3</v>
      </c>
      <c r="F53" s="50"/>
      <c r="G53" s="49"/>
      <c r="H53" s="49"/>
      <c r="I53" s="49"/>
      <c r="J53" s="49"/>
      <c r="K53" s="50"/>
    </row>
    <row r="54" spans="1:11" x14ac:dyDescent="0.25">
      <c r="A54" s="57"/>
      <c r="B54" s="29" t="s">
        <v>36</v>
      </c>
      <c r="C54" s="80">
        <f>C50*0.02</f>
        <v>10000</v>
      </c>
      <c r="D54" s="80"/>
      <c r="E54" s="40">
        <v>2</v>
      </c>
      <c r="F54" s="50"/>
      <c r="G54" s="49"/>
      <c r="H54" s="49"/>
      <c r="I54" s="49"/>
      <c r="J54" s="49"/>
      <c r="K54" s="50"/>
    </row>
    <row r="55" spans="1:11" s="36" customFormat="1" x14ac:dyDescent="0.25">
      <c r="A55" s="58"/>
      <c r="B55" s="58"/>
      <c r="C55" s="58"/>
      <c r="D55" s="58"/>
      <c r="E55" s="58"/>
      <c r="F55" s="58"/>
      <c r="G55" s="58"/>
      <c r="H55" s="58"/>
      <c r="I55" s="58"/>
      <c r="J55" s="58"/>
      <c r="K55" s="58"/>
    </row>
    <row r="56" spans="1:11" s="36" customFormat="1" x14ac:dyDescent="0.25"/>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sheetData>
  <mergeCells count="15">
    <mergeCell ref="C53:D53"/>
    <mergeCell ref="C54:D54"/>
    <mergeCell ref="A7:F7"/>
    <mergeCell ref="H7:K7"/>
    <mergeCell ref="C49:D49"/>
    <mergeCell ref="C50:D50"/>
    <mergeCell ref="C51:D51"/>
    <mergeCell ref="C52:D52"/>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Valuated</vt:lpstr>
      <vt:lpstr>estimate!Print_Area</vt:lpstr>
      <vt:lpstr>Valuated!Print_Area</vt:lpstr>
      <vt:lpstr>estimate!Print_Titles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2025-01-17T06:49:58Z</cp:lastPrinted>
  <dcterms:created xsi:type="dcterms:W3CDTF">2015-06-05T18:17:20Z</dcterms:created>
  <dcterms:modified xsi:type="dcterms:W3CDTF">2025-04-02T08:15:09Z</dcterms:modified>
</cp:coreProperties>
</file>