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urthali sadak\"/>
    </mc:Choice>
  </mc:AlternateContent>
  <bookViews>
    <workbookView xWindow="-120" yWindow="-120" windowWidth="20736" windowHeight="11160" firstSheet="1" activeTab="6"/>
  </bookViews>
  <sheets>
    <sheet name="Estimate" sheetId="4" state="hidden" r:id="rId1"/>
    <sheet name="final" sheetId="10" r:id="rId2"/>
    <sheet name="WCR" sheetId="6" r:id="rId3"/>
    <sheet name="Sheet4" sheetId="14" r:id="rId4"/>
    <sheet name="ग्रावेल" sheetId="15" r:id="rId5"/>
    <sheet name="with dhalaan" sheetId="19" r:id="rId6"/>
    <sheet name="Sheet4 (2)" sheetId="17" r:id="rId7"/>
  </sheets>
  <externalReferences>
    <externalReference r:id="rId8"/>
    <externalReference r:id="rId9"/>
    <externalReference r:id="rId10"/>
    <externalReference r:id="rId11"/>
  </externalReferences>
  <definedNames>
    <definedName name="description_103">[1]Abstract!$B$16</definedName>
    <definedName name="description_124" localSheetId="1">#REF!</definedName>
    <definedName name="description_124" localSheetId="6">#REF!</definedName>
    <definedName name="description_124" localSheetId="5">#REF!</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Estimate!$A$1:$K$78</definedName>
    <definedName name="_xlnm.Print_Area" localSheetId="1">final!$A$1:$K$60</definedName>
    <definedName name="_xlnm.Print_Area" localSheetId="6">'Sheet4 (2)'!$A$1:$K$48</definedName>
    <definedName name="_xlnm.Print_Titles" localSheetId="0">Estimate!$1:$8</definedName>
    <definedName name="_xlnm.Print_Titles" localSheetId="1">final!$1:$8</definedName>
    <definedName name="_xlnm.Print_Titles" localSheetId="6">'Sheet4 (2)'!$1:$8</definedName>
    <definedName name="_xlnm.Print_Titles" localSheetId="2">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8" i="17" l="1"/>
  <c r="E27" i="17"/>
  <c r="G37" i="17"/>
  <c r="D11" i="17" l="1"/>
  <c r="E21" i="17"/>
  <c r="D21" i="17"/>
  <c r="C21" i="17"/>
  <c r="G21" i="17" s="1"/>
  <c r="B21" i="17"/>
  <c r="E16" i="17"/>
  <c r="D27" i="17" s="1"/>
  <c r="C28" i="17" s="1"/>
  <c r="F10" i="17"/>
  <c r="D28" i="17" l="1"/>
  <c r="C27" i="17" s="1"/>
  <c r="F27" i="17" s="1"/>
  <c r="G27" i="17" s="1"/>
  <c r="G11" i="17"/>
  <c r="E22" i="17"/>
  <c r="E33" i="17"/>
  <c r="J37" i="17"/>
  <c r="D11" i="19"/>
  <c r="F28" i="17" l="1"/>
  <c r="G28" i="17" s="1"/>
  <c r="G29" i="17" s="1"/>
  <c r="D22" i="17"/>
  <c r="D33" i="17"/>
  <c r="C43" i="19"/>
  <c r="G43" i="19" s="1"/>
  <c r="G44" i="19" s="1"/>
  <c r="J45" i="19" s="1"/>
  <c r="D10" i="19"/>
  <c r="C38" i="19"/>
  <c r="G11" i="19"/>
  <c r="P43" i="19"/>
  <c r="P44" i="19" s="1"/>
  <c r="O43" i="19"/>
  <c r="N43" i="19"/>
  <c r="J30" i="17" l="1"/>
  <c r="J29" i="17"/>
  <c r="J44" i="19"/>
  <c r="C33" i="19" l="1"/>
  <c r="G38" i="19" l="1"/>
  <c r="G39" i="19" s="1"/>
  <c r="G33" i="19"/>
  <c r="N10" i="19"/>
  <c r="D32" i="19"/>
  <c r="G32" i="19" s="1"/>
  <c r="G10" i="19"/>
  <c r="C56" i="19"/>
  <c r="C55" i="19"/>
  <c r="G47" i="19"/>
  <c r="J47" i="19" s="1"/>
  <c r="P38" i="19"/>
  <c r="P39" i="19" s="1"/>
  <c r="O38" i="19"/>
  <c r="N38" i="19"/>
  <c r="O34" i="19"/>
  <c r="N34" i="19"/>
  <c r="O33" i="19"/>
  <c r="N33" i="19"/>
  <c r="B32" i="19"/>
  <c r="G27" i="19"/>
  <c r="G28" i="19" s="1"/>
  <c r="J28" i="19" s="1"/>
  <c r="J29" i="19" s="1"/>
  <c r="G22" i="19"/>
  <c r="G23" i="19" s="1"/>
  <c r="C17" i="19"/>
  <c r="G17" i="19" s="1"/>
  <c r="G18" i="19" s="1"/>
  <c r="B17" i="19"/>
  <c r="B22" i="19" s="1"/>
  <c r="F12" i="19"/>
  <c r="G12" i="19" s="1"/>
  <c r="G13" i="19" l="1"/>
  <c r="J14" i="19" s="1"/>
  <c r="P34" i="19"/>
  <c r="C53" i="19"/>
  <c r="G34" i="19"/>
  <c r="J35" i="19" s="1"/>
  <c r="J18" i="19"/>
  <c r="J19" i="19"/>
  <c r="J23" i="19"/>
  <c r="J24" i="19"/>
  <c r="J40" i="19"/>
  <c r="J39" i="19"/>
  <c r="C48" i="17"/>
  <c r="C47" i="17"/>
  <c r="G39" i="17"/>
  <c r="J39" i="17" s="1"/>
  <c r="C16" i="17"/>
  <c r="B16" i="17"/>
  <c r="B27" i="17" s="1"/>
  <c r="G10" i="17"/>
  <c r="B22" i="17" l="1"/>
  <c r="B33" i="17"/>
  <c r="C33" i="17"/>
  <c r="G33" i="17" s="1"/>
  <c r="G34" i="17" s="1"/>
  <c r="G16" i="17"/>
  <c r="G17" i="17" s="1"/>
  <c r="J18" i="17" s="1"/>
  <c r="C22" i="17"/>
  <c r="G12" i="17"/>
  <c r="J13" i="17" s="1"/>
  <c r="C45" i="17"/>
  <c r="J13" i="19"/>
  <c r="J34" i="19"/>
  <c r="C37" i="15"/>
  <c r="C32" i="15"/>
  <c r="P42" i="15"/>
  <c r="P43" i="15" s="1"/>
  <c r="O42" i="15"/>
  <c r="N42" i="15"/>
  <c r="G42" i="15"/>
  <c r="G43" i="15" s="1"/>
  <c r="J44" i="15" s="1"/>
  <c r="G22" i="17" l="1"/>
  <c r="G23" i="17" s="1"/>
  <c r="J23" i="17" s="1"/>
  <c r="J35" i="17"/>
  <c r="J34" i="17"/>
  <c r="J17" i="17"/>
  <c r="J12" i="17"/>
  <c r="J49" i="19"/>
  <c r="C51" i="19"/>
  <c r="C54" i="19" s="1"/>
  <c r="J43" i="15"/>
  <c r="J24" i="17" l="1"/>
  <c r="J41" i="17" s="1"/>
  <c r="C43" i="17" s="1"/>
  <c r="E45" i="17" s="1"/>
  <c r="E46" i="17" s="1"/>
  <c r="E53" i="19"/>
  <c r="E54" i="19" s="1"/>
  <c r="C55" i="15"/>
  <c r="C54" i="15"/>
  <c r="G46" i="15"/>
  <c r="J46" i="15" s="1"/>
  <c r="P38" i="15"/>
  <c r="P37" i="15"/>
  <c r="O37" i="15"/>
  <c r="N37" i="15"/>
  <c r="G37" i="15"/>
  <c r="G38" i="15" s="1"/>
  <c r="O33" i="15"/>
  <c r="N33" i="15"/>
  <c r="P33" i="15" s="1"/>
  <c r="O32" i="15"/>
  <c r="N32" i="15"/>
  <c r="G32" i="15"/>
  <c r="D31" i="15"/>
  <c r="G31" i="15" s="1"/>
  <c r="B31" i="15"/>
  <c r="G26" i="15"/>
  <c r="G27" i="15" s="1"/>
  <c r="J27" i="15" s="1"/>
  <c r="J28" i="15" s="1"/>
  <c r="G21" i="15"/>
  <c r="G22" i="15" s="1"/>
  <c r="C16" i="15"/>
  <c r="G16" i="15" s="1"/>
  <c r="G17" i="15" s="1"/>
  <c r="B16" i="15"/>
  <c r="B21" i="15" s="1"/>
  <c r="F11" i="15"/>
  <c r="G11" i="15" s="1"/>
  <c r="G10" i="15"/>
  <c r="D10" i="15"/>
  <c r="C37" i="14"/>
  <c r="G37" i="14" s="1"/>
  <c r="G38" i="14" s="1"/>
  <c r="P38" i="14"/>
  <c r="P37" i="14"/>
  <c r="G26" i="14"/>
  <c r="G27" i="14" s="1"/>
  <c r="P33" i="14"/>
  <c r="O33" i="14"/>
  <c r="N33" i="14"/>
  <c r="D31" i="14"/>
  <c r="O32" i="14"/>
  <c r="N32" i="14"/>
  <c r="F11" i="14"/>
  <c r="C50" i="14"/>
  <c r="C49" i="14"/>
  <c r="C47" i="14" s="1"/>
  <c r="G41" i="14"/>
  <c r="J41" i="14" s="1"/>
  <c r="O37" i="14"/>
  <c r="N37" i="14"/>
  <c r="C32" i="14"/>
  <c r="G32" i="14" s="1"/>
  <c r="G31" i="14"/>
  <c r="B31" i="14"/>
  <c r="G21" i="14"/>
  <c r="G22" i="14" s="1"/>
  <c r="C16" i="14"/>
  <c r="G16" i="14" s="1"/>
  <c r="G17" i="14" s="1"/>
  <c r="B16" i="14"/>
  <c r="B21" i="14" s="1"/>
  <c r="G11" i="14"/>
  <c r="D10" i="14"/>
  <c r="G10" i="14" s="1"/>
  <c r="C46" i="17" l="1"/>
  <c r="C52" i="15"/>
  <c r="G12" i="15"/>
  <c r="J13" i="15" s="1"/>
  <c r="G33" i="15"/>
  <c r="J34" i="15" s="1"/>
  <c r="J12" i="15"/>
  <c r="J23" i="15"/>
  <c r="J22" i="15"/>
  <c r="J18" i="15"/>
  <c r="J17" i="15"/>
  <c r="J38" i="15"/>
  <c r="J39" i="15"/>
  <c r="G33" i="14"/>
  <c r="J33" i="14" s="1"/>
  <c r="G12" i="14"/>
  <c r="J13" i="14" s="1"/>
  <c r="J39" i="14"/>
  <c r="J38" i="14"/>
  <c r="J34" i="14"/>
  <c r="J27" i="14"/>
  <c r="J28" i="14" s="1"/>
  <c r="J23" i="14"/>
  <c r="J22" i="14"/>
  <c r="J18" i="14"/>
  <c r="J17" i="14"/>
  <c r="C47" i="10"/>
  <c r="C37" i="10"/>
  <c r="C26" i="10"/>
  <c r="G21" i="10"/>
  <c r="G22" i="10" s="1"/>
  <c r="J23" i="10" s="1"/>
  <c r="D10" i="10"/>
  <c r="C60" i="10"/>
  <c r="C59" i="10"/>
  <c r="C57" i="10" s="1"/>
  <c r="J33" i="15" l="1"/>
  <c r="J48" i="15" s="1"/>
  <c r="C50" i="15" s="1"/>
  <c r="J12" i="14"/>
  <c r="J43" i="14" s="1"/>
  <c r="C45" i="14" s="1"/>
  <c r="C48" i="14" s="1"/>
  <c r="J22" i="10"/>
  <c r="O47" i="10"/>
  <c r="N47" i="10"/>
  <c r="G10" i="10"/>
  <c r="D36" i="10"/>
  <c r="G36" i="10" s="1"/>
  <c r="G37" i="10"/>
  <c r="B31" i="10"/>
  <c r="F26" i="10"/>
  <c r="G26" i="10" s="1"/>
  <c r="G27" i="10" s="1"/>
  <c r="J28" i="10" s="1"/>
  <c r="E26" i="10"/>
  <c r="C53" i="15" l="1"/>
  <c r="E52" i="15"/>
  <c r="E53" i="15" s="1"/>
  <c r="E47" i="14"/>
  <c r="E48" i="14" s="1"/>
  <c r="J27" i="10"/>
  <c r="B41" i="10" l="1"/>
  <c r="G11" i="10" l="1"/>
  <c r="C16" i="10"/>
  <c r="B16" i="10"/>
  <c r="G47" i="10"/>
  <c r="G48" i="10" s="1"/>
  <c r="J49" i="10" s="1"/>
  <c r="B36" i="10" l="1"/>
  <c r="B21" i="10"/>
  <c r="C31" i="10"/>
  <c r="G31" i="10" s="1"/>
  <c r="G32" i="10" s="1"/>
  <c r="G16" i="10"/>
  <c r="J48" i="10"/>
  <c r="J33" i="10" l="1"/>
  <c r="G38" i="10"/>
  <c r="J39" i="10" s="1"/>
  <c r="G42" i="10"/>
  <c r="G51" i="10"/>
  <c r="J51" i="10" s="1"/>
  <c r="B9" i="10"/>
  <c r="G43" i="10" l="1"/>
  <c r="J44" i="10" s="1"/>
  <c r="G12" i="10"/>
  <c r="J13" i="10" s="1"/>
  <c r="G17" i="10"/>
  <c r="J18" i="10" s="1"/>
  <c r="D48" i="4"/>
  <c r="C47" i="4" s="1"/>
  <c r="D47" i="4"/>
  <c r="C48" i="4" s="1"/>
  <c r="D58" i="4"/>
  <c r="D54" i="4"/>
  <c r="C63" i="4"/>
  <c r="E48" i="4"/>
  <c r="E47" i="4"/>
  <c r="E42" i="4"/>
  <c r="D42" i="4"/>
  <c r="C42" i="4"/>
  <c r="B42" i="4"/>
  <c r="B41" i="4"/>
  <c r="B36" i="4"/>
  <c r="E24" i="4"/>
  <c r="E19" i="4"/>
  <c r="E12" i="4"/>
  <c r="N12" i="4"/>
  <c r="E10" i="4"/>
  <c r="E17" i="4" s="1"/>
  <c r="C19" i="4"/>
  <c r="D12" i="4"/>
  <c r="D24" i="4" s="1"/>
  <c r="D25" i="4" s="1"/>
  <c r="G25" i="4" s="1"/>
  <c r="C12" i="4"/>
  <c r="E18" i="4"/>
  <c r="E26" i="4" s="1"/>
  <c r="D18" i="4"/>
  <c r="D26" i="4" s="1"/>
  <c r="C18" i="4"/>
  <c r="C26" i="4" s="1"/>
  <c r="D17" i="4"/>
  <c r="F11" i="4"/>
  <c r="G11" i="4" s="1"/>
  <c r="E11" i="4"/>
  <c r="D11" i="4"/>
  <c r="B9" i="4"/>
  <c r="G32" i="4"/>
  <c r="C32" i="4"/>
  <c r="F31" i="4"/>
  <c r="D31" i="4"/>
  <c r="G31" i="4" s="1"/>
  <c r="G33" i="4" s="1"/>
  <c r="B30" i="4"/>
  <c r="M59" i="4"/>
  <c r="J33" i="4" l="1"/>
  <c r="J34" i="4"/>
  <c r="G26" i="4"/>
  <c r="G18" i="4"/>
  <c r="G42" i="4"/>
  <c r="G43" i="4" s="1"/>
  <c r="J44" i="4" s="1"/>
  <c r="J38" i="10"/>
  <c r="J43" i="10"/>
  <c r="J43" i="4"/>
  <c r="G12" i="4"/>
  <c r="D37" i="4"/>
  <c r="G37" i="4" s="1"/>
  <c r="G38" i="4" s="1"/>
  <c r="D19" i="4"/>
  <c r="F48" i="4"/>
  <c r="G48" i="4" s="1"/>
  <c r="F47" i="4"/>
  <c r="G47" i="4" s="1"/>
  <c r="G19" i="4"/>
  <c r="G17" i="4"/>
  <c r="G20" i="4" s="1"/>
  <c r="J21" i="4" s="1"/>
  <c r="G24" i="4"/>
  <c r="G27" i="4" l="1"/>
  <c r="J32" i="10"/>
  <c r="J17" i="10"/>
  <c r="J12" i="10"/>
  <c r="J53" i="10" s="1"/>
  <c r="J38" i="4"/>
  <c r="J39" i="4"/>
  <c r="G49" i="4"/>
  <c r="J50" i="4" s="1"/>
  <c r="J20" i="4"/>
  <c r="J27" i="4"/>
  <c r="J28" i="4"/>
  <c r="C55" i="10" l="1"/>
  <c r="J49" i="4"/>
  <c r="C58" i="10" l="1"/>
  <c r="E57" i="10"/>
  <c r="E58" i="10" s="1"/>
  <c r="G58" i="4"/>
  <c r="G59" i="4" s="1"/>
  <c r="J60" i="4" s="1"/>
  <c r="G54" i="4"/>
  <c r="G55" i="4" l="1"/>
  <c r="J59" i="4"/>
  <c r="J55" i="4" l="1"/>
  <c r="J56" i="4"/>
  <c r="G63" i="4" l="1"/>
  <c r="G64" i="4" s="1"/>
  <c r="J65" i="4" s="1"/>
  <c r="B63" i="4"/>
  <c r="J64" i="4" l="1"/>
  <c r="H13" i="6" l="1"/>
  <c r="C78" i="4"/>
  <c r="C77" i="4"/>
  <c r="C75" i="4" l="1"/>
  <c r="G13" i="6" l="1"/>
  <c r="B14" i="6"/>
  <c r="E13" i="6"/>
  <c r="C13" i="6"/>
  <c r="B13" i="6"/>
  <c r="A13" i="6"/>
  <c r="I14" i="6" l="1"/>
  <c r="H16" i="6"/>
  <c r="G16" i="6"/>
  <c r="E16" i="6"/>
  <c r="C16" i="6"/>
  <c r="B16" i="6"/>
  <c r="A16" i="6"/>
  <c r="G69" i="4"/>
  <c r="J69" i="4" s="1"/>
  <c r="I16" i="6" l="1"/>
  <c r="D16" i="6"/>
  <c r="F16" i="6" s="1"/>
  <c r="G10" i="4"/>
  <c r="G13" i="4" s="1"/>
  <c r="J14" i="4" s="1"/>
  <c r="J13" i="4" l="1"/>
  <c r="J16" i="6"/>
  <c r="I13" i="6"/>
  <c r="I18" i="6" s="1"/>
  <c r="F14" i="6" l="1"/>
  <c r="D13" i="6"/>
  <c r="F13" i="6" s="1"/>
  <c r="J13" i="6" s="1"/>
  <c r="F18" i="6" l="1"/>
  <c r="A9" i="6"/>
  <c r="A8" i="6"/>
  <c r="J71" i="4" l="1"/>
  <c r="C73" i="4" l="1"/>
  <c r="J6" i="6"/>
  <c r="E75" i="4" l="1"/>
  <c r="E76" i="4" s="1"/>
  <c r="C76" i="4"/>
  <c r="J18" i="6"/>
  <c r="C6" i="6" l="1"/>
</calcChain>
</file>

<file path=xl/sharedStrings.xml><?xml version="1.0" encoding="utf-8"?>
<sst xmlns="http://schemas.openxmlformats.org/spreadsheetml/2006/main" count="423" uniqueCount="99">
  <si>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</si>
  <si>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</si>
  <si>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</si>
  <si>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</si>
  <si>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</si>
  <si>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</si>
  <si>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</si>
  <si>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</si>
  <si>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</si>
  <si>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</si>
  <si>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</si>
  <si>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</si>
  <si>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</si>
  <si>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</si>
  <si>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</si>
  <si>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</si>
  <si>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</si>
  <si>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</si>
  <si>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</si>
  <si>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</si>
  <si>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</si>
  <si>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</si>
  <si>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</si>
  <si>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</si>
  <si>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</si>
  <si>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</si>
  <si>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</si>
  <si>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</si>
  <si>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</si>
  <si>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cum</t>
  </si>
  <si>
    <t xml:space="preserve">Date:                    </t>
  </si>
  <si>
    <t xml:space="preserve">Work Started : </t>
  </si>
  <si>
    <t xml:space="preserve">F.Y.: 2079/80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</si>
  <si>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</si>
  <si>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</si>
  <si>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</si>
  <si>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</si>
  <si>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</si>
  <si>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</si>
  <si>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</si>
  <si>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</si>
  <si>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</si>
  <si>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</si>
  <si>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Project:- बेन्डोल हाईट सडक निर्माण</t>
  </si>
  <si>
    <t>VAT calculation</t>
  </si>
  <si>
    <t>m</t>
  </si>
  <si>
    <t>Hume Pipes</t>
  </si>
  <si>
    <t>-Earthwork in excavation for laying hume pipe</t>
  </si>
  <si>
    <t>450 dia hume pipe</t>
  </si>
  <si>
    <t>m3</t>
  </si>
  <si>
    <t>-Laying Work of Hume Pipe</t>
  </si>
  <si>
    <t>Sub-total</t>
  </si>
  <si>
    <t>Providing and laying of hand pack locally available Stone soling with 150 to 200 mm thick stones and packing with smaller stone on prepared surface as per Drawing and Technical Specifications.</t>
  </si>
  <si>
    <t>-Manhole</t>
  </si>
  <si>
    <t>-Deduction for manhole</t>
  </si>
  <si>
    <t>-Road</t>
  </si>
  <si>
    <t>Providing and laying of Plain/Reinforced Cement Concrete in Foundation complete as per Drawing and Technical Specifications, PCC Grade M 15</t>
  </si>
  <si>
    <t>-Drain</t>
  </si>
  <si>
    <t>-Top cover/cap</t>
  </si>
  <si>
    <t>Providing and laying , fitting and placing HYSD bar reinforcement in sub-structure complete as per Drawing and Technical Specifications</t>
  </si>
  <si>
    <t>-Along road width</t>
  </si>
  <si>
    <t>-Along road length</t>
  </si>
  <si>
    <t>length(m)</t>
  </si>
  <si>
    <t>Unit Wt. (Kg/m)</t>
  </si>
  <si>
    <t>Total weight (kg)</t>
  </si>
  <si>
    <t>tonne</t>
  </si>
  <si>
    <t>Project:- सुन्दर बस्ती सडक</t>
  </si>
  <si>
    <t>-For hume pipe</t>
  </si>
  <si>
    <t>-Manhole cover</t>
  </si>
  <si>
    <t>-600mm dia hume pipe</t>
  </si>
  <si>
    <t>-450mm dia hume pipe</t>
  </si>
  <si>
    <t>-Deduction for opening</t>
  </si>
  <si>
    <t>Providing and Laying Reinforced cement concrete NP3 Flush jointed pipe for culverts including fixing with cement mortar 1:2 as per Drawing and Technical Specifications., 600 mm  internal dia.</t>
  </si>
  <si>
    <t>Providing and laying of hand pack Stone soling with 150 to 200 mm thick stones and packing with smaller stone on prepared surface as per Drawing and Technical Specifications.</t>
  </si>
  <si>
    <t>Providing and laying of Plain/Reinforced Cement Concrete in Foundation complete as per Drawing and Technical Specifications., RCC Grade M 20</t>
  </si>
  <si>
    <t>Length (m)</t>
  </si>
  <si>
    <t>Unit weight (kg/m)</t>
  </si>
  <si>
    <t>e'O{+tNnfdf lrDgL e§fsf] O{+6fsf] uf/f] l;d]G6 d;nf -!M^_ df</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</si>
  <si>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</si>
  <si>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</si>
  <si>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 xml:space="preserve">Date:                  </t>
  </si>
  <si>
    <t>C.I. Manhole cover including frame</t>
  </si>
  <si>
    <t>-Rounded manhole cover medium duty 450mm (22")</t>
  </si>
  <si>
    <t>set</t>
  </si>
  <si>
    <t xml:space="preserve">Project:- सुन्दरबस्ती सडक ग्राबेल र ढलान </t>
  </si>
  <si>
    <t>Providing and laying  granular sub-base   on prepared surface, mixing  at OMC, and compacting  to achieve the desired density, complete as per Drawing and Technical Specifications., By Mechanical means</t>
  </si>
  <si>
    <t>road</t>
  </si>
  <si>
    <t>-Rounded manhole cover medium duty 500mm (24")</t>
  </si>
  <si>
    <t>Providing and Laying Reinforced cement concrete NP3 Flush jointed pipe for culverts including fixing with cement mortar 1:2 as per Drawing and Technical Specifications., 450 mm  internal dia.</t>
  </si>
  <si>
    <t>PS</t>
  </si>
  <si>
    <t>Date:2081/06/08</t>
  </si>
  <si>
    <t xml:space="preserve">Project:- सुन्दरबस्ती सडक ग्राबेल र ढलान (ढल निर्माण कार्य) </t>
  </si>
  <si>
    <t>45m</t>
  </si>
  <si>
    <t>13m</t>
  </si>
  <si>
    <t>ht=3'9"</t>
  </si>
  <si>
    <t>-For wall</t>
  </si>
  <si>
    <t>Provisional sum for unforeseen work</t>
  </si>
  <si>
    <t>Unit Weight (kg/m)</t>
  </si>
  <si>
    <t>Total Weight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</si>
</sst>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2"/>
      <color theme="1"/>
      <name val="Times New Roman"/>
      <family val="2"/>
    </font>
    <font>
      <sz val="12"/>
      <name val="Preeti"/>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13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2" fontId="2" fillId="0" borderId="1" xfId="0" applyNumberFormat="1" applyFont="1" applyBorder="1" applyAlignment="1">
      <alignment vertical="center"/>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0" fontId="16" fillId="0" borderId="1" xfId="0" applyFont="1" applyBorder="1" applyAlignment="1">
      <alignment vertical="center" wrapText="1"/>
    </xf>
    <xf numFmtId="0" fontId="16" fillId="0" borderId="1" xfId="0"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1" applyNumberFormat="1" applyFont="1" applyBorder="1" applyAlignment="1"/>
    <xf numFmtId="0" fontId="0" fillId="0" borderId="1" xfId="0" quotePrefix="1" applyFont="1" applyBorder="1"/>
    <xf numFmtId="2" fontId="2" fillId="0" borderId="1" xfId="0" applyNumberFormat="1" applyFont="1" applyBorder="1" applyAlignment="1"/>
    <xf numFmtId="2" fontId="3" fillId="0" borderId="1" xfId="0" applyNumberFormat="1" applyFont="1" applyBorder="1" applyAlignment="1"/>
    <xf numFmtId="2" fontId="0" fillId="0" borderId="1" xfId="0" applyNumberFormat="1" applyFont="1" applyBorder="1" applyAlignment="1"/>
    <xf numFmtId="2" fontId="2" fillId="0" borderId="1" xfId="1" applyNumberFormat="1" applyFont="1" applyBorder="1" applyAlignment="1">
      <alignment vertical="center"/>
    </xf>
    <xf numFmtId="2" fontId="1" fillId="0" borderId="1" xfId="1" applyNumberFormat="1" applyFont="1" applyBorder="1" applyAlignment="1"/>
    <xf numFmtId="165" fontId="0" fillId="0" borderId="1" xfId="0" applyNumberFormat="1" applyBorder="1" applyAlignment="1">
      <alignment vertical="center"/>
    </xf>
    <xf numFmtId="0" fontId="0" fillId="0" borderId="1" xfId="0" quotePrefix="1" applyFont="1" applyBorder="1" applyAlignment="1">
      <alignment wrapText="1"/>
    </xf>
    <xf numFmtId="2" fontId="3" fillId="0" borderId="1" xfId="0" applyNumberFormat="1" applyFont="1" applyBorder="1" applyAlignment="1">
      <alignment vertical="center"/>
    </xf>
    <xf numFmtId="0" fontId="0" fillId="0" borderId="1" xfId="0" quotePrefix="1" applyFont="1" applyBorder="1" applyAlignment="1">
      <alignment horizontal="right" wrapText="1"/>
    </xf>
    <xf numFmtId="0" fontId="16" fillId="0" borderId="1" xfId="0" quotePrefix="1" applyFont="1" applyFill="1" applyBorder="1" applyAlignment="1">
      <alignment horizontal="right" vertical="center" wrapText="1"/>
    </xf>
    <xf numFmtId="0" fontId="16" fillId="0" borderId="1" xfId="0" quotePrefix="1" applyFont="1" applyBorder="1" applyAlignment="1">
      <alignment horizontal="right" vertical="center" wrapText="1"/>
    </xf>
    <xf numFmtId="2" fontId="0" fillId="0" borderId="1" xfId="0" applyNumberFormat="1" applyFont="1" applyBorder="1" applyAlignment="1">
      <alignment vertical="center"/>
    </xf>
    <xf numFmtId="0" fontId="0" fillId="0" borderId="1" xfId="0" applyBorder="1" applyAlignment="1">
      <alignment wrapText="1"/>
    </xf>
    <xf numFmtId="0" fontId="2" fillId="0" borderId="1" xfId="0" applyFont="1" applyBorder="1" applyAlignment="1">
      <alignment wrapText="1"/>
    </xf>
    <xf numFmtId="0" fontId="0" fillId="0" borderId="1" xfId="0" quotePrefix="1" applyFont="1" applyBorder="1" applyAlignment="1">
      <alignment vertical="center" wrapText="1"/>
    </xf>
    <xf numFmtId="0" fontId="2" fillId="0" borderId="1" xfId="0" applyFont="1" applyBorder="1" applyAlignment="1">
      <alignment vertical="center"/>
    </xf>
    <xf numFmtId="0" fontId="14" fillId="0" borderId="0" xfId="0" applyFont="1" applyBorder="1" applyAlignment="1">
      <alignment vertical="center"/>
    </xf>
    <xf numFmtId="166" fontId="0" fillId="0" borderId="1" xfId="0" applyNumberFormat="1" applyFont="1" applyBorder="1" applyAlignment="1">
      <alignment vertical="center"/>
    </xf>
    <xf numFmtId="166" fontId="2" fillId="0" borderId="1" xfId="0" applyNumberFormat="1" applyFont="1" applyBorder="1" applyAlignment="1"/>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0" xfId="0" applyFont="1" applyAlignment="1">
      <alignment vertical="center"/>
    </xf>
    <xf numFmtId="0" fontId="17" fillId="3" borderId="1" xfId="0" applyFont="1" applyFill="1" applyBorder="1" applyAlignment="1">
      <alignment wrapText="1"/>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6" fillId="0" borderId="1" xfId="0" quotePrefix="1" applyFont="1" applyFill="1" applyBorder="1" applyAlignment="1">
      <alignment horizontal="right" vertical="center" wrapText="1"/>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15" fillId="0" borderId="1" xfId="0" quotePrefix="1" applyFont="1" applyFill="1" applyBorder="1" applyAlignment="1">
      <alignment horizontal="right" vertical="center" wrapText="1"/>
    </xf>
    <xf numFmtId="2" fontId="15" fillId="0" borderId="1" xfId="0" quotePrefix="1" applyNumberFormat="1" applyFont="1" applyFill="1" applyBorder="1" applyAlignment="1">
      <alignment horizontal="right" vertical="center" wrapText="1"/>
    </xf>
    <xf numFmtId="2" fontId="0" fillId="0" borderId="0" xfId="0" applyNumberFormat="1" applyAlignment="1">
      <alignment vertical="center"/>
    </xf>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4" xfId="0" applyFont="1" applyBorder="1"/>
    <xf numFmtId="0" fontId="6" fillId="0" borderId="4" xfId="0" applyFont="1" applyBorder="1" applyAlignment="1">
      <alignment horizontal="right"/>
    </xf>
    <xf numFmtId="2" fontId="15" fillId="0" borderId="1" xfId="0" applyNumberFormat="1" applyFont="1" applyBorder="1" applyAlignment="1">
      <alignment horizontal="center" vertical="center"/>
    </xf>
    <xf numFmtId="2" fontId="15" fillId="0" borderId="1" xfId="1" applyNumberFormat="1" applyFont="1" applyBorder="1" applyAlignment="1">
      <alignment horizontal="center" vertical="center"/>
    </xf>
    <xf numFmtId="0" fontId="3" fillId="0" borderId="1" xfId="0" applyFont="1" applyBorder="1" applyAlignment="1">
      <alignment vertical="center"/>
    </xf>
    <xf numFmtId="165" fontId="15" fillId="0" borderId="1" xfId="0" applyNumberFormat="1" applyFont="1" applyBorder="1" applyAlignment="1">
      <alignment vertical="center"/>
    </xf>
    <xf numFmtId="2" fontId="15" fillId="0" borderId="1" xfId="0" applyNumberFormat="1" applyFont="1" applyBorder="1" applyAlignment="1">
      <alignment vertical="center" wrapText="1"/>
    </xf>
    <xf numFmtId="166"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8"/>
  <sheetViews>
    <sheetView topLeftCell="A59" zoomScaleNormal="100" zoomScaleSheetLayoutView="80" workbookViewId="0">
      <selection activeCell="D11" sqref="D11"/>
    </sheetView>
  </sheetViews>
  <sheetFormatPr defaultRowHeight="14.4" x14ac:dyDescent="0.3"/>
  <cols>
    <col min="1" max="1" width="4.44140625" style="7" customWidth="1"/>
    <col min="2" max="2" width="31.33203125" customWidth="1"/>
    <col min="3" max="3" width="6.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43</v>
      </c>
      <c r="B6" s="116"/>
      <c r="C6" s="116"/>
      <c r="D6" s="116"/>
      <c r="E6" s="116"/>
      <c r="F6" s="116"/>
      <c r="G6" s="2"/>
      <c r="H6" s="117" t="s">
        <v>32</v>
      </c>
      <c r="I6" s="117"/>
      <c r="J6" s="117"/>
      <c r="K6" s="117"/>
    </row>
    <row r="7" spans="1:19" ht="15.6" x14ac:dyDescent="0.3">
      <c r="A7" s="118" t="s">
        <v>28</v>
      </c>
      <c r="B7" s="118"/>
      <c r="C7" s="118"/>
      <c r="D7" s="118"/>
      <c r="E7" s="118"/>
      <c r="F7" s="118"/>
      <c r="G7" s="3"/>
      <c r="H7" s="117" t="s">
        <v>30</v>
      </c>
      <c r="I7" s="117"/>
      <c r="J7" s="117"/>
      <c r="K7" s="11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56" x14ac:dyDescent="0.3">
      <c r="A9" s="29">
        <v>1</v>
      </c>
      <c r="B9" s="47"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5"/>
      <c r="D9" s="5"/>
      <c r="E9" s="5"/>
      <c r="F9" s="5"/>
      <c r="G9" s="11"/>
      <c r="H9" s="33"/>
      <c r="I9" s="34"/>
      <c r="J9" s="34"/>
      <c r="K9" s="32"/>
      <c r="M9" s="36"/>
      <c r="N9" s="1"/>
      <c r="O9" s="1"/>
      <c r="P9" s="1"/>
      <c r="Q9" s="1"/>
      <c r="R9" s="36"/>
      <c r="S9" s="36"/>
    </row>
    <row r="10" spans="1:19" ht="19.8" x14ac:dyDescent="0.3">
      <c r="A10" s="29"/>
      <c r="B10" s="61" t="s">
        <v>55</v>
      </c>
      <c r="C10" s="30">
        <v>1</v>
      </c>
      <c r="D10" s="31">
        <v>25</v>
      </c>
      <c r="E10" s="32">
        <f>(14-3.33)/3.28</f>
        <v>3.2530487804878052</v>
      </c>
      <c r="F10" s="32">
        <v>0.2</v>
      </c>
      <c r="G10" s="43">
        <f>PRODUCT(C10:F10)</f>
        <v>16.265243902439025</v>
      </c>
      <c r="H10" s="33"/>
      <c r="I10" s="34"/>
      <c r="J10" s="34"/>
      <c r="K10" s="32"/>
      <c r="M10" s="36"/>
      <c r="N10" s="1"/>
      <c r="O10" s="1"/>
      <c r="P10" s="1"/>
      <c r="Q10" s="1"/>
      <c r="R10" s="36"/>
      <c r="S10" s="36"/>
    </row>
    <row r="11" spans="1:19" ht="19.8" x14ac:dyDescent="0.3">
      <c r="A11" s="29"/>
      <c r="B11" s="61" t="s">
        <v>53</v>
      </c>
      <c r="C11" s="30">
        <v>5</v>
      </c>
      <c r="D11" s="31">
        <f>3.5/3.28</f>
        <v>1.0670731707317074</v>
      </c>
      <c r="E11" s="31">
        <f>3.5/3.28</f>
        <v>1.0670731707317074</v>
      </c>
      <c r="F11" s="5">
        <f>1.5-0.1-0.05</f>
        <v>1.3499999999999999</v>
      </c>
      <c r="G11" s="43">
        <f>PRODUCT(C11:F11)</f>
        <v>7.6858547739440812</v>
      </c>
      <c r="H11" s="33"/>
      <c r="I11" s="34"/>
      <c r="J11" s="34"/>
      <c r="K11" s="32"/>
      <c r="M11" s="36"/>
      <c r="N11" s="1"/>
      <c r="O11" s="1"/>
      <c r="P11" s="1"/>
      <c r="Q11" s="1"/>
      <c r="R11" s="36"/>
      <c r="S11" s="36"/>
    </row>
    <row r="12" spans="1:19" ht="19.8" x14ac:dyDescent="0.3">
      <c r="A12" s="29"/>
      <c r="B12" s="61" t="s">
        <v>57</v>
      </c>
      <c r="C12" s="30">
        <f>1</f>
        <v>1</v>
      </c>
      <c r="D12" s="31">
        <f>D10</f>
        <v>25</v>
      </c>
      <c r="E12" s="31">
        <f>3.33/3.28</f>
        <v>1.0152439024390245</v>
      </c>
      <c r="F12" s="5">
        <v>0.5</v>
      </c>
      <c r="G12" s="43">
        <f>PRODUCT(C12:F12)</f>
        <v>12.690548780487806</v>
      </c>
      <c r="H12" s="33"/>
      <c r="I12" s="34"/>
      <c r="J12" s="34"/>
      <c r="K12" s="32"/>
      <c r="M12" s="36"/>
      <c r="N12" s="1">
        <f>3.33/3.28</f>
        <v>1.0152439024390245</v>
      </c>
      <c r="O12" s="1"/>
      <c r="P12" s="1"/>
      <c r="Q12" s="1"/>
      <c r="R12" s="36"/>
      <c r="S12" s="36"/>
    </row>
    <row r="13" spans="1:19" ht="15" customHeight="1" x14ac:dyDescent="0.3">
      <c r="A13" s="29"/>
      <c r="B13" s="60" t="s">
        <v>51</v>
      </c>
      <c r="C13" s="30"/>
      <c r="D13" s="31"/>
      <c r="E13" s="32"/>
      <c r="F13" s="32"/>
      <c r="G13" s="34">
        <f>SUM(G10:G12)</f>
        <v>36.641647456870913</v>
      </c>
      <c r="H13" s="33" t="s">
        <v>29</v>
      </c>
      <c r="I13" s="34">
        <v>67.510000000000005</v>
      </c>
      <c r="J13" s="9">
        <f>G13*I13</f>
        <v>2473.6776198133557</v>
      </c>
      <c r="K13" s="32"/>
      <c r="M13" s="36"/>
      <c r="N13" s="1"/>
      <c r="O13" s="1"/>
      <c r="P13" s="1"/>
      <c r="Q13" s="1"/>
      <c r="R13" s="36"/>
      <c r="S13" s="36"/>
    </row>
    <row r="14" spans="1:19" ht="15" customHeight="1" x14ac:dyDescent="0.3">
      <c r="A14" s="29"/>
      <c r="B14" s="60" t="s">
        <v>44</v>
      </c>
      <c r="C14" s="30"/>
      <c r="D14" s="31"/>
      <c r="E14" s="32"/>
      <c r="F14" s="32"/>
      <c r="G14" s="34"/>
      <c r="H14" s="33"/>
      <c r="I14" s="34"/>
      <c r="J14" s="9">
        <f>0.13*G13*20400/360</f>
        <v>269.92680293228238</v>
      </c>
      <c r="K14" s="32"/>
      <c r="M14" s="36"/>
      <c r="N14" s="1"/>
      <c r="O14" s="1"/>
      <c r="P14" s="1"/>
      <c r="Q14" s="1"/>
      <c r="R14" s="36"/>
      <c r="S14" s="36"/>
    </row>
    <row r="15" spans="1:19" ht="15" customHeight="1" x14ac:dyDescent="0.3">
      <c r="A15" s="29"/>
      <c r="B15" s="35"/>
      <c r="C15" s="30"/>
      <c r="D15" s="31"/>
      <c r="E15" s="32"/>
      <c r="F15" s="32"/>
      <c r="G15" s="34"/>
      <c r="H15" s="33"/>
      <c r="I15" s="34"/>
      <c r="J15" s="9"/>
      <c r="K15" s="32"/>
      <c r="M15" s="36"/>
      <c r="N15" s="1"/>
      <c r="O15" s="1"/>
      <c r="P15" s="1"/>
      <c r="Q15" s="1"/>
      <c r="R15" s="36"/>
      <c r="S15" s="36"/>
    </row>
    <row r="16" spans="1:19" ht="86.4" x14ac:dyDescent="0.3">
      <c r="A16" s="11">
        <v>2</v>
      </c>
      <c r="B16" s="58" t="s">
        <v>52</v>
      </c>
      <c r="C16" s="48"/>
      <c r="D16" s="49"/>
      <c r="E16" s="49"/>
      <c r="F16" s="49"/>
      <c r="G16" s="49"/>
      <c r="H16" s="49"/>
      <c r="I16" s="49"/>
      <c r="J16" s="50"/>
      <c r="K16" s="5"/>
    </row>
    <row r="17" spans="1:19" ht="15" customHeight="1" x14ac:dyDescent="0.3">
      <c r="A17" s="11"/>
      <c r="B17" s="61" t="s">
        <v>55</v>
      </c>
      <c r="C17" s="48">
        <v>1</v>
      </c>
      <c r="D17" s="49">
        <f t="shared" ref="D17:E19" si="0">D10</f>
        <v>25</v>
      </c>
      <c r="E17" s="49">
        <f t="shared" si="0"/>
        <v>3.2530487804878052</v>
      </c>
      <c r="F17" s="49">
        <v>0.15</v>
      </c>
      <c r="G17" s="49">
        <f t="shared" ref="G17:G18" si="1">PRODUCT(C17:F17)</f>
        <v>12.198932926829269</v>
      </c>
      <c r="H17" s="49"/>
      <c r="I17" s="49"/>
      <c r="J17" s="50"/>
      <c r="K17" s="5"/>
    </row>
    <row r="18" spans="1:19" ht="15" customHeight="1" x14ac:dyDescent="0.3">
      <c r="A18" s="11"/>
      <c r="B18" s="61" t="s">
        <v>53</v>
      </c>
      <c r="C18" s="48">
        <f>C11</f>
        <v>5</v>
      </c>
      <c r="D18" s="49">
        <f t="shared" si="0"/>
        <v>1.0670731707317074</v>
      </c>
      <c r="E18" s="49">
        <f t="shared" si="0"/>
        <v>1.0670731707317074</v>
      </c>
      <c r="F18" s="49">
        <v>0.15</v>
      </c>
      <c r="G18" s="49">
        <f t="shared" si="1"/>
        <v>0.85398386377156466</v>
      </c>
      <c r="H18" s="49"/>
      <c r="I18" s="49"/>
      <c r="J18" s="50"/>
      <c r="K18" s="5"/>
    </row>
    <row r="19" spans="1:19" ht="19.8" x14ac:dyDescent="0.3">
      <c r="A19" s="29"/>
      <c r="B19" s="61" t="s">
        <v>57</v>
      </c>
      <c r="C19" s="30">
        <f>1</f>
        <v>1</v>
      </c>
      <c r="D19" s="31">
        <f t="shared" si="0"/>
        <v>25</v>
      </c>
      <c r="E19" s="31">
        <f t="shared" si="0"/>
        <v>1.0152439024390245</v>
      </c>
      <c r="F19">
        <v>0.15</v>
      </c>
      <c r="G19" s="63">
        <f>PRODUCT(C19:F19)</f>
        <v>3.8071646341463414</v>
      </c>
      <c r="H19" s="33"/>
      <c r="I19" s="34"/>
      <c r="J19" s="34"/>
      <c r="K19" s="32"/>
      <c r="M19" s="36"/>
      <c r="N19" s="1"/>
      <c r="O19" s="1"/>
      <c r="P19" s="1"/>
      <c r="Q19" s="1"/>
      <c r="R19" s="36"/>
      <c r="S19" s="36"/>
    </row>
    <row r="20" spans="1:19" ht="15" customHeight="1" x14ac:dyDescent="0.3">
      <c r="A20" s="11"/>
      <c r="B20" s="60" t="s">
        <v>51</v>
      </c>
      <c r="C20" s="48"/>
      <c r="D20" s="49"/>
      <c r="E20" s="49"/>
      <c r="F20" s="49"/>
      <c r="G20" s="52">
        <f>SUM(G17:G19)</f>
        <v>16.860081424747175</v>
      </c>
      <c r="H20" s="52" t="s">
        <v>49</v>
      </c>
      <c r="I20" s="53">
        <v>4370.5200000000004</v>
      </c>
      <c r="J20" s="50">
        <f>G20*I20</f>
        <v>73687.323068486032</v>
      </c>
      <c r="K20" s="5"/>
    </row>
    <row r="21" spans="1:19" ht="15" customHeight="1" x14ac:dyDescent="0.3">
      <c r="A21" s="11"/>
      <c r="B21" s="60" t="s">
        <v>44</v>
      </c>
      <c r="C21" s="48"/>
      <c r="D21" s="49"/>
      <c r="E21" s="49"/>
      <c r="F21" s="49"/>
      <c r="G21" s="54"/>
      <c r="H21" s="54"/>
      <c r="I21" s="54"/>
      <c r="J21" s="55">
        <f>0.13*G20*(14817.6/5)</f>
        <v>6495.4745055026769</v>
      </c>
      <c r="K21" s="5"/>
    </row>
    <row r="22" spans="1:19" ht="15" customHeight="1" x14ac:dyDescent="0.3">
      <c r="A22" s="29"/>
      <c r="B22" s="35"/>
      <c r="C22" s="30"/>
      <c r="D22" s="31"/>
      <c r="E22" s="32"/>
      <c r="F22" s="32"/>
      <c r="G22" s="34"/>
      <c r="H22" s="33"/>
      <c r="I22" s="34"/>
      <c r="J22" s="9"/>
      <c r="K22" s="32"/>
      <c r="M22" s="36"/>
      <c r="N22" s="1"/>
      <c r="O22" s="1"/>
      <c r="P22" s="1"/>
      <c r="Q22" s="1"/>
      <c r="R22" s="36"/>
      <c r="S22" s="36"/>
    </row>
    <row r="23" spans="1:19" ht="69" x14ac:dyDescent="0.3">
      <c r="A23" s="29">
        <v>3</v>
      </c>
      <c r="B23" s="41" t="s">
        <v>56</v>
      </c>
      <c r="C23" s="30"/>
      <c r="D23" s="31"/>
      <c r="E23" s="32"/>
      <c r="F23" s="32"/>
      <c r="G23" s="34"/>
      <c r="H23" s="33"/>
      <c r="I23" s="34"/>
      <c r="J23" s="9"/>
      <c r="K23" s="32"/>
      <c r="M23" s="36"/>
      <c r="N23" s="1"/>
      <c r="O23" s="1"/>
      <c r="P23" s="1"/>
      <c r="Q23" s="1"/>
      <c r="R23" s="36"/>
      <c r="S23" s="36"/>
    </row>
    <row r="24" spans="1:19" ht="15" customHeight="1" x14ac:dyDescent="0.3">
      <c r="A24" s="11"/>
      <c r="B24" s="61" t="s">
        <v>57</v>
      </c>
      <c r="C24" s="48">
        <v>1</v>
      </c>
      <c r="D24" s="49">
        <f>D12</f>
        <v>25</v>
      </c>
      <c r="E24" s="49">
        <f>E12</f>
        <v>1.0152439024390245</v>
      </c>
      <c r="F24" s="49">
        <v>7.4999999999999997E-2</v>
      </c>
      <c r="G24" s="49">
        <f t="shared" ref="G24:G26" si="2">PRODUCT(C24:F24)</f>
        <v>1.9035823170731707</v>
      </c>
      <c r="H24" s="49"/>
      <c r="I24" s="49"/>
      <c r="J24" s="50"/>
      <c r="K24" s="5"/>
    </row>
    <row r="25" spans="1:19" ht="15" customHeight="1" x14ac:dyDescent="0.3">
      <c r="A25" s="11"/>
      <c r="B25" s="61" t="s">
        <v>58</v>
      </c>
      <c r="C25" s="48">
        <v>1</v>
      </c>
      <c r="D25" s="49">
        <f>D24</f>
        <v>25</v>
      </c>
      <c r="E25" s="49">
        <v>0.35</v>
      </c>
      <c r="F25" s="49">
        <v>0.05</v>
      </c>
      <c r="G25" s="49">
        <f t="shared" ref="G25" si="3">PRODUCT(C25:F25)</f>
        <v>0.4375</v>
      </c>
      <c r="H25" s="49"/>
      <c r="I25" s="49"/>
      <c r="J25" s="50"/>
      <c r="K25" s="5"/>
    </row>
    <row r="26" spans="1:19" ht="15" customHeight="1" x14ac:dyDescent="0.3">
      <c r="A26" s="11"/>
      <c r="B26" s="61" t="s">
        <v>53</v>
      </c>
      <c r="C26" s="48">
        <f>C18</f>
        <v>5</v>
      </c>
      <c r="D26" s="49">
        <f>D18</f>
        <v>1.0670731707317074</v>
      </c>
      <c r="E26" s="49">
        <f>E18</f>
        <v>1.0670731707317074</v>
      </c>
      <c r="F26" s="49">
        <v>7.4999999999999997E-2</v>
      </c>
      <c r="G26" s="49">
        <f t="shared" si="2"/>
        <v>0.42699193188578233</v>
      </c>
      <c r="H26" s="49"/>
      <c r="I26" s="49"/>
      <c r="J26" s="50"/>
      <c r="K26" s="5"/>
    </row>
    <row r="27" spans="1:19" ht="15" customHeight="1" x14ac:dyDescent="0.3">
      <c r="A27" s="11"/>
      <c r="B27" s="60" t="s">
        <v>51</v>
      </c>
      <c r="C27" s="48"/>
      <c r="D27" s="49"/>
      <c r="E27" s="49"/>
      <c r="F27" s="49"/>
      <c r="G27" s="52">
        <f>SUM(G24:G26)</f>
        <v>2.7680742489589529</v>
      </c>
      <c r="H27" s="52" t="s">
        <v>49</v>
      </c>
      <c r="I27" s="53">
        <v>4370.5200000000004</v>
      </c>
      <c r="J27" s="50">
        <f>G27*I27</f>
        <v>12097.923866560084</v>
      </c>
      <c r="K27" s="5"/>
    </row>
    <row r="28" spans="1:19" ht="15" customHeight="1" x14ac:dyDescent="0.3">
      <c r="A28" s="11"/>
      <c r="B28" s="60" t="s">
        <v>44</v>
      </c>
      <c r="C28" s="48"/>
      <c r="D28" s="49"/>
      <c r="E28" s="49"/>
      <c r="F28" s="49"/>
      <c r="G28" s="54"/>
      <c r="H28" s="54"/>
      <c r="I28" s="54"/>
      <c r="J28" s="55">
        <f>0.13*G27*(14817.6/5)</f>
        <v>1066.4216417757286</v>
      </c>
      <c r="K28" s="5"/>
    </row>
    <row r="29" spans="1:19" ht="15" customHeight="1" x14ac:dyDescent="0.3">
      <c r="A29" s="29"/>
      <c r="B29" s="35"/>
      <c r="C29" s="30"/>
      <c r="D29" s="31"/>
      <c r="E29" s="32"/>
      <c r="F29" s="32"/>
      <c r="G29" s="34"/>
      <c r="H29" s="33"/>
      <c r="I29" s="34"/>
      <c r="J29" s="9"/>
      <c r="K29" s="32"/>
      <c r="M29" s="36"/>
      <c r="N29" s="1"/>
      <c r="O29" s="1"/>
      <c r="P29" s="1"/>
      <c r="Q29" s="1"/>
      <c r="R29" s="36"/>
      <c r="S29" s="36"/>
    </row>
    <row r="30" spans="1:19" ht="109.2" x14ac:dyDescent="0.3">
      <c r="A30" s="29">
        <v>4</v>
      </c>
      <c r="B30" s="46" t="str">
        <f>description_759</f>
        <v>Providing and laying Brick Masonry Work in Cement mortar  in Foundation / structure complete excluding Pointing and Plastering, as per Drawing and Technical Specifications., Cement sand mortar (1:6)</v>
      </c>
      <c r="C30" s="5"/>
      <c r="D30" s="5"/>
      <c r="E30" s="5"/>
      <c r="F30" s="5"/>
      <c r="G30" s="11"/>
      <c r="H30" s="11"/>
      <c r="I30" s="11"/>
      <c r="J30" s="11"/>
      <c r="K30" s="32"/>
      <c r="M30" s="36"/>
      <c r="N30" s="1"/>
      <c r="O30" s="1"/>
      <c r="P30" s="1"/>
      <c r="Q30" s="1"/>
      <c r="R30" s="36"/>
      <c r="S30" s="36"/>
    </row>
    <row r="31" spans="1:19" ht="19.8" x14ac:dyDescent="0.3">
      <c r="A31" s="29"/>
      <c r="B31" s="62" t="s">
        <v>53</v>
      </c>
      <c r="C31" s="5">
        <v>5</v>
      </c>
      <c r="D31" s="8">
        <f>(2+2+3.5+3.5)/3.28</f>
        <v>3.3536585365853662</v>
      </c>
      <c r="E31" s="5">
        <v>0.23</v>
      </c>
      <c r="F31" s="5">
        <f>1.5-0.1-0.05</f>
        <v>1.3499999999999999</v>
      </c>
      <c r="G31" s="43">
        <f>PRODUCT(C31:F31)</f>
        <v>5.20655487804878</v>
      </c>
      <c r="H31" s="11"/>
      <c r="I31" s="11"/>
      <c r="J31" s="11"/>
      <c r="K31" s="32"/>
      <c r="M31" s="36"/>
      <c r="N31" s="1"/>
      <c r="O31" s="1"/>
      <c r="P31" s="1"/>
      <c r="Q31" s="1"/>
      <c r="R31" s="36"/>
      <c r="S31" s="36"/>
    </row>
    <row r="32" spans="1:19" ht="19.8" x14ac:dyDescent="0.3">
      <c r="A32" s="29"/>
      <c r="B32" s="62" t="s">
        <v>54</v>
      </c>
      <c r="C32" s="5">
        <f>C31*-2</f>
        <v>-10</v>
      </c>
      <c r="D32" s="8">
        <v>0.6</v>
      </c>
      <c r="E32" s="5">
        <v>0.6</v>
      </c>
      <c r="F32" s="5">
        <v>0.23</v>
      </c>
      <c r="G32" s="43">
        <f>PRODUCT(C32:F32)</f>
        <v>-0.82799999999999996</v>
      </c>
      <c r="H32" s="11"/>
      <c r="I32" s="11"/>
      <c r="J32" s="11"/>
      <c r="K32" s="32"/>
      <c r="M32" s="36"/>
      <c r="N32" s="1"/>
      <c r="O32" s="1"/>
      <c r="P32" s="1"/>
      <c r="Q32" s="1"/>
      <c r="R32" s="36"/>
      <c r="S32" s="36"/>
    </row>
    <row r="33" spans="1:19" ht="19.8" x14ac:dyDescent="0.3">
      <c r="A33" s="29"/>
      <c r="B33" s="60" t="s">
        <v>51</v>
      </c>
      <c r="C33" s="5"/>
      <c r="D33" s="8"/>
      <c r="E33" s="5"/>
      <c r="F33" s="5"/>
      <c r="G33" s="34">
        <f>SUM(G31:G32)</f>
        <v>4.3785548780487797</v>
      </c>
      <c r="H33" s="33" t="s">
        <v>29</v>
      </c>
      <c r="I33" s="9">
        <v>14197.17</v>
      </c>
      <c r="J33" s="9">
        <f>G33*I33</f>
        <v>62163.087957987795</v>
      </c>
      <c r="K33" s="32"/>
      <c r="M33" s="36"/>
      <c r="N33" s="1"/>
      <c r="O33" s="1"/>
      <c r="P33" s="1"/>
      <c r="Q33" s="1"/>
      <c r="R33" s="36"/>
      <c r="S33" s="36"/>
    </row>
    <row r="34" spans="1:19" ht="15" customHeight="1" x14ac:dyDescent="0.3">
      <c r="A34" s="29"/>
      <c r="B34" s="60" t="s">
        <v>44</v>
      </c>
      <c r="C34" s="5"/>
      <c r="D34" s="5"/>
      <c r="E34" s="5"/>
      <c r="F34" s="5"/>
      <c r="G34" s="11"/>
      <c r="H34" s="11"/>
      <c r="I34" s="11"/>
      <c r="J34" s="11">
        <f>0.13*G33*53435.9/5</f>
        <v>6083.2725358060979</v>
      </c>
      <c r="K34" s="32"/>
      <c r="M34" s="36"/>
      <c r="N34" s="1"/>
      <c r="O34" s="1"/>
      <c r="P34" s="1"/>
      <c r="Q34" s="1"/>
      <c r="R34" s="36"/>
      <c r="S34" s="36"/>
    </row>
    <row r="35" spans="1:19" ht="15" customHeight="1" x14ac:dyDescent="0.3">
      <c r="A35" s="29"/>
      <c r="B35" s="60"/>
      <c r="C35" s="5"/>
      <c r="D35" s="5"/>
      <c r="E35" s="5"/>
      <c r="F35" s="5"/>
      <c r="G35" s="11"/>
      <c r="H35" s="11"/>
      <c r="I35" s="11"/>
      <c r="J35" s="11"/>
      <c r="K35" s="32"/>
      <c r="M35" s="36"/>
      <c r="N35" s="1"/>
      <c r="O35" s="1"/>
      <c r="P35" s="1"/>
      <c r="Q35" s="1"/>
      <c r="R35" s="36"/>
      <c r="S35" s="36"/>
    </row>
    <row r="36" spans="1:19" ht="93.6" x14ac:dyDescent="0.3">
      <c r="A36" s="29">
        <v>5</v>
      </c>
      <c r="B36" s="47" t="str">
        <f>description_783</f>
        <v>Random Rubble Masonry, Providing and laying of Stone Masonry Work in Cement Mortar 1:6 in Foundation complete as per Drawing and Technical Specifications.</v>
      </c>
      <c r="C36" s="5"/>
      <c r="D36" s="5"/>
      <c r="E36" s="5"/>
      <c r="F36" s="5"/>
      <c r="G36" s="11"/>
      <c r="H36" s="11"/>
      <c r="I36" s="11"/>
      <c r="J36" s="11"/>
      <c r="K36" s="32"/>
      <c r="M36" s="36"/>
      <c r="N36" s="1"/>
      <c r="O36" s="1"/>
      <c r="P36" s="1"/>
      <c r="Q36" s="1"/>
      <c r="R36" s="36"/>
      <c r="S36" s="36"/>
    </row>
    <row r="37" spans="1:19" ht="15" customHeight="1" x14ac:dyDescent="0.3">
      <c r="A37" s="29"/>
      <c r="B37" s="60" t="s">
        <v>57</v>
      </c>
      <c r="C37" s="8">
        <v>2</v>
      </c>
      <c r="D37" s="8">
        <f>D12</f>
        <v>25</v>
      </c>
      <c r="E37" s="5">
        <v>0.35</v>
      </c>
      <c r="F37" s="5">
        <v>0.5</v>
      </c>
      <c r="G37" s="43">
        <f>PRODUCT(C37:F37)</f>
        <v>8.75</v>
      </c>
      <c r="H37" s="11"/>
      <c r="I37" s="11"/>
      <c r="J37" s="11"/>
      <c r="K37" s="32"/>
      <c r="M37" s="36"/>
      <c r="N37" s="1"/>
      <c r="O37" s="1"/>
      <c r="P37" s="1"/>
      <c r="Q37" s="1"/>
      <c r="R37" s="36"/>
      <c r="S37" s="36"/>
    </row>
    <row r="38" spans="1:19" ht="19.8" x14ac:dyDescent="0.3">
      <c r="A38" s="29"/>
      <c r="B38" s="60" t="s">
        <v>51</v>
      </c>
      <c r="C38" s="5"/>
      <c r="D38" s="8"/>
      <c r="E38" s="5"/>
      <c r="F38" s="5"/>
      <c r="G38" s="34">
        <f>SUM(G37)</f>
        <v>8.75</v>
      </c>
      <c r="H38" s="33" t="s">
        <v>29</v>
      </c>
      <c r="I38" s="9">
        <v>9882.7099999999991</v>
      </c>
      <c r="J38" s="9">
        <f>G38*I38</f>
        <v>86473.712499999994</v>
      </c>
      <c r="K38" s="32"/>
      <c r="M38" s="36"/>
      <c r="N38" s="1"/>
      <c r="O38" s="1"/>
      <c r="P38" s="1"/>
      <c r="Q38" s="1"/>
      <c r="R38" s="36"/>
      <c r="S38" s="36"/>
    </row>
    <row r="39" spans="1:19" ht="15" customHeight="1" x14ac:dyDescent="0.3">
      <c r="A39" s="29"/>
      <c r="B39" s="60" t="s">
        <v>44</v>
      </c>
      <c r="C39" s="5"/>
      <c r="D39" s="5"/>
      <c r="E39" s="5"/>
      <c r="F39" s="5"/>
      <c r="G39" s="11"/>
      <c r="H39" s="11"/>
      <c r="I39" s="11"/>
      <c r="J39" s="11">
        <f>0.13*G38*((28938.6)/5)</f>
        <v>6583.5314999999991</v>
      </c>
      <c r="K39" s="32"/>
      <c r="M39" s="36"/>
      <c r="N39" s="1"/>
      <c r="O39" s="1"/>
      <c r="P39" s="1"/>
      <c r="Q39" s="1"/>
      <c r="R39" s="36"/>
      <c r="S39" s="36"/>
    </row>
    <row r="40" spans="1:19" ht="15" customHeight="1" x14ac:dyDescent="0.3">
      <c r="A40" s="29"/>
      <c r="B40" s="60"/>
      <c r="C40" s="5"/>
      <c r="D40" s="5"/>
      <c r="E40" s="5"/>
      <c r="F40" s="5"/>
      <c r="G40" s="11"/>
      <c r="H40" s="11"/>
      <c r="I40" s="11"/>
      <c r="J40" s="11"/>
      <c r="K40" s="32"/>
      <c r="M40" s="36"/>
      <c r="N40" s="1"/>
      <c r="O40" s="1"/>
      <c r="P40" s="1"/>
      <c r="Q40" s="1"/>
      <c r="R40" s="36"/>
      <c r="S40" s="36"/>
    </row>
    <row r="41" spans="1:19" ht="78" x14ac:dyDescent="0.3">
      <c r="A41" s="29">
        <v>6</v>
      </c>
      <c r="B41" s="47" t="str">
        <f>description_5</f>
        <v>Providing and laying of Plain/Reinforced Cement Concrete in Foundation complete as per Drawing and Technical Specifications, PCC Grade M 20</v>
      </c>
      <c r="C41" s="5"/>
      <c r="D41" s="5"/>
      <c r="E41" s="5"/>
      <c r="F41" s="5"/>
      <c r="G41" s="11"/>
      <c r="H41" s="11"/>
      <c r="I41" s="11"/>
      <c r="J41" s="11"/>
      <c r="K41" s="32"/>
      <c r="M41" s="36"/>
      <c r="N41" s="1"/>
      <c r="O41" s="1"/>
      <c r="P41" s="1"/>
      <c r="Q41" s="1"/>
      <c r="R41" s="36"/>
      <c r="S41" s="36"/>
    </row>
    <row r="42" spans="1:19" ht="15" customHeight="1" x14ac:dyDescent="0.3">
      <c r="A42" s="29"/>
      <c r="B42" s="60" t="str">
        <f>B17</f>
        <v>-Road</v>
      </c>
      <c r="C42" s="10">
        <f>C10</f>
        <v>1</v>
      </c>
      <c r="D42" s="8">
        <f>D10</f>
        <v>25</v>
      </c>
      <c r="E42" s="8">
        <f>(14-2.17)/3.28</f>
        <v>3.6067073170731709</v>
      </c>
      <c r="F42" s="5">
        <v>0.15</v>
      </c>
      <c r="G42" s="43">
        <f>PRODUCT(C42:F42)</f>
        <v>13.52515243902439</v>
      </c>
      <c r="H42" s="11"/>
      <c r="I42" s="11"/>
      <c r="J42" s="11"/>
      <c r="K42" s="32"/>
      <c r="M42" s="36"/>
      <c r="N42" s="1"/>
      <c r="O42" s="1"/>
      <c r="P42" s="1"/>
      <c r="Q42" s="1"/>
      <c r="R42" s="36"/>
      <c r="S42" s="36"/>
    </row>
    <row r="43" spans="1:19" ht="19.8" x14ac:dyDescent="0.3">
      <c r="A43" s="29"/>
      <c r="B43" s="60" t="s">
        <v>51</v>
      </c>
      <c r="C43" s="5"/>
      <c r="D43" s="8"/>
      <c r="E43" s="5"/>
      <c r="F43" s="5"/>
      <c r="G43" s="34">
        <f>SUM(G42)</f>
        <v>13.52515243902439</v>
      </c>
      <c r="H43" s="33" t="s">
        <v>29</v>
      </c>
      <c r="I43" s="9">
        <v>12442.52</v>
      </c>
      <c r="J43" s="9">
        <f>G43*I43</f>
        <v>168286.97972560977</v>
      </c>
      <c r="K43" s="32"/>
      <c r="M43" s="36"/>
      <c r="N43" s="1"/>
      <c r="O43" s="1"/>
      <c r="P43" s="1"/>
      <c r="Q43" s="1"/>
      <c r="R43" s="36"/>
      <c r="S43" s="36"/>
    </row>
    <row r="44" spans="1:19" ht="15" customHeight="1" x14ac:dyDescent="0.3">
      <c r="A44" s="29"/>
      <c r="B44" s="60" t="s">
        <v>44</v>
      </c>
      <c r="C44" s="5"/>
      <c r="D44" s="5"/>
      <c r="E44" s="5"/>
      <c r="F44" s="5"/>
      <c r="G44" s="11"/>
      <c r="H44" s="11"/>
      <c r="I44" s="11"/>
      <c r="J44" s="11">
        <f>0.13*G43*((142124.5+7680+7178.4)/15)</f>
        <v>18401.219657774389</v>
      </c>
      <c r="K44" s="32"/>
      <c r="M44" s="36"/>
      <c r="N44" s="1"/>
      <c r="O44" s="1"/>
      <c r="P44" s="1"/>
      <c r="Q44" s="1"/>
      <c r="R44" s="36"/>
      <c r="S44" s="36"/>
    </row>
    <row r="45" spans="1:19" ht="15" customHeight="1" x14ac:dyDescent="0.3">
      <c r="A45" s="29"/>
      <c r="B45" s="60"/>
      <c r="C45" s="5"/>
      <c r="D45" s="5"/>
      <c r="E45" s="5"/>
      <c r="F45" s="5"/>
      <c r="G45" s="11"/>
      <c r="H45" s="11"/>
      <c r="I45" s="11"/>
      <c r="J45" s="11"/>
      <c r="K45" s="32"/>
      <c r="M45" s="36"/>
      <c r="N45" s="1"/>
      <c r="O45" s="1"/>
      <c r="P45" s="1"/>
      <c r="Q45" s="1"/>
      <c r="R45" s="36"/>
      <c r="S45" s="36"/>
    </row>
    <row r="46" spans="1:19" ht="78" x14ac:dyDescent="0.3">
      <c r="A46" s="29">
        <v>7</v>
      </c>
      <c r="B46" s="46" t="s">
        <v>59</v>
      </c>
      <c r="C46" s="5"/>
      <c r="D46" s="64" t="s">
        <v>62</v>
      </c>
      <c r="E46" s="64" t="s">
        <v>63</v>
      </c>
      <c r="F46" s="64" t="s">
        <v>64</v>
      </c>
      <c r="G46" s="65"/>
      <c r="H46" s="11"/>
      <c r="I46" s="11"/>
      <c r="J46" s="11"/>
      <c r="K46" s="32"/>
      <c r="M46" s="36"/>
      <c r="N46" s="1"/>
      <c r="O46" s="1"/>
      <c r="P46" s="1"/>
      <c r="Q46" s="1"/>
      <c r="R46" s="36"/>
      <c r="S46" s="36"/>
    </row>
    <row r="47" spans="1:19" ht="15" customHeight="1" x14ac:dyDescent="0.3">
      <c r="A47" s="29"/>
      <c r="B47" s="62" t="s">
        <v>60</v>
      </c>
      <c r="C47" s="5">
        <f>TRUNC((D48)/0.15,0)</f>
        <v>21</v>
      </c>
      <c r="D47" s="8">
        <f>D10-0.1</f>
        <v>24.9</v>
      </c>
      <c r="E47" s="8">
        <f>10*10/162</f>
        <v>0.61728395061728392</v>
      </c>
      <c r="F47" s="8">
        <f>C47*D47*E47</f>
        <v>322.77777777777777</v>
      </c>
      <c r="G47" s="9">
        <f>F47/1000</f>
        <v>0.32277777777777777</v>
      </c>
      <c r="H47" s="11"/>
      <c r="I47" s="11"/>
      <c r="J47" s="11"/>
      <c r="K47" s="32"/>
      <c r="M47" s="36"/>
      <c r="N47" s="1"/>
      <c r="O47" s="1"/>
      <c r="P47" s="1"/>
      <c r="Q47" s="1"/>
      <c r="R47" s="36"/>
      <c r="S47" s="36"/>
    </row>
    <row r="48" spans="1:19" ht="15" customHeight="1" x14ac:dyDescent="0.3">
      <c r="A48" s="29"/>
      <c r="B48" s="62" t="s">
        <v>61</v>
      </c>
      <c r="C48" s="5">
        <f>TRUNC((D47)/0.15,0)</f>
        <v>166</v>
      </c>
      <c r="D48" s="8">
        <f>E10-0.1</f>
        <v>3.1530487804878051</v>
      </c>
      <c r="E48" s="8">
        <f>8*8/162</f>
        <v>0.39506172839506171</v>
      </c>
      <c r="F48" s="8">
        <f>C48*D48*E48</f>
        <v>206.77771755495334</v>
      </c>
      <c r="G48" s="9">
        <f>F48/1000</f>
        <v>0.20677771755495333</v>
      </c>
      <c r="H48" s="11"/>
      <c r="I48" s="11"/>
      <c r="J48" s="11"/>
      <c r="K48" s="32"/>
      <c r="M48" s="36"/>
      <c r="N48" s="1"/>
      <c r="O48" s="1"/>
      <c r="P48" s="1"/>
      <c r="Q48" s="1"/>
      <c r="R48" s="36"/>
      <c r="S48" s="36"/>
    </row>
    <row r="49" spans="1:19" ht="19.8" x14ac:dyDescent="0.3">
      <c r="A49" s="29"/>
      <c r="B49" s="60" t="s">
        <v>51</v>
      </c>
      <c r="C49" s="5"/>
      <c r="D49" s="8"/>
      <c r="E49" s="5"/>
      <c r="F49" s="5"/>
      <c r="G49" s="34">
        <f>SUM(G47:G48)</f>
        <v>0.52955549533273105</v>
      </c>
      <c r="H49" s="33" t="s">
        <v>65</v>
      </c>
      <c r="I49" s="9">
        <v>121218</v>
      </c>
      <c r="J49" s="9">
        <f>G49*I49</f>
        <v>64191.658033242995</v>
      </c>
      <c r="K49" s="32"/>
      <c r="M49" s="36"/>
      <c r="N49" s="1"/>
      <c r="O49" s="1"/>
      <c r="P49" s="1"/>
      <c r="Q49" s="1"/>
      <c r="R49" s="36"/>
      <c r="S49" s="36"/>
    </row>
    <row r="50" spans="1:19" ht="15" customHeight="1" x14ac:dyDescent="0.3">
      <c r="A50" s="29"/>
      <c r="B50" s="60" t="s">
        <v>44</v>
      </c>
      <c r="C50" s="5"/>
      <c r="D50" s="5"/>
      <c r="E50" s="5"/>
      <c r="F50" s="5"/>
      <c r="G50" s="11"/>
      <c r="H50" s="11"/>
      <c r="I50" s="11"/>
      <c r="J50" s="11">
        <f>0.13*G49*108648</f>
        <v>7479.5689093983738</v>
      </c>
      <c r="K50" s="32"/>
      <c r="M50" s="36"/>
      <c r="N50" s="1"/>
      <c r="O50" s="1"/>
      <c r="P50" s="1"/>
      <c r="Q50" s="1"/>
      <c r="R50" s="36"/>
      <c r="S50" s="36"/>
    </row>
    <row r="51" spans="1:19" ht="15" customHeight="1" x14ac:dyDescent="0.3">
      <c r="A51" s="29"/>
      <c r="B51" s="46"/>
      <c r="C51" s="30"/>
      <c r="D51" s="31"/>
      <c r="E51" s="32"/>
      <c r="F51" s="32"/>
      <c r="G51" s="34"/>
      <c r="H51" s="33"/>
      <c r="I51" s="34"/>
      <c r="J51" s="9"/>
      <c r="K51" s="32"/>
      <c r="M51" s="36"/>
      <c r="N51" s="1"/>
      <c r="O51" s="1"/>
      <c r="P51" s="1"/>
      <c r="Q51" s="1"/>
      <c r="R51" s="36"/>
      <c r="S51" s="36"/>
    </row>
    <row r="52" spans="1:19" ht="15" customHeight="1" x14ac:dyDescent="0.3">
      <c r="A52" s="11">
        <v>8</v>
      </c>
      <c r="B52" s="11" t="s">
        <v>46</v>
      </c>
      <c r="C52" s="48"/>
      <c r="D52" s="49"/>
      <c r="E52" s="49"/>
      <c r="F52" s="49"/>
      <c r="G52" s="49"/>
      <c r="H52" s="49"/>
      <c r="I52" s="49"/>
      <c r="J52" s="50"/>
      <c r="K52" s="5"/>
    </row>
    <row r="53" spans="1:19" ht="28.8" x14ac:dyDescent="0.3">
      <c r="A53" s="11">
        <v>8.1</v>
      </c>
      <c r="B53" s="58" t="s">
        <v>47</v>
      </c>
      <c r="C53" s="48"/>
      <c r="D53" s="49"/>
      <c r="E53" s="49"/>
      <c r="F53" s="49"/>
      <c r="G53" s="49"/>
      <c r="H53" s="49"/>
      <c r="I53" s="49"/>
      <c r="J53" s="50"/>
      <c r="K53" s="5"/>
    </row>
    <row r="54" spans="1:19" ht="15" customHeight="1" x14ac:dyDescent="0.3">
      <c r="A54" s="11"/>
      <c r="B54" s="5" t="s">
        <v>48</v>
      </c>
      <c r="C54" s="48">
        <v>1</v>
      </c>
      <c r="D54" s="49">
        <f>110-(5*2*0.45)</f>
        <v>105.5</v>
      </c>
      <c r="E54" s="49">
        <v>0.6</v>
      </c>
      <c r="F54" s="49">
        <v>0.6</v>
      </c>
      <c r="G54" s="49">
        <f t="shared" ref="G54" si="4">PRODUCT(C54:F54)</f>
        <v>37.979999999999997</v>
      </c>
      <c r="H54" s="49"/>
      <c r="I54" s="49"/>
      <c r="J54" s="50"/>
      <c r="K54" s="5"/>
    </row>
    <row r="55" spans="1:19" ht="15" customHeight="1" x14ac:dyDescent="0.3">
      <c r="A55" s="11"/>
      <c r="B55" s="60" t="s">
        <v>51</v>
      </c>
      <c r="C55" s="48"/>
      <c r="D55" s="49"/>
      <c r="E55" s="49"/>
      <c r="F55" s="49"/>
      <c r="G55" s="52">
        <f>SUM(G54:G54)</f>
        <v>37.979999999999997</v>
      </c>
      <c r="H55" s="52" t="s">
        <v>49</v>
      </c>
      <c r="I55" s="52">
        <v>67.209999999999994</v>
      </c>
      <c r="J55" s="50">
        <f>G55*I55</f>
        <v>2552.6357999999996</v>
      </c>
      <c r="K55" s="5"/>
    </row>
    <row r="56" spans="1:19" ht="15" customHeight="1" x14ac:dyDescent="0.3">
      <c r="A56" s="11"/>
      <c r="B56" s="60" t="s">
        <v>44</v>
      </c>
      <c r="C56" s="48"/>
      <c r="D56" s="49"/>
      <c r="E56" s="49"/>
      <c r="F56" s="49"/>
      <c r="G56" s="52"/>
      <c r="H56" s="52"/>
      <c r="I56" s="52"/>
      <c r="J56" s="9">
        <f>0.13*G55*20400/360</f>
        <v>279.786</v>
      </c>
      <c r="K56" s="5"/>
    </row>
    <row r="57" spans="1:19" ht="86.4" x14ac:dyDescent="0.3">
      <c r="A57" s="11">
        <v>8.1999999999999993</v>
      </c>
      <c r="B57" s="58" t="s">
        <v>52</v>
      </c>
      <c r="C57" s="48"/>
      <c r="D57" s="49"/>
      <c r="E57" s="49"/>
      <c r="F57" s="49"/>
      <c r="G57" s="49"/>
      <c r="H57" s="49"/>
      <c r="I57" s="49"/>
      <c r="J57" s="50"/>
      <c r="K57" s="5"/>
    </row>
    <row r="58" spans="1:19" ht="15" customHeight="1" x14ac:dyDescent="0.3">
      <c r="A58" s="11"/>
      <c r="B58" s="5" t="s">
        <v>48</v>
      </c>
      <c r="C58" s="48">
        <v>1</v>
      </c>
      <c r="D58" s="49">
        <f>110-(5*2*0.45)</f>
        <v>105.5</v>
      </c>
      <c r="E58" s="49">
        <v>0.6</v>
      </c>
      <c r="F58" s="49">
        <v>0.15</v>
      </c>
      <c r="G58" s="49">
        <f t="shared" ref="G58" si="5">PRODUCT(C58:F58)</f>
        <v>9.4949999999999992</v>
      </c>
      <c r="H58" s="49"/>
      <c r="I58" s="49"/>
      <c r="J58" s="50"/>
      <c r="K58" s="5"/>
    </row>
    <row r="59" spans="1:19" ht="15" customHeight="1" x14ac:dyDescent="0.3">
      <c r="A59" s="11"/>
      <c r="B59" s="60" t="s">
        <v>51</v>
      </c>
      <c r="C59" s="48"/>
      <c r="D59" s="49"/>
      <c r="E59" s="49"/>
      <c r="F59" s="49"/>
      <c r="G59" s="52">
        <f>SUM(G58:G58)</f>
        <v>9.4949999999999992</v>
      </c>
      <c r="H59" s="52" t="s">
        <v>49</v>
      </c>
      <c r="I59" s="53">
        <v>4370.5200000000004</v>
      </c>
      <c r="J59" s="50">
        <f>G59*I59</f>
        <v>41498.087400000004</v>
      </c>
      <c r="K59" s="5"/>
      <c r="M59">
        <f>10*0.45</f>
        <v>4.5</v>
      </c>
    </row>
    <row r="60" spans="1:19" ht="15" customHeight="1" x14ac:dyDescent="0.3">
      <c r="A60" s="11"/>
      <c r="B60" s="60" t="s">
        <v>44</v>
      </c>
      <c r="C60" s="48"/>
      <c r="D60" s="49"/>
      <c r="E60" s="49"/>
      <c r="F60" s="49"/>
      <c r="G60" s="54"/>
      <c r="H60" s="54"/>
      <c r="I60" s="54"/>
      <c r="J60" s="55">
        <f>0.13*G59*(14817.6/5)</f>
        <v>3658.0209119999995</v>
      </c>
      <c r="K60" s="5"/>
    </row>
    <row r="61" spans="1:19" ht="15" customHeight="1" x14ac:dyDescent="0.3">
      <c r="A61" s="11"/>
      <c r="B61" s="5"/>
      <c r="C61" s="48"/>
      <c r="D61" s="49"/>
      <c r="E61" s="49"/>
      <c r="F61" s="49"/>
      <c r="G61" s="54"/>
      <c r="H61" s="54"/>
      <c r="I61" s="54"/>
      <c r="J61" s="56"/>
      <c r="K61" s="5"/>
    </row>
    <row r="62" spans="1:19" ht="15" customHeight="1" x14ac:dyDescent="0.3">
      <c r="A62" s="11">
        <v>8.3000000000000007</v>
      </c>
      <c r="B62" s="51" t="s">
        <v>50</v>
      </c>
      <c r="C62" s="48"/>
      <c r="D62" s="49"/>
      <c r="E62" s="49"/>
      <c r="F62" s="49"/>
      <c r="G62" s="54"/>
      <c r="H62" s="54"/>
      <c r="I62" s="54"/>
      <c r="J62" s="56"/>
      <c r="K62" s="18"/>
    </row>
    <row r="63" spans="1:19" ht="86.4" x14ac:dyDescent="0.3">
      <c r="A63" s="11"/>
      <c r="B63" s="58" t="str">
        <f>description_247</f>
        <v>Providing and Laying Reinforced cement concrete NP3 Flush jointed pipe for culverts including fixing with cement mortar 1:2 as per Drawing and Technical Specifications., 450 mm  internal dia.</v>
      </c>
      <c r="C63" s="57">
        <f>110/2.5</f>
        <v>44</v>
      </c>
      <c r="D63" s="57">
        <v>2.5</v>
      </c>
      <c r="E63" s="32"/>
      <c r="F63" s="32"/>
      <c r="G63" s="43">
        <f>PRODUCT(C63:F63)</f>
        <v>110</v>
      </c>
      <c r="H63" s="43"/>
      <c r="I63" s="59"/>
      <c r="J63" s="59"/>
      <c r="K63" s="18"/>
    </row>
    <row r="64" spans="1:19" x14ac:dyDescent="0.3">
      <c r="A64" s="11"/>
      <c r="B64" s="60" t="s">
        <v>51</v>
      </c>
      <c r="C64" s="57"/>
      <c r="D64" s="57"/>
      <c r="E64" s="32"/>
      <c r="F64" s="32"/>
      <c r="G64" s="43">
        <f>SUM(G63)</f>
        <v>110</v>
      </c>
      <c r="H64" s="43" t="s">
        <v>45</v>
      </c>
      <c r="I64" s="59">
        <v>5129.82</v>
      </c>
      <c r="J64" s="59">
        <f>G64*I64</f>
        <v>564280.19999999995</v>
      </c>
      <c r="K64" s="18"/>
    </row>
    <row r="65" spans="1:19" ht="15" customHeight="1" x14ac:dyDescent="0.3">
      <c r="A65" s="11"/>
      <c r="B65" s="60" t="s">
        <v>44</v>
      </c>
      <c r="C65" s="30"/>
      <c r="D65" s="31"/>
      <c r="E65" s="32"/>
      <c r="F65" s="32"/>
      <c r="G65" s="34"/>
      <c r="H65" s="33"/>
      <c r="I65" s="34"/>
      <c r="J65" s="59">
        <f>0.13*(57525.6/12.5)*G64</f>
        <v>65809.286399999997</v>
      </c>
      <c r="K65" s="19"/>
    </row>
    <row r="66" spans="1:19" ht="15" customHeight="1" x14ac:dyDescent="0.3">
      <c r="A66" s="29"/>
      <c r="B66" s="46"/>
      <c r="C66" s="30"/>
      <c r="D66" s="31"/>
      <c r="E66" s="32"/>
      <c r="F66" s="32"/>
      <c r="G66" s="34"/>
      <c r="H66" s="33"/>
      <c r="I66" s="34"/>
      <c r="J66" s="9"/>
      <c r="K66" s="32"/>
      <c r="M66" s="36"/>
      <c r="N66" s="1"/>
      <c r="O66" s="1"/>
      <c r="P66" s="1"/>
      <c r="Q66" s="1"/>
      <c r="R66" s="36"/>
      <c r="S66" s="36"/>
    </row>
    <row r="67" spans="1:19" ht="15" customHeight="1" x14ac:dyDescent="0.3">
      <c r="A67" s="29"/>
      <c r="B67" s="46"/>
      <c r="C67" s="30"/>
      <c r="D67" s="31"/>
      <c r="E67" s="32"/>
      <c r="F67" s="32"/>
      <c r="G67" s="34"/>
      <c r="H67" s="33"/>
      <c r="I67" s="34"/>
      <c r="J67" s="9"/>
      <c r="K67" s="32"/>
      <c r="M67" s="36"/>
      <c r="N67" s="1"/>
      <c r="O67" s="1"/>
      <c r="P67" s="1"/>
      <c r="Q67" s="1"/>
      <c r="R67" s="36"/>
      <c r="S67" s="36"/>
    </row>
    <row r="68" spans="1:19" ht="15" customHeight="1" x14ac:dyDescent="0.3">
      <c r="A68" s="29"/>
      <c r="B68" s="46"/>
      <c r="C68" s="30"/>
      <c r="D68" s="31"/>
      <c r="E68" s="32"/>
      <c r="F68" s="32"/>
      <c r="G68" s="34"/>
      <c r="H68" s="33"/>
      <c r="I68" s="34"/>
      <c r="J68" s="9"/>
      <c r="K68" s="32"/>
      <c r="M68" s="36"/>
      <c r="N68" s="1"/>
      <c r="O68" s="1"/>
      <c r="P68" s="1"/>
      <c r="Q68" s="1"/>
      <c r="R68" s="36"/>
      <c r="S68" s="36"/>
    </row>
    <row r="69" spans="1:19" ht="15" customHeight="1" x14ac:dyDescent="0.3">
      <c r="A69" s="29">
        <v>9</v>
      </c>
      <c r="B69" s="41" t="s">
        <v>33</v>
      </c>
      <c r="C69" s="30">
        <v>1</v>
      </c>
      <c r="D69" s="31"/>
      <c r="E69" s="32"/>
      <c r="F69" s="32"/>
      <c r="G69" s="43">
        <f t="shared" ref="G69" si="6">PRODUCT(C69:F69)</f>
        <v>1</v>
      </c>
      <c r="H69" s="33" t="s">
        <v>34</v>
      </c>
      <c r="I69" s="34">
        <v>500</v>
      </c>
      <c r="J69" s="43">
        <f>G69*I69</f>
        <v>500</v>
      </c>
      <c r="K69" s="32"/>
      <c r="M69" s="36"/>
      <c r="N69" s="1"/>
      <c r="O69" s="1"/>
      <c r="P69" s="1"/>
      <c r="Q69" s="1"/>
      <c r="R69" s="36"/>
      <c r="S69" s="36"/>
    </row>
    <row r="70" spans="1:19" ht="15" customHeight="1" x14ac:dyDescent="0.3">
      <c r="A70" s="29"/>
      <c r="B70" s="35"/>
      <c r="C70" s="30"/>
      <c r="D70" s="31"/>
      <c r="E70" s="32"/>
      <c r="F70" s="32"/>
      <c r="G70" s="34"/>
      <c r="H70" s="33"/>
      <c r="I70" s="34"/>
      <c r="J70" s="9"/>
      <c r="K70" s="32"/>
      <c r="M70" s="36"/>
      <c r="N70" s="1"/>
      <c r="O70" s="1"/>
      <c r="P70" s="1"/>
      <c r="Q70" s="1"/>
      <c r="R70" s="36"/>
      <c r="S70" s="36"/>
    </row>
    <row r="71" spans="1:19" x14ac:dyDescent="0.3">
      <c r="A71" s="11"/>
      <c r="B71" s="28" t="s">
        <v>17</v>
      </c>
      <c r="C71" s="10"/>
      <c r="D71" s="8"/>
      <c r="E71" s="8"/>
      <c r="F71" s="8"/>
      <c r="G71" s="9"/>
      <c r="H71" s="9"/>
      <c r="I71" s="9"/>
      <c r="J71" s="9">
        <f>SUM(J9:J69)</f>
        <v>1194331.7948368895</v>
      </c>
      <c r="K71" s="5"/>
    </row>
    <row r="73" spans="1:19" s="1" customFormat="1" x14ac:dyDescent="0.3">
      <c r="B73" s="18" t="s">
        <v>27</v>
      </c>
      <c r="C73" s="108">
        <f>J71</f>
        <v>1194331.7948368895</v>
      </c>
      <c r="D73" s="109"/>
      <c r="E73" s="16">
        <v>100</v>
      </c>
      <c r="F73" s="20"/>
      <c r="G73" s="21"/>
      <c r="H73" s="20"/>
      <c r="I73" s="22"/>
      <c r="J73" s="23"/>
      <c r="K73" s="24"/>
    </row>
    <row r="74" spans="1:19" x14ac:dyDescent="0.3">
      <c r="B74" s="18" t="s">
        <v>35</v>
      </c>
      <c r="C74" s="110">
        <v>1000000</v>
      </c>
      <c r="D74" s="111"/>
      <c r="E74" s="16"/>
    </row>
    <row r="75" spans="1:19" x14ac:dyDescent="0.3">
      <c r="B75" s="18" t="s">
        <v>36</v>
      </c>
      <c r="C75" s="110">
        <f>C74-C77-C78</f>
        <v>950000</v>
      </c>
      <c r="D75" s="111"/>
      <c r="E75" s="16">
        <f>C75/C73*100</f>
        <v>79.542385466656867</v>
      </c>
    </row>
    <row r="76" spans="1:19" x14ac:dyDescent="0.3">
      <c r="B76" s="18" t="s">
        <v>37</v>
      </c>
      <c r="C76" s="107">
        <f>C73-C75</f>
        <v>244331.79483688949</v>
      </c>
      <c r="D76" s="107"/>
      <c r="E76" s="16">
        <f>100-E75</f>
        <v>20.457614533343133</v>
      </c>
    </row>
    <row r="77" spans="1:19" x14ac:dyDescent="0.3">
      <c r="B77" s="18" t="s">
        <v>38</v>
      </c>
      <c r="C77" s="108">
        <f>C74*0.03</f>
        <v>30000</v>
      </c>
      <c r="D77" s="109"/>
      <c r="E77" s="16">
        <v>3</v>
      </c>
    </row>
    <row r="78" spans="1:19" x14ac:dyDescent="0.3">
      <c r="B78" s="18" t="s">
        <v>39</v>
      </c>
      <c r="C78" s="108">
        <f>C74*0.02</f>
        <v>20000</v>
      </c>
      <c r="D78" s="109"/>
      <c r="E78" s="16">
        <v>2</v>
      </c>
    </row>
  </sheetData>
  <mergeCells count="15">
    <mergeCell ref="A6:F6"/>
    <mergeCell ref="H6:K6"/>
    <mergeCell ref="A7:F7"/>
    <mergeCell ref="H7:K7"/>
    <mergeCell ref="C73:D73"/>
    <mergeCell ref="A1:K1"/>
    <mergeCell ref="A2:K2"/>
    <mergeCell ref="A3:K3"/>
    <mergeCell ref="A4:K4"/>
    <mergeCell ref="A5:K5"/>
    <mergeCell ref="C76:D76"/>
    <mergeCell ref="C77:D77"/>
    <mergeCell ref="C78:D78"/>
    <mergeCell ref="C74:D74"/>
    <mergeCell ref="C75:D75"/>
  </mergeCells>
  <printOptions horizontalCentered="1"/>
  <pageMargins left="0.7" right="0.7" top="0.75" bottom="0.75" header="0.3" footer="0.3"/>
  <pageSetup paperSize="9" scale="80" orientation="portrait" horizontalDpi="300" verticalDpi="300"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4" zoomScaleNormal="100" zoomScaleSheetLayoutView="80" workbookViewId="0">
      <selection activeCell="J54" sqref="J54"/>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8.33203125" customWidth="1"/>
    <col min="7" max="7" width="9.33203125" style="7" customWidth="1"/>
    <col min="8" max="8" width="5.33203125" style="7" bestFit="1" customWidth="1"/>
    <col min="9" max="9" width="9.5546875" style="7" bestFit="1" customWidth="1"/>
    <col min="10" max="10" width="10.5546875" style="7" customWidth="1"/>
    <col min="11" max="11" width="8.33203125" customWidth="1"/>
    <col min="14" max="14" width="9.5546875" bestFit="1" customWidth="1"/>
    <col min="15" max="15" width="12" bestFit="1" customWidth="1"/>
    <col min="16" max="16" width="12.109375" customWidth="1"/>
    <col min="17" max="17" width="14.44140625"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66</v>
      </c>
      <c r="B6" s="116"/>
      <c r="C6" s="116"/>
      <c r="D6" s="116"/>
      <c r="E6" s="116"/>
      <c r="F6" s="116"/>
      <c r="G6" s="2"/>
      <c r="H6" s="117" t="s">
        <v>32</v>
      </c>
      <c r="I6" s="117"/>
      <c r="J6" s="117"/>
      <c r="K6" s="117"/>
    </row>
    <row r="7" spans="1:19" ht="15.6" x14ac:dyDescent="0.3">
      <c r="A7" s="118" t="s">
        <v>28</v>
      </c>
      <c r="B7" s="118"/>
      <c r="C7" s="118"/>
      <c r="D7" s="118"/>
      <c r="E7" s="118"/>
      <c r="F7" s="118"/>
      <c r="G7" s="3"/>
      <c r="H7" s="117" t="s">
        <v>30</v>
      </c>
      <c r="I7" s="117"/>
      <c r="J7" s="117"/>
      <c r="K7" s="117"/>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s="1" customFormat="1" ht="144" x14ac:dyDescent="0.3">
      <c r="A9" s="29">
        <v>1</v>
      </c>
      <c r="B9" s="6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9" s="18"/>
      <c r="D9" s="18"/>
      <c r="E9" s="18"/>
      <c r="F9" s="18"/>
      <c r="G9" s="67"/>
      <c r="H9" s="33"/>
      <c r="I9" s="34"/>
      <c r="J9" s="34"/>
      <c r="K9" s="32"/>
      <c r="M9" s="68"/>
      <c r="R9" s="68"/>
      <c r="S9" s="68"/>
    </row>
    <row r="10" spans="1:19" ht="15" customHeight="1" x14ac:dyDescent="0.3">
      <c r="A10" s="29"/>
      <c r="B10" s="60" t="s">
        <v>67</v>
      </c>
      <c r="C10" s="5">
        <v>1</v>
      </c>
      <c r="D10" s="8">
        <f>20+24-4*1.2+20</f>
        <v>59.2</v>
      </c>
      <c r="E10" s="8">
        <v>0.75</v>
      </c>
      <c r="F10" s="8">
        <v>1.2</v>
      </c>
      <c r="G10" s="63">
        <f>PRODUCT(C10:F10)</f>
        <v>53.280000000000008</v>
      </c>
      <c r="H10" s="11"/>
      <c r="I10" s="11"/>
      <c r="J10" s="11"/>
      <c r="K10" s="32"/>
      <c r="M10" s="36"/>
      <c r="N10" s="1"/>
      <c r="O10" s="1"/>
      <c r="P10" s="1"/>
      <c r="Q10" s="1"/>
      <c r="R10" s="36"/>
      <c r="S10" s="36"/>
    </row>
    <row r="11" spans="1:19" ht="15" customHeight="1" x14ac:dyDescent="0.3">
      <c r="A11" s="29"/>
      <c r="B11" s="60" t="s">
        <v>53</v>
      </c>
      <c r="C11" s="5">
        <v>5</v>
      </c>
      <c r="D11" s="8">
        <v>1.2</v>
      </c>
      <c r="E11" s="8">
        <v>1.2</v>
      </c>
      <c r="F11" s="8">
        <v>1.5</v>
      </c>
      <c r="G11" s="63">
        <f>C11*(PI())*(D11*E11/4)*F11</f>
        <v>8.4823001646924414</v>
      </c>
      <c r="H11" s="11"/>
      <c r="I11" s="11"/>
      <c r="J11" s="11"/>
      <c r="K11" s="32"/>
      <c r="M11" s="36"/>
      <c r="N11" s="1"/>
      <c r="O11" s="1"/>
      <c r="P11" s="1"/>
      <c r="Q11" s="1"/>
      <c r="R11" s="36"/>
      <c r="S11" s="36"/>
    </row>
    <row r="12" spans="1:19" ht="15" customHeight="1" x14ac:dyDescent="0.3">
      <c r="A12" s="29"/>
      <c r="B12" s="60" t="s">
        <v>51</v>
      </c>
      <c r="C12" s="30"/>
      <c r="D12" s="31"/>
      <c r="E12" s="32"/>
      <c r="F12" s="32"/>
      <c r="G12" s="34">
        <f>SUM(G10:G11)</f>
        <v>61.762300164692448</v>
      </c>
      <c r="H12" s="33" t="s">
        <v>49</v>
      </c>
      <c r="I12" s="34">
        <v>64.63</v>
      </c>
      <c r="J12" s="9">
        <f>G12*I12</f>
        <v>3991.6974596440728</v>
      </c>
      <c r="K12" s="32"/>
      <c r="M12" s="36"/>
      <c r="N12" s="1"/>
      <c r="O12" s="1"/>
      <c r="P12" s="1"/>
      <c r="Q12" s="1"/>
      <c r="R12" s="36"/>
      <c r="S12" s="36"/>
    </row>
    <row r="13" spans="1:19" ht="15" customHeight="1" x14ac:dyDescent="0.3">
      <c r="A13" s="29"/>
      <c r="B13" s="60" t="s">
        <v>44</v>
      </c>
      <c r="C13" s="30"/>
      <c r="D13" s="31"/>
      <c r="E13" s="32"/>
      <c r="F13" s="32"/>
      <c r="G13" s="34"/>
      <c r="H13" s="33"/>
      <c r="I13" s="34"/>
      <c r="J13" s="9">
        <f>0.13*G12*19284/360</f>
        <v>430.09207091353005</v>
      </c>
      <c r="K13" s="32"/>
      <c r="M13" s="36"/>
      <c r="N13" s="1"/>
      <c r="O13" s="1"/>
      <c r="P13" s="1"/>
      <c r="Q13" s="1"/>
      <c r="R13" s="36"/>
      <c r="S13" s="36"/>
    </row>
    <row r="14" spans="1:19" ht="15" customHeight="1" x14ac:dyDescent="0.3">
      <c r="A14" s="29"/>
      <c r="B14" s="35"/>
      <c r="C14" s="30"/>
      <c r="D14" s="31"/>
      <c r="E14" s="32"/>
      <c r="F14" s="32"/>
      <c r="G14" s="34"/>
      <c r="H14" s="33"/>
      <c r="I14" s="34"/>
      <c r="J14" s="9"/>
      <c r="K14" s="32"/>
      <c r="M14" s="36"/>
      <c r="N14" s="1"/>
      <c r="O14" s="1"/>
      <c r="P14" s="1"/>
      <c r="Q14" s="1"/>
      <c r="R14" s="36"/>
      <c r="S14" s="36"/>
    </row>
    <row r="15" spans="1:19" ht="82.8" x14ac:dyDescent="0.3">
      <c r="A15" s="29">
        <v>2</v>
      </c>
      <c r="B15" s="41" t="s">
        <v>73</v>
      </c>
      <c r="C15" s="30"/>
      <c r="D15" s="31"/>
      <c r="E15" s="32"/>
      <c r="F15" s="32"/>
      <c r="G15" s="34"/>
      <c r="H15" s="33"/>
      <c r="I15" s="34"/>
      <c r="J15" s="9"/>
      <c r="K15" s="32"/>
      <c r="M15" s="36"/>
      <c r="N15" s="1"/>
      <c r="O15" s="1"/>
      <c r="P15" s="1"/>
      <c r="Q15" s="1"/>
      <c r="R15" s="36"/>
      <c r="S15" s="36"/>
    </row>
    <row r="16" spans="1:19" ht="15" customHeight="1" x14ac:dyDescent="0.3">
      <c r="A16" s="29"/>
      <c r="B16" s="60" t="str">
        <f>B11</f>
        <v>-Manhole</v>
      </c>
      <c r="C16" s="5">
        <f>C11</f>
        <v>5</v>
      </c>
      <c r="D16" s="5">
        <v>1.2</v>
      </c>
      <c r="E16" s="5">
        <v>1.2</v>
      </c>
      <c r="F16" s="8">
        <v>0.15</v>
      </c>
      <c r="G16" s="63">
        <f>C16*(PI())*(D16*E16/4)*F16</f>
        <v>0.84823001646924412</v>
      </c>
      <c r="H16" s="11"/>
      <c r="I16" s="11"/>
      <c r="J16" s="11"/>
      <c r="K16" s="32"/>
      <c r="M16" s="36"/>
      <c r="N16" s="1"/>
      <c r="O16" s="1"/>
      <c r="P16" s="1"/>
      <c r="Q16" s="1"/>
      <c r="R16" s="36"/>
      <c r="S16" s="36"/>
    </row>
    <row r="17" spans="1:19" ht="15" customHeight="1" x14ac:dyDescent="0.3">
      <c r="A17" s="11"/>
      <c r="B17" s="60" t="s">
        <v>51</v>
      </c>
      <c r="C17" s="48"/>
      <c r="D17" s="49"/>
      <c r="E17" s="49"/>
      <c r="F17" s="49"/>
      <c r="G17" s="52">
        <f>SUM(G16:G16)</f>
        <v>0.84823001646924412</v>
      </c>
      <c r="H17" s="52" t="s">
        <v>49</v>
      </c>
      <c r="I17" s="53">
        <v>4561.53</v>
      </c>
      <c r="J17" s="50">
        <f>G17*I17</f>
        <v>3869.226667024951</v>
      </c>
      <c r="K17" s="5"/>
    </row>
    <row r="18" spans="1:19" x14ac:dyDescent="0.3">
      <c r="A18" s="11"/>
      <c r="B18" s="60" t="s">
        <v>44</v>
      </c>
      <c r="C18" s="48"/>
      <c r="D18" s="49"/>
      <c r="E18" s="49"/>
      <c r="F18" s="49"/>
      <c r="G18" s="54"/>
      <c r="H18" s="54"/>
      <c r="I18" s="54"/>
      <c r="J18" s="55">
        <f>0.13*G17*(15452.6/5)</f>
        <v>340.79133796480869</v>
      </c>
      <c r="K18" s="5"/>
    </row>
    <row r="19" spans="1:19" x14ac:dyDescent="0.3">
      <c r="A19" s="11"/>
      <c r="B19" s="60"/>
      <c r="C19" s="48"/>
      <c r="D19" s="49"/>
      <c r="E19" s="49"/>
      <c r="F19" s="49"/>
      <c r="G19" s="54"/>
      <c r="H19" s="54"/>
      <c r="I19" s="54"/>
      <c r="J19" s="55"/>
      <c r="K19" s="5"/>
    </row>
    <row r="20" spans="1:19" ht="69" x14ac:dyDescent="0.3">
      <c r="A20" s="29">
        <v>3</v>
      </c>
      <c r="B20" s="41" t="s">
        <v>56</v>
      </c>
      <c r="C20" s="30"/>
      <c r="D20" s="31"/>
      <c r="E20" s="32"/>
      <c r="F20" s="32"/>
      <c r="G20" s="34"/>
      <c r="H20" s="33"/>
      <c r="I20" s="34"/>
      <c r="J20" s="9"/>
      <c r="K20" s="32"/>
      <c r="M20" s="36"/>
      <c r="N20" s="1"/>
      <c r="O20" s="1"/>
      <c r="P20" s="1"/>
      <c r="Q20" s="1"/>
      <c r="R20" s="36"/>
      <c r="S20" s="36"/>
    </row>
    <row r="21" spans="1:19" ht="15" customHeight="1" x14ac:dyDescent="0.3">
      <c r="A21" s="29"/>
      <c r="B21" s="60" t="str">
        <f>B16</f>
        <v>-Manhole</v>
      </c>
      <c r="C21" s="5">
        <v>5</v>
      </c>
      <c r="D21" s="5">
        <v>1.2</v>
      </c>
      <c r="E21" s="5">
        <v>1.2</v>
      </c>
      <c r="F21" s="61">
        <v>7.4999999999999997E-2</v>
      </c>
      <c r="G21" s="63">
        <f>C21*(PI())*(D21*E21/4)*F21</f>
        <v>0.42411500823462206</v>
      </c>
      <c r="H21" s="11"/>
      <c r="I21" s="11"/>
      <c r="J21" s="11"/>
      <c r="K21" s="32"/>
      <c r="M21" s="36"/>
      <c r="N21" s="1"/>
      <c r="O21" s="1"/>
      <c r="P21" s="1"/>
      <c r="Q21" s="1"/>
      <c r="R21" s="36"/>
      <c r="S21" s="36"/>
    </row>
    <row r="22" spans="1:19" ht="15" customHeight="1" x14ac:dyDescent="0.3">
      <c r="A22" s="11"/>
      <c r="B22" s="60" t="s">
        <v>51</v>
      </c>
      <c r="C22" s="48"/>
      <c r="D22" s="49"/>
      <c r="E22" s="49"/>
      <c r="F22" s="49"/>
      <c r="G22" s="52">
        <f>SUM(G21:G21)</f>
        <v>0.42411500823462206</v>
      </c>
      <c r="H22" s="52" t="s">
        <v>49</v>
      </c>
      <c r="I22" s="53">
        <v>10634.5</v>
      </c>
      <c r="J22" s="50">
        <f>G22*I22</f>
        <v>4510.2510550710886</v>
      </c>
      <c r="K22" s="5"/>
    </row>
    <row r="23" spans="1:19" ht="15" customHeight="1" x14ac:dyDescent="0.3">
      <c r="A23" s="11"/>
      <c r="B23" s="60" t="s">
        <v>44</v>
      </c>
      <c r="C23" s="48"/>
      <c r="D23" s="49"/>
      <c r="E23" s="49"/>
      <c r="F23" s="49"/>
      <c r="G23" s="54"/>
      <c r="H23" s="54"/>
      <c r="I23" s="54"/>
      <c r="J23" s="55">
        <f>0.13*G22*((114907.3+6135.3)/15)</f>
        <v>444.91185522974729</v>
      </c>
      <c r="K23" s="5"/>
    </row>
    <row r="24" spans="1:19" ht="15" customHeight="1" x14ac:dyDescent="0.3">
      <c r="A24" s="11"/>
      <c r="B24" s="60"/>
      <c r="C24" s="48"/>
      <c r="D24" s="49"/>
      <c r="E24" s="49"/>
      <c r="F24" s="49"/>
      <c r="G24" s="54"/>
      <c r="H24" s="54"/>
      <c r="I24" s="54"/>
      <c r="J24" s="55"/>
      <c r="K24" s="5"/>
    </row>
    <row r="25" spans="1:19" ht="69" x14ac:dyDescent="0.3">
      <c r="A25" s="29">
        <v>4</v>
      </c>
      <c r="B25" s="41" t="s">
        <v>59</v>
      </c>
      <c r="C25" s="30" t="s">
        <v>7</v>
      </c>
      <c r="D25" s="71" t="s">
        <v>75</v>
      </c>
      <c r="E25" s="72" t="s">
        <v>76</v>
      </c>
      <c r="F25" s="72" t="s">
        <v>64</v>
      </c>
      <c r="G25" s="34"/>
      <c r="H25" s="33"/>
      <c r="I25" s="34"/>
      <c r="J25" s="9"/>
      <c r="K25" s="32"/>
      <c r="M25" s="36"/>
      <c r="N25" s="1"/>
      <c r="O25" s="1"/>
      <c r="P25" s="1"/>
      <c r="Q25" s="1"/>
      <c r="R25" s="36"/>
      <c r="S25" s="36"/>
    </row>
    <row r="26" spans="1:19" ht="15" customHeight="1" x14ac:dyDescent="0.3">
      <c r="A26" s="29"/>
      <c r="B26" s="60" t="s">
        <v>68</v>
      </c>
      <c r="C26" s="61">
        <f>5*2*TRUNC(D26/0.15,0)+1</f>
        <v>61</v>
      </c>
      <c r="D26" s="61">
        <v>0.9</v>
      </c>
      <c r="E26" s="61">
        <f>12*12/162</f>
        <v>0.88888888888888884</v>
      </c>
      <c r="F26" s="61">
        <f>PRODUCT(C26:E26)</f>
        <v>48.8</v>
      </c>
      <c r="G26" s="69">
        <f>F26/1000</f>
        <v>4.8799999999999996E-2</v>
      </c>
      <c r="H26" s="11"/>
      <c r="I26" s="11"/>
      <c r="J26" s="11"/>
      <c r="K26" s="32"/>
      <c r="M26" s="36"/>
      <c r="N26" s="1"/>
      <c r="O26" s="1"/>
      <c r="P26" s="1"/>
      <c r="Q26" s="1"/>
      <c r="R26" s="36"/>
      <c r="S26" s="36"/>
    </row>
    <row r="27" spans="1:19" ht="15" customHeight="1" x14ac:dyDescent="0.3">
      <c r="A27" s="11"/>
      <c r="B27" s="60" t="s">
        <v>51</v>
      </c>
      <c r="C27" s="48"/>
      <c r="D27" s="49"/>
      <c r="E27" s="49"/>
      <c r="F27" s="49"/>
      <c r="G27" s="70">
        <f>SUM(G25:G26)</f>
        <v>4.8799999999999996E-2</v>
      </c>
      <c r="H27" s="52" t="s">
        <v>65</v>
      </c>
      <c r="I27" s="53">
        <v>124140</v>
      </c>
      <c r="J27" s="50">
        <f>G27*I27</f>
        <v>6058.0319999999992</v>
      </c>
      <c r="K27" s="5"/>
    </row>
    <row r="28" spans="1:19" ht="15" customHeight="1" x14ac:dyDescent="0.3">
      <c r="A28" s="11"/>
      <c r="B28" s="60" t="s">
        <v>44</v>
      </c>
      <c r="C28" s="48"/>
      <c r="D28" s="49"/>
      <c r="E28" s="49"/>
      <c r="F28" s="49"/>
      <c r="G28" s="54"/>
      <c r="H28" s="54"/>
      <c r="I28" s="54"/>
      <c r="J28" s="55">
        <f>0.13*G27*110960</f>
        <v>703.93024000000003</v>
      </c>
      <c r="K28" s="5"/>
    </row>
    <row r="29" spans="1:19" ht="15" customHeight="1" x14ac:dyDescent="0.3">
      <c r="A29" s="11"/>
      <c r="B29" s="60"/>
      <c r="C29" s="48"/>
      <c r="D29" s="49"/>
      <c r="E29" s="49"/>
      <c r="F29" s="49"/>
      <c r="G29" s="54"/>
      <c r="H29" s="54"/>
      <c r="I29" s="54"/>
      <c r="J29" s="55"/>
      <c r="K29" s="5"/>
    </row>
    <row r="30" spans="1:19" ht="69" x14ac:dyDescent="0.3">
      <c r="A30" s="29">
        <v>5</v>
      </c>
      <c r="B30" s="41" t="s">
        <v>74</v>
      </c>
      <c r="C30" s="30"/>
      <c r="D30" s="31"/>
      <c r="E30" s="32"/>
      <c r="F30" s="32"/>
      <c r="G30" s="34"/>
      <c r="H30" s="33"/>
      <c r="I30" s="34"/>
      <c r="J30" s="9"/>
      <c r="K30" s="32"/>
      <c r="M30" s="36"/>
      <c r="N30" s="1"/>
      <c r="O30" s="1"/>
      <c r="P30" s="1"/>
      <c r="Q30" s="1"/>
      <c r="R30" s="36"/>
      <c r="S30" s="36"/>
    </row>
    <row r="31" spans="1:19" ht="15" customHeight="1" x14ac:dyDescent="0.3">
      <c r="A31" s="29"/>
      <c r="B31" s="60" t="str">
        <f>B26</f>
        <v>-Manhole cover</v>
      </c>
      <c r="C31" s="61">
        <f>C16</f>
        <v>5</v>
      </c>
      <c r="D31" s="61">
        <v>1</v>
      </c>
      <c r="E31" s="61">
        <v>1</v>
      </c>
      <c r="F31" s="61">
        <v>0.1</v>
      </c>
      <c r="G31" s="63">
        <f>C31*(PI())*(D31*E31/4)*F31</f>
        <v>0.39269908169872414</v>
      </c>
      <c r="H31" s="11"/>
      <c r="I31" s="11"/>
      <c r="J31" s="11"/>
      <c r="K31" s="32"/>
      <c r="M31" s="36"/>
      <c r="N31" s="1"/>
      <c r="O31" s="1"/>
      <c r="P31" s="1"/>
      <c r="Q31" s="1"/>
      <c r="R31" s="36"/>
      <c r="S31" s="36"/>
    </row>
    <row r="32" spans="1:19" ht="15" customHeight="1" x14ac:dyDescent="0.3">
      <c r="A32" s="11"/>
      <c r="B32" s="60" t="s">
        <v>51</v>
      </c>
      <c r="C32" s="48"/>
      <c r="D32" s="49"/>
      <c r="E32" s="49"/>
      <c r="F32" s="49"/>
      <c r="G32" s="52">
        <f>SUM(G31:G31)</f>
        <v>0.39269908169872414</v>
      </c>
      <c r="H32" s="52" t="s">
        <v>49</v>
      </c>
      <c r="I32" s="53">
        <v>11588.17</v>
      </c>
      <c r="J32" s="50">
        <f>G32*I32</f>
        <v>4550.6637175687038</v>
      </c>
      <c r="K32" s="5"/>
    </row>
    <row r="33" spans="1:19" ht="15" customHeight="1" x14ac:dyDescent="0.3">
      <c r="A33" s="11"/>
      <c r="B33" s="60" t="s">
        <v>44</v>
      </c>
      <c r="C33" s="48"/>
      <c r="D33" s="49"/>
      <c r="E33" s="49"/>
      <c r="F33" s="49"/>
      <c r="G33" s="54"/>
      <c r="H33" s="54"/>
      <c r="I33" s="54"/>
      <c r="J33" s="55">
        <f>0.13*G32*((128662.2+6685.5)/15)</f>
        <v>460.64128500029824</v>
      </c>
      <c r="K33" s="5"/>
    </row>
    <row r="34" spans="1:19" ht="15" customHeight="1" x14ac:dyDescent="0.3">
      <c r="A34" s="11"/>
      <c r="B34" s="60"/>
      <c r="C34" s="48"/>
      <c r="D34" s="49"/>
      <c r="E34" s="49"/>
      <c r="F34" s="49"/>
      <c r="G34" s="54"/>
      <c r="H34" s="54"/>
      <c r="I34" s="54"/>
      <c r="J34" s="55"/>
      <c r="K34" s="5"/>
    </row>
    <row r="35" spans="1:19" ht="30.6" x14ac:dyDescent="0.3">
      <c r="A35" s="29">
        <v>6</v>
      </c>
      <c r="B35" s="74" t="s">
        <v>77</v>
      </c>
      <c r="C35" s="30"/>
      <c r="D35" s="31"/>
      <c r="E35" s="32"/>
      <c r="F35" s="32"/>
      <c r="G35" s="34"/>
      <c r="H35" s="33"/>
      <c r="I35" s="34"/>
      <c r="J35" s="9"/>
      <c r="K35" s="32"/>
      <c r="M35" s="36"/>
      <c r="N35" s="1"/>
      <c r="O35" s="1"/>
      <c r="P35" s="1"/>
      <c r="Q35" s="1"/>
      <c r="R35" s="36"/>
      <c r="S35" s="36"/>
    </row>
    <row r="36" spans="1:19" ht="15" customHeight="1" x14ac:dyDescent="0.3">
      <c r="A36" s="29"/>
      <c r="B36" s="60" t="str">
        <f>B31</f>
        <v>-Manhole cover</v>
      </c>
      <c r="C36" s="61">
        <v>5</v>
      </c>
      <c r="D36" s="61">
        <f>1.2-0.23</f>
        <v>0.97</v>
      </c>
      <c r="E36" s="61">
        <v>0.23</v>
      </c>
      <c r="F36" s="61">
        <v>1.5</v>
      </c>
      <c r="G36" s="63">
        <f>C36*(PI())*(D36)*E36*F36</f>
        <v>5.2566699076191217</v>
      </c>
      <c r="H36" s="11"/>
      <c r="I36" s="11"/>
      <c r="J36" s="11"/>
      <c r="K36" s="32"/>
      <c r="M36" s="36"/>
      <c r="N36" s="1"/>
      <c r="O36" s="1"/>
      <c r="P36" s="1"/>
      <c r="Q36" s="1"/>
      <c r="R36" s="36"/>
      <c r="S36" s="36"/>
    </row>
    <row r="37" spans="1:19" ht="15" customHeight="1" x14ac:dyDescent="0.3">
      <c r="A37" s="29"/>
      <c r="B37" s="60" t="s">
        <v>71</v>
      </c>
      <c r="C37" s="61">
        <f>-2*5</f>
        <v>-10</v>
      </c>
      <c r="D37" s="61">
        <v>0.6</v>
      </c>
      <c r="E37" s="61">
        <v>0.23</v>
      </c>
      <c r="F37" s="61">
        <v>0.6</v>
      </c>
      <c r="G37" s="63">
        <f>C37*(PI())*(D37*F37/4)*E37</f>
        <v>-0.65030967929308725</v>
      </c>
      <c r="H37" s="11"/>
      <c r="I37" s="11"/>
      <c r="J37" s="11"/>
      <c r="K37" s="32"/>
      <c r="M37" s="36"/>
      <c r="N37" s="1"/>
      <c r="O37" s="1"/>
      <c r="P37" s="1"/>
      <c r="Q37" s="1"/>
      <c r="R37" s="36"/>
      <c r="S37" s="36"/>
    </row>
    <row r="38" spans="1:19" ht="15" customHeight="1" x14ac:dyDescent="0.3">
      <c r="A38" s="11"/>
      <c r="B38" s="60" t="s">
        <v>51</v>
      </c>
      <c r="C38" s="48"/>
      <c r="D38" s="49"/>
      <c r="E38" s="49"/>
      <c r="F38" s="49"/>
      <c r="G38" s="52">
        <f>SUM(G36:G37)</f>
        <v>4.6063602283260341</v>
      </c>
      <c r="H38" s="52" t="s">
        <v>49</v>
      </c>
      <c r="I38" s="53">
        <v>14362.76</v>
      </c>
      <c r="J38" s="50">
        <f>G38*I38</f>
        <v>66160.046432992036</v>
      </c>
      <c r="K38" s="5"/>
    </row>
    <row r="39" spans="1:19" ht="15" customHeight="1" x14ac:dyDescent="0.3">
      <c r="A39" s="11"/>
      <c r="B39" s="60" t="s">
        <v>44</v>
      </c>
      <c r="C39" s="48"/>
      <c r="D39" s="49"/>
      <c r="E39" s="49"/>
      <c r="F39" s="49"/>
      <c r="G39" s="54"/>
      <c r="H39" s="54"/>
      <c r="I39" s="54"/>
      <c r="J39" s="55">
        <f>0.13*G38*10311.74</f>
        <v>6174.946572709031</v>
      </c>
      <c r="K39" s="5"/>
    </row>
    <row r="40" spans="1:19" ht="15" customHeight="1" x14ac:dyDescent="0.3">
      <c r="A40" s="11"/>
      <c r="B40" s="60"/>
      <c r="C40" s="48"/>
      <c r="D40" s="49"/>
      <c r="E40" s="49"/>
      <c r="F40" s="49"/>
      <c r="G40" s="54"/>
      <c r="H40" s="54"/>
      <c r="I40" s="54"/>
      <c r="J40" s="55"/>
      <c r="K40" s="5"/>
    </row>
    <row r="41" spans="1:19" ht="82.8" hidden="1" x14ac:dyDescent="0.3">
      <c r="A41" s="29">
        <v>5</v>
      </c>
      <c r="B41" s="41" t="str">
        <f>description_247</f>
        <v>Providing and Laying Reinforced cement concrete NP3 Flush jointed pipe for culverts including fixing with cement mortar 1:2 as per Drawing and Technical Specifications., 450 mm  internal dia.</v>
      </c>
      <c r="C41" s="5"/>
      <c r="D41" s="8"/>
      <c r="E41" s="8"/>
      <c r="F41" s="8"/>
      <c r="G41" s="9"/>
      <c r="H41" s="11"/>
      <c r="I41" s="11"/>
      <c r="J41" s="11"/>
      <c r="K41" s="32"/>
      <c r="M41" s="36"/>
      <c r="N41" s="1"/>
      <c r="O41" s="1"/>
      <c r="P41" s="1"/>
      <c r="Q41" s="1"/>
      <c r="R41" s="36"/>
      <c r="S41" s="36"/>
    </row>
    <row r="42" spans="1:19" ht="15" hidden="1" customHeight="1" x14ac:dyDescent="0.3">
      <c r="A42" s="29"/>
      <c r="B42" s="60" t="s">
        <v>70</v>
      </c>
      <c r="C42" s="5">
        <v>0</v>
      </c>
      <c r="D42" s="8">
        <v>2.5</v>
      </c>
      <c r="E42" s="8"/>
      <c r="F42" s="8"/>
      <c r="G42" s="63">
        <f>PRODUCT(C42:F42)</f>
        <v>0</v>
      </c>
      <c r="H42" s="11"/>
      <c r="I42" s="11"/>
      <c r="J42" s="11"/>
      <c r="K42" s="32"/>
      <c r="M42" s="36"/>
      <c r="N42" s="1"/>
      <c r="O42" s="1"/>
      <c r="P42" s="1"/>
      <c r="Q42" s="1"/>
      <c r="R42" s="36"/>
      <c r="S42" s="36"/>
    </row>
    <row r="43" spans="1:19" ht="15" hidden="1" customHeight="1" x14ac:dyDescent="0.3">
      <c r="A43" s="29"/>
      <c r="B43" s="60" t="s">
        <v>51</v>
      </c>
      <c r="C43" s="5"/>
      <c r="D43" s="8"/>
      <c r="E43" s="8"/>
      <c r="F43" s="8"/>
      <c r="G43" s="43">
        <f>SUM(G42:G42)</f>
        <v>0</v>
      </c>
      <c r="H43" s="11" t="s">
        <v>45</v>
      </c>
      <c r="I43" s="11">
        <v>5129.82</v>
      </c>
      <c r="J43" s="11">
        <f>G43*I43</f>
        <v>0</v>
      </c>
      <c r="K43" s="32"/>
      <c r="M43" s="36"/>
      <c r="N43" s="1"/>
      <c r="O43" s="1"/>
      <c r="P43" s="1"/>
      <c r="Q43" s="1"/>
      <c r="R43" s="36"/>
      <c r="S43" s="36"/>
    </row>
    <row r="44" spans="1:19" ht="15" hidden="1" customHeight="1" x14ac:dyDescent="0.3">
      <c r="A44" s="29"/>
      <c r="B44" s="60" t="s">
        <v>44</v>
      </c>
      <c r="C44" s="5"/>
      <c r="D44" s="8"/>
      <c r="E44" s="8"/>
      <c r="F44" s="8"/>
      <c r="G44" s="9"/>
      <c r="H44" s="11"/>
      <c r="I44" s="11"/>
      <c r="J44" s="11">
        <f>0.13*G43*((57525.6)/12.5)</f>
        <v>0</v>
      </c>
      <c r="K44" s="32"/>
      <c r="M44" s="36"/>
      <c r="N44" s="1"/>
      <c r="O44" s="1"/>
      <c r="P44" s="1"/>
      <c r="Q44" s="1"/>
      <c r="R44" s="36"/>
      <c r="S44" s="36"/>
    </row>
    <row r="45" spans="1:19" ht="15" hidden="1" customHeight="1" x14ac:dyDescent="0.3">
      <c r="A45" s="29"/>
      <c r="B45" s="60"/>
      <c r="C45" s="5"/>
      <c r="D45" s="8"/>
      <c r="E45" s="8"/>
      <c r="F45" s="8"/>
      <c r="G45" s="9"/>
      <c r="H45" s="11"/>
      <c r="I45" s="11"/>
      <c r="J45" s="11"/>
      <c r="K45" s="32"/>
      <c r="M45" s="36"/>
      <c r="N45" s="1"/>
      <c r="O45" s="1"/>
      <c r="P45" s="1"/>
      <c r="Q45" s="1"/>
      <c r="R45" s="36"/>
      <c r="S45" s="36"/>
    </row>
    <row r="46" spans="1:19" ht="82.8" x14ac:dyDescent="0.3">
      <c r="A46" s="29">
        <v>7</v>
      </c>
      <c r="B46" s="41" t="s">
        <v>72</v>
      </c>
      <c r="C46" s="5"/>
      <c r="D46" s="8"/>
      <c r="E46" s="8"/>
      <c r="F46" s="8"/>
      <c r="G46" s="9"/>
      <c r="H46" s="11"/>
      <c r="I46" s="11"/>
      <c r="J46" s="11"/>
      <c r="K46" s="32"/>
      <c r="M46" s="36"/>
      <c r="N46" s="1"/>
      <c r="O46" s="1"/>
      <c r="P46" s="1"/>
      <c r="Q46" s="1"/>
      <c r="R46" s="36"/>
      <c r="S46" s="36"/>
    </row>
    <row r="47" spans="1:19" ht="15" customHeight="1" x14ac:dyDescent="0.3">
      <c r="A47" s="29"/>
      <c r="B47" s="60" t="s">
        <v>69</v>
      </c>
      <c r="C47" s="5">
        <f>(45+15)/2.5</f>
        <v>24</v>
      </c>
      <c r="D47" s="8">
        <v>2.5</v>
      </c>
      <c r="E47" s="8"/>
      <c r="F47" s="8"/>
      <c r="G47" s="63">
        <f>PRODUCT(C47:F47)</f>
        <v>60</v>
      </c>
      <c r="H47" s="11"/>
      <c r="I47" s="11"/>
      <c r="J47" s="11"/>
      <c r="K47" s="32"/>
      <c r="M47" s="36"/>
      <c r="N47" s="1">
        <f>44/2.5</f>
        <v>17.600000000000001</v>
      </c>
      <c r="O47" s="1">
        <f>45/2.5</f>
        <v>18</v>
      </c>
      <c r="P47" s="1"/>
      <c r="Q47" s="1"/>
      <c r="R47" s="36"/>
      <c r="S47" s="36"/>
    </row>
    <row r="48" spans="1:19" ht="15" customHeight="1" x14ac:dyDescent="0.3">
      <c r="A48" s="29"/>
      <c r="B48" s="60" t="s">
        <v>51</v>
      </c>
      <c r="C48" s="5"/>
      <c r="D48" s="8"/>
      <c r="E48" s="8"/>
      <c r="F48" s="8"/>
      <c r="G48" s="43">
        <f>SUM(G47:G47)</f>
        <v>60</v>
      </c>
      <c r="H48" s="11" t="s">
        <v>45</v>
      </c>
      <c r="I48" s="11">
        <v>6932.79</v>
      </c>
      <c r="J48" s="11">
        <f>G48*I48</f>
        <v>415967.4</v>
      </c>
      <c r="K48" s="32"/>
      <c r="M48" s="36"/>
      <c r="N48" s="1"/>
      <c r="O48" s="1"/>
      <c r="P48" s="1"/>
      <c r="Q48" s="1"/>
      <c r="R48" s="36"/>
      <c r="S48" s="36"/>
    </row>
    <row r="49" spans="1:19" ht="15" customHeight="1" x14ac:dyDescent="0.3">
      <c r="A49" s="29"/>
      <c r="B49" s="60" t="s">
        <v>44</v>
      </c>
      <c r="C49" s="5"/>
      <c r="D49" s="8"/>
      <c r="E49" s="8"/>
      <c r="F49" s="8"/>
      <c r="G49" s="9"/>
      <c r="H49" s="11"/>
      <c r="I49" s="11"/>
      <c r="J49" s="11">
        <f>0.13*G48*((78764.9)/12.5)</f>
        <v>49149.297599999998</v>
      </c>
      <c r="K49" s="32"/>
      <c r="M49" s="36"/>
      <c r="N49" s="1"/>
      <c r="O49" s="1"/>
      <c r="P49" s="1"/>
      <c r="Q49" s="1"/>
      <c r="R49" s="36"/>
      <c r="S49" s="36"/>
    </row>
    <row r="50" spans="1:19" ht="15" customHeight="1" x14ac:dyDescent="0.3">
      <c r="A50" s="29"/>
      <c r="B50" s="60"/>
      <c r="C50" s="5"/>
      <c r="D50" s="8"/>
      <c r="E50" s="8"/>
      <c r="F50" s="8"/>
      <c r="G50" s="9"/>
      <c r="H50" s="11"/>
      <c r="I50" s="11"/>
      <c r="J50" s="11"/>
      <c r="K50" s="32"/>
      <c r="M50" s="36"/>
      <c r="N50" s="1"/>
      <c r="O50" s="1"/>
      <c r="P50" s="1"/>
      <c r="Q50" s="1"/>
      <c r="R50" s="36"/>
      <c r="S50" s="36"/>
    </row>
    <row r="51" spans="1:19" ht="15" customHeight="1" x14ac:dyDescent="0.3">
      <c r="A51" s="29">
        <v>8</v>
      </c>
      <c r="B51" s="41" t="s">
        <v>33</v>
      </c>
      <c r="C51" s="30">
        <v>1</v>
      </c>
      <c r="D51" s="31"/>
      <c r="E51" s="32"/>
      <c r="F51" s="32"/>
      <c r="G51" s="43">
        <f t="shared" ref="G51" si="0">PRODUCT(C51:F51)</f>
        <v>1</v>
      </c>
      <c r="H51" s="33" t="s">
        <v>34</v>
      </c>
      <c r="I51" s="34">
        <v>500</v>
      </c>
      <c r="J51" s="43">
        <f>G51*I51</f>
        <v>500</v>
      </c>
      <c r="K51" s="32"/>
      <c r="M51" s="36"/>
      <c r="N51" s="1"/>
      <c r="O51" s="1"/>
      <c r="P51" s="1"/>
      <c r="Q51" s="1"/>
      <c r="R51" s="36"/>
      <c r="S51" s="36"/>
    </row>
    <row r="52" spans="1:19" ht="15" customHeight="1" x14ac:dyDescent="0.3">
      <c r="A52" s="29"/>
      <c r="B52" s="35"/>
      <c r="C52" s="30"/>
      <c r="D52" s="31"/>
      <c r="E52" s="32"/>
      <c r="F52" s="32"/>
      <c r="G52" s="34"/>
      <c r="H52" s="33"/>
      <c r="I52" s="34"/>
      <c r="J52" s="9"/>
      <c r="K52" s="32"/>
      <c r="M52" s="36"/>
      <c r="N52" s="1"/>
      <c r="O52" s="1"/>
      <c r="P52" s="1"/>
      <c r="Q52" s="1"/>
      <c r="R52" s="36"/>
      <c r="S52" s="36"/>
    </row>
    <row r="53" spans="1:19" x14ac:dyDescent="0.3">
      <c r="A53" s="11"/>
      <c r="B53" s="28" t="s">
        <v>17</v>
      </c>
      <c r="C53" s="10"/>
      <c r="D53" s="8"/>
      <c r="E53" s="8"/>
      <c r="F53" s="8"/>
      <c r="G53" s="9"/>
      <c r="H53" s="9"/>
      <c r="I53" s="9"/>
      <c r="J53" s="9">
        <f>SUM(J10:J51)</f>
        <v>563311.92829411826</v>
      </c>
      <c r="K53" s="5"/>
    </row>
    <row r="55" spans="1:19" s="1" customFormat="1" x14ac:dyDescent="0.3">
      <c r="B55" s="18" t="s">
        <v>27</v>
      </c>
      <c r="C55" s="108">
        <f>J53</f>
        <v>563311.92829411826</v>
      </c>
      <c r="D55" s="109"/>
      <c r="E55" s="16">
        <v>100</v>
      </c>
      <c r="F55" s="20"/>
      <c r="G55" s="21"/>
      <c r="H55" s="20"/>
      <c r="I55" s="22"/>
      <c r="J55" s="23"/>
      <c r="K55" s="24"/>
    </row>
    <row r="56" spans="1:19" x14ac:dyDescent="0.3">
      <c r="A56" s="73"/>
      <c r="B56" s="18" t="s">
        <v>35</v>
      </c>
      <c r="C56" s="110">
        <v>500000</v>
      </c>
      <c r="D56" s="111"/>
      <c r="E56" s="16"/>
    </row>
    <row r="57" spans="1:19" x14ac:dyDescent="0.3">
      <c r="A57" s="73"/>
      <c r="B57" s="18" t="s">
        <v>36</v>
      </c>
      <c r="C57" s="110">
        <f>C56-C59-C60</f>
        <v>475000</v>
      </c>
      <c r="D57" s="111"/>
      <c r="E57" s="16">
        <f>C57/C55*100</f>
        <v>84.322730647377924</v>
      </c>
    </row>
    <row r="58" spans="1:19" x14ac:dyDescent="0.3">
      <c r="A58" s="73"/>
      <c r="B58" s="18" t="s">
        <v>37</v>
      </c>
      <c r="C58" s="107">
        <f>C55-C57</f>
        <v>88311.928294118261</v>
      </c>
      <c r="D58" s="107"/>
      <c r="E58" s="16">
        <f>100-E57</f>
        <v>15.677269352622076</v>
      </c>
    </row>
    <row r="59" spans="1:19" x14ac:dyDescent="0.3">
      <c r="A59" s="73"/>
      <c r="B59" s="18" t="s">
        <v>38</v>
      </c>
      <c r="C59" s="108">
        <f>C56*0.03</f>
        <v>15000</v>
      </c>
      <c r="D59" s="109"/>
      <c r="E59" s="16">
        <v>3</v>
      </c>
    </row>
    <row r="60" spans="1:19" x14ac:dyDescent="0.3">
      <c r="A60" s="73"/>
      <c r="B60" s="18" t="s">
        <v>39</v>
      </c>
      <c r="C60" s="108">
        <f>C56*0.02</f>
        <v>10000</v>
      </c>
      <c r="D60" s="109"/>
      <c r="E60" s="16">
        <v>2</v>
      </c>
    </row>
  </sheetData>
  <mergeCells count="15">
    <mergeCell ref="C59:D59"/>
    <mergeCell ref="C60:D60"/>
    <mergeCell ref="A7:F7"/>
    <mergeCell ref="H7:K7"/>
    <mergeCell ref="C55:D55"/>
    <mergeCell ref="C56:D56"/>
    <mergeCell ref="C57:D57"/>
    <mergeCell ref="C58:D58"/>
    <mergeCell ref="A6:F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Basudev Khanal</oddFooter>
  </headerFooter>
  <rowBreaks count="1" manualBreakCount="1">
    <brk id="45"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128" t="s">
        <v>0</v>
      </c>
      <c r="B1" s="128"/>
      <c r="C1" s="128"/>
      <c r="D1" s="128"/>
      <c r="E1" s="128"/>
      <c r="F1" s="128"/>
      <c r="G1" s="128"/>
      <c r="H1" s="128"/>
      <c r="I1" s="128"/>
      <c r="J1" s="128"/>
      <c r="K1" s="128"/>
    </row>
    <row r="2" spans="1:11" ht="24.6" x14ac:dyDescent="0.4">
      <c r="A2" s="129" t="s">
        <v>1</v>
      </c>
      <c r="B2" s="129"/>
      <c r="C2" s="129"/>
      <c r="D2" s="129"/>
      <c r="E2" s="129"/>
      <c r="F2" s="129"/>
      <c r="G2" s="129"/>
      <c r="H2" s="129"/>
      <c r="I2" s="129"/>
      <c r="J2" s="129"/>
      <c r="K2" s="129"/>
    </row>
    <row r="3" spans="1:11" s="1" customFormat="1" x14ac:dyDescent="0.3">
      <c r="A3" s="114" t="s">
        <v>2</v>
      </c>
      <c r="B3" s="114"/>
      <c r="C3" s="114"/>
      <c r="D3" s="114"/>
      <c r="E3" s="114"/>
      <c r="F3" s="114"/>
      <c r="G3" s="114"/>
      <c r="H3" s="114"/>
      <c r="I3" s="114"/>
      <c r="J3" s="114"/>
      <c r="K3" s="114"/>
    </row>
    <row r="4" spans="1:11" s="1" customFormat="1" x14ac:dyDescent="0.3">
      <c r="A4" s="114" t="s">
        <v>3</v>
      </c>
      <c r="B4" s="114"/>
      <c r="C4" s="114"/>
      <c r="D4" s="114"/>
      <c r="E4" s="114"/>
      <c r="F4" s="114"/>
      <c r="G4" s="114"/>
      <c r="H4" s="114"/>
      <c r="I4" s="114"/>
      <c r="J4" s="114"/>
      <c r="K4" s="114"/>
    </row>
    <row r="5" spans="1:11" ht="18" x14ac:dyDescent="0.35">
      <c r="A5" s="130" t="s">
        <v>18</v>
      </c>
      <c r="B5" s="130"/>
      <c r="C5" s="130"/>
      <c r="D5" s="130"/>
      <c r="E5" s="130"/>
      <c r="F5" s="130"/>
      <c r="G5" s="130"/>
      <c r="H5" s="130"/>
      <c r="I5" s="130"/>
      <c r="J5" s="130"/>
      <c r="K5" s="130"/>
    </row>
    <row r="6" spans="1:11" ht="18" x14ac:dyDescent="0.35">
      <c r="A6" s="12" t="s">
        <v>19</v>
      </c>
      <c r="B6" s="12"/>
      <c r="C6" s="126" t="e">
        <f>F18</f>
        <v>#REF!</v>
      </c>
      <c r="D6" s="127"/>
      <c r="E6" s="13"/>
      <c r="F6" s="12"/>
      <c r="G6" s="12"/>
      <c r="H6" s="12" t="s">
        <v>20</v>
      </c>
      <c r="I6" s="12"/>
      <c r="J6" s="126" t="e">
        <f>I18</f>
        <v>#REF!</v>
      </c>
      <c r="K6" s="127"/>
    </row>
    <row r="7" spans="1:11" x14ac:dyDescent="0.3">
      <c r="A7" s="37" t="s">
        <v>31</v>
      </c>
      <c r="B7" s="14"/>
      <c r="C7" s="14"/>
      <c r="D7" s="14"/>
      <c r="F7" s="121"/>
      <c r="G7" s="121"/>
      <c r="I7" s="122" t="s">
        <v>40</v>
      </c>
      <c r="J7" s="122"/>
      <c r="K7" s="122"/>
    </row>
    <row r="8" spans="1:11" ht="15.6" x14ac:dyDescent="0.3">
      <c r="A8" s="116" t="str">
        <f>Estimate!A6</f>
        <v>Project:- बेन्डोल हाईट सडक निर्माण</v>
      </c>
      <c r="B8" s="116"/>
      <c r="C8" s="116"/>
      <c r="D8" s="116"/>
      <c r="E8" s="116"/>
      <c r="F8" s="116"/>
      <c r="I8" s="123" t="s">
        <v>41</v>
      </c>
      <c r="J8" s="123"/>
      <c r="K8" s="123"/>
    </row>
    <row r="9" spans="1:11" x14ac:dyDescent="0.3">
      <c r="A9" s="124" t="str">
        <f>Estimate!A7</f>
        <v>Location:- Shankharapur Municipality 9</v>
      </c>
      <c r="B9" s="124"/>
      <c r="C9" s="124"/>
      <c r="D9" s="124"/>
      <c r="E9" s="124"/>
      <c r="F9" s="124"/>
      <c r="I9" s="123" t="s">
        <v>42</v>
      </c>
      <c r="J9" s="123"/>
      <c r="K9" s="123"/>
    </row>
    <row r="11" spans="1:11" x14ac:dyDescent="0.3">
      <c r="A11" s="119" t="s">
        <v>21</v>
      </c>
      <c r="B11" s="119" t="s">
        <v>22</v>
      </c>
      <c r="C11" s="119" t="s">
        <v>12</v>
      </c>
      <c r="D11" s="125" t="s">
        <v>23</v>
      </c>
      <c r="E11" s="125"/>
      <c r="F11" s="125"/>
      <c r="G11" s="125" t="s">
        <v>24</v>
      </c>
      <c r="H11" s="125"/>
      <c r="I11" s="125"/>
      <c r="J11" s="119" t="s">
        <v>25</v>
      </c>
      <c r="K11" s="120" t="s">
        <v>15</v>
      </c>
    </row>
    <row r="12" spans="1:11" x14ac:dyDescent="0.3">
      <c r="A12" s="119"/>
      <c r="B12" s="119"/>
      <c r="C12" s="119"/>
      <c r="D12" s="15" t="s">
        <v>26</v>
      </c>
      <c r="E12" s="15" t="s">
        <v>13</v>
      </c>
      <c r="F12" s="15" t="s">
        <v>14</v>
      </c>
      <c r="G12" s="15" t="s">
        <v>26</v>
      </c>
      <c r="H12" s="15" t="s">
        <v>13</v>
      </c>
      <c r="I12" s="15" t="s">
        <v>14</v>
      </c>
      <c r="J12" s="119"/>
      <c r="K12" s="120"/>
    </row>
    <row r="13" spans="1:11" s="1" customFormat="1" ht="93.6" x14ac:dyDescent="0.3">
      <c r="A13" s="38">
        <f>Estimate!A9</f>
        <v>1</v>
      </c>
      <c r="B13" s="44" t="str">
        <f>Estimate!B30</f>
        <v>Providing and laying Brick Masonry Work in Cement mortar  in Foundation / structure complete excluding Pointing and Plastering, as per Drawing and Technical Specifications., Cement sand mortar (1:6)</v>
      </c>
      <c r="C13" s="16" t="str">
        <f>Estimate!H13</f>
        <v>cum</v>
      </c>
      <c r="D13" s="16">
        <f>Estimate!G13</f>
        <v>36.641647456870913</v>
      </c>
      <c r="E13" s="16">
        <f>Estimate!I13</f>
        <v>67.510000000000005</v>
      </c>
      <c r="F13" s="16">
        <f>D13*E13</f>
        <v>2473.6776198133557</v>
      </c>
      <c r="G13" s="16" t="e">
        <f>#REF!</f>
        <v>#REF!</v>
      </c>
      <c r="H13" s="16" t="e">
        <f>#REF!</f>
        <v>#REF!</v>
      </c>
      <c r="I13" s="16" t="e">
        <f>G13*H13</f>
        <v>#REF!</v>
      </c>
      <c r="J13" s="39" t="e">
        <f>I13-F13</f>
        <v>#REF!</v>
      </c>
      <c r="K13" s="19"/>
    </row>
    <row r="14" spans="1:11" s="1" customFormat="1" ht="15.6" x14ac:dyDescent="0.3">
      <c r="A14" s="38"/>
      <c r="B14" s="45" t="e">
        <f>Estimate!#REF!</f>
        <v>#REF!</v>
      </c>
      <c r="C14" s="16"/>
      <c r="D14" s="16"/>
      <c r="E14" s="16"/>
      <c r="F14" s="16" t="e">
        <f>Estimate!#REF!</f>
        <v>#REF!</v>
      </c>
      <c r="G14" s="16"/>
      <c r="H14" s="16"/>
      <c r="I14" s="16" t="e">
        <f>#REF!</f>
        <v>#REF!</v>
      </c>
      <c r="J14" s="39"/>
      <c r="K14" s="19"/>
    </row>
    <row r="15" spans="1:11" s="1" customFormat="1" x14ac:dyDescent="0.3">
      <c r="A15" s="40"/>
      <c r="B15" s="40"/>
      <c r="C15" s="16"/>
      <c r="D15" s="16"/>
      <c r="E15" s="16"/>
      <c r="F15" s="16"/>
      <c r="G15" s="16"/>
      <c r="H15" s="16"/>
      <c r="I15" s="16"/>
      <c r="J15" s="39"/>
      <c r="K15" s="19"/>
    </row>
    <row r="16" spans="1:11" s="1" customFormat="1" x14ac:dyDescent="0.3">
      <c r="A16" s="38">
        <f>Estimate!A69</f>
        <v>9</v>
      </c>
      <c r="B16" s="42" t="str">
        <f>Estimate!B69</f>
        <v>Information board (सुचना पाटि)</v>
      </c>
      <c r="C16" s="16" t="str">
        <f>Estimate!H69</f>
        <v>no.</v>
      </c>
      <c r="D16" s="16">
        <f>Estimate!G69</f>
        <v>1</v>
      </c>
      <c r="E16" s="16">
        <f>Estimate!I69</f>
        <v>500</v>
      </c>
      <c r="F16" s="16">
        <f>D16*E16</f>
        <v>500</v>
      </c>
      <c r="G16" s="16" t="e">
        <f>#REF!</f>
        <v>#REF!</v>
      </c>
      <c r="H16" s="16" t="e">
        <f>#REF!</f>
        <v>#REF!</v>
      </c>
      <c r="I16" s="16" t="e">
        <f>G16*H16</f>
        <v>#REF!</v>
      </c>
      <c r="J16" s="39" t="e">
        <f>I16-F16</f>
        <v>#REF!</v>
      </c>
      <c r="K16" s="19"/>
    </row>
    <row r="17" spans="1:11" s="1" customFormat="1" x14ac:dyDescent="0.3">
      <c r="A17" s="40"/>
      <c r="B17" s="40"/>
      <c r="C17" s="16"/>
      <c r="D17" s="16"/>
      <c r="E17" s="16"/>
      <c r="F17" s="16"/>
      <c r="G17" s="16"/>
      <c r="H17" s="16"/>
      <c r="I17" s="16"/>
      <c r="J17" s="39"/>
      <c r="K17" s="19"/>
    </row>
    <row r="18" spans="1:11" x14ac:dyDescent="0.3">
      <c r="A18" s="5"/>
      <c r="B18" s="6" t="s">
        <v>16</v>
      </c>
      <c r="C18" s="6"/>
      <c r="D18" s="9"/>
      <c r="E18" s="9"/>
      <c r="F18" s="9" t="e">
        <f>SUM(F13:F16)</f>
        <v>#REF!</v>
      </c>
      <c r="G18" s="9"/>
      <c r="H18" s="9"/>
      <c r="I18" s="9" t="e">
        <f>SUM(I13:I16)</f>
        <v>#REF!</v>
      </c>
      <c r="J18" s="17" t="e">
        <f>I18-F18</f>
        <v>#REF!</v>
      </c>
      <c r="K18"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workbookViewId="0">
      <selection activeCell="J36" sqref="J36"/>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84</v>
      </c>
      <c r="B6" s="116"/>
      <c r="C6" s="116"/>
      <c r="D6" s="116"/>
      <c r="E6" s="116"/>
      <c r="F6" s="116"/>
      <c r="G6" s="2"/>
      <c r="H6" s="117" t="s">
        <v>79</v>
      </c>
      <c r="I6" s="117"/>
      <c r="J6" s="117"/>
      <c r="K6" s="117"/>
    </row>
    <row r="7" spans="1:19" ht="15.6" x14ac:dyDescent="0.3">
      <c r="A7" s="131" t="s">
        <v>28</v>
      </c>
      <c r="B7" s="131"/>
      <c r="C7" s="131"/>
      <c r="D7" s="131"/>
      <c r="E7" s="131"/>
      <c r="F7" s="131"/>
      <c r="G7" s="3"/>
      <c r="H7" s="132" t="s">
        <v>80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5</v>
      </c>
      <c r="D11" s="78">
        <v>1.5</v>
      </c>
      <c r="E11" s="78">
        <v>1.5</v>
      </c>
      <c r="F11" s="78">
        <f>1.5+0.2</f>
        <v>1.7</v>
      </c>
      <c r="G11" s="79">
        <f>C11*(PI())*(D11*E11/4)*F11</f>
        <v>15.020739874976199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68.300739874976202</v>
      </c>
      <c r="H12" s="33" t="s">
        <v>49</v>
      </c>
      <c r="I12" s="34">
        <v>64.63</v>
      </c>
      <c r="J12" s="81">
        <f>G12*I12</f>
        <v>4414.2768181197116</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475.62358557604261</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5</v>
      </c>
      <c r="D16" s="76">
        <v>1.5</v>
      </c>
      <c r="E16" s="76">
        <v>1.5</v>
      </c>
      <c r="F16" s="78">
        <v>0.15</v>
      </c>
      <c r="G16" s="79">
        <f>C16*(PI())*(D16*E16/4)*F16</f>
        <v>1.3253594007331939</v>
      </c>
      <c r="H16" s="80"/>
      <c r="I16" s="80"/>
      <c r="J16" s="80"/>
      <c r="K16" s="32"/>
      <c r="M16" s="36"/>
      <c r="N16" s="1"/>
      <c r="O16" s="1"/>
      <c r="P16" s="1"/>
      <c r="Q16" s="1"/>
      <c r="R16" s="36"/>
      <c r="S16" s="36"/>
    </row>
    <row r="17" spans="1:19" ht="15" customHeight="1" x14ac:dyDescent="0.3">
      <c r="A17" s="80"/>
      <c r="B17" s="77" t="s">
        <v>51</v>
      </c>
      <c r="C17" s="82"/>
      <c r="D17" s="83"/>
      <c r="E17" s="83"/>
      <c r="F17" s="83"/>
      <c r="G17" s="53">
        <f>SUM(G16:G16)</f>
        <v>1.3253594007331939</v>
      </c>
      <c r="H17" s="53" t="s">
        <v>49</v>
      </c>
      <c r="I17" s="53">
        <v>4561.53</v>
      </c>
      <c r="J17" s="84">
        <f>G17*I17</f>
        <v>6045.6666672264855</v>
      </c>
      <c r="K17" s="76"/>
    </row>
    <row r="18" spans="1:19" x14ac:dyDescent="0.3">
      <c r="A18" s="80"/>
      <c r="B18" s="77" t="s">
        <v>44</v>
      </c>
      <c r="C18" s="82"/>
      <c r="D18" s="83"/>
      <c r="E18" s="83"/>
      <c r="F18" s="83"/>
      <c r="G18" s="83"/>
      <c r="H18" s="83"/>
      <c r="I18" s="83"/>
      <c r="J18" s="85">
        <f>0.13*G17*(15452.6/5)</f>
        <v>532.48646557001359</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5</v>
      </c>
      <c r="D21" s="76">
        <v>1.5</v>
      </c>
      <c r="E21" s="76">
        <v>1.5</v>
      </c>
      <c r="F21" s="86">
        <v>7.4999999999999997E-2</v>
      </c>
      <c r="G21" s="79">
        <f>C21*(PI())*(D21*E21/4)*F21</f>
        <v>0.66267970036659696</v>
      </c>
      <c r="H21" s="80"/>
      <c r="I21" s="80"/>
      <c r="J21" s="80"/>
      <c r="K21" s="32"/>
      <c r="M21" s="36"/>
      <c r="N21" s="1"/>
      <c r="O21" s="1"/>
      <c r="P21" s="1"/>
      <c r="Q21" s="1"/>
      <c r="R21" s="36"/>
      <c r="S21" s="36"/>
    </row>
    <row r="22" spans="1:19" ht="15" customHeight="1" x14ac:dyDescent="0.3">
      <c r="A22" s="80"/>
      <c r="B22" s="77" t="s">
        <v>51</v>
      </c>
      <c r="C22" s="82"/>
      <c r="D22" s="83"/>
      <c r="E22" s="83"/>
      <c r="F22" s="83"/>
      <c r="G22" s="53">
        <f>SUM(G21:G21)</f>
        <v>0.66267970036659696</v>
      </c>
      <c r="H22" s="53" t="s">
        <v>49</v>
      </c>
      <c r="I22" s="53">
        <v>10634.5</v>
      </c>
      <c r="J22" s="84">
        <f>G22*I22</f>
        <v>7047.2672735485758</v>
      </c>
      <c r="K22" s="76"/>
    </row>
    <row r="23" spans="1:19" ht="15" customHeight="1" x14ac:dyDescent="0.3">
      <c r="A23" s="80"/>
      <c r="B23" s="77" t="s">
        <v>44</v>
      </c>
      <c r="C23" s="82"/>
      <c r="D23" s="83"/>
      <c r="E23" s="83"/>
      <c r="F23" s="83"/>
      <c r="G23" s="83"/>
      <c r="H23" s="83"/>
      <c r="I23" s="83"/>
      <c r="J23" s="85">
        <f>0.13*G22*((114907.3+6135.3)/15)</f>
        <v>695.17477379648005</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5</v>
      </c>
      <c r="D26" s="99"/>
      <c r="E26" s="99"/>
      <c r="F26" s="99"/>
      <c r="G26" s="79">
        <f>PRODUCT(C26:F26)</f>
        <v>5</v>
      </c>
      <c r="H26" s="80"/>
      <c r="I26" s="80"/>
      <c r="J26" s="80"/>
      <c r="K26" s="32"/>
      <c r="M26" s="36"/>
      <c r="N26" s="1"/>
      <c r="O26" s="1"/>
      <c r="P26" s="1"/>
      <c r="Q26" s="1"/>
      <c r="R26" s="36"/>
      <c r="S26" s="36"/>
    </row>
    <row r="27" spans="1:19" ht="15" customHeight="1" x14ac:dyDescent="0.3">
      <c r="A27" s="80"/>
      <c r="B27" s="77" t="s">
        <v>51</v>
      </c>
      <c r="C27" s="82"/>
      <c r="D27" s="83"/>
      <c r="E27" s="83"/>
      <c r="F27" s="83"/>
      <c r="G27" s="53">
        <f>SUM(G26:G26)</f>
        <v>5</v>
      </c>
      <c r="H27" s="53" t="s">
        <v>83</v>
      </c>
      <c r="I27" s="53">
        <v>4487</v>
      </c>
      <c r="J27" s="84">
        <f>G27*I27</f>
        <v>22435</v>
      </c>
      <c r="K27" s="76"/>
    </row>
    <row r="28" spans="1:19" ht="15" customHeight="1" x14ac:dyDescent="0.3">
      <c r="A28" s="80"/>
      <c r="B28" s="77" t="s">
        <v>44</v>
      </c>
      <c r="C28" s="82"/>
      <c r="D28" s="83"/>
      <c r="E28" s="83"/>
      <c r="F28" s="83"/>
      <c r="G28" s="83"/>
      <c r="H28" s="83"/>
      <c r="I28" s="83"/>
      <c r="J28" s="85">
        <f>0.13*J27</f>
        <v>2916.55</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5</v>
      </c>
      <c r="D31" s="100">
        <f>((1.5-0.23)+((22/12/3.281)-0.23))/2</f>
        <v>0.79938636594534185</v>
      </c>
      <c r="E31" s="99">
        <v>0.23</v>
      </c>
      <c r="F31" s="99">
        <v>1.5</v>
      </c>
      <c r="G31" s="79">
        <f>C31*(PI())*(D31)*E31*F31</f>
        <v>4.3320724272431805</v>
      </c>
      <c r="H31" s="80"/>
      <c r="I31" s="80"/>
      <c r="J31" s="80"/>
      <c r="K31" s="32"/>
      <c r="M31" s="36"/>
      <c r="N31" s="1"/>
      <c r="O31" s="1"/>
      <c r="P31" s="1"/>
      <c r="Q31" s="1"/>
      <c r="R31" s="36"/>
      <c r="S31" s="36"/>
    </row>
    <row r="32" spans="1:19" ht="15" customHeight="1" x14ac:dyDescent="0.3">
      <c r="A32" s="29"/>
      <c r="B32" s="77" t="s">
        <v>71</v>
      </c>
      <c r="C32" s="99">
        <f>-2*5</f>
        <v>-10</v>
      </c>
      <c r="D32" s="99">
        <v>0.6</v>
      </c>
      <c r="E32" s="99">
        <v>0.23</v>
      </c>
      <c r="F32" s="99">
        <v>0.6</v>
      </c>
      <c r="G32" s="79">
        <f>C32*(PI())*(D32*F32/4)*E32</f>
        <v>-0.65030967929308725</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3.6817627479500934</v>
      </c>
      <c r="H33" s="53" t="s">
        <v>49</v>
      </c>
      <c r="I33" s="53">
        <v>14362.76</v>
      </c>
      <c r="J33" s="84">
        <f>G33*I33</f>
        <v>52880.274725747688</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4935.4994258110964</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(45+15)/2.5</f>
        <v>24</v>
      </c>
      <c r="D37" s="78">
        <v>2.5</v>
      </c>
      <c r="E37" s="78"/>
      <c r="F37" s="78"/>
      <c r="G37" s="79">
        <f>PRODUCT(C37:F37)</f>
        <v>60</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60</v>
      </c>
      <c r="H38" s="80" t="s">
        <v>45</v>
      </c>
      <c r="I38" s="80">
        <v>6932.79</v>
      </c>
      <c r="J38" s="80">
        <f>G38*I38</f>
        <v>415967.4</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49149.297599999998</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15" customHeight="1" x14ac:dyDescent="0.3">
      <c r="A41" s="29">
        <v>8</v>
      </c>
      <c r="B41" s="41" t="s">
        <v>33</v>
      </c>
      <c r="C41" s="30">
        <v>1</v>
      </c>
      <c r="D41" s="31"/>
      <c r="E41" s="32"/>
      <c r="F41" s="32"/>
      <c r="G41" s="59">
        <f t="shared" ref="G41" si="0">PRODUCT(C41:F41)</f>
        <v>1</v>
      </c>
      <c r="H41" s="33" t="s">
        <v>34</v>
      </c>
      <c r="I41" s="34">
        <v>500</v>
      </c>
      <c r="J41" s="59">
        <f>G41*I41</f>
        <v>500</v>
      </c>
      <c r="K41" s="32"/>
      <c r="M41" s="36"/>
      <c r="N41" s="1"/>
      <c r="O41" s="1"/>
      <c r="P41" s="1"/>
      <c r="Q41" s="1"/>
      <c r="R41" s="36"/>
      <c r="S41" s="36"/>
    </row>
    <row r="42" spans="1:19" ht="15" customHeight="1" x14ac:dyDescent="0.3">
      <c r="A42" s="29"/>
      <c r="B42" s="35"/>
      <c r="C42" s="30"/>
      <c r="D42" s="31"/>
      <c r="E42" s="32"/>
      <c r="F42" s="32"/>
      <c r="G42" s="34"/>
      <c r="H42" s="33"/>
      <c r="I42" s="34"/>
      <c r="J42" s="81"/>
      <c r="K42" s="32"/>
      <c r="M42" s="36"/>
      <c r="N42" s="1"/>
      <c r="O42" s="1"/>
      <c r="P42" s="1"/>
      <c r="Q42" s="1"/>
      <c r="R42" s="36"/>
      <c r="S42" s="36"/>
    </row>
    <row r="43" spans="1:19" x14ac:dyDescent="0.3">
      <c r="A43" s="80"/>
      <c r="B43" s="87" t="s">
        <v>17</v>
      </c>
      <c r="C43" s="88"/>
      <c r="D43" s="78"/>
      <c r="E43" s="78"/>
      <c r="F43" s="78"/>
      <c r="G43" s="81"/>
      <c r="H43" s="81"/>
      <c r="I43" s="81"/>
      <c r="J43" s="81">
        <f>SUM(J10:J41)</f>
        <v>567994.51733539614</v>
      </c>
      <c r="K43" s="76"/>
    </row>
    <row r="44" spans="1:19" x14ac:dyDescent="0.3">
      <c r="A44" s="89"/>
      <c r="B44" s="90"/>
      <c r="C44" s="90"/>
      <c r="D44" s="90"/>
      <c r="E44" s="90"/>
      <c r="F44" s="90"/>
      <c r="G44" s="89"/>
      <c r="H44" s="89"/>
      <c r="I44" s="89"/>
      <c r="J44" s="89"/>
      <c r="K44" s="90"/>
    </row>
    <row r="45" spans="1:19" s="1" customFormat="1" x14ac:dyDescent="0.3">
      <c r="A45" s="91"/>
      <c r="B45" s="40" t="s">
        <v>27</v>
      </c>
      <c r="C45" s="133">
        <f>J43</f>
        <v>567994.51733539614</v>
      </c>
      <c r="D45" s="133"/>
      <c r="E45" s="79">
        <v>100</v>
      </c>
      <c r="F45" s="92"/>
      <c r="G45" s="93"/>
      <c r="H45" s="92"/>
      <c r="I45" s="94"/>
      <c r="J45" s="95"/>
      <c r="K45" s="96"/>
    </row>
    <row r="46" spans="1:19" x14ac:dyDescent="0.3">
      <c r="A46" s="97"/>
      <c r="B46" s="40" t="s">
        <v>35</v>
      </c>
      <c r="C46" s="134">
        <v>500000</v>
      </c>
      <c r="D46" s="134"/>
      <c r="E46" s="79"/>
      <c r="F46" s="90"/>
      <c r="G46" s="89"/>
      <c r="H46" s="89"/>
      <c r="I46" s="89"/>
      <c r="J46" s="89"/>
      <c r="K46" s="90"/>
    </row>
    <row r="47" spans="1:19" x14ac:dyDescent="0.3">
      <c r="A47" s="97"/>
      <c r="B47" s="40" t="s">
        <v>36</v>
      </c>
      <c r="C47" s="134">
        <f>C46-C49-C50</f>
        <v>475000</v>
      </c>
      <c r="D47" s="134"/>
      <c r="E47" s="79">
        <f>C47/C45*100</f>
        <v>83.627567785045414</v>
      </c>
      <c r="F47" s="90"/>
      <c r="G47" s="89"/>
      <c r="H47" s="89"/>
      <c r="I47" s="89"/>
      <c r="J47" s="89"/>
      <c r="K47" s="90"/>
    </row>
    <row r="48" spans="1:19" x14ac:dyDescent="0.3">
      <c r="A48" s="97"/>
      <c r="B48" s="40" t="s">
        <v>37</v>
      </c>
      <c r="C48" s="133">
        <f>C45-C47</f>
        <v>92994.517335396144</v>
      </c>
      <c r="D48" s="133"/>
      <c r="E48" s="79">
        <f>100-E47</f>
        <v>16.372432214954586</v>
      </c>
      <c r="F48" s="90"/>
      <c r="G48" s="89"/>
      <c r="H48" s="89"/>
      <c r="I48" s="89"/>
      <c r="J48" s="89"/>
      <c r="K48" s="90"/>
    </row>
    <row r="49" spans="1:11" x14ac:dyDescent="0.3">
      <c r="A49" s="97"/>
      <c r="B49" s="40" t="s">
        <v>38</v>
      </c>
      <c r="C49" s="133">
        <f>C46*0.03</f>
        <v>15000</v>
      </c>
      <c r="D49" s="133"/>
      <c r="E49" s="79">
        <v>3</v>
      </c>
      <c r="F49" s="90"/>
      <c r="G49" s="89"/>
      <c r="H49" s="89"/>
      <c r="I49" s="89"/>
      <c r="J49" s="89"/>
      <c r="K49" s="90"/>
    </row>
    <row r="50" spans="1:11" x14ac:dyDescent="0.3">
      <c r="A50" s="97"/>
      <c r="B50" s="40" t="s">
        <v>39</v>
      </c>
      <c r="C50" s="133">
        <f>C46*0.02</f>
        <v>10000</v>
      </c>
      <c r="D50" s="133"/>
      <c r="E50" s="79">
        <v>2</v>
      </c>
      <c r="F50" s="90"/>
      <c r="G50" s="89"/>
      <c r="H50" s="89"/>
      <c r="I50" s="89"/>
      <c r="J50" s="89"/>
      <c r="K50" s="90"/>
    </row>
    <row r="51" spans="1:11" s="75" customFormat="1" x14ac:dyDescent="0.3">
      <c r="A51" s="98"/>
      <c r="B51" s="98"/>
      <c r="C51" s="98"/>
      <c r="D51" s="98"/>
      <c r="E51" s="98"/>
      <c r="F51" s="98"/>
      <c r="G51" s="98"/>
      <c r="H51" s="98"/>
      <c r="I51" s="98"/>
      <c r="J51" s="98"/>
      <c r="K51" s="98"/>
    </row>
    <row r="52" spans="1:11" s="75" customFormat="1" x14ac:dyDescent="0.3"/>
    <row r="53" spans="1:11" s="75" customFormat="1" x14ac:dyDescent="0.3"/>
    <row r="54" spans="1:11" s="75" customFormat="1" x14ac:dyDescent="0.3"/>
    <row r="55" spans="1:11" s="75" customFormat="1" x14ac:dyDescent="0.3"/>
    <row r="56" spans="1:11" s="75" customFormat="1" x14ac:dyDescent="0.3"/>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sheetData>
  <mergeCells count="15">
    <mergeCell ref="A7:F7"/>
    <mergeCell ref="H7:K7"/>
    <mergeCell ref="C50:D50"/>
    <mergeCell ref="A1:K1"/>
    <mergeCell ref="A2:K2"/>
    <mergeCell ref="A3:K3"/>
    <mergeCell ref="A4:K4"/>
    <mergeCell ref="A5:K5"/>
    <mergeCell ref="A6:F6"/>
    <mergeCell ref="H6:K6"/>
    <mergeCell ref="C45:D45"/>
    <mergeCell ref="C46:D46"/>
    <mergeCell ref="C47:D47"/>
    <mergeCell ref="C48:D48"/>
    <mergeCell ref="C49:D49"/>
  </mergeCells>
  <pageMargins left="0.7" right="0.7" top="0.75" bottom="0.75" header="0.3" footer="0.3"/>
  <pageSetup paperSize="9" scale="80"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opLeftCell="A40" workbookViewId="0">
      <selection activeCell="J49" sqref="J49"/>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84</v>
      </c>
      <c r="B6" s="116"/>
      <c r="C6" s="116"/>
      <c r="D6" s="116"/>
      <c r="E6" s="116"/>
      <c r="F6" s="116"/>
      <c r="G6" s="2"/>
      <c r="H6" s="117" t="s">
        <v>79</v>
      </c>
      <c r="I6" s="117"/>
      <c r="J6" s="117"/>
      <c r="K6" s="117"/>
    </row>
    <row r="7" spans="1:19" ht="15.6" x14ac:dyDescent="0.3">
      <c r="A7" s="131" t="s">
        <v>28</v>
      </c>
      <c r="B7" s="131"/>
      <c r="C7" s="131"/>
      <c r="D7" s="131"/>
      <c r="E7" s="131"/>
      <c r="F7" s="131"/>
      <c r="G7" s="3"/>
      <c r="H7" s="132" t="s">
        <v>80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20+24-4*1.2+20</f>
        <v>59.2</v>
      </c>
      <c r="E10" s="78">
        <v>0.75</v>
      </c>
      <c r="F10" s="78">
        <v>1.2</v>
      </c>
      <c r="G10" s="79">
        <f>PRODUCT(C10:F10)</f>
        <v>53.280000000000008</v>
      </c>
      <c r="H10" s="80"/>
      <c r="I10" s="80"/>
      <c r="J10" s="80"/>
      <c r="K10" s="32"/>
      <c r="M10" s="36"/>
      <c r="N10" s="1"/>
      <c r="O10" s="1"/>
      <c r="P10" s="1"/>
      <c r="Q10" s="1"/>
      <c r="R10" s="36"/>
      <c r="S10" s="36"/>
    </row>
    <row r="11" spans="1:19" ht="15" customHeight="1" x14ac:dyDescent="0.3">
      <c r="A11" s="29"/>
      <c r="B11" s="77" t="s">
        <v>53</v>
      </c>
      <c r="C11" s="76">
        <v>4</v>
      </c>
      <c r="D11" s="78">
        <v>1.5</v>
      </c>
      <c r="E11" s="78">
        <v>1.5</v>
      </c>
      <c r="F11" s="78">
        <f>1.5+0.2</f>
        <v>1.7</v>
      </c>
      <c r="G11" s="79">
        <f>C11*(PI())*(D11*E11/4)*F11</f>
        <v>12.016591899980959</v>
      </c>
      <c r="H11" s="80"/>
      <c r="I11" s="80"/>
      <c r="J11" s="80"/>
      <c r="K11" s="32"/>
      <c r="M11" s="36"/>
      <c r="N11" s="1"/>
      <c r="O11" s="1"/>
      <c r="P11" s="1"/>
      <c r="Q11" s="1"/>
      <c r="R11" s="36"/>
      <c r="S11" s="36"/>
    </row>
    <row r="12" spans="1:19" ht="15" customHeight="1" x14ac:dyDescent="0.3">
      <c r="A12" s="29"/>
      <c r="B12" s="77" t="s">
        <v>51</v>
      </c>
      <c r="C12" s="30"/>
      <c r="D12" s="31"/>
      <c r="E12" s="32"/>
      <c r="F12" s="32"/>
      <c r="G12" s="34">
        <f>SUM(G10:G11)</f>
        <v>65.296591899980967</v>
      </c>
      <c r="H12" s="33" t="s">
        <v>49</v>
      </c>
      <c r="I12" s="34">
        <v>64.63</v>
      </c>
      <c r="J12" s="81">
        <f>G12*I12</f>
        <v>4220.1187344957698</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454.70370046083417</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-Manhole</v>
      </c>
      <c r="C16" s="76">
        <f>C11</f>
        <v>4</v>
      </c>
      <c r="D16" s="76">
        <v>1.5</v>
      </c>
      <c r="E16" s="76">
        <v>1.5</v>
      </c>
      <c r="F16" s="78">
        <v>0.15</v>
      </c>
      <c r="G16" s="79">
        <f>C16*(PI())*(D16*E16/4)*F16</f>
        <v>1.0602875205865552</v>
      </c>
      <c r="H16" s="80"/>
      <c r="I16" s="80"/>
      <c r="J16" s="80"/>
      <c r="K16" s="32"/>
      <c r="M16" s="36"/>
      <c r="N16" s="1"/>
      <c r="O16" s="1"/>
      <c r="P16" s="1"/>
      <c r="Q16" s="1"/>
      <c r="R16" s="36"/>
      <c r="S16" s="36"/>
    </row>
    <row r="17" spans="1:19" ht="15" customHeight="1" x14ac:dyDescent="0.3">
      <c r="A17" s="80"/>
      <c r="B17" s="77" t="s">
        <v>51</v>
      </c>
      <c r="C17" s="82"/>
      <c r="D17" s="83"/>
      <c r="E17" s="83"/>
      <c r="F17" s="83"/>
      <c r="G17" s="53">
        <f>SUM(G16:G16)</f>
        <v>1.0602875205865552</v>
      </c>
      <c r="H17" s="53" t="s">
        <v>49</v>
      </c>
      <c r="I17" s="53">
        <v>4561.53</v>
      </c>
      <c r="J17" s="84">
        <f>G17*I17</f>
        <v>4836.533333781189</v>
      </c>
      <c r="K17" s="76"/>
    </row>
    <row r="18" spans="1:19" x14ac:dyDescent="0.3">
      <c r="A18" s="80"/>
      <c r="B18" s="77" t="s">
        <v>44</v>
      </c>
      <c r="C18" s="82"/>
      <c r="D18" s="83"/>
      <c r="E18" s="83"/>
      <c r="F18" s="83"/>
      <c r="G18" s="83"/>
      <c r="H18" s="83"/>
      <c r="I18" s="83"/>
      <c r="J18" s="85">
        <f>0.13*G17*(15452.6/5)</f>
        <v>425.98917245601086</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B16</f>
        <v>-Manhole</v>
      </c>
      <c r="C21" s="76">
        <v>4</v>
      </c>
      <c r="D21" s="76">
        <v>1.5</v>
      </c>
      <c r="E21" s="76">
        <v>1.5</v>
      </c>
      <c r="F21" s="86">
        <v>7.4999999999999997E-2</v>
      </c>
      <c r="G21" s="79">
        <f>C21*(PI())*(D21*E21/4)*F21</f>
        <v>0.53014376029327759</v>
      </c>
      <c r="H21" s="80"/>
      <c r="I21" s="80"/>
      <c r="J21" s="80"/>
      <c r="K21" s="32"/>
      <c r="M21" s="36"/>
      <c r="N21" s="1"/>
      <c r="O21" s="1"/>
      <c r="P21" s="1"/>
      <c r="Q21" s="1"/>
      <c r="R21" s="36"/>
      <c r="S21" s="36"/>
    </row>
    <row r="22" spans="1:19" ht="15" customHeight="1" x14ac:dyDescent="0.3">
      <c r="A22" s="80"/>
      <c r="B22" s="77" t="s">
        <v>51</v>
      </c>
      <c r="C22" s="82"/>
      <c r="D22" s="83"/>
      <c r="E22" s="83"/>
      <c r="F22" s="83"/>
      <c r="G22" s="53">
        <f>SUM(G21:G21)</f>
        <v>0.53014376029327759</v>
      </c>
      <c r="H22" s="53" t="s">
        <v>49</v>
      </c>
      <c r="I22" s="53">
        <v>10634.5</v>
      </c>
      <c r="J22" s="84">
        <f>G22*I22</f>
        <v>5637.8138188388602</v>
      </c>
      <c r="K22" s="76"/>
    </row>
    <row r="23" spans="1:19" ht="15" customHeight="1" x14ac:dyDescent="0.3">
      <c r="A23" s="80"/>
      <c r="B23" s="77" t="s">
        <v>44</v>
      </c>
      <c r="C23" s="82"/>
      <c r="D23" s="83"/>
      <c r="E23" s="83"/>
      <c r="F23" s="83"/>
      <c r="G23" s="83"/>
      <c r="H23" s="83"/>
      <c r="I23" s="83"/>
      <c r="J23" s="85">
        <f>0.13*G22*((114907.3+6135.3)/15)</f>
        <v>556.13981903718411</v>
      </c>
      <c r="K23" s="76"/>
    </row>
    <row r="24" spans="1:19" ht="15" customHeight="1" x14ac:dyDescent="0.3">
      <c r="A24" s="80"/>
      <c r="B24" s="77"/>
      <c r="C24" s="82"/>
      <c r="D24" s="83"/>
      <c r="E24" s="83"/>
      <c r="F24" s="83"/>
      <c r="G24" s="83"/>
      <c r="H24" s="83"/>
      <c r="I24" s="83"/>
      <c r="J24" s="85"/>
      <c r="K24" s="76"/>
    </row>
    <row r="25" spans="1:19" ht="19.8" x14ac:dyDescent="0.3">
      <c r="A25" s="29">
        <v>5</v>
      </c>
      <c r="B25" s="41" t="s">
        <v>81</v>
      </c>
      <c r="C25" s="30"/>
      <c r="D25" s="31"/>
      <c r="E25" s="32"/>
      <c r="F25" s="32"/>
      <c r="G25" s="34"/>
      <c r="H25" s="33"/>
      <c r="I25" s="34"/>
      <c r="J25" s="81"/>
      <c r="K25" s="32"/>
      <c r="M25" s="36"/>
      <c r="N25" s="1"/>
      <c r="O25" s="1"/>
      <c r="P25" s="1"/>
      <c r="Q25" s="1"/>
      <c r="R25" s="36"/>
      <c r="S25" s="36"/>
    </row>
    <row r="26" spans="1:19" ht="28.2" x14ac:dyDescent="0.3">
      <c r="A26" s="29"/>
      <c r="B26" s="77" t="s">
        <v>82</v>
      </c>
      <c r="C26" s="99">
        <v>4</v>
      </c>
      <c r="D26" s="99"/>
      <c r="E26" s="99"/>
      <c r="F26" s="99"/>
      <c r="G26" s="79">
        <f>PRODUCT(C26:F26)</f>
        <v>4</v>
      </c>
      <c r="H26" s="80"/>
      <c r="I26" s="80"/>
      <c r="J26" s="80"/>
      <c r="K26" s="32"/>
      <c r="M26" s="36"/>
      <c r="N26" s="1"/>
      <c r="O26" s="1"/>
      <c r="P26" s="1"/>
      <c r="Q26" s="1"/>
      <c r="R26" s="36"/>
      <c r="S26" s="36"/>
    </row>
    <row r="27" spans="1:19" ht="15" customHeight="1" x14ac:dyDescent="0.3">
      <c r="A27" s="80"/>
      <c r="B27" s="77" t="s">
        <v>51</v>
      </c>
      <c r="C27" s="82"/>
      <c r="D27" s="83"/>
      <c r="E27" s="83"/>
      <c r="F27" s="83"/>
      <c r="G27" s="53">
        <f>SUM(G26:G26)</f>
        <v>4</v>
      </c>
      <c r="H27" s="53" t="s">
        <v>83</v>
      </c>
      <c r="I27" s="53">
        <v>4487</v>
      </c>
      <c r="J27" s="84">
        <f>G27*I27</f>
        <v>17948</v>
      </c>
      <c r="K27" s="76"/>
    </row>
    <row r="28" spans="1:19" ht="15" customHeight="1" x14ac:dyDescent="0.3">
      <c r="A28" s="80"/>
      <c r="B28" s="77" t="s">
        <v>44</v>
      </c>
      <c r="C28" s="82"/>
      <c r="D28" s="83"/>
      <c r="E28" s="83"/>
      <c r="F28" s="83"/>
      <c r="G28" s="83"/>
      <c r="H28" s="83"/>
      <c r="I28" s="83"/>
      <c r="J28" s="85">
        <f>0.13*J27</f>
        <v>2333.2400000000002</v>
      </c>
      <c r="K28" s="76"/>
    </row>
    <row r="29" spans="1:19" ht="15" customHeight="1" x14ac:dyDescent="0.3">
      <c r="A29" s="80"/>
      <c r="B29" s="77"/>
      <c r="C29" s="82"/>
      <c r="D29" s="83"/>
      <c r="E29" s="83"/>
      <c r="F29" s="83"/>
      <c r="G29" s="83"/>
      <c r="H29" s="83"/>
      <c r="I29" s="83"/>
      <c r="J29" s="85"/>
      <c r="K29" s="76"/>
    </row>
    <row r="30" spans="1:19" ht="30.6" x14ac:dyDescent="0.3">
      <c r="A30" s="29">
        <v>6</v>
      </c>
      <c r="B30" s="74" t="s">
        <v>77</v>
      </c>
      <c r="C30" s="30"/>
      <c r="D30" s="31"/>
      <c r="E30" s="32"/>
      <c r="F30" s="32"/>
      <c r="G30" s="34"/>
      <c r="H30" s="33"/>
      <c r="I30" s="34"/>
      <c r="J30" s="81"/>
      <c r="K30" s="32"/>
      <c r="M30" s="36"/>
      <c r="N30" s="1"/>
      <c r="O30" s="1"/>
      <c r="P30" s="1"/>
      <c r="Q30" s="1"/>
      <c r="R30" s="36"/>
      <c r="S30" s="36"/>
    </row>
    <row r="31" spans="1:19" ht="15" customHeight="1" x14ac:dyDescent="0.3">
      <c r="A31" s="29"/>
      <c r="B31" s="77" t="str">
        <f>B26</f>
        <v>-Rounded manhole cover medium duty 450mm (22")</v>
      </c>
      <c r="C31" s="99">
        <v>4</v>
      </c>
      <c r="D31" s="100">
        <f>((1.5-0.23)+((22/12/3.281)-0.23))/2</f>
        <v>0.79938636594534185</v>
      </c>
      <c r="E31" s="99">
        <v>0.23</v>
      </c>
      <c r="F31" s="99">
        <v>1.5</v>
      </c>
      <c r="G31" s="79">
        <f>C31*(PI())*(D31)*E31*F31</f>
        <v>3.4656579417945448</v>
      </c>
      <c r="H31" s="80"/>
      <c r="I31" s="80"/>
      <c r="J31" s="80"/>
      <c r="K31" s="32"/>
      <c r="M31" s="36"/>
      <c r="N31" s="1"/>
      <c r="O31" s="1"/>
      <c r="P31" s="1"/>
      <c r="Q31" s="1"/>
      <c r="R31" s="36"/>
      <c r="S31" s="36"/>
    </row>
    <row r="32" spans="1:19" ht="15" customHeight="1" x14ac:dyDescent="0.3">
      <c r="A32" s="29"/>
      <c r="B32" s="77" t="s">
        <v>71</v>
      </c>
      <c r="C32" s="99">
        <f>-2*4</f>
        <v>-8</v>
      </c>
      <c r="D32" s="99">
        <v>0.6</v>
      </c>
      <c r="E32" s="99">
        <v>0.23</v>
      </c>
      <c r="F32" s="99">
        <v>0.6</v>
      </c>
      <c r="G32" s="79">
        <f>C32*(PI())*(D32*F32/4)*E32</f>
        <v>-0.52024774343446978</v>
      </c>
      <c r="H32" s="80"/>
      <c r="I32" s="80"/>
      <c r="J32" s="80"/>
      <c r="K32" s="32"/>
      <c r="M32" s="36"/>
      <c r="N32" s="1">
        <f>(1.5-0.23+0.6-0.23)/2</f>
        <v>0.82000000000000006</v>
      </c>
      <c r="O32" s="1">
        <f>22/12/3.281</f>
        <v>0.55877273189068366</v>
      </c>
      <c r="P32" s="1"/>
      <c r="Q32" s="1"/>
      <c r="R32" s="36"/>
      <c r="S32" s="36"/>
    </row>
    <row r="33" spans="1:19" ht="15" customHeight="1" x14ac:dyDescent="0.3">
      <c r="A33" s="80"/>
      <c r="B33" s="77" t="s">
        <v>51</v>
      </c>
      <c r="C33" s="82"/>
      <c r="D33" s="83"/>
      <c r="E33" s="83"/>
      <c r="F33" s="83"/>
      <c r="G33" s="53">
        <f>SUM(G31:G32)</f>
        <v>2.9454101983600749</v>
      </c>
      <c r="H33" s="53" t="s">
        <v>49</v>
      </c>
      <c r="I33" s="53">
        <v>14362.76</v>
      </c>
      <c r="J33" s="84">
        <f>G33*I33</f>
        <v>42304.219780598149</v>
      </c>
      <c r="K33" s="76"/>
      <c r="N33">
        <f>1.667/3.281</f>
        <v>0.50807680585187442</v>
      </c>
      <c r="O33">
        <f>2.17/3.281</f>
        <v>0.66138372447424565</v>
      </c>
      <c r="P33">
        <f>(N33+O33)/2</f>
        <v>0.58473026516306004</v>
      </c>
    </row>
    <row r="34" spans="1:19" ht="15" customHeight="1" x14ac:dyDescent="0.3">
      <c r="A34" s="80"/>
      <c r="B34" s="77" t="s">
        <v>44</v>
      </c>
      <c r="C34" s="82"/>
      <c r="D34" s="83"/>
      <c r="E34" s="83"/>
      <c r="F34" s="83"/>
      <c r="G34" s="83"/>
      <c r="H34" s="83"/>
      <c r="I34" s="83"/>
      <c r="J34" s="85">
        <f>0.13*G33*10311.74</f>
        <v>3948.3995406488775</v>
      </c>
      <c r="K34" s="76"/>
    </row>
    <row r="35" spans="1:19" ht="15" customHeight="1" x14ac:dyDescent="0.3">
      <c r="A35" s="80"/>
      <c r="B35" s="77"/>
      <c r="C35" s="82"/>
      <c r="D35" s="83"/>
      <c r="E35" s="83"/>
      <c r="F35" s="83"/>
      <c r="G35" s="83"/>
      <c r="H35" s="83"/>
      <c r="I35" s="83"/>
      <c r="J35" s="85"/>
      <c r="K35" s="76"/>
    </row>
    <row r="36" spans="1:19" ht="82.8" x14ac:dyDescent="0.3">
      <c r="A36" s="29">
        <v>7</v>
      </c>
      <c r="B36" s="41" t="s">
        <v>72</v>
      </c>
      <c r="C36" s="76"/>
      <c r="D36" s="78"/>
      <c r="E36" s="78"/>
      <c r="F36" s="78"/>
      <c r="G36" s="81"/>
      <c r="H36" s="80"/>
      <c r="I36" s="80"/>
      <c r="J36" s="80"/>
      <c r="K36" s="32"/>
      <c r="M36" s="36"/>
      <c r="N36" s="1"/>
      <c r="O36" s="1"/>
      <c r="P36" s="1"/>
      <c r="Q36" s="1"/>
      <c r="R36" s="36"/>
      <c r="S36" s="36"/>
    </row>
    <row r="37" spans="1:19" ht="15" customHeight="1" x14ac:dyDescent="0.3">
      <c r="A37" s="29"/>
      <c r="B37" s="77" t="s">
        <v>69</v>
      </c>
      <c r="C37" s="76">
        <f>(45+10)/2.5</f>
        <v>22</v>
      </c>
      <c r="D37" s="78">
        <v>2.5</v>
      </c>
      <c r="E37" s="78"/>
      <c r="F37" s="78"/>
      <c r="G37" s="79">
        <f>PRODUCT(C37:F37)</f>
        <v>55</v>
      </c>
      <c r="H37" s="80"/>
      <c r="I37" s="80"/>
      <c r="J37" s="80"/>
      <c r="K37" s="32"/>
      <c r="M37" s="36"/>
      <c r="N37" s="1">
        <f>44/2.5</f>
        <v>17.600000000000001</v>
      </c>
      <c r="O37" s="1">
        <f>45/2.5</f>
        <v>18</v>
      </c>
      <c r="P37" s="1">
        <f>45+12.5</f>
        <v>57.5</v>
      </c>
      <c r="Q37" s="1"/>
      <c r="R37" s="36"/>
      <c r="S37" s="36"/>
    </row>
    <row r="38" spans="1:19" ht="15" customHeight="1" x14ac:dyDescent="0.3">
      <c r="A38" s="29"/>
      <c r="B38" s="77" t="s">
        <v>51</v>
      </c>
      <c r="C38" s="76"/>
      <c r="D38" s="78"/>
      <c r="E38" s="78"/>
      <c r="F38" s="78"/>
      <c r="G38" s="59">
        <f>SUM(G37:G37)</f>
        <v>55</v>
      </c>
      <c r="H38" s="80" t="s">
        <v>45</v>
      </c>
      <c r="I38" s="80">
        <v>6932.79</v>
      </c>
      <c r="J38" s="80">
        <f>G38*I38</f>
        <v>381303.45</v>
      </c>
      <c r="K38" s="32"/>
      <c r="M38" s="36"/>
      <c r="N38" s="1"/>
      <c r="O38" s="1"/>
      <c r="P38" s="1">
        <f>P37/2.5</f>
        <v>23</v>
      </c>
      <c r="Q38" s="1"/>
      <c r="R38" s="36"/>
      <c r="S38" s="36"/>
    </row>
    <row r="39" spans="1:19" ht="15" customHeight="1" x14ac:dyDescent="0.3">
      <c r="A39" s="29"/>
      <c r="B39" s="77" t="s">
        <v>44</v>
      </c>
      <c r="C39" s="76"/>
      <c r="D39" s="78"/>
      <c r="E39" s="78"/>
      <c r="F39" s="78"/>
      <c r="G39" s="81"/>
      <c r="H39" s="80"/>
      <c r="I39" s="80"/>
      <c r="J39" s="80">
        <f>0.13*G38*((78764.9)/12.5)</f>
        <v>45053.522799999999</v>
      </c>
      <c r="K39" s="32"/>
      <c r="M39" s="36"/>
      <c r="N39" s="1"/>
      <c r="O39" s="1"/>
      <c r="P39" s="1"/>
      <c r="Q39" s="1"/>
      <c r="R39" s="36"/>
      <c r="S39" s="36"/>
    </row>
    <row r="40" spans="1:19" ht="15" customHeight="1" x14ac:dyDescent="0.3">
      <c r="A40" s="29"/>
      <c r="B40" s="77"/>
      <c r="C40" s="76"/>
      <c r="D40" s="78"/>
      <c r="E40" s="78"/>
      <c r="F40" s="78"/>
      <c r="G40" s="81"/>
      <c r="H40" s="80"/>
      <c r="I40" s="80"/>
      <c r="J40" s="80"/>
      <c r="K40" s="32"/>
      <c r="M40" s="36"/>
      <c r="N40" s="1"/>
      <c r="O40" s="1"/>
      <c r="P40" s="1"/>
      <c r="Q40" s="1"/>
      <c r="R40" s="36"/>
      <c r="S40" s="36"/>
    </row>
    <row r="41" spans="1:19" ht="96.6" x14ac:dyDescent="0.3">
      <c r="A41" s="29">
        <v>8</v>
      </c>
      <c r="B41" s="41" t="s">
        <v>85</v>
      </c>
      <c r="C41" s="76"/>
      <c r="D41" s="78"/>
      <c r="E41" s="78"/>
      <c r="F41" s="78"/>
      <c r="G41" s="81"/>
      <c r="H41" s="80"/>
      <c r="I41" s="80"/>
      <c r="J41" s="80"/>
      <c r="K41" s="32"/>
      <c r="M41" s="36"/>
      <c r="N41" s="1"/>
      <c r="O41" s="1"/>
      <c r="P41" s="1"/>
      <c r="Q41" s="1"/>
      <c r="R41" s="36"/>
      <c r="S41" s="36"/>
    </row>
    <row r="42" spans="1:19" ht="15" customHeight="1" x14ac:dyDescent="0.3">
      <c r="A42" s="29"/>
      <c r="B42" s="77" t="s">
        <v>86</v>
      </c>
      <c r="C42" s="76">
        <v>1</v>
      </c>
      <c r="D42" s="78">
        <v>25</v>
      </c>
      <c r="E42" s="78">
        <v>4</v>
      </c>
      <c r="F42" s="78">
        <v>0.15</v>
      </c>
      <c r="G42" s="79">
        <f>PRODUCT(C42:F42)</f>
        <v>15</v>
      </c>
      <c r="H42" s="80"/>
      <c r="I42" s="80"/>
      <c r="J42" s="80"/>
      <c r="K42" s="32"/>
      <c r="M42" s="36"/>
      <c r="N42" s="1">
        <f>44/2.5</f>
        <v>17.600000000000001</v>
      </c>
      <c r="O42" s="1">
        <f>45/2.5</f>
        <v>18</v>
      </c>
      <c r="P42" s="1">
        <f>45+12.5</f>
        <v>57.5</v>
      </c>
      <c r="Q42" s="1"/>
      <c r="R42" s="36"/>
      <c r="S42" s="36"/>
    </row>
    <row r="43" spans="1:19" ht="15" customHeight="1" x14ac:dyDescent="0.3">
      <c r="A43" s="29"/>
      <c r="B43" s="77" t="s">
        <v>51</v>
      </c>
      <c r="C43" s="76"/>
      <c r="D43" s="78"/>
      <c r="E43" s="78"/>
      <c r="F43" s="78"/>
      <c r="G43" s="59">
        <f>SUM(G42:G42)</f>
        <v>15</v>
      </c>
      <c r="H43" s="80" t="s">
        <v>45</v>
      </c>
      <c r="I43" s="80">
        <v>2978.61</v>
      </c>
      <c r="J43" s="80">
        <f>G43*I43</f>
        <v>44679.15</v>
      </c>
      <c r="K43" s="32"/>
      <c r="M43" s="36"/>
      <c r="N43" s="1"/>
      <c r="O43" s="1"/>
      <c r="P43" s="1">
        <f>P42/2.5</f>
        <v>23</v>
      </c>
      <c r="Q43" s="1"/>
      <c r="R43" s="36"/>
      <c r="S43" s="36"/>
    </row>
    <row r="44" spans="1:19" ht="15" customHeight="1" x14ac:dyDescent="0.3">
      <c r="A44" s="29"/>
      <c r="B44" s="77" t="s">
        <v>44</v>
      </c>
      <c r="C44" s="76"/>
      <c r="D44" s="78"/>
      <c r="E44" s="78"/>
      <c r="F44" s="78"/>
      <c r="G44" s="81"/>
      <c r="H44" s="80"/>
      <c r="I44" s="80"/>
      <c r="J44" s="80">
        <f>0.13*G43*(831978.7/300)</f>
        <v>5407.8615499999996</v>
      </c>
      <c r="K44" s="32"/>
      <c r="M44" s="36"/>
      <c r="N44" s="1"/>
      <c r="O44" s="1"/>
      <c r="P44" s="1"/>
      <c r="Q44" s="1"/>
      <c r="R44" s="36"/>
      <c r="S44" s="36"/>
    </row>
    <row r="45" spans="1:19" ht="15" customHeight="1" x14ac:dyDescent="0.3">
      <c r="A45" s="29"/>
      <c r="B45" s="77"/>
      <c r="C45" s="76"/>
      <c r="D45" s="78"/>
      <c r="E45" s="78"/>
      <c r="F45" s="78"/>
      <c r="G45" s="81"/>
      <c r="H45" s="80"/>
      <c r="I45" s="80"/>
      <c r="J45" s="80"/>
      <c r="K45" s="32"/>
      <c r="M45" s="36"/>
      <c r="N45" s="1"/>
      <c r="O45" s="1"/>
      <c r="P45" s="1"/>
      <c r="Q45" s="1"/>
      <c r="R45" s="36"/>
      <c r="S45" s="36"/>
    </row>
    <row r="46" spans="1:19" ht="15" customHeight="1" x14ac:dyDescent="0.3">
      <c r="A46" s="29">
        <v>9</v>
      </c>
      <c r="B46" s="41" t="s">
        <v>33</v>
      </c>
      <c r="C46" s="30">
        <v>1</v>
      </c>
      <c r="D46" s="31"/>
      <c r="E46" s="32"/>
      <c r="F46" s="32"/>
      <c r="G46" s="59">
        <f t="shared" ref="G46" si="0">PRODUCT(C46:F46)</f>
        <v>1</v>
      </c>
      <c r="H46" s="33" t="s">
        <v>34</v>
      </c>
      <c r="I46" s="34">
        <v>500</v>
      </c>
      <c r="J46" s="59">
        <f>G46*I46</f>
        <v>500</v>
      </c>
      <c r="K46" s="32"/>
      <c r="M46" s="36"/>
      <c r="N46" s="1"/>
      <c r="O46" s="1"/>
      <c r="P46" s="1"/>
      <c r="Q46" s="1"/>
      <c r="R46" s="36"/>
      <c r="S46" s="36"/>
    </row>
    <row r="47" spans="1:19" ht="15" customHeight="1" x14ac:dyDescent="0.3">
      <c r="A47" s="29"/>
      <c r="B47" s="35"/>
      <c r="C47" s="30"/>
      <c r="D47" s="31"/>
      <c r="E47" s="32"/>
      <c r="F47" s="32"/>
      <c r="G47" s="34"/>
      <c r="H47" s="33"/>
      <c r="I47" s="34"/>
      <c r="J47" s="81"/>
      <c r="K47" s="32"/>
      <c r="M47" s="36"/>
      <c r="N47" s="1"/>
      <c r="O47" s="1"/>
      <c r="P47" s="1"/>
      <c r="Q47" s="1"/>
      <c r="R47" s="36"/>
      <c r="S47" s="36"/>
    </row>
    <row r="48" spans="1:19" x14ac:dyDescent="0.3">
      <c r="A48" s="80"/>
      <c r="B48" s="87" t="s">
        <v>17</v>
      </c>
      <c r="C48" s="88"/>
      <c r="D48" s="78"/>
      <c r="E48" s="78"/>
      <c r="F48" s="78"/>
      <c r="G48" s="81"/>
      <c r="H48" s="81"/>
      <c r="I48" s="81"/>
      <c r="J48" s="81">
        <f>SUM(J11:J46)</f>
        <v>559609.14225031692</v>
      </c>
      <c r="K48" s="76"/>
    </row>
    <row r="49" spans="1:11" x14ac:dyDescent="0.3">
      <c r="A49" s="89"/>
      <c r="B49" s="90"/>
      <c r="C49" s="90"/>
      <c r="D49" s="90"/>
      <c r="E49" s="90"/>
      <c r="F49" s="90"/>
      <c r="G49" s="89"/>
      <c r="H49" s="89"/>
      <c r="I49" s="89"/>
      <c r="J49" s="89"/>
      <c r="K49" s="90"/>
    </row>
    <row r="50" spans="1:11" s="1" customFormat="1" x14ac:dyDescent="0.3">
      <c r="A50" s="91"/>
      <c r="B50" s="40" t="s">
        <v>27</v>
      </c>
      <c r="C50" s="133">
        <f>J48</f>
        <v>559609.14225031692</v>
      </c>
      <c r="D50" s="133"/>
      <c r="E50" s="79">
        <v>100</v>
      </c>
      <c r="F50" s="92"/>
      <c r="G50" s="93"/>
      <c r="H50" s="92"/>
      <c r="I50" s="94"/>
      <c r="J50" s="95"/>
      <c r="K50" s="96"/>
    </row>
    <row r="51" spans="1:11" x14ac:dyDescent="0.3">
      <c r="A51" s="97"/>
      <c r="B51" s="40" t="s">
        <v>35</v>
      </c>
      <c r="C51" s="134">
        <v>500000</v>
      </c>
      <c r="D51" s="134"/>
      <c r="E51" s="79"/>
      <c r="F51" s="90"/>
      <c r="G51" s="89"/>
      <c r="H51" s="89"/>
      <c r="I51" s="89"/>
      <c r="J51" s="89"/>
      <c r="K51" s="90"/>
    </row>
    <row r="52" spans="1:11" x14ac:dyDescent="0.3">
      <c r="A52" s="97"/>
      <c r="B52" s="40" t="s">
        <v>36</v>
      </c>
      <c r="C52" s="134">
        <f>C51-C54-C55</f>
        <v>475000</v>
      </c>
      <c r="D52" s="134"/>
      <c r="E52" s="79">
        <f>C52/C50*100</f>
        <v>84.880671907881251</v>
      </c>
      <c r="F52" s="90"/>
      <c r="G52" s="89"/>
      <c r="H52" s="89"/>
      <c r="I52" s="89"/>
      <c r="J52" s="89"/>
      <c r="K52" s="90"/>
    </row>
    <row r="53" spans="1:11" x14ac:dyDescent="0.3">
      <c r="A53" s="97"/>
      <c r="B53" s="40" t="s">
        <v>37</v>
      </c>
      <c r="C53" s="133">
        <f>C50-C52</f>
        <v>84609.142250316916</v>
      </c>
      <c r="D53" s="133"/>
      <c r="E53" s="79">
        <f>100-E52</f>
        <v>15.119328092118749</v>
      </c>
      <c r="F53" s="90"/>
      <c r="G53" s="89"/>
      <c r="H53" s="89"/>
      <c r="I53" s="89"/>
      <c r="J53" s="89"/>
      <c r="K53" s="90"/>
    </row>
    <row r="54" spans="1:11" x14ac:dyDescent="0.3">
      <c r="A54" s="97"/>
      <c r="B54" s="40" t="s">
        <v>38</v>
      </c>
      <c r="C54" s="133">
        <f>C51*0.03</f>
        <v>15000</v>
      </c>
      <c r="D54" s="133"/>
      <c r="E54" s="79">
        <v>3</v>
      </c>
      <c r="F54" s="90"/>
      <c r="G54" s="89"/>
      <c r="H54" s="89"/>
      <c r="I54" s="89"/>
      <c r="J54" s="89"/>
      <c r="K54" s="90"/>
    </row>
    <row r="55" spans="1:11" x14ac:dyDescent="0.3">
      <c r="A55" s="97"/>
      <c r="B55" s="40" t="s">
        <v>39</v>
      </c>
      <c r="C55" s="133">
        <f>C51*0.02</f>
        <v>10000</v>
      </c>
      <c r="D55" s="133"/>
      <c r="E55" s="79">
        <v>2</v>
      </c>
      <c r="F55" s="90"/>
      <c r="G55" s="89"/>
      <c r="H55" s="89"/>
      <c r="I55" s="89"/>
      <c r="J55" s="89"/>
      <c r="K55" s="90"/>
    </row>
    <row r="56" spans="1:11" s="75" customFormat="1" x14ac:dyDescent="0.3">
      <c r="A56" s="98"/>
      <c r="B56" s="98"/>
      <c r="C56" s="98"/>
      <c r="D56" s="98"/>
      <c r="E56" s="98"/>
      <c r="F56" s="98"/>
      <c r="G56" s="98"/>
      <c r="H56" s="98"/>
      <c r="I56" s="98"/>
      <c r="J56" s="98"/>
      <c r="K56" s="98"/>
    </row>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sheetData>
  <mergeCells count="15">
    <mergeCell ref="C54:D54"/>
    <mergeCell ref="C55:D55"/>
    <mergeCell ref="A7:F7"/>
    <mergeCell ref="H7:K7"/>
    <mergeCell ref="C50:D50"/>
    <mergeCell ref="C51:D51"/>
    <mergeCell ref="C52:D52"/>
    <mergeCell ref="C53:D53"/>
    <mergeCell ref="A6:F6"/>
    <mergeCell ref="H6:K6"/>
    <mergeCell ref="A1:K1"/>
    <mergeCell ref="A2:K2"/>
    <mergeCell ref="A3:K3"/>
    <mergeCell ref="A4:K4"/>
    <mergeCell ref="A5:K5"/>
  </mergeCells>
  <pageMargins left="0.7" right="0.7" top="0.75" bottom="0.75" header="0.3" footer="0.3"/>
  <pageSetup paperSize="9" scale="80"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workbookViewId="0">
      <selection activeCell="I28" sqref="I28"/>
    </sheetView>
  </sheetViews>
  <sheetFormatPr defaultRowHeight="14.4" x14ac:dyDescent="0.3"/>
  <cols>
    <col min="1" max="1" width="5.33203125" bestFit="1"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10.88671875" bestFit="1"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84</v>
      </c>
      <c r="B6" s="116"/>
      <c r="C6" s="116"/>
      <c r="D6" s="116"/>
      <c r="E6" s="116"/>
      <c r="F6" s="116"/>
      <c r="G6" s="2"/>
      <c r="H6" s="117" t="s">
        <v>79</v>
      </c>
      <c r="I6" s="117"/>
      <c r="J6" s="117"/>
      <c r="K6" s="117"/>
    </row>
    <row r="7" spans="1:19" ht="15.6" x14ac:dyDescent="0.3">
      <c r="A7" s="131" t="s">
        <v>28</v>
      </c>
      <c r="B7" s="131"/>
      <c r="C7" s="131"/>
      <c r="D7" s="131"/>
      <c r="E7" s="131"/>
      <c r="F7" s="131"/>
      <c r="G7" s="3"/>
      <c r="H7" s="132" t="s">
        <v>80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row>
    <row r="9" spans="1:19" ht="124.2" x14ac:dyDescent="0.3">
      <c r="A9" s="40">
        <v>1</v>
      </c>
      <c r="B9" s="41" t="s">
        <v>78</v>
      </c>
      <c r="C9" s="76"/>
      <c r="D9" s="76"/>
      <c r="E9" s="76"/>
      <c r="F9" s="76"/>
      <c r="G9" s="76"/>
      <c r="H9" s="76"/>
      <c r="I9" s="76"/>
      <c r="J9" s="76"/>
      <c r="K9" s="76"/>
    </row>
    <row r="10" spans="1:19" ht="15" customHeight="1" x14ac:dyDescent="0.3">
      <c r="A10" s="29"/>
      <c r="B10" s="77" t="s">
        <v>67</v>
      </c>
      <c r="C10" s="76">
        <v>1</v>
      </c>
      <c r="D10" s="78">
        <f>30+2.5</f>
        <v>32.5</v>
      </c>
      <c r="E10" s="78">
        <v>0.75</v>
      </c>
      <c r="F10" s="78">
        <v>1.2</v>
      </c>
      <c r="G10" s="79">
        <f>PRODUCT(C10:F10)</f>
        <v>29.25</v>
      </c>
      <c r="H10" s="80"/>
      <c r="I10" s="80"/>
      <c r="J10" s="80"/>
      <c r="K10" s="32"/>
      <c r="M10" s="36"/>
      <c r="N10" s="101">
        <f>D10/2.5</f>
        <v>13</v>
      </c>
      <c r="O10" s="1"/>
      <c r="P10" s="1"/>
      <c r="Q10" s="1"/>
      <c r="R10" s="36"/>
      <c r="S10" s="36"/>
    </row>
    <row r="11" spans="1:19" ht="15" customHeight="1" x14ac:dyDescent="0.3">
      <c r="A11" s="29"/>
      <c r="B11" s="77"/>
      <c r="C11" s="76">
        <v>1</v>
      </c>
      <c r="D11" s="78">
        <f>25+8*2.5</f>
        <v>45</v>
      </c>
      <c r="E11" s="78">
        <v>0.6</v>
      </c>
      <c r="F11" s="78">
        <v>1.2</v>
      </c>
      <c r="G11" s="79">
        <f>PRODUCT(C11:F11)</f>
        <v>32.4</v>
      </c>
      <c r="H11" s="80"/>
      <c r="I11" s="80"/>
      <c r="J11" s="80"/>
      <c r="K11" s="32"/>
      <c r="M11" s="36"/>
      <c r="N11" s="101"/>
      <c r="O11" s="1"/>
      <c r="P11" s="1"/>
      <c r="Q11" s="1"/>
      <c r="R11" s="36"/>
      <c r="S11" s="36"/>
    </row>
    <row r="12" spans="1:19" ht="15" customHeight="1" x14ac:dyDescent="0.3">
      <c r="A12" s="29"/>
      <c r="B12" s="77" t="s">
        <v>53</v>
      </c>
      <c r="C12" s="76">
        <v>2</v>
      </c>
      <c r="D12" s="78">
        <v>1.5</v>
      </c>
      <c r="E12" s="78">
        <v>1.5</v>
      </c>
      <c r="F12" s="78">
        <f>1.5+0.2</f>
        <v>1.7</v>
      </c>
      <c r="G12" s="79">
        <f>C12*(PI())*(D12*E12/4)*F12</f>
        <v>6.0082959499904796</v>
      </c>
      <c r="H12" s="80"/>
      <c r="I12" s="80"/>
      <c r="J12" s="80"/>
      <c r="K12" s="32"/>
      <c r="M12" s="36"/>
      <c r="N12" s="1"/>
      <c r="O12" s="1"/>
      <c r="P12" s="1"/>
      <c r="Q12" s="1"/>
      <c r="R12" s="36"/>
      <c r="S12" s="36"/>
    </row>
    <row r="13" spans="1:19" ht="15" customHeight="1" x14ac:dyDescent="0.3">
      <c r="A13" s="29"/>
      <c r="B13" s="77" t="s">
        <v>51</v>
      </c>
      <c r="C13" s="30"/>
      <c r="D13" s="31"/>
      <c r="E13" s="32"/>
      <c r="F13" s="32"/>
      <c r="G13" s="34">
        <f>SUM(G10:G12)</f>
        <v>67.658295949990475</v>
      </c>
      <c r="H13" s="33" t="s">
        <v>49</v>
      </c>
      <c r="I13" s="34">
        <v>64.63</v>
      </c>
      <c r="J13" s="81">
        <f>G13*I13</f>
        <v>4372.755667247884</v>
      </c>
      <c r="K13" s="32"/>
      <c r="M13" s="36"/>
      <c r="N13" s="1"/>
      <c r="O13" s="1"/>
      <c r="P13" s="1"/>
      <c r="Q13" s="1"/>
      <c r="R13" s="36"/>
      <c r="S13" s="36"/>
    </row>
    <row r="14" spans="1:19" ht="15" customHeight="1" x14ac:dyDescent="0.3">
      <c r="A14" s="29"/>
      <c r="B14" s="77" t="s">
        <v>44</v>
      </c>
      <c r="C14" s="30"/>
      <c r="D14" s="31"/>
      <c r="E14" s="32"/>
      <c r="F14" s="32"/>
      <c r="G14" s="34"/>
      <c r="H14" s="33"/>
      <c r="I14" s="34"/>
      <c r="J14" s="81">
        <f>0.13*G13*19284/360</f>
        <v>471.14982023041705</v>
      </c>
      <c r="K14" s="32"/>
      <c r="M14" s="36"/>
      <c r="N14" s="1"/>
      <c r="O14" s="1"/>
      <c r="P14" s="1"/>
      <c r="Q14" s="1"/>
      <c r="R14" s="36"/>
      <c r="S14" s="36"/>
    </row>
    <row r="15" spans="1:19" ht="15" customHeight="1" x14ac:dyDescent="0.3">
      <c r="A15" s="29"/>
      <c r="B15" s="35"/>
      <c r="C15" s="30"/>
      <c r="D15" s="31"/>
      <c r="E15" s="32"/>
      <c r="F15" s="32"/>
      <c r="G15" s="34"/>
      <c r="H15" s="33"/>
      <c r="I15" s="34"/>
      <c r="J15" s="81"/>
      <c r="K15" s="32"/>
      <c r="M15" s="36"/>
      <c r="N15" s="1"/>
      <c r="O15" s="1"/>
      <c r="P15" s="1"/>
      <c r="Q15" s="1"/>
      <c r="R15" s="36"/>
      <c r="S15" s="36"/>
    </row>
    <row r="16" spans="1:19" ht="82.8" x14ac:dyDescent="0.3">
      <c r="A16" s="29">
        <v>2</v>
      </c>
      <c r="B16" s="41" t="s">
        <v>73</v>
      </c>
      <c r="C16" s="30"/>
      <c r="D16" s="31"/>
      <c r="E16" s="32"/>
      <c r="F16" s="32"/>
      <c r="G16" s="34"/>
      <c r="H16" s="33"/>
      <c r="I16" s="34"/>
      <c r="J16" s="81"/>
      <c r="K16" s="32"/>
      <c r="M16" s="36"/>
      <c r="N16" s="1"/>
      <c r="O16" s="1"/>
      <c r="P16" s="1"/>
      <c r="Q16" s="1"/>
      <c r="R16" s="36"/>
      <c r="S16" s="36"/>
    </row>
    <row r="17" spans="1:19" ht="15" customHeight="1" x14ac:dyDescent="0.3">
      <c r="A17" s="29"/>
      <c r="B17" s="77" t="str">
        <f>B12</f>
        <v>-Manhole</v>
      </c>
      <c r="C17" s="76">
        <f>C12</f>
        <v>2</v>
      </c>
      <c r="D17" s="78">
        <v>1.5</v>
      </c>
      <c r="E17" s="78">
        <v>1.5</v>
      </c>
      <c r="F17" s="78">
        <v>0.15</v>
      </c>
      <c r="G17" s="79">
        <f>C17*(PI())*(D17*E17/4)*F17</f>
        <v>0.53014376029327759</v>
      </c>
      <c r="H17" s="80"/>
      <c r="I17" s="80"/>
      <c r="J17" s="80"/>
      <c r="K17" s="32"/>
      <c r="M17" s="36"/>
      <c r="N17" s="1"/>
      <c r="O17" s="1"/>
      <c r="P17" s="1"/>
      <c r="Q17" s="1"/>
      <c r="R17" s="36"/>
      <c r="S17" s="36"/>
    </row>
    <row r="18" spans="1:19" ht="15" customHeight="1" x14ac:dyDescent="0.3">
      <c r="A18" s="80"/>
      <c r="B18" s="77" t="s">
        <v>51</v>
      </c>
      <c r="C18" s="82"/>
      <c r="D18" s="83"/>
      <c r="E18" s="83"/>
      <c r="F18" s="83"/>
      <c r="G18" s="53">
        <f>SUM(G17:G17)</f>
        <v>0.53014376029327759</v>
      </c>
      <c r="H18" s="53" t="s">
        <v>49</v>
      </c>
      <c r="I18" s="53">
        <v>4561.53</v>
      </c>
      <c r="J18" s="84">
        <f>G18*I18</f>
        <v>2418.2666668905945</v>
      </c>
      <c r="K18" s="76"/>
    </row>
    <row r="19" spans="1:19" x14ac:dyDescent="0.3">
      <c r="A19" s="80"/>
      <c r="B19" s="77" t="s">
        <v>44</v>
      </c>
      <c r="C19" s="82"/>
      <c r="D19" s="83"/>
      <c r="E19" s="83"/>
      <c r="F19" s="83"/>
      <c r="G19" s="83"/>
      <c r="H19" s="83"/>
      <c r="I19" s="83"/>
      <c r="J19" s="85">
        <f>0.13*G18*(15452.6/5)</f>
        <v>212.99458622800543</v>
      </c>
      <c r="K19" s="76"/>
    </row>
    <row r="20" spans="1:19" x14ac:dyDescent="0.3">
      <c r="A20" s="80"/>
      <c r="B20" s="77"/>
      <c r="C20" s="82"/>
      <c r="D20" s="83"/>
      <c r="E20" s="83"/>
      <c r="F20" s="83"/>
      <c r="G20" s="83"/>
      <c r="H20" s="83"/>
      <c r="I20" s="83"/>
      <c r="J20" s="85"/>
      <c r="K20" s="76"/>
    </row>
    <row r="21" spans="1:19" ht="69" x14ac:dyDescent="0.3">
      <c r="A21" s="29">
        <v>3</v>
      </c>
      <c r="B21" s="41" t="s">
        <v>56</v>
      </c>
      <c r="C21" s="30"/>
      <c r="D21" s="31"/>
      <c r="E21" s="32"/>
      <c r="F21" s="32"/>
      <c r="G21" s="34"/>
      <c r="H21" s="33"/>
      <c r="I21" s="34"/>
      <c r="J21" s="81"/>
      <c r="K21" s="32"/>
      <c r="M21" s="36"/>
      <c r="N21" s="1"/>
      <c r="O21" s="1"/>
      <c r="P21" s="1"/>
      <c r="Q21" s="1"/>
      <c r="R21" s="36"/>
      <c r="S21" s="36"/>
    </row>
    <row r="22" spans="1:19" ht="15" customHeight="1" x14ac:dyDescent="0.3">
      <c r="A22" s="29"/>
      <c r="B22" s="77" t="str">
        <f>B17</f>
        <v>-Manhole</v>
      </c>
      <c r="C22" s="76">
        <v>2</v>
      </c>
      <c r="D22" s="76">
        <v>1.5</v>
      </c>
      <c r="E22" s="76">
        <v>1.5</v>
      </c>
      <c r="F22" s="78">
        <v>7.4999999999999997E-2</v>
      </c>
      <c r="G22" s="79">
        <f>C22*(PI())*(D22*E22/4)*F22</f>
        <v>0.26507188014663879</v>
      </c>
      <c r="H22" s="80"/>
      <c r="I22" s="80"/>
      <c r="J22" s="80"/>
      <c r="K22" s="32"/>
      <c r="M22" s="36"/>
      <c r="N22" s="1"/>
      <c r="O22" s="1"/>
      <c r="P22" s="1"/>
      <c r="Q22" s="1"/>
      <c r="R22" s="36"/>
      <c r="S22" s="36"/>
    </row>
    <row r="23" spans="1:19" ht="15" customHeight="1" x14ac:dyDescent="0.3">
      <c r="A23" s="80"/>
      <c r="B23" s="77" t="s">
        <v>51</v>
      </c>
      <c r="C23" s="82"/>
      <c r="D23" s="83"/>
      <c r="E23" s="83"/>
      <c r="F23" s="83"/>
      <c r="G23" s="53">
        <f>SUM(G22:G22)</f>
        <v>0.26507188014663879</v>
      </c>
      <c r="H23" s="53" t="s">
        <v>49</v>
      </c>
      <c r="I23" s="53">
        <v>10634.5</v>
      </c>
      <c r="J23" s="84">
        <f>G23*I23</f>
        <v>2818.9069094194301</v>
      </c>
      <c r="K23" s="76"/>
    </row>
    <row r="24" spans="1:19" ht="15" customHeight="1" x14ac:dyDescent="0.3">
      <c r="A24" s="80"/>
      <c r="B24" s="77" t="s">
        <v>44</v>
      </c>
      <c r="C24" s="82"/>
      <c r="D24" s="83"/>
      <c r="E24" s="83"/>
      <c r="F24" s="83"/>
      <c r="G24" s="83"/>
      <c r="H24" s="83"/>
      <c r="I24" s="83"/>
      <c r="J24" s="85">
        <f>0.13*G23*((114907.3+6135.3)/15)</f>
        <v>278.06990951859206</v>
      </c>
      <c r="K24" s="76"/>
    </row>
    <row r="25" spans="1:19" ht="15" customHeight="1" x14ac:dyDescent="0.3">
      <c r="A25" s="80"/>
      <c r="B25" s="77"/>
      <c r="C25" s="82"/>
      <c r="D25" s="83"/>
      <c r="E25" s="83"/>
      <c r="F25" s="83"/>
      <c r="G25" s="83"/>
      <c r="H25" s="83"/>
      <c r="I25" s="83"/>
      <c r="J25" s="85"/>
      <c r="K25" s="76"/>
    </row>
    <row r="26" spans="1:19" ht="19.8" x14ac:dyDescent="0.3">
      <c r="A26" s="29">
        <v>5</v>
      </c>
      <c r="B26" s="41" t="s">
        <v>81</v>
      </c>
      <c r="C26" s="30"/>
      <c r="D26" s="31"/>
      <c r="E26" s="32"/>
      <c r="F26" s="32"/>
      <c r="G26" s="34"/>
      <c r="H26" s="33"/>
      <c r="I26" s="34"/>
      <c r="J26" s="81"/>
      <c r="K26" s="32"/>
      <c r="M26" s="36"/>
      <c r="N26" s="1"/>
      <c r="O26" s="1"/>
      <c r="P26" s="1"/>
      <c r="Q26" s="1"/>
      <c r="R26" s="36"/>
      <c r="S26" s="36"/>
    </row>
    <row r="27" spans="1:19" ht="28.2" x14ac:dyDescent="0.3">
      <c r="A27" s="29"/>
      <c r="B27" s="77" t="s">
        <v>87</v>
      </c>
      <c r="C27" s="99">
        <v>2</v>
      </c>
      <c r="D27" s="99"/>
      <c r="E27" s="99"/>
      <c r="F27" s="99"/>
      <c r="G27" s="79">
        <f>PRODUCT(C27:F27)</f>
        <v>2</v>
      </c>
      <c r="H27" s="80"/>
      <c r="I27" s="80"/>
      <c r="J27" s="80"/>
      <c r="K27" s="32"/>
      <c r="M27" s="36"/>
      <c r="N27" s="1"/>
      <c r="O27" s="1"/>
      <c r="P27" s="1"/>
      <c r="Q27" s="1"/>
      <c r="R27" s="36"/>
      <c r="S27" s="36"/>
    </row>
    <row r="28" spans="1:19" ht="15" customHeight="1" x14ac:dyDescent="0.3">
      <c r="A28" s="80"/>
      <c r="B28" s="77" t="s">
        <v>51</v>
      </c>
      <c r="C28" s="82"/>
      <c r="D28" s="83"/>
      <c r="E28" s="83"/>
      <c r="F28" s="83"/>
      <c r="G28" s="53">
        <f>SUM(G27:G27)</f>
        <v>2</v>
      </c>
      <c r="H28" s="53" t="s">
        <v>83</v>
      </c>
      <c r="I28" s="53">
        <v>7063</v>
      </c>
      <c r="J28" s="84">
        <f>G28*I28</f>
        <v>14126</v>
      </c>
      <c r="K28" s="76"/>
    </row>
    <row r="29" spans="1:19" ht="15" customHeight="1" x14ac:dyDescent="0.3">
      <c r="A29" s="80"/>
      <c r="B29" s="77" t="s">
        <v>44</v>
      </c>
      <c r="C29" s="82"/>
      <c r="D29" s="83"/>
      <c r="E29" s="83"/>
      <c r="F29" s="83"/>
      <c r="G29" s="83"/>
      <c r="H29" s="83"/>
      <c r="I29" s="83"/>
      <c r="J29" s="85">
        <f>0.13*J28</f>
        <v>1836.38</v>
      </c>
      <c r="K29" s="76"/>
    </row>
    <row r="30" spans="1:19" ht="15" customHeight="1" x14ac:dyDescent="0.3">
      <c r="A30" s="80"/>
      <c r="B30" s="77"/>
      <c r="C30" s="82"/>
      <c r="D30" s="83"/>
      <c r="E30" s="83"/>
      <c r="F30" s="83"/>
      <c r="G30" s="83"/>
      <c r="H30" s="83"/>
      <c r="I30" s="83"/>
      <c r="J30" s="85"/>
      <c r="K30" s="76"/>
    </row>
    <row r="31" spans="1:19" ht="30.6" x14ac:dyDescent="0.3">
      <c r="A31" s="29">
        <v>6</v>
      </c>
      <c r="B31" s="74" t="s">
        <v>77</v>
      </c>
      <c r="C31" s="30"/>
      <c r="D31" s="31"/>
      <c r="E31" s="32"/>
      <c r="F31" s="32"/>
      <c r="G31" s="34"/>
      <c r="H31" s="33"/>
      <c r="I31" s="34"/>
      <c r="J31" s="81"/>
      <c r="K31" s="32"/>
      <c r="M31" s="36"/>
      <c r="N31" s="1"/>
      <c r="O31" s="1"/>
      <c r="P31" s="1"/>
      <c r="Q31" s="1"/>
      <c r="R31" s="36"/>
      <c r="S31" s="36"/>
    </row>
    <row r="32" spans="1:19" ht="15" customHeight="1" x14ac:dyDescent="0.3">
      <c r="A32" s="29"/>
      <c r="B32" s="77" t="str">
        <f>B27</f>
        <v>-Rounded manhole cover medium duty 500mm (24")</v>
      </c>
      <c r="C32" s="99">
        <v>2</v>
      </c>
      <c r="D32" s="100">
        <f>((1.5-0.23)+((24/12/3.281)-0.23))/2</f>
        <v>0.82478512648582747</v>
      </c>
      <c r="E32" s="99">
        <v>0.23</v>
      </c>
      <c r="F32" s="99">
        <v>1.5</v>
      </c>
      <c r="G32" s="79">
        <f>C32*(PI())*(D32)*E32*F32</f>
        <v>1.7878858369690229</v>
      </c>
      <c r="H32" s="80"/>
      <c r="I32" s="80"/>
      <c r="J32" s="80"/>
      <c r="K32" s="32"/>
      <c r="M32" s="36"/>
      <c r="N32" s="1"/>
      <c r="O32" s="1"/>
      <c r="P32" s="1"/>
      <c r="Q32" s="1"/>
      <c r="R32" s="36"/>
      <c r="S32" s="36"/>
    </row>
    <row r="33" spans="1:19" ht="15" customHeight="1" x14ac:dyDescent="0.3">
      <c r="A33" s="29"/>
      <c r="B33" s="77" t="s">
        <v>71</v>
      </c>
      <c r="C33" s="99">
        <f>-5</f>
        <v>-5</v>
      </c>
      <c r="D33" s="99">
        <v>0.6</v>
      </c>
      <c r="E33" s="99">
        <v>0.23</v>
      </c>
      <c r="F33" s="99">
        <v>0.6</v>
      </c>
      <c r="G33" s="79">
        <f>C33*(PI())*(D33*F33/4)*E33</f>
        <v>-0.32515483964654363</v>
      </c>
      <c r="H33" s="80"/>
      <c r="I33" s="80"/>
      <c r="J33" s="80"/>
      <c r="K33" s="32"/>
      <c r="M33" s="36"/>
      <c r="N33" s="1">
        <f>(1.5-0.23+0.6-0.23)/2</f>
        <v>0.82000000000000006</v>
      </c>
      <c r="O33" s="1">
        <f>22/12/3.281</f>
        <v>0.55877273189068366</v>
      </c>
      <c r="P33" s="1"/>
      <c r="Q33" s="1"/>
      <c r="R33" s="36"/>
      <c r="S33" s="36"/>
    </row>
    <row r="34" spans="1:19" ht="15" customHeight="1" x14ac:dyDescent="0.3">
      <c r="A34" s="80"/>
      <c r="B34" s="77" t="s">
        <v>51</v>
      </c>
      <c r="C34" s="82"/>
      <c r="D34" s="83"/>
      <c r="E34" s="83"/>
      <c r="F34" s="83"/>
      <c r="G34" s="53">
        <f>SUM(G32:G33)</f>
        <v>1.4627309973224794</v>
      </c>
      <c r="H34" s="53" t="s">
        <v>49</v>
      </c>
      <c r="I34" s="53">
        <v>14362.76</v>
      </c>
      <c r="J34" s="84">
        <f>G34*I34</f>
        <v>21008.854259103413</v>
      </c>
      <c r="K34" s="76"/>
      <c r="N34">
        <f>1.667/3.281</f>
        <v>0.50807680585187442</v>
      </c>
      <c r="O34">
        <f>2.17/3.281</f>
        <v>0.66138372447424565</v>
      </c>
      <c r="P34">
        <f>(N34+O34)/2</f>
        <v>0.58473026516306004</v>
      </c>
    </row>
    <row r="35" spans="1:19" ht="15" customHeight="1" x14ac:dyDescent="0.3">
      <c r="A35" s="80"/>
      <c r="B35" s="77" t="s">
        <v>44</v>
      </c>
      <c r="C35" s="82"/>
      <c r="D35" s="83"/>
      <c r="E35" s="83"/>
      <c r="F35" s="83"/>
      <c r="G35" s="83"/>
      <c r="H35" s="83"/>
      <c r="I35" s="83"/>
      <c r="J35" s="85">
        <f>0.13*G34*10311.74</f>
        <v>1960.8292254629134</v>
      </c>
      <c r="K35" s="76"/>
    </row>
    <row r="36" spans="1:19" ht="15" customHeight="1" x14ac:dyDescent="0.3">
      <c r="A36" s="80"/>
      <c r="B36" s="77"/>
      <c r="C36" s="82"/>
      <c r="D36" s="83"/>
      <c r="E36" s="83"/>
      <c r="F36" s="83"/>
      <c r="G36" s="83"/>
      <c r="H36" s="83"/>
      <c r="I36" s="83"/>
      <c r="J36" s="85"/>
      <c r="K36" s="76"/>
    </row>
    <row r="37" spans="1:19" ht="82.8" x14ac:dyDescent="0.3">
      <c r="A37" s="29">
        <v>7</v>
      </c>
      <c r="B37" s="41" t="s">
        <v>72</v>
      </c>
      <c r="C37" s="76"/>
      <c r="D37" s="78"/>
      <c r="E37" s="78"/>
      <c r="F37" s="78"/>
      <c r="G37" s="81"/>
      <c r="H37" s="80"/>
      <c r="I37" s="80"/>
      <c r="J37" s="80"/>
      <c r="K37" s="32"/>
      <c r="M37" s="36"/>
      <c r="N37" s="1"/>
      <c r="O37" s="1"/>
      <c r="P37" s="1"/>
      <c r="Q37" s="1"/>
      <c r="R37" s="36"/>
      <c r="S37" s="36"/>
    </row>
    <row r="38" spans="1:19" ht="15" customHeight="1" x14ac:dyDescent="0.3">
      <c r="A38" s="29"/>
      <c r="B38" s="77" t="s">
        <v>69</v>
      </c>
      <c r="C38" s="76">
        <f>D10/2.5</f>
        <v>13</v>
      </c>
      <c r="D38" s="78">
        <v>2.5</v>
      </c>
      <c r="E38" s="78"/>
      <c r="F38" s="78"/>
      <c r="G38" s="79">
        <f>PRODUCT(C38:F38)</f>
        <v>32.5</v>
      </c>
      <c r="H38" s="80"/>
      <c r="I38" s="80"/>
      <c r="J38" s="80"/>
      <c r="K38" s="32"/>
      <c r="M38" s="36"/>
      <c r="N38" s="1">
        <f>44/2.5</f>
        <v>17.600000000000001</v>
      </c>
      <c r="O38" s="1">
        <f>45/2.5</f>
        <v>18</v>
      </c>
      <c r="P38" s="1">
        <f>45+12.5</f>
        <v>57.5</v>
      </c>
      <c r="Q38" s="1"/>
      <c r="R38" s="36"/>
      <c r="S38" s="36"/>
    </row>
    <row r="39" spans="1:19" ht="15" customHeight="1" x14ac:dyDescent="0.3">
      <c r="A39" s="29"/>
      <c r="B39" s="77" t="s">
        <v>51</v>
      </c>
      <c r="C39" s="76"/>
      <c r="D39" s="78"/>
      <c r="E39" s="78"/>
      <c r="F39" s="78"/>
      <c r="G39" s="59">
        <f>SUM(G38:G38)</f>
        <v>32.5</v>
      </c>
      <c r="H39" s="80" t="s">
        <v>45</v>
      </c>
      <c r="I39" s="80">
        <v>6932.79</v>
      </c>
      <c r="J39" s="80">
        <f>G39*I39</f>
        <v>225315.67499999999</v>
      </c>
      <c r="K39" s="32"/>
      <c r="M39" s="36"/>
      <c r="N39" s="1"/>
      <c r="O39" s="1"/>
      <c r="P39" s="1">
        <f>P38/2.5</f>
        <v>23</v>
      </c>
      <c r="Q39" s="1"/>
      <c r="R39" s="36"/>
      <c r="S39" s="36"/>
    </row>
    <row r="40" spans="1:19" ht="15" customHeight="1" x14ac:dyDescent="0.3">
      <c r="A40" s="29"/>
      <c r="B40" s="77" t="s">
        <v>44</v>
      </c>
      <c r="C40" s="76"/>
      <c r="D40" s="78"/>
      <c r="E40" s="78"/>
      <c r="F40" s="78"/>
      <c r="G40" s="81"/>
      <c r="H40" s="80"/>
      <c r="I40" s="80"/>
      <c r="J40" s="80">
        <f>0.13*G39*((78764.9)/12.5)</f>
        <v>26622.536199999999</v>
      </c>
      <c r="K40" s="32"/>
      <c r="M40" s="36"/>
      <c r="N40" s="1"/>
      <c r="O40" s="1"/>
      <c r="P40" s="1"/>
      <c r="Q40" s="1"/>
      <c r="R40" s="36"/>
      <c r="S40" s="36"/>
    </row>
    <row r="41" spans="1:19" ht="15" customHeight="1" x14ac:dyDescent="0.3">
      <c r="A41" s="29"/>
      <c r="B41" s="77"/>
      <c r="C41" s="76"/>
      <c r="D41" s="78"/>
      <c r="E41" s="78"/>
      <c r="F41" s="78"/>
      <c r="G41" s="81"/>
      <c r="H41" s="80"/>
      <c r="I41" s="80"/>
      <c r="J41" s="80"/>
      <c r="K41" s="32"/>
      <c r="M41" s="36"/>
      <c r="N41" s="1"/>
      <c r="O41" s="1"/>
      <c r="P41" s="1"/>
      <c r="Q41" s="1"/>
      <c r="R41" s="36"/>
      <c r="S41" s="36"/>
    </row>
    <row r="42" spans="1:19" ht="82.8" x14ac:dyDescent="0.3">
      <c r="A42" s="29">
        <v>8</v>
      </c>
      <c r="B42" s="41" t="s">
        <v>88</v>
      </c>
      <c r="C42" s="76"/>
      <c r="D42" s="78"/>
      <c r="E42" s="78"/>
      <c r="F42" s="78"/>
      <c r="G42" s="81"/>
      <c r="H42" s="80"/>
      <c r="I42" s="80"/>
      <c r="J42" s="80"/>
      <c r="K42" s="32"/>
      <c r="M42" s="36"/>
      <c r="N42" s="1"/>
      <c r="O42" s="1"/>
      <c r="P42" s="1"/>
      <c r="Q42" s="1"/>
      <c r="R42" s="36"/>
      <c r="S42" s="36"/>
    </row>
    <row r="43" spans="1:19" ht="15" customHeight="1" x14ac:dyDescent="0.3">
      <c r="A43" s="29"/>
      <c r="B43" s="77" t="s">
        <v>70</v>
      </c>
      <c r="C43" s="76">
        <f>(25/2.5)+8</f>
        <v>18</v>
      </c>
      <c r="D43" s="78">
        <v>2.5</v>
      </c>
      <c r="E43" s="78"/>
      <c r="F43" s="78"/>
      <c r="G43" s="79">
        <f>PRODUCT(C43:F43)</f>
        <v>45</v>
      </c>
      <c r="H43" s="80"/>
      <c r="I43" s="80"/>
      <c r="J43" s="80"/>
      <c r="K43" s="32"/>
      <c r="M43" s="36"/>
      <c r="N43" s="1">
        <f>44/2.5</f>
        <v>17.600000000000001</v>
      </c>
      <c r="O43" s="1">
        <f>45/2.5</f>
        <v>18</v>
      </c>
      <c r="P43" s="1">
        <f>45+12.5</f>
        <v>57.5</v>
      </c>
      <c r="Q43" s="1"/>
      <c r="R43" s="36"/>
      <c r="S43" s="36"/>
    </row>
    <row r="44" spans="1:19" ht="15" customHeight="1" x14ac:dyDescent="0.3">
      <c r="A44" s="29"/>
      <c r="B44" s="77" t="s">
        <v>51</v>
      </c>
      <c r="C44" s="76"/>
      <c r="D44" s="78"/>
      <c r="E44" s="78"/>
      <c r="F44" s="78"/>
      <c r="G44" s="59">
        <f>SUM(G43:G43)</f>
        <v>45</v>
      </c>
      <c r="H44" s="80" t="s">
        <v>45</v>
      </c>
      <c r="I44" s="80">
        <v>5144.96</v>
      </c>
      <c r="J44" s="80">
        <f>G44*I44</f>
        <v>231523.20000000001</v>
      </c>
      <c r="K44" s="32"/>
      <c r="M44" s="36"/>
      <c r="N44" s="1"/>
      <c r="O44" s="1"/>
      <c r="P44" s="1">
        <f>P43/2.5</f>
        <v>23</v>
      </c>
      <c r="Q44" s="1"/>
      <c r="R44" s="36"/>
      <c r="S44" s="36"/>
    </row>
    <row r="45" spans="1:19" ht="15" customHeight="1" x14ac:dyDescent="0.3">
      <c r="A45" s="29"/>
      <c r="B45" s="77" t="s">
        <v>44</v>
      </c>
      <c r="C45" s="76"/>
      <c r="D45" s="78"/>
      <c r="E45" s="78"/>
      <c r="F45" s="78"/>
      <c r="G45" s="81"/>
      <c r="H45" s="80"/>
      <c r="I45" s="80"/>
      <c r="J45" s="80">
        <f>0.13*G44*((57364.6)/12.5)</f>
        <v>26846.632799999999</v>
      </c>
      <c r="K45" s="32"/>
      <c r="M45" s="36"/>
      <c r="N45" s="1"/>
      <c r="O45" s="1"/>
      <c r="P45" s="1"/>
      <c r="Q45" s="1"/>
      <c r="R45" s="36"/>
      <c r="S45" s="36"/>
    </row>
    <row r="46" spans="1:19" ht="15" customHeight="1" x14ac:dyDescent="0.3">
      <c r="A46" s="29"/>
      <c r="B46" s="77"/>
      <c r="C46" s="76"/>
      <c r="D46" s="78"/>
      <c r="E46" s="78"/>
      <c r="F46" s="78"/>
      <c r="G46" s="81"/>
      <c r="H46" s="80"/>
      <c r="I46" s="80"/>
      <c r="J46" s="80"/>
      <c r="K46" s="32"/>
      <c r="M46" s="36"/>
      <c r="N46" s="1"/>
      <c r="O46" s="1"/>
      <c r="P46" s="1"/>
      <c r="Q46" s="1"/>
      <c r="R46" s="36"/>
      <c r="S46" s="36"/>
    </row>
    <row r="47" spans="1:19" ht="15" customHeight="1" x14ac:dyDescent="0.3">
      <c r="A47" s="29">
        <v>9</v>
      </c>
      <c r="B47" s="41" t="s">
        <v>33</v>
      </c>
      <c r="C47" s="30">
        <v>1</v>
      </c>
      <c r="D47" s="31"/>
      <c r="E47" s="32"/>
      <c r="F47" s="32"/>
      <c r="G47" s="59">
        <f t="shared" ref="G47" si="0">PRODUCT(C47:F47)</f>
        <v>1</v>
      </c>
      <c r="H47" s="33" t="s">
        <v>34</v>
      </c>
      <c r="I47" s="34">
        <v>500</v>
      </c>
      <c r="J47" s="59">
        <f>G47*I47</f>
        <v>500</v>
      </c>
      <c r="K47" s="32"/>
      <c r="M47" s="36"/>
      <c r="N47" s="1"/>
      <c r="O47" s="1"/>
      <c r="P47" s="1"/>
      <c r="Q47" s="1"/>
      <c r="R47" s="36"/>
      <c r="S47" s="36"/>
    </row>
    <row r="48" spans="1:19" ht="15" customHeight="1" x14ac:dyDescent="0.3">
      <c r="A48" s="29"/>
      <c r="B48" s="35"/>
      <c r="C48" s="30"/>
      <c r="D48" s="31"/>
      <c r="E48" s="32"/>
      <c r="F48" s="32"/>
      <c r="G48" s="34"/>
      <c r="H48" s="33"/>
      <c r="I48" s="34"/>
      <c r="J48" s="81"/>
      <c r="K48" s="32"/>
      <c r="M48" s="36"/>
      <c r="N48" s="1"/>
      <c r="O48" s="1"/>
      <c r="P48" s="1"/>
      <c r="Q48" s="1"/>
      <c r="R48" s="36"/>
      <c r="S48" s="36"/>
    </row>
    <row r="49" spans="1:11" x14ac:dyDescent="0.3">
      <c r="A49" s="80"/>
      <c r="B49" s="87" t="s">
        <v>17</v>
      </c>
      <c r="C49" s="88"/>
      <c r="D49" s="78"/>
      <c r="E49" s="78"/>
      <c r="F49" s="78"/>
      <c r="G49" s="81"/>
      <c r="H49" s="81"/>
      <c r="I49" s="81"/>
      <c r="J49" s="81">
        <f>SUM(J10:J47)</f>
        <v>560312.25104410131</v>
      </c>
      <c r="K49" s="76"/>
    </row>
    <row r="50" spans="1:11" x14ac:dyDescent="0.3">
      <c r="A50" s="89"/>
      <c r="B50" s="90"/>
      <c r="C50" s="90"/>
      <c r="D50" s="90"/>
      <c r="E50" s="90"/>
      <c r="F50" s="90"/>
      <c r="G50" s="89"/>
      <c r="H50" s="89"/>
      <c r="I50" s="89"/>
      <c r="J50" s="89"/>
      <c r="K50" s="90"/>
    </row>
    <row r="51" spans="1:11" s="1" customFormat="1" x14ac:dyDescent="0.3">
      <c r="A51" s="91"/>
      <c r="B51" s="40" t="s">
        <v>27</v>
      </c>
      <c r="C51" s="133">
        <f>J49</f>
        <v>560312.25104410131</v>
      </c>
      <c r="D51" s="133"/>
      <c r="E51" s="79">
        <v>100</v>
      </c>
      <c r="F51" s="92"/>
      <c r="G51" s="93"/>
      <c r="H51" s="92"/>
      <c r="I51" s="94"/>
      <c r="J51" s="95"/>
      <c r="K51" s="96"/>
    </row>
    <row r="52" spans="1:11" x14ac:dyDescent="0.3">
      <c r="A52" s="97"/>
      <c r="B52" s="40" t="s">
        <v>35</v>
      </c>
      <c r="C52" s="134">
        <v>500000</v>
      </c>
      <c r="D52" s="134"/>
      <c r="E52" s="79"/>
      <c r="F52" s="90"/>
      <c r="G52" s="89"/>
      <c r="H52" s="89"/>
      <c r="I52" s="89"/>
      <c r="J52" s="89"/>
      <c r="K52" s="90"/>
    </row>
    <row r="53" spans="1:11" x14ac:dyDescent="0.3">
      <c r="A53" s="97"/>
      <c r="B53" s="40" t="s">
        <v>36</v>
      </c>
      <c r="C53" s="134">
        <f>C52-C55-C56</f>
        <v>475000</v>
      </c>
      <c r="D53" s="134"/>
      <c r="E53" s="79">
        <f>C53/C51*100</f>
        <v>84.774159250466482</v>
      </c>
      <c r="F53" s="90"/>
      <c r="G53" s="89"/>
      <c r="H53" s="89"/>
      <c r="I53" s="89"/>
      <c r="J53" s="89"/>
      <c r="K53" s="90"/>
    </row>
    <row r="54" spans="1:11" x14ac:dyDescent="0.3">
      <c r="A54" s="97"/>
      <c r="B54" s="40" t="s">
        <v>37</v>
      </c>
      <c r="C54" s="133">
        <f>C51-C53</f>
        <v>85312.251044101315</v>
      </c>
      <c r="D54" s="133"/>
      <c r="E54" s="79">
        <f>100-E53</f>
        <v>15.225840749533518</v>
      </c>
      <c r="F54" s="90"/>
      <c r="G54" s="89"/>
      <c r="H54" s="89"/>
      <c r="I54" s="89"/>
      <c r="J54" s="89"/>
      <c r="K54" s="90"/>
    </row>
    <row r="55" spans="1:11" x14ac:dyDescent="0.3">
      <c r="A55" s="97"/>
      <c r="B55" s="40" t="s">
        <v>38</v>
      </c>
      <c r="C55" s="133">
        <f>C52*0.03</f>
        <v>15000</v>
      </c>
      <c r="D55" s="133"/>
      <c r="E55" s="79">
        <v>3</v>
      </c>
      <c r="F55" s="90"/>
      <c r="G55" s="89"/>
      <c r="H55" s="89"/>
      <c r="I55" s="89"/>
      <c r="J55" s="89"/>
      <c r="K55" s="90"/>
    </row>
    <row r="56" spans="1:11" x14ac:dyDescent="0.3">
      <c r="A56" s="97"/>
      <c r="B56" s="40" t="s">
        <v>39</v>
      </c>
      <c r="C56" s="133">
        <f>C52*0.02</f>
        <v>10000</v>
      </c>
      <c r="D56" s="133"/>
      <c r="E56" s="79">
        <v>2</v>
      </c>
      <c r="F56" s="90"/>
      <c r="G56" s="89"/>
      <c r="H56" s="89"/>
      <c r="I56" s="89"/>
      <c r="J56" s="89"/>
      <c r="K56" s="90"/>
    </row>
    <row r="57" spans="1:11" s="75" customFormat="1" x14ac:dyDescent="0.3">
      <c r="A57" s="98"/>
      <c r="B57" s="98"/>
      <c r="C57" s="98"/>
      <c r="D57" s="98"/>
      <c r="E57" s="98"/>
      <c r="F57" s="98"/>
      <c r="G57" s="98"/>
      <c r="H57" s="98"/>
      <c r="I57" s="98"/>
      <c r="J57" s="98"/>
      <c r="K57" s="98"/>
    </row>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row r="106" s="75" customFormat="1" x14ac:dyDescent="0.3"/>
    <row r="107" s="75" customFormat="1" x14ac:dyDescent="0.3"/>
    <row r="108" s="75" customFormat="1" x14ac:dyDescent="0.3"/>
    <row r="109" s="75" customFormat="1" x14ac:dyDescent="0.3"/>
    <row r="110" s="75" customFormat="1" x14ac:dyDescent="0.3"/>
    <row r="111" s="75" customFormat="1" x14ac:dyDescent="0.3"/>
    <row r="112" s="75" customFormat="1" x14ac:dyDescent="0.3"/>
    <row r="113" s="75" customFormat="1" x14ac:dyDescent="0.3"/>
  </sheetData>
  <mergeCells count="15">
    <mergeCell ref="A6:F6"/>
    <mergeCell ref="H6:K6"/>
    <mergeCell ref="A1:K1"/>
    <mergeCell ref="A2:K2"/>
    <mergeCell ref="A3:K3"/>
    <mergeCell ref="A4:K4"/>
    <mergeCell ref="A5:K5"/>
    <mergeCell ref="C55:D55"/>
    <mergeCell ref="C56:D56"/>
    <mergeCell ref="A7:F7"/>
    <mergeCell ref="H7:K7"/>
    <mergeCell ref="C51:D51"/>
    <mergeCell ref="C52:D52"/>
    <mergeCell ref="C53:D53"/>
    <mergeCell ref="C54:D54"/>
  </mergeCells>
  <pageMargins left="0.7" right="0.7" top="0.75" bottom="0.75" header="0.3" footer="0.3"/>
  <pageSetup paperSize="9" scale="80"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5"/>
  <sheetViews>
    <sheetView tabSelected="1" topLeftCell="A19" zoomScaleNormal="100" workbookViewId="0">
      <selection activeCell="F20" sqref="F20"/>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9.44140625" customWidth="1"/>
    <col min="8" max="8" width="5" bestFit="1" customWidth="1"/>
    <col min="9" max="9" width="9.88671875" customWidth="1"/>
    <col min="10" max="10" width="10.6640625" bestFit="1" customWidth="1"/>
  </cols>
  <sheetData>
    <row r="1" spans="1:19" s="1" customFormat="1" x14ac:dyDescent="0.3">
      <c r="A1" s="112" t="s">
        <v>0</v>
      </c>
      <c r="B1" s="112"/>
      <c r="C1" s="112"/>
      <c r="D1" s="112"/>
      <c r="E1" s="112"/>
      <c r="F1" s="112"/>
      <c r="G1" s="112"/>
      <c r="H1" s="112"/>
      <c r="I1" s="112"/>
      <c r="J1" s="112"/>
      <c r="K1" s="112"/>
    </row>
    <row r="2" spans="1:19" s="1" customFormat="1" ht="22.8" x14ac:dyDescent="0.3">
      <c r="A2" s="113" t="s">
        <v>1</v>
      </c>
      <c r="B2" s="113"/>
      <c r="C2" s="113"/>
      <c r="D2" s="113"/>
      <c r="E2" s="113"/>
      <c r="F2" s="113"/>
      <c r="G2" s="113"/>
      <c r="H2" s="113"/>
      <c r="I2" s="113"/>
      <c r="J2" s="113"/>
      <c r="K2" s="113"/>
    </row>
    <row r="3" spans="1:19" s="1" customFormat="1" x14ac:dyDescent="0.3">
      <c r="A3" s="114" t="s">
        <v>2</v>
      </c>
      <c r="B3" s="114"/>
      <c r="C3" s="114"/>
      <c r="D3" s="114"/>
      <c r="E3" s="114"/>
      <c r="F3" s="114"/>
      <c r="G3" s="114"/>
      <c r="H3" s="114"/>
      <c r="I3" s="114"/>
      <c r="J3" s="114"/>
      <c r="K3" s="114"/>
    </row>
    <row r="4" spans="1:19" s="1" customFormat="1" x14ac:dyDescent="0.3">
      <c r="A4" s="114" t="s">
        <v>3</v>
      </c>
      <c r="B4" s="114"/>
      <c r="C4" s="114"/>
      <c r="D4" s="114"/>
      <c r="E4" s="114"/>
      <c r="F4" s="114"/>
      <c r="G4" s="114"/>
      <c r="H4" s="114"/>
      <c r="I4" s="114"/>
      <c r="J4" s="114"/>
      <c r="K4" s="114"/>
    </row>
    <row r="5" spans="1:19" ht="17.399999999999999" x14ac:dyDescent="0.3">
      <c r="A5" s="115" t="s">
        <v>4</v>
      </c>
      <c r="B5" s="115"/>
      <c r="C5" s="115"/>
      <c r="D5" s="115"/>
      <c r="E5" s="115"/>
      <c r="F5" s="115"/>
      <c r="G5" s="115"/>
      <c r="H5" s="115"/>
      <c r="I5" s="115"/>
      <c r="J5" s="115"/>
      <c r="K5" s="115"/>
    </row>
    <row r="6" spans="1:19" ht="15.6" x14ac:dyDescent="0.3">
      <c r="A6" s="116" t="s">
        <v>91</v>
      </c>
      <c r="B6" s="116"/>
      <c r="C6" s="116"/>
      <c r="D6" s="116"/>
      <c r="E6" s="116"/>
      <c r="F6" s="116"/>
      <c r="G6" s="2"/>
      <c r="H6" s="117" t="s">
        <v>79</v>
      </c>
      <c r="I6" s="117"/>
      <c r="J6" s="117"/>
      <c r="K6" s="117"/>
    </row>
    <row r="7" spans="1:19" ht="15.6" x14ac:dyDescent="0.3">
      <c r="A7" s="131" t="s">
        <v>28</v>
      </c>
      <c r="B7" s="131"/>
      <c r="C7" s="131"/>
      <c r="D7" s="131"/>
      <c r="E7" s="131"/>
      <c r="F7" s="131"/>
      <c r="G7" s="3"/>
      <c r="H7" s="132" t="s">
        <v>90</v>
      </c>
      <c r="I7" s="132"/>
      <c r="J7" s="132"/>
      <c r="K7" s="132"/>
    </row>
    <row r="8" spans="1:19" ht="15" customHeight="1" x14ac:dyDescent="0.3">
      <c r="A8" s="4" t="s">
        <v>5</v>
      </c>
      <c r="B8" s="25" t="s">
        <v>6</v>
      </c>
      <c r="C8" s="4" t="s">
        <v>7</v>
      </c>
      <c r="D8" s="26" t="s">
        <v>8</v>
      </c>
      <c r="E8" s="26" t="s">
        <v>9</v>
      </c>
      <c r="F8" s="26" t="s">
        <v>10</v>
      </c>
      <c r="G8" s="26" t="s">
        <v>11</v>
      </c>
      <c r="H8" s="4" t="s">
        <v>12</v>
      </c>
      <c r="I8" s="26" t="s">
        <v>13</v>
      </c>
      <c r="J8" s="26" t="s">
        <v>14</v>
      </c>
      <c r="K8" s="27" t="s">
        <v>15</v>
      </c>
      <c r="N8" t="s">
        <v>92</v>
      </c>
    </row>
    <row r="9" spans="1:19" ht="124.2" x14ac:dyDescent="0.3">
      <c r="A9" s="40">
        <v>1</v>
      </c>
      <c r="B9" s="41" t="s">
        <v>78</v>
      </c>
      <c r="C9" s="76"/>
      <c r="D9" s="76"/>
      <c r="E9" s="76"/>
      <c r="F9" s="76"/>
      <c r="G9" s="76"/>
      <c r="H9" s="76"/>
      <c r="I9" s="76"/>
      <c r="J9" s="76"/>
      <c r="K9" s="76"/>
      <c r="N9" t="s">
        <v>93</v>
      </c>
      <c r="O9" t="s">
        <v>94</v>
      </c>
    </row>
    <row r="10" spans="1:19" ht="15" customHeight="1" x14ac:dyDescent="0.3">
      <c r="A10" s="29"/>
      <c r="B10" s="77" t="s">
        <v>95</v>
      </c>
      <c r="C10" s="76">
        <v>2</v>
      </c>
      <c r="D10" s="78">
        <v>13</v>
      </c>
      <c r="E10" s="78">
        <v>0.45</v>
      </c>
      <c r="F10" s="78">
        <f>1.5</f>
        <v>1.5</v>
      </c>
      <c r="G10" s="79">
        <f>PRODUCT(C10:F10)</f>
        <v>17.55</v>
      </c>
      <c r="H10" s="80"/>
      <c r="I10" s="80"/>
      <c r="J10" s="80"/>
      <c r="K10" s="32"/>
      <c r="M10" s="36"/>
      <c r="N10" s="1"/>
      <c r="O10" s="1"/>
      <c r="P10" s="1"/>
      <c r="Q10" s="1"/>
      <c r="R10" s="36"/>
      <c r="S10" s="36"/>
    </row>
    <row r="11" spans="1:19" ht="15" customHeight="1" x14ac:dyDescent="0.3">
      <c r="A11" s="29"/>
      <c r="B11" s="77" t="s">
        <v>55</v>
      </c>
      <c r="C11" s="76">
        <v>1</v>
      </c>
      <c r="D11" s="78">
        <f>D10</f>
        <v>13</v>
      </c>
      <c r="E11" s="78">
        <v>4</v>
      </c>
      <c r="F11" s="78">
        <v>0.15</v>
      </c>
      <c r="G11" s="79">
        <f>PRODUCT(C11:F11)</f>
        <v>7.8</v>
      </c>
      <c r="H11" s="80"/>
      <c r="I11" s="80"/>
      <c r="J11" s="80"/>
      <c r="K11" s="32"/>
      <c r="M11" s="36"/>
      <c r="N11" s="1"/>
      <c r="O11" s="1"/>
      <c r="P11" s="1"/>
      <c r="Q11" s="1"/>
      <c r="R11" s="36"/>
      <c r="S11" s="36"/>
    </row>
    <row r="12" spans="1:19" ht="15" customHeight="1" x14ac:dyDescent="0.3">
      <c r="A12" s="29"/>
      <c r="B12" s="77" t="s">
        <v>51</v>
      </c>
      <c r="C12" s="30"/>
      <c r="D12" s="31"/>
      <c r="E12" s="32"/>
      <c r="F12" s="32"/>
      <c r="G12" s="34">
        <f>SUM(G10:G11)</f>
        <v>25.35</v>
      </c>
      <c r="H12" s="33" t="s">
        <v>49</v>
      </c>
      <c r="I12" s="34">
        <v>64.63</v>
      </c>
      <c r="J12" s="81">
        <f>G12*I12</f>
        <v>1638.3705</v>
      </c>
      <c r="K12" s="32"/>
      <c r="M12" s="36"/>
      <c r="N12" s="1"/>
      <c r="O12" s="1"/>
      <c r="P12" s="1"/>
      <c r="Q12" s="1"/>
      <c r="R12" s="36"/>
      <c r="S12" s="36"/>
    </row>
    <row r="13" spans="1:19" ht="15" customHeight="1" x14ac:dyDescent="0.3">
      <c r="A13" s="29"/>
      <c r="B13" s="77" t="s">
        <v>44</v>
      </c>
      <c r="C13" s="30"/>
      <c r="D13" s="31"/>
      <c r="E13" s="32"/>
      <c r="F13" s="32"/>
      <c r="G13" s="34"/>
      <c r="H13" s="33"/>
      <c r="I13" s="34"/>
      <c r="J13" s="81">
        <f>0.13*G12*19284/360</f>
        <v>176.52895000000001</v>
      </c>
      <c r="K13" s="32"/>
      <c r="M13" s="36"/>
      <c r="N13" s="1"/>
      <c r="O13" s="1"/>
      <c r="P13" s="1"/>
      <c r="Q13" s="1"/>
      <c r="R13" s="36"/>
      <c r="S13" s="36"/>
    </row>
    <row r="14" spans="1:19" ht="15" customHeight="1" x14ac:dyDescent="0.3">
      <c r="A14" s="29"/>
      <c r="B14" s="35"/>
      <c r="C14" s="30"/>
      <c r="D14" s="31"/>
      <c r="E14" s="32"/>
      <c r="F14" s="32"/>
      <c r="G14" s="34"/>
      <c r="H14" s="33"/>
      <c r="I14" s="34"/>
      <c r="J14" s="81"/>
      <c r="K14" s="32"/>
      <c r="M14" s="36"/>
      <c r="N14" s="1"/>
      <c r="O14" s="1"/>
      <c r="P14" s="1"/>
      <c r="Q14" s="1"/>
      <c r="R14" s="36"/>
      <c r="S14" s="36"/>
    </row>
    <row r="15" spans="1:19" ht="82.8" x14ac:dyDescent="0.3">
      <c r="A15" s="29">
        <v>2</v>
      </c>
      <c r="B15" s="41" t="s">
        <v>73</v>
      </c>
      <c r="C15" s="30"/>
      <c r="D15" s="31"/>
      <c r="E15" s="32"/>
      <c r="F15" s="32"/>
      <c r="G15" s="34"/>
      <c r="H15" s="33"/>
      <c r="I15" s="34"/>
      <c r="J15" s="81"/>
      <c r="K15" s="32"/>
      <c r="M15" s="36"/>
      <c r="N15" s="1"/>
      <c r="O15" s="1"/>
      <c r="P15" s="1"/>
      <c r="Q15" s="1"/>
      <c r="R15" s="36"/>
      <c r="S15" s="36"/>
    </row>
    <row r="16" spans="1:19" ht="15" customHeight="1" x14ac:dyDescent="0.3">
      <c r="A16" s="29"/>
      <c r="B16" s="77" t="str">
        <f>B11</f>
        <v>-Road</v>
      </c>
      <c r="C16" s="76">
        <f>C11</f>
        <v>1</v>
      </c>
      <c r="D16" s="78">
        <v>20</v>
      </c>
      <c r="E16" s="78">
        <f>E11</f>
        <v>4</v>
      </c>
      <c r="F16" s="78">
        <v>0.15</v>
      </c>
      <c r="G16" s="79">
        <f>PRODUCT(C16:F16)</f>
        <v>12</v>
      </c>
      <c r="H16" s="80"/>
      <c r="I16" s="80"/>
      <c r="J16" s="80"/>
      <c r="K16" s="32"/>
      <c r="M16" s="36"/>
      <c r="N16" s="1"/>
      <c r="O16" s="1"/>
      <c r="P16" s="1"/>
      <c r="Q16" s="1"/>
      <c r="R16" s="36"/>
      <c r="S16" s="36"/>
    </row>
    <row r="17" spans="1:19" ht="15" customHeight="1" x14ac:dyDescent="0.3">
      <c r="A17" s="80"/>
      <c r="B17" s="77" t="s">
        <v>51</v>
      </c>
      <c r="C17" s="82"/>
      <c r="D17" s="83"/>
      <c r="E17" s="83"/>
      <c r="F17" s="83"/>
      <c r="G17" s="53">
        <f>SUM(G16:G16)</f>
        <v>12</v>
      </c>
      <c r="H17" s="53" t="s">
        <v>49</v>
      </c>
      <c r="I17" s="53">
        <v>4561.53</v>
      </c>
      <c r="J17" s="84">
        <f>G17*I17</f>
        <v>54738.36</v>
      </c>
      <c r="K17" s="76"/>
    </row>
    <row r="18" spans="1:19" x14ac:dyDescent="0.3">
      <c r="A18" s="80"/>
      <c r="B18" s="77" t="s">
        <v>44</v>
      </c>
      <c r="C18" s="82"/>
      <c r="D18" s="83"/>
      <c r="E18" s="83"/>
      <c r="F18" s="83"/>
      <c r="G18" s="83"/>
      <c r="H18" s="83"/>
      <c r="I18" s="83"/>
      <c r="J18" s="85">
        <f>0.13*G17*(15452.6/5)</f>
        <v>4821.2111999999997</v>
      </c>
      <c r="K18" s="76"/>
    </row>
    <row r="19" spans="1:19" x14ac:dyDescent="0.3">
      <c r="A19" s="80"/>
      <c r="B19" s="77"/>
      <c r="C19" s="82"/>
      <c r="D19" s="83"/>
      <c r="E19" s="83"/>
      <c r="F19" s="83"/>
      <c r="G19" s="83"/>
      <c r="H19" s="83"/>
      <c r="I19" s="83"/>
      <c r="J19" s="85"/>
      <c r="K19" s="76"/>
    </row>
    <row r="20" spans="1:19" ht="69" x14ac:dyDescent="0.3">
      <c r="A20" s="29">
        <v>3</v>
      </c>
      <c r="B20" s="41" t="s">
        <v>56</v>
      </c>
      <c r="C20" s="30"/>
      <c r="D20" s="31"/>
      <c r="E20" s="32"/>
      <c r="F20" s="32"/>
      <c r="G20" s="34"/>
      <c r="H20" s="33"/>
      <c r="I20" s="34"/>
      <c r="J20" s="81"/>
      <c r="K20" s="32"/>
      <c r="M20" s="36"/>
      <c r="N20" s="1"/>
      <c r="O20" s="1"/>
      <c r="P20" s="1"/>
      <c r="Q20" s="1"/>
      <c r="R20" s="36"/>
      <c r="S20" s="36"/>
    </row>
    <row r="21" spans="1:19" ht="15" customHeight="1" x14ac:dyDescent="0.3">
      <c r="A21" s="29"/>
      <c r="B21" s="77" t="str">
        <f>B10</f>
        <v>-For wall</v>
      </c>
      <c r="C21" s="76">
        <f>C10</f>
        <v>2</v>
      </c>
      <c r="D21" s="78">
        <f>D10</f>
        <v>13</v>
      </c>
      <c r="E21" s="78">
        <f>E10</f>
        <v>0.45</v>
      </c>
      <c r="F21" s="78">
        <v>7.4999999999999997E-2</v>
      </c>
      <c r="G21" s="79">
        <f>PRODUCT(C21:F21)</f>
        <v>0.87750000000000006</v>
      </c>
      <c r="H21" s="80"/>
      <c r="I21" s="80"/>
      <c r="J21" s="80"/>
      <c r="K21" s="32"/>
      <c r="M21" s="36"/>
      <c r="N21" s="1"/>
      <c r="O21" s="1"/>
      <c r="P21" s="1"/>
      <c r="Q21" s="1"/>
      <c r="R21" s="36"/>
      <c r="S21" s="36"/>
    </row>
    <row r="22" spans="1:19" ht="15" customHeight="1" x14ac:dyDescent="0.3">
      <c r="A22" s="29"/>
      <c r="B22" s="77" t="str">
        <f>B16</f>
        <v>-Road</v>
      </c>
      <c r="C22" s="76">
        <f>C16</f>
        <v>1</v>
      </c>
      <c r="D22" s="78">
        <f>D16</f>
        <v>20</v>
      </c>
      <c r="E22" s="78">
        <f>E16</f>
        <v>4</v>
      </c>
      <c r="F22" s="78">
        <v>7.4999999999999997E-2</v>
      </c>
      <c r="G22" s="79">
        <f>PRODUCT(C22:F22)</f>
        <v>6</v>
      </c>
      <c r="H22" s="80"/>
      <c r="I22" s="80"/>
      <c r="J22" s="80"/>
      <c r="K22" s="32"/>
      <c r="M22" s="36"/>
      <c r="N22" s="1"/>
      <c r="O22" s="1"/>
      <c r="P22" s="1"/>
      <c r="Q22" s="1"/>
      <c r="R22" s="36"/>
      <c r="S22" s="36"/>
    </row>
    <row r="23" spans="1:19" ht="15" customHeight="1" x14ac:dyDescent="0.3">
      <c r="A23" s="80"/>
      <c r="B23" s="77" t="s">
        <v>51</v>
      </c>
      <c r="C23" s="82"/>
      <c r="D23" s="83"/>
      <c r="E23" s="83"/>
      <c r="F23" s="83"/>
      <c r="G23" s="53">
        <f>SUM(G21:G22)</f>
        <v>6.8775000000000004</v>
      </c>
      <c r="H23" s="53" t="s">
        <v>49</v>
      </c>
      <c r="I23" s="53">
        <v>10634.5</v>
      </c>
      <c r="J23" s="84">
        <f>G23*I23</f>
        <v>73138.773750000008</v>
      </c>
      <c r="K23" s="76"/>
    </row>
    <row r="24" spans="1:19" ht="15" customHeight="1" x14ac:dyDescent="0.3">
      <c r="A24" s="80"/>
      <c r="B24" s="77" t="s">
        <v>44</v>
      </c>
      <c r="C24" s="82"/>
      <c r="D24" s="83"/>
      <c r="E24" s="83"/>
      <c r="F24" s="83"/>
      <c r="G24" s="83"/>
      <c r="H24" s="83"/>
      <c r="I24" s="83"/>
      <c r="J24" s="85">
        <f>0.13*G23*((114907.3+6135.3)/15)</f>
        <v>7214.744173000001</v>
      </c>
      <c r="K24" s="76"/>
    </row>
    <row r="25" spans="1:19" ht="15" customHeight="1" x14ac:dyDescent="0.3">
      <c r="A25" s="80"/>
      <c r="B25" s="77"/>
      <c r="C25" s="82"/>
      <c r="D25" s="83"/>
      <c r="E25" s="83"/>
      <c r="F25" s="83"/>
      <c r="G25" s="83"/>
      <c r="H25" s="83"/>
      <c r="I25" s="83"/>
      <c r="J25" s="85"/>
      <c r="K25" s="76"/>
    </row>
    <row r="26" spans="1:19" s="1" customFormat="1" ht="69" x14ac:dyDescent="0.3">
      <c r="A26" s="135">
        <v>4</v>
      </c>
      <c r="B26" s="41" t="s">
        <v>59</v>
      </c>
      <c r="C26" s="136" t="s">
        <v>7</v>
      </c>
      <c r="D26" s="137" t="s">
        <v>75</v>
      </c>
      <c r="E26" s="137" t="s">
        <v>97</v>
      </c>
      <c r="F26" s="137" t="s">
        <v>98</v>
      </c>
      <c r="G26" s="79"/>
      <c r="H26" s="79"/>
      <c r="I26" s="79"/>
      <c r="J26" s="85"/>
      <c r="K26" s="40"/>
    </row>
    <row r="27" spans="1:19" ht="15" customHeight="1" x14ac:dyDescent="0.3">
      <c r="A27" s="80"/>
      <c r="B27" s="77" t="str">
        <f>B16</f>
        <v>-Road</v>
      </c>
      <c r="C27" s="82">
        <f>TRUNC(D28/0.15,0)</f>
        <v>132</v>
      </c>
      <c r="D27" s="83">
        <f>E16-0.1</f>
        <v>3.9</v>
      </c>
      <c r="E27" s="83">
        <f>8*8/162</f>
        <v>0.39506172839506171</v>
      </c>
      <c r="F27" s="83">
        <f>PRODUCT(C27:E27)</f>
        <v>203.37777777777774</v>
      </c>
      <c r="G27" s="83">
        <f>F27/1000</f>
        <v>0.20337777777777774</v>
      </c>
      <c r="H27" s="83"/>
      <c r="I27" s="83"/>
      <c r="J27" s="85"/>
      <c r="K27" s="76"/>
    </row>
    <row r="28" spans="1:19" x14ac:dyDescent="0.3">
      <c r="A28" s="5"/>
      <c r="B28" s="5"/>
      <c r="C28" s="82">
        <f>TRUNC(D27/0.15,0)</f>
        <v>26</v>
      </c>
      <c r="D28" s="8">
        <f>D16-0.1</f>
        <v>19.899999999999999</v>
      </c>
      <c r="E28" s="83">
        <f>8*8/162</f>
        <v>0.39506172839506171</v>
      </c>
      <c r="F28" s="83">
        <f>PRODUCT(C28:E28)</f>
        <v>204.40493827160492</v>
      </c>
      <c r="G28" s="83">
        <f>F28/1000</f>
        <v>0.20440493827160491</v>
      </c>
      <c r="H28" s="5"/>
      <c r="I28" s="5"/>
      <c r="J28" s="5"/>
      <c r="K28" s="5"/>
      <c r="M28" s="138"/>
      <c r="N28" s="138"/>
    </row>
    <row r="29" spans="1:19" ht="15" customHeight="1" x14ac:dyDescent="0.3">
      <c r="A29" s="80"/>
      <c r="B29" s="77" t="s">
        <v>51</v>
      </c>
      <c r="C29" s="82"/>
      <c r="D29" s="83"/>
      <c r="E29" s="83"/>
      <c r="F29" s="83"/>
      <c r="G29" s="53">
        <f>SUM(G27:G28)</f>
        <v>0.40778271604938265</v>
      </c>
      <c r="H29" s="53" t="s">
        <v>49</v>
      </c>
      <c r="I29" s="53">
        <v>124140</v>
      </c>
      <c r="J29" s="84">
        <f>G29*I29</f>
        <v>50622.146370370363</v>
      </c>
      <c r="K29" s="76"/>
    </row>
    <row r="30" spans="1:19" ht="15" customHeight="1" x14ac:dyDescent="0.3">
      <c r="A30" s="80"/>
      <c r="B30" s="77" t="s">
        <v>44</v>
      </c>
      <c r="C30" s="82"/>
      <c r="D30" s="83"/>
      <c r="E30" s="83"/>
      <c r="F30" s="83"/>
      <c r="G30" s="83"/>
      <c r="H30" s="83"/>
      <c r="I30" s="83"/>
      <c r="J30" s="85">
        <f>0.13*G29*110960</f>
        <v>5882.1841224691352</v>
      </c>
      <c r="K30" s="76"/>
    </row>
    <row r="31" spans="1:19" x14ac:dyDescent="0.3">
      <c r="A31" s="5"/>
      <c r="B31" s="5"/>
      <c r="C31" s="5"/>
      <c r="D31" s="5"/>
      <c r="E31" s="5"/>
      <c r="F31" s="5"/>
      <c r="G31" s="5"/>
      <c r="H31" s="5"/>
      <c r="I31" s="5"/>
      <c r="J31" s="5"/>
      <c r="K31" s="5"/>
    </row>
    <row r="32" spans="1:19" ht="69" x14ac:dyDescent="0.3">
      <c r="A32" s="80"/>
      <c r="B32" s="41" t="s">
        <v>74</v>
      </c>
      <c r="C32" s="82"/>
      <c r="D32" s="83"/>
      <c r="E32" s="83"/>
      <c r="F32" s="83"/>
      <c r="G32" s="83"/>
      <c r="H32" s="83"/>
      <c r="I32" s="83"/>
      <c r="J32" s="85"/>
      <c r="K32" s="76"/>
    </row>
    <row r="33" spans="1:19" x14ac:dyDescent="0.3">
      <c r="A33" s="80"/>
      <c r="B33" s="35" t="str">
        <f>B16</f>
        <v>-Road</v>
      </c>
      <c r="C33" s="82">
        <f>C16</f>
        <v>1</v>
      </c>
      <c r="D33" s="83">
        <f>D16</f>
        <v>20</v>
      </c>
      <c r="E33" s="83">
        <f>E16</f>
        <v>4</v>
      </c>
      <c r="F33" s="83">
        <v>0.15</v>
      </c>
      <c r="G33" s="79">
        <f>PRODUCT(C33:F33)</f>
        <v>12</v>
      </c>
      <c r="H33" s="83"/>
      <c r="I33" s="83"/>
      <c r="J33" s="85"/>
      <c r="K33" s="76"/>
    </row>
    <row r="34" spans="1:19" ht="15" customHeight="1" x14ac:dyDescent="0.3">
      <c r="A34" s="80"/>
      <c r="B34" s="77" t="s">
        <v>51</v>
      </c>
      <c r="C34" s="82"/>
      <c r="D34" s="83"/>
      <c r="E34" s="83"/>
      <c r="F34" s="83"/>
      <c r="G34" s="53">
        <f>SUM(G33:G33)</f>
        <v>12</v>
      </c>
      <c r="H34" s="53" t="s">
        <v>49</v>
      </c>
      <c r="I34" s="53">
        <v>11588.17</v>
      </c>
      <c r="J34" s="84">
        <f>G34*I34</f>
        <v>139058.04</v>
      </c>
      <c r="K34" s="76"/>
    </row>
    <row r="35" spans="1:19" ht="15" customHeight="1" x14ac:dyDescent="0.3">
      <c r="A35" s="80"/>
      <c r="B35" s="77" t="s">
        <v>44</v>
      </c>
      <c r="C35" s="82"/>
      <c r="D35" s="83"/>
      <c r="E35" s="83"/>
      <c r="F35" s="83"/>
      <c r="G35" s="83"/>
      <c r="H35" s="83"/>
      <c r="I35" s="83"/>
      <c r="J35" s="85">
        <f>0.13*G34*((128662.2+6685.5)/15)</f>
        <v>14076.160800000001</v>
      </c>
      <c r="K35" s="76"/>
    </row>
    <row r="36" spans="1:19" x14ac:dyDescent="0.3">
      <c r="A36" s="80"/>
      <c r="B36" s="41"/>
      <c r="C36" s="82"/>
      <c r="D36" s="83"/>
      <c r="E36" s="83"/>
      <c r="F36" s="83"/>
      <c r="G36" s="83"/>
      <c r="H36" s="83"/>
      <c r="I36" s="83"/>
      <c r="J36" s="85"/>
      <c r="K36" s="76"/>
    </row>
    <row r="37" spans="1:19" ht="19.8" x14ac:dyDescent="0.3">
      <c r="A37" s="29">
        <v>8</v>
      </c>
      <c r="B37" s="41" t="s">
        <v>96</v>
      </c>
      <c r="C37" s="30">
        <v>1</v>
      </c>
      <c r="D37" s="31"/>
      <c r="E37" s="32"/>
      <c r="F37" s="32"/>
      <c r="G37" s="59">
        <f>PRODUCT(C37:F37)</f>
        <v>1</v>
      </c>
      <c r="H37" s="33" t="s">
        <v>89</v>
      </c>
      <c r="I37" s="34">
        <v>5000</v>
      </c>
      <c r="J37" s="59">
        <f>G37*I37</f>
        <v>5000</v>
      </c>
      <c r="K37" s="32"/>
      <c r="M37" s="36"/>
      <c r="N37" s="1"/>
      <c r="O37" s="1"/>
      <c r="P37" s="1"/>
      <c r="Q37" s="1"/>
      <c r="R37" s="36"/>
      <c r="S37" s="36"/>
    </row>
    <row r="38" spans="1:19" ht="15" customHeight="1" x14ac:dyDescent="0.3">
      <c r="A38" s="29"/>
      <c r="B38" s="77"/>
      <c r="C38" s="76"/>
      <c r="D38" s="78"/>
      <c r="E38" s="78"/>
      <c r="F38" s="78"/>
      <c r="G38" s="81"/>
      <c r="H38" s="80"/>
      <c r="I38" s="80"/>
      <c r="J38" s="80"/>
      <c r="K38" s="32"/>
      <c r="M38" s="36"/>
      <c r="N38" s="1"/>
      <c r="O38" s="1"/>
      <c r="P38" s="1"/>
      <c r="Q38" s="1"/>
      <c r="R38" s="36"/>
      <c r="S38" s="36"/>
    </row>
    <row r="39" spans="1:19" ht="15" customHeight="1" x14ac:dyDescent="0.3">
      <c r="A39" s="29">
        <v>9</v>
      </c>
      <c r="B39" s="41" t="s">
        <v>33</v>
      </c>
      <c r="C39" s="30">
        <v>1</v>
      </c>
      <c r="D39" s="31"/>
      <c r="E39" s="32"/>
      <c r="F39" s="32"/>
      <c r="G39" s="59">
        <f t="shared" ref="G39" si="0">PRODUCT(C39:F39)</f>
        <v>1</v>
      </c>
      <c r="H39" s="33" t="s">
        <v>34</v>
      </c>
      <c r="I39" s="34">
        <v>1000</v>
      </c>
      <c r="J39" s="59">
        <f>G39*I39</f>
        <v>1000</v>
      </c>
      <c r="K39" s="32"/>
      <c r="M39" s="36"/>
      <c r="N39" s="1"/>
      <c r="O39" s="1"/>
      <c r="P39" s="1"/>
      <c r="Q39" s="1"/>
      <c r="R39" s="36"/>
      <c r="S39" s="36"/>
    </row>
    <row r="40" spans="1:19" ht="15" customHeight="1" x14ac:dyDescent="0.3">
      <c r="A40" s="29"/>
      <c r="B40" s="35"/>
      <c r="C40" s="30"/>
      <c r="D40" s="31"/>
      <c r="E40" s="32"/>
      <c r="F40" s="32"/>
      <c r="G40" s="34"/>
      <c r="H40" s="33"/>
      <c r="I40" s="34"/>
      <c r="J40" s="81"/>
      <c r="K40" s="32"/>
      <c r="M40" s="36"/>
      <c r="N40" s="1"/>
      <c r="O40" s="1"/>
      <c r="P40" s="1"/>
      <c r="Q40" s="1"/>
      <c r="R40" s="36"/>
      <c r="S40" s="36"/>
    </row>
    <row r="41" spans="1:19" x14ac:dyDescent="0.3">
      <c r="A41" s="80"/>
      <c r="B41" s="87" t="s">
        <v>17</v>
      </c>
      <c r="C41" s="88"/>
      <c r="D41" s="78"/>
      <c r="E41" s="78"/>
      <c r="F41" s="78"/>
      <c r="G41" s="81"/>
      <c r="H41" s="81"/>
      <c r="I41" s="81"/>
      <c r="J41" s="81">
        <f>SUM(J10:J39)</f>
        <v>357366.51986583951</v>
      </c>
      <c r="K41" s="76"/>
    </row>
    <row r="42" spans="1:19" x14ac:dyDescent="0.3">
      <c r="A42" s="102"/>
      <c r="B42" s="105"/>
      <c r="C42" s="106"/>
      <c r="D42" s="103"/>
      <c r="E42" s="103"/>
      <c r="F42" s="103"/>
      <c r="G42" s="104"/>
      <c r="H42" s="104"/>
      <c r="I42" s="104"/>
      <c r="J42" s="104"/>
      <c r="K42" s="98"/>
    </row>
    <row r="43" spans="1:19" s="1" customFormat="1" x14ac:dyDescent="0.3">
      <c r="A43" s="91"/>
      <c r="B43" s="40" t="s">
        <v>27</v>
      </c>
      <c r="C43" s="133">
        <f>J41</f>
        <v>357366.51986583951</v>
      </c>
      <c r="D43" s="133"/>
      <c r="E43" s="79">
        <v>100</v>
      </c>
      <c r="F43" s="92"/>
      <c r="G43" s="93"/>
      <c r="H43" s="92"/>
      <c r="I43" s="94"/>
      <c r="J43" s="95"/>
      <c r="K43" s="96"/>
    </row>
    <row r="44" spans="1:19" x14ac:dyDescent="0.3">
      <c r="A44" s="97"/>
      <c r="B44" s="40" t="s">
        <v>35</v>
      </c>
      <c r="C44" s="134">
        <v>300000</v>
      </c>
      <c r="D44" s="134"/>
      <c r="E44" s="79"/>
      <c r="F44" s="90"/>
      <c r="G44" s="89"/>
      <c r="H44" s="89"/>
      <c r="I44" s="89"/>
      <c r="J44" s="89"/>
      <c r="K44" s="90"/>
    </row>
    <row r="45" spans="1:19" x14ac:dyDescent="0.3">
      <c r="A45" s="97"/>
      <c r="B45" s="40" t="s">
        <v>36</v>
      </c>
      <c r="C45" s="134">
        <f>C44-C47-C48</f>
        <v>285000</v>
      </c>
      <c r="D45" s="134"/>
      <c r="E45" s="79">
        <f>C45/C43*100</f>
        <v>79.750056078838355</v>
      </c>
      <c r="F45" s="90"/>
      <c r="G45" s="89"/>
      <c r="H45" s="89"/>
      <c r="I45" s="89"/>
      <c r="J45" s="89"/>
      <c r="K45" s="90"/>
    </row>
    <row r="46" spans="1:19" x14ac:dyDescent="0.3">
      <c r="A46" s="97"/>
      <c r="B46" s="40" t="s">
        <v>37</v>
      </c>
      <c r="C46" s="133">
        <f>C43-C45</f>
        <v>72366.519865839509</v>
      </c>
      <c r="D46" s="133"/>
      <c r="E46" s="79">
        <f>100-E45</f>
        <v>20.249943921161645</v>
      </c>
      <c r="F46" s="90"/>
      <c r="G46" s="89"/>
      <c r="H46" s="89"/>
      <c r="I46" s="89"/>
      <c r="J46" s="89"/>
      <c r="K46" s="90"/>
    </row>
    <row r="47" spans="1:19" x14ac:dyDescent="0.3">
      <c r="A47" s="97"/>
      <c r="B47" s="40" t="s">
        <v>38</v>
      </c>
      <c r="C47" s="133">
        <f>C44*0.03</f>
        <v>9000</v>
      </c>
      <c r="D47" s="133"/>
      <c r="E47" s="79">
        <v>3</v>
      </c>
      <c r="F47" s="90"/>
      <c r="G47" s="89"/>
      <c r="H47" s="89"/>
      <c r="I47" s="89"/>
      <c r="J47" s="89"/>
      <c r="K47" s="90"/>
    </row>
    <row r="48" spans="1:19" x14ac:dyDescent="0.3">
      <c r="A48" s="97"/>
      <c r="B48" s="40" t="s">
        <v>39</v>
      </c>
      <c r="C48" s="133">
        <f>C44*0.02</f>
        <v>6000</v>
      </c>
      <c r="D48" s="133"/>
      <c r="E48" s="79">
        <v>2</v>
      </c>
      <c r="F48" s="90"/>
      <c r="G48" s="89"/>
      <c r="H48" s="89"/>
      <c r="I48" s="89"/>
      <c r="J48" s="89"/>
      <c r="K48" s="90"/>
    </row>
    <row r="49" spans="1:11" s="75" customFormat="1" x14ac:dyDescent="0.3">
      <c r="A49" s="98"/>
      <c r="B49" s="98"/>
      <c r="C49" s="98"/>
      <c r="D49" s="98"/>
      <c r="E49" s="98"/>
      <c r="F49" s="98"/>
      <c r="G49" s="98"/>
      <c r="H49" s="98"/>
      <c r="I49" s="98"/>
      <c r="J49" s="98"/>
      <c r="K49" s="98"/>
    </row>
    <row r="50" spans="1:11" s="75" customFormat="1" x14ac:dyDescent="0.3"/>
    <row r="51" spans="1:11" s="75" customFormat="1" x14ac:dyDescent="0.3"/>
    <row r="52" spans="1:11" s="75" customFormat="1" x14ac:dyDescent="0.3"/>
    <row r="53" spans="1:11" s="75" customFormat="1" x14ac:dyDescent="0.3"/>
    <row r="54" spans="1:11" s="75" customFormat="1" x14ac:dyDescent="0.3"/>
    <row r="55" spans="1:11" s="75" customFormat="1" x14ac:dyDescent="0.3"/>
    <row r="56" spans="1:11" s="75" customFormat="1" x14ac:dyDescent="0.3"/>
    <row r="57" spans="1:11" s="75" customFormat="1" x14ac:dyDescent="0.3"/>
    <row r="58" spans="1:11" s="75" customFormat="1" x14ac:dyDescent="0.3"/>
    <row r="59" spans="1:11" s="75" customFormat="1" x14ac:dyDescent="0.3"/>
    <row r="60" spans="1:11" s="75" customFormat="1" x14ac:dyDescent="0.3"/>
    <row r="61" spans="1:11" s="75" customFormat="1" x14ac:dyDescent="0.3"/>
    <row r="62" spans="1:11" s="75" customFormat="1" x14ac:dyDescent="0.3"/>
    <row r="63" spans="1:11" s="75" customFormat="1" x14ac:dyDescent="0.3"/>
    <row r="64" spans="1:11" s="75" customFormat="1" x14ac:dyDescent="0.3"/>
    <row r="65" s="75" customFormat="1" x14ac:dyDescent="0.3"/>
    <row r="66" s="75" customFormat="1" x14ac:dyDescent="0.3"/>
    <row r="67" s="75" customFormat="1" x14ac:dyDescent="0.3"/>
    <row r="68" s="75" customFormat="1" x14ac:dyDescent="0.3"/>
    <row r="69" s="75" customFormat="1" x14ac:dyDescent="0.3"/>
    <row r="70" s="75" customFormat="1" x14ac:dyDescent="0.3"/>
    <row r="71" s="75" customFormat="1" x14ac:dyDescent="0.3"/>
    <row r="72" s="75" customFormat="1" x14ac:dyDescent="0.3"/>
    <row r="73" s="75" customFormat="1" x14ac:dyDescent="0.3"/>
    <row r="74" s="75" customFormat="1" x14ac:dyDescent="0.3"/>
    <row r="75" s="75" customFormat="1" x14ac:dyDescent="0.3"/>
    <row r="76" s="75" customFormat="1" x14ac:dyDescent="0.3"/>
    <row r="77" s="75" customFormat="1" x14ac:dyDescent="0.3"/>
    <row r="78" s="75" customFormat="1" x14ac:dyDescent="0.3"/>
    <row r="79" s="75" customFormat="1" x14ac:dyDescent="0.3"/>
    <row r="80" s="75" customFormat="1" x14ac:dyDescent="0.3"/>
    <row r="81" s="75" customFormat="1" x14ac:dyDescent="0.3"/>
    <row r="82" s="75" customFormat="1" x14ac:dyDescent="0.3"/>
    <row r="83" s="75" customFormat="1" x14ac:dyDescent="0.3"/>
    <row r="84" s="75" customFormat="1" x14ac:dyDescent="0.3"/>
    <row r="85" s="75" customFormat="1" x14ac:dyDescent="0.3"/>
    <row r="86" s="75" customFormat="1" x14ac:dyDescent="0.3"/>
    <row r="87" s="75" customFormat="1" x14ac:dyDescent="0.3"/>
    <row r="88" s="75" customFormat="1" x14ac:dyDescent="0.3"/>
    <row r="89" s="75" customFormat="1" x14ac:dyDescent="0.3"/>
    <row r="90" s="75" customFormat="1" x14ac:dyDescent="0.3"/>
    <row r="91" s="75" customFormat="1" x14ac:dyDescent="0.3"/>
    <row r="92" s="75" customFormat="1" x14ac:dyDescent="0.3"/>
    <row r="93" s="75" customFormat="1" x14ac:dyDescent="0.3"/>
    <row r="94" s="75" customFormat="1" x14ac:dyDescent="0.3"/>
    <row r="95" s="75" customFormat="1" x14ac:dyDescent="0.3"/>
    <row r="96" s="75" customFormat="1" x14ac:dyDescent="0.3"/>
    <row r="97" s="75" customFormat="1" x14ac:dyDescent="0.3"/>
    <row r="98" s="75" customFormat="1" x14ac:dyDescent="0.3"/>
    <row r="99" s="75" customFormat="1" x14ac:dyDescent="0.3"/>
    <row r="100" s="75" customFormat="1" x14ac:dyDescent="0.3"/>
    <row r="101" s="75" customFormat="1" x14ac:dyDescent="0.3"/>
    <row r="102" s="75" customFormat="1" x14ac:dyDescent="0.3"/>
    <row r="103" s="75" customFormat="1" x14ac:dyDescent="0.3"/>
    <row r="104" s="75" customFormat="1" x14ac:dyDescent="0.3"/>
    <row r="105" s="75" customFormat="1" x14ac:dyDescent="0.3"/>
  </sheetData>
  <mergeCells count="15">
    <mergeCell ref="A6:F6"/>
    <mergeCell ref="H6:K6"/>
    <mergeCell ref="A1:K1"/>
    <mergeCell ref="A2:K2"/>
    <mergeCell ref="A3:K3"/>
    <mergeCell ref="A4:K4"/>
    <mergeCell ref="A5:K5"/>
    <mergeCell ref="C47:D47"/>
    <mergeCell ref="C48:D48"/>
    <mergeCell ref="A7:F7"/>
    <mergeCell ref="H7:K7"/>
    <mergeCell ref="C43:D43"/>
    <mergeCell ref="C44:D44"/>
    <mergeCell ref="C45:D45"/>
    <mergeCell ref="C46:D46"/>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Estimate</vt:lpstr>
      <vt:lpstr>final</vt:lpstr>
      <vt:lpstr>WCR</vt:lpstr>
      <vt:lpstr>Sheet4</vt:lpstr>
      <vt:lpstr>ग्रावेल</vt:lpstr>
      <vt:lpstr>with dhalaan</vt:lpstr>
      <vt:lpstr>Sheet4 (2)</vt:lpstr>
      <vt:lpstr>Estimate!Print_Area</vt:lpstr>
      <vt:lpstr>final!Print_Area</vt:lpstr>
      <vt:lpstr>'Sheet4 (2)'!Print_Area</vt:lpstr>
      <vt:lpstr>Estimate!Print_Titles</vt:lpstr>
      <vt:lpstr>final!Print_Titles</vt:lpstr>
      <vt:lpstr>'Sheet4 (2)'!Print_Titles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2024-09-24T08:35:53Z</cp:lastPrinted>
  <dcterms:created xsi:type="dcterms:W3CDTF">2015-06-05T18:17:20Z</dcterms:created>
  <dcterms:modified xsi:type="dcterms:W3CDTF">2024-10-04T02:46:11Z</dcterms:modified>
</cp:coreProperties>
</file>