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alika mandir\"/>
    </mc:Choice>
  </mc:AlternateContent>
  <bookViews>
    <workbookView xWindow="-120" yWindow="-120" windowWidth="20736" windowHeight="11160" firstSheet="1" activeTab="6"/>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(2)'!$A$1:$K$57</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0" i="17" l="1"/>
  <c r="C41" i="17"/>
  <c r="C39" i="17"/>
  <c r="G39" i="17" s="1"/>
  <c r="C44" i="17"/>
  <c r="C43" i="17"/>
  <c r="G43" i="17" s="1"/>
  <c r="D42" i="17"/>
  <c r="F42" i="17"/>
  <c r="G42" i="17" s="1"/>
  <c r="E41" i="17"/>
  <c r="G41" i="17" s="1"/>
  <c r="D41" i="17"/>
  <c r="F40" i="17"/>
  <c r="F39" i="17"/>
  <c r="F44" i="17"/>
  <c r="D44" i="17"/>
  <c r="G44" i="17" s="1"/>
  <c r="F43" i="17"/>
  <c r="D43" i="17"/>
  <c r="F38" i="17"/>
  <c r="D38" i="17"/>
  <c r="G38" i="17" s="1"/>
  <c r="C33" i="17"/>
  <c r="E33" i="17"/>
  <c r="D33" i="17"/>
  <c r="E28" i="17"/>
  <c r="D28" i="17"/>
  <c r="E27" i="17"/>
  <c r="D27" i="17"/>
  <c r="E26" i="17"/>
  <c r="D26" i="17"/>
  <c r="E25" i="17"/>
  <c r="D25" i="17"/>
  <c r="F20" i="17"/>
  <c r="E20" i="17"/>
  <c r="D20" i="17"/>
  <c r="F19" i="17"/>
  <c r="E19" i="17"/>
  <c r="D19" i="17"/>
  <c r="F18" i="17"/>
  <c r="E18" i="17"/>
  <c r="D18" i="17"/>
  <c r="F17" i="17"/>
  <c r="E17" i="17"/>
  <c r="D17" i="17"/>
  <c r="D13" i="17"/>
  <c r="E13" i="17"/>
  <c r="F13" i="17"/>
  <c r="D12" i="17"/>
  <c r="E12" i="17"/>
  <c r="F12" i="17"/>
  <c r="D10" i="17"/>
  <c r="E10" i="17"/>
  <c r="D11" i="17"/>
  <c r="E11" i="17"/>
  <c r="F11" i="17"/>
  <c r="G33" i="17" l="1"/>
  <c r="G40" i="17"/>
  <c r="G45" i="17" s="1"/>
  <c r="J46" i="17" s="1"/>
  <c r="G27" i="17"/>
  <c r="G25" i="17"/>
  <c r="G19" i="17"/>
  <c r="G26" i="17"/>
  <c r="G28" i="17"/>
  <c r="G13" i="17"/>
  <c r="G17" i="17"/>
  <c r="G18" i="17"/>
  <c r="G20" i="17"/>
  <c r="N13" i="17"/>
  <c r="G12" i="17"/>
  <c r="N12" i="17"/>
  <c r="N10" i="17"/>
  <c r="N11" i="17"/>
  <c r="G11" i="17"/>
  <c r="D11" i="19"/>
  <c r="J45" i="17" l="1"/>
  <c r="G29" i="17"/>
  <c r="J30" i="17" s="1"/>
  <c r="G21" i="17"/>
  <c r="J22" i="17" s="1"/>
  <c r="C43" i="19"/>
  <c r="G43" i="19" s="1"/>
  <c r="G44" i="19" s="1"/>
  <c r="J45" i="19" s="1"/>
  <c r="D10" i="19"/>
  <c r="C38" i="19"/>
  <c r="G11" i="19"/>
  <c r="P43" i="19"/>
  <c r="P44" i="19" s="1"/>
  <c r="O43" i="19"/>
  <c r="N43" i="19"/>
  <c r="J44" i="19" l="1"/>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P34" i="19"/>
  <c r="C53" i="19"/>
  <c r="J14" i="19"/>
  <c r="G34" i="19"/>
  <c r="J35" i="19" s="1"/>
  <c r="J18" i="19"/>
  <c r="J19" i="19"/>
  <c r="J23" i="19"/>
  <c r="J24" i="19"/>
  <c r="J40" i="19"/>
  <c r="J39" i="19"/>
  <c r="C57" i="17"/>
  <c r="C56" i="17"/>
  <c r="G48" i="17"/>
  <c r="J48" i="17" s="1"/>
  <c r="G34" i="17"/>
  <c r="G10" i="17"/>
  <c r="G14" i="17" s="1"/>
  <c r="J34" i="17" l="1"/>
  <c r="J35" i="17"/>
  <c r="C54" i="17"/>
  <c r="J13" i="19"/>
  <c r="J49" i="19" s="1"/>
  <c r="J34" i="19"/>
  <c r="J21" i="17"/>
  <c r="J29" i="17"/>
  <c r="C37" i="15"/>
  <c r="C32" i="15"/>
  <c r="P42" i="15"/>
  <c r="P43" i="15" s="1"/>
  <c r="O42" i="15"/>
  <c r="N42" i="15"/>
  <c r="G42" i="15"/>
  <c r="G43" i="15" s="1"/>
  <c r="J44" i="15" s="1"/>
  <c r="J14" i="17" l="1"/>
  <c r="J50" i="17" s="1"/>
  <c r="C51" i="19"/>
  <c r="C54" i="19" s="1"/>
  <c r="J43" i="15"/>
  <c r="C52" i="17" l="1"/>
  <c r="C55" i="17" s="1"/>
  <c r="E53" i="19"/>
  <c r="E54" i="19" s="1"/>
  <c r="C55" i="15"/>
  <c r="C54" i="15"/>
  <c r="G46" i="15"/>
  <c r="J46" i="15" s="1"/>
  <c r="P37" i="15"/>
  <c r="P38" i="15" s="1"/>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P38" i="14"/>
  <c r="P37" i="14"/>
  <c r="G26" i="14"/>
  <c r="G27" i="14" s="1"/>
  <c r="P33" i="14"/>
  <c r="O33" i="14"/>
  <c r="N33" i="14"/>
  <c r="D31" i="14"/>
  <c r="O32" i="14"/>
  <c r="N32" i="14"/>
  <c r="F11" i="14"/>
  <c r="C50" i="14"/>
  <c r="C49" i="14"/>
  <c r="C47" i="14" s="1"/>
  <c r="G41" i="14"/>
  <c r="J41" i="14" s="1"/>
  <c r="O37" i="14"/>
  <c r="N37" i="14"/>
  <c r="G37" i="14"/>
  <c r="G38" i="14" s="1"/>
  <c r="C32" i="14"/>
  <c r="G32" i="14" s="1"/>
  <c r="G31" i="14"/>
  <c r="B31" i="14"/>
  <c r="G21" i="14"/>
  <c r="G22" i="14" s="1"/>
  <c r="C16" i="14"/>
  <c r="G16" i="14" s="1"/>
  <c r="G17" i="14" s="1"/>
  <c r="B16" i="14"/>
  <c r="B21" i="14" s="1"/>
  <c r="G11" i="14"/>
  <c r="D10" i="14"/>
  <c r="G10" i="14" s="1"/>
  <c r="E54" i="17" l="1"/>
  <c r="E55" i="17" s="1"/>
  <c r="C52" i="15"/>
  <c r="G12" i="15"/>
  <c r="G33" i="15"/>
  <c r="J34" i="15" s="1"/>
  <c r="J13" i="15"/>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E26" i="10"/>
  <c r="F26" i="10" s="1"/>
  <c r="G26" i="10" s="1"/>
  <c r="G27" i="10" s="1"/>
  <c r="J28" i="10" s="1"/>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G42" i="4" s="1"/>
  <c r="G43" i="4" s="1"/>
  <c r="C42" i="4"/>
  <c r="B42" i="4"/>
  <c r="B41" i="4"/>
  <c r="B36" i="4"/>
  <c r="E12" i="4"/>
  <c r="E24" i="4" s="1"/>
  <c r="N12" i="4"/>
  <c r="E10" i="4"/>
  <c r="E17" i="4" s="1"/>
  <c r="C19" i="4"/>
  <c r="D12" i="4"/>
  <c r="D24" i="4" s="1"/>
  <c r="D25" i="4" s="1"/>
  <c r="G25" i="4" s="1"/>
  <c r="C12" i="4"/>
  <c r="C26" i="4"/>
  <c r="C18" i="4"/>
  <c r="D17" i="4"/>
  <c r="F11" i="4"/>
  <c r="E11" i="4"/>
  <c r="E18" i="4" s="1"/>
  <c r="E26" i="4" s="1"/>
  <c r="D11" i="4"/>
  <c r="G11" i="4" s="1"/>
  <c r="B9" i="4"/>
  <c r="G32" i="4"/>
  <c r="C32" i="4"/>
  <c r="G31" i="4"/>
  <c r="G33" i="4" s="1"/>
  <c r="F31" i="4"/>
  <c r="D31" i="4"/>
  <c r="B30" i="4"/>
  <c r="M59" i="4"/>
  <c r="J33" i="4" l="1"/>
  <c r="J34" i="4"/>
  <c r="D18" i="4"/>
  <c r="E19" i="4"/>
  <c r="D48" i="4"/>
  <c r="C47" i="4" s="1"/>
  <c r="F47" i="4" s="1"/>
  <c r="G47" i="4" s="1"/>
  <c r="J38" i="10"/>
  <c r="J43" i="10"/>
  <c r="J43" i="4"/>
  <c r="J44" i="4"/>
  <c r="G12" i="4"/>
  <c r="D37" i="4"/>
  <c r="G37" i="4" s="1"/>
  <c r="G38" i="4" s="1"/>
  <c r="D19" i="4"/>
  <c r="F48" i="4"/>
  <c r="G48" i="4" s="1"/>
  <c r="G19" i="4"/>
  <c r="G17" i="4"/>
  <c r="G24" i="4"/>
  <c r="D26" i="4" l="1"/>
  <c r="G26" i="4" s="1"/>
  <c r="G18" i="4"/>
  <c r="G20" i="4"/>
  <c r="J21" i="4" s="1"/>
  <c r="G27" i="4"/>
  <c r="J32" i="10"/>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<sst xmlns="http://schemas.openxmlformats.org/spreadsheetml/2006/main" count="421" uniqueCount="104">
  <si>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</si>
  <si>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</si>
  <si>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</si>
  <si>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</si>
  <si>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</si>
  <si>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</si>
  <si>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</si>
  <si>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</si>
  <si>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</si>
  <si>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</si>
  <si>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</si>
  <si>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</si>
  <si>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</si>
  <si>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</si>
  <si>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</si>
  <si>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</si>
  <si>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</si>
  <si>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</si>
  <si>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</si>
  <si>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</si>
  <si>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</si>
  <si>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</si>
  <si>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</si>
  <si>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</si>
  <si>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</si>
  <si>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</si>
  <si>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</si>
  <si>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</si>
  <si>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</si>
  <si>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</si>
  <si>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</si>
  <si>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</si>
  <si>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</si>
  <si>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</si>
  <si>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</si>
  <si>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</si>
  <si>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</si>
  <si>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</si>
  <si>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</si>
  <si>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</si>
  <si>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</si>
  <si>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</si>
  <si>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</si>
  <si>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</si>
  <si>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</si>
  <si>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</si>
  <si>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</si>
  <si>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</si>
  <si>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</si>
  <si>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</si>
  <si>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</si>
  <si>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</si>
  <si>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</si>
  <si>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</si>
  <si>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</si>
  <si>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</si>
  <si>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</si>
  <si>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</si>
  <si>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</si>
  <si>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</si>
  <si>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</si>
  <si>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</si>
  <si>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</si>
  <si>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</si>
  <si>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</si>
  <si>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</si>
  <si>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</si>
  <si>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</si>
  <si>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</si>
  <si>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</si>
  <si>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</si>
  <si>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</si>
  <si>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</si>
  <si>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</si>
  <si>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</si>
  <si>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</si>
  <si>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</si>
  <si>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</si>
  <si>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</si>
  <si>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</si>
  <si>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</si>
  <si>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</si>
  <si>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</si>
  <si>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</si>
  <si>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</si>
  <si>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</si>
  <si>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</si>
  <si>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</si>
  <si>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</si>
  <si>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Date:2081/06/08</t>
  </si>
  <si>
    <t xml:space="preserve">Project:- सुन्दरबस्ती सडक ग्राबेल र ढलान (ढल निर्माण कार्य) </t>
  </si>
  <si>
    <t>g/d k|sf/sf] Sn] / l;N6L df6f]df ;j} lsl;dsf] vGg] sfd</t>
  </si>
  <si>
    <t>-Plinth area</t>
  </si>
  <si>
    <t>husf] vf8ndf 9'+uf eg]{ / n]en ug]{ sfddf</t>
  </si>
  <si>
    <t>hu leQf kvf{ndf l;d]G6 s+lqm6 ug]{ sfd -lk=;L=;L= !M@M$_</t>
  </si>
  <si>
    <r>
      <t>#*</t>
    </r>
    <r>
      <rPr>
        <b/>
        <sz val="12"/>
        <rFont val="Arial"/>
        <family val="2"/>
      </rPr>
      <t>X</t>
    </r>
    <r>
      <rPr>
        <b/>
        <sz val="12"/>
        <rFont val="Preeti"/>
      </rPr>
      <t>&amp;% dL=dL=lr/fg ;fn sf7sf] k|m]d $ dL=dL= P]gf vfkf agfO</t>
    </r>
  </si>
  <si>
    <t>-window</t>
  </si>
  <si>
    <t>sqm</t>
  </si>
  <si>
    <t>!@=% dL=dL= l;d]G6 afn'jf -!M$_ Knfi6/</t>
  </si>
  <si>
    <t>-Outer walls</t>
  </si>
  <si>
    <t>-door</t>
  </si>
  <si>
    <t>-column</t>
  </si>
  <si>
    <t>-beam</t>
  </si>
  <si>
    <t>-Inner walls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</si>
</sst>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
      <b/>
      <sz val="12"/>
      <name val="Preeti"/>
    </font>
    <font>
      <b/>
      <sz val="1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36">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18" fillId="3" borderId="1" xfId="0"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43</v>
      </c>
      <c r="B6" s="116"/>
      <c r="C6" s="116"/>
      <c r="D6" s="116"/>
      <c r="E6" s="116"/>
      <c r="F6" s="116"/>
      <c r="G6" s="2"/>
      <c r="H6" s="117" t="s">
        <v>32</v>
      </c>
      <c r="I6" s="117"/>
      <c r="J6" s="117"/>
      <c r="K6" s="117"/>
    </row>
    <row r="7" spans="1:19" ht="15.6" x14ac:dyDescent="0.3">
      <c r="A7" s="118" t="s">
        <v>28</v>
      </c>
      <c r="B7" s="118"/>
      <c r="C7" s="118"/>
      <c r="D7" s="118"/>
      <c r="E7" s="118"/>
      <c r="F7" s="118"/>
      <c r="G7" s="3"/>
      <c r="H7" s="117" t="s">
        <v>30</v>
      </c>
      <c r="I7" s="117"/>
      <c r="J7" s="117"/>
      <c r="K7" s="11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71.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52</v>
      </c>
      <c r="C16" s="48"/>
      <c r="D16" s="49"/>
      <c r="E16" s="49"/>
      <c r="F16" s="49"/>
      <c r="G16" s="49"/>
      <c r="H16" s="49"/>
      <c r="I16" s="49"/>
      <c r="J16" s="50"/>
      <c r="K16" s="5"/>
    </row>
    <row r="17" spans="1:19" ht="15" customHeight="1" x14ac:dyDescent="0.3">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3">
      <c r="A21" s="11"/>
      <c r="B21" s="60" t="s">
        <v>44</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56</v>
      </c>
      <c r="C23" s="30"/>
      <c r="D23" s="31"/>
      <c r="E23" s="32"/>
      <c r="F23" s="32"/>
      <c r="G23" s="34"/>
      <c r="H23" s="33"/>
      <c r="I23" s="34"/>
      <c r="J23" s="9"/>
      <c r="K23" s="32"/>
      <c r="M23" s="36"/>
      <c r="N23" s="1"/>
      <c r="O23" s="1"/>
      <c r="P23" s="1"/>
      <c r="Q23" s="1"/>
      <c r="R23" s="36"/>
      <c r="S23" s="36"/>
    </row>
    <row r="24" spans="1:19" ht="15" customHeight="1" x14ac:dyDescent="0.3">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58</v>
      </c>
      <c r="C25" s="48">
        <v>1</v>
      </c>
      <c r="D25" s="49">
        <f>D24</f>
        <v>25</v>
      </c>
      <c r="E25" s="49">
        <v>0.35</v>
      </c>
      <c r="F25" s="49">
        <v>0.05</v>
      </c>
      <c r="G25" s="49">
        <f t="shared" ref="G25" si="3">PRODUCT(C25:F25)</f>
        <v>0.4375</v>
      </c>
      <c r="H25" s="49"/>
      <c r="I25" s="49"/>
      <c r="J25" s="50"/>
      <c r="K25" s="5"/>
    </row>
    <row r="26" spans="1:19" ht="15" customHeight="1" x14ac:dyDescent="0.3">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3">
      <c r="A28" s="11"/>
      <c r="B28" s="60" t="s">
        <v>44</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3">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3">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46</v>
      </c>
      <c r="C52" s="48"/>
      <c r="D52" s="49"/>
      <c r="E52" s="49"/>
      <c r="F52" s="49"/>
      <c r="G52" s="49"/>
      <c r="H52" s="49"/>
      <c r="I52" s="49"/>
      <c r="J52" s="50"/>
      <c r="K52" s="5"/>
    </row>
    <row r="53" spans="1:19" ht="28.8" x14ac:dyDescent="0.3">
      <c r="A53" s="11">
        <v>8.1</v>
      </c>
      <c r="B53" s="58" t="s">
        <v>47</v>
      </c>
      <c r="C53" s="48"/>
      <c r="D53" s="49"/>
      <c r="E53" s="49"/>
      <c r="F53" s="49"/>
      <c r="G53" s="49"/>
      <c r="H53" s="49"/>
      <c r="I53" s="49"/>
      <c r="J53" s="50"/>
      <c r="K53" s="5"/>
    </row>
    <row r="54" spans="1:19" ht="15" customHeight="1" x14ac:dyDescent="0.3">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3">
      <c r="A56" s="11"/>
      <c r="B56" s="60" t="s">
        <v>44</v>
      </c>
      <c r="C56" s="48"/>
      <c r="D56" s="49"/>
      <c r="E56" s="49"/>
      <c r="F56" s="49"/>
      <c r="G56" s="52"/>
      <c r="H56" s="52"/>
      <c r="I56" s="52"/>
      <c r="J56" s="9">
        <f>0.13*G55*20400/360</f>
        <v>279.786</v>
      </c>
      <c r="K56" s="5"/>
    </row>
    <row r="57" spans="1:19" ht="86.4" x14ac:dyDescent="0.3">
      <c r="A57" s="11">
        <v>8.1999999999999993</v>
      </c>
      <c r="B57" s="58" t="s">
        <v>52</v>
      </c>
      <c r="C57" s="48"/>
      <c r="D57" s="49"/>
      <c r="E57" s="49"/>
      <c r="F57" s="49"/>
      <c r="G57" s="49"/>
      <c r="H57" s="49"/>
      <c r="I57" s="49"/>
      <c r="J57" s="50"/>
      <c r="K57" s="5"/>
    </row>
    <row r="58" spans="1:19" ht="15" customHeight="1" x14ac:dyDescent="0.3">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3">
      <c r="A60" s="11"/>
      <c r="B60" s="60" t="s">
        <v>44</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50</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51</v>
      </c>
      <c r="C64" s="57"/>
      <c r="D64" s="57"/>
      <c r="E64" s="32"/>
      <c r="F64" s="32"/>
      <c r="G64" s="43">
        <f>SUM(G63)</f>
        <v>110</v>
      </c>
      <c r="H64" s="43" t="s">
        <v>45</v>
      </c>
      <c r="I64" s="59">
        <v>5129.82</v>
      </c>
      <c r="J64" s="59">
        <f>G64*I64</f>
        <v>564280.19999999995</v>
      </c>
      <c r="K64" s="18"/>
    </row>
    <row r="65" spans="1:19" ht="15" customHeight="1" x14ac:dyDescent="0.3">
      <c r="A65" s="11"/>
      <c r="B65" s="60" t="s">
        <v>44</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08">
        <f>J71</f>
        <v>1194331.7948368895</v>
      </c>
      <c r="D73" s="109"/>
      <c r="E73" s="16">
        <v>100</v>
      </c>
      <c r="F73" s="20"/>
      <c r="G73" s="21"/>
      <c r="H73" s="20"/>
      <c r="I73" s="22"/>
      <c r="J73" s="23"/>
      <c r="K73" s="24"/>
    </row>
    <row r="74" spans="1:19" x14ac:dyDescent="0.3">
      <c r="B74" s="18" t="s">
        <v>35</v>
      </c>
      <c r="C74" s="110">
        <v>1000000</v>
      </c>
      <c r="D74" s="111"/>
      <c r="E74" s="16"/>
    </row>
    <row r="75" spans="1:19" x14ac:dyDescent="0.3">
      <c r="B75" s="18" t="s">
        <v>36</v>
      </c>
      <c r="C75" s="110">
        <f>C74-C77-C78</f>
        <v>950000</v>
      </c>
      <c r="D75" s="111"/>
      <c r="E75" s="16">
        <f>C75/C73*100</f>
        <v>79.542385466656867</v>
      </c>
    </row>
    <row r="76" spans="1:19" x14ac:dyDescent="0.3">
      <c r="B76" s="18" t="s">
        <v>37</v>
      </c>
      <c r="C76" s="107">
        <f>C73-C75</f>
        <v>244331.79483688949</v>
      </c>
      <c r="D76" s="107"/>
      <c r="E76" s="16">
        <f>100-E75</f>
        <v>20.457614533343133</v>
      </c>
    </row>
    <row r="77" spans="1:19" x14ac:dyDescent="0.3">
      <c r="B77" s="18" t="s">
        <v>38</v>
      </c>
      <c r="C77" s="108">
        <f>C74*0.03</f>
        <v>30000</v>
      </c>
      <c r="D77" s="109"/>
      <c r="E77" s="16">
        <v>3</v>
      </c>
    </row>
    <row r="78" spans="1:19" x14ac:dyDescent="0.3">
      <c r="B78" s="18" t="s">
        <v>39</v>
      </c>
      <c r="C78" s="108">
        <f>C74*0.02</f>
        <v>20000</v>
      </c>
      <c r="D78" s="109"/>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66</v>
      </c>
      <c r="B6" s="116"/>
      <c r="C6" s="116"/>
      <c r="D6" s="116"/>
      <c r="E6" s="116"/>
      <c r="F6" s="116"/>
      <c r="G6" s="2"/>
      <c r="H6" s="117" t="s">
        <v>32</v>
      </c>
      <c r="I6" s="117"/>
      <c r="J6" s="117"/>
      <c r="K6" s="117"/>
    </row>
    <row r="7" spans="1:19" ht="15.6" x14ac:dyDescent="0.3">
      <c r="A7" s="118" t="s">
        <v>28</v>
      </c>
      <c r="B7" s="118"/>
      <c r="C7" s="118"/>
      <c r="D7" s="118"/>
      <c r="E7" s="118"/>
      <c r="F7" s="118"/>
      <c r="G7" s="3"/>
      <c r="H7" s="117" t="s">
        <v>30</v>
      </c>
      <c r="I7" s="117"/>
      <c r="J7" s="117"/>
      <c r="K7" s="11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3">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73</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51</v>
      </c>
      <c r="C17" s="48"/>
      <c r="D17" s="49"/>
      <c r="E17" s="49"/>
      <c r="F17" s="49"/>
      <c r="G17" s="52">
        <f>SUM(G16:G16)</f>
        <v>0.84823001646924412</v>
      </c>
      <c r="H17" s="52" t="s">
        <v>49</v>
      </c>
      <c r="I17" s="53">
        <v>4561.53</v>
      </c>
      <c r="J17" s="50">
        <f>G17*I17</f>
        <v>3869.226667024951</v>
      </c>
      <c r="K17" s="5"/>
    </row>
    <row r="18" spans="1:19" x14ac:dyDescent="0.3">
      <c r="A18" s="11"/>
      <c r="B18" s="60" t="s">
        <v>44</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56</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51</v>
      </c>
      <c r="C22" s="48"/>
      <c r="D22" s="49"/>
      <c r="E22" s="49"/>
      <c r="F22" s="49"/>
      <c r="G22" s="52">
        <f>SUM(G21:G21)</f>
        <v>0.42411500823462206</v>
      </c>
      <c r="H22" s="52" t="s">
        <v>49</v>
      </c>
      <c r="I22" s="53">
        <v>10634.5</v>
      </c>
      <c r="J22" s="50">
        <f>G22*I22</f>
        <v>4510.2510550710886</v>
      </c>
      <c r="K22" s="5"/>
    </row>
    <row r="23" spans="1:19" ht="15" customHeight="1" x14ac:dyDescent="0.3">
      <c r="A23" s="11"/>
      <c r="B23" s="60" t="s">
        <v>44</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3">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3">
      <c r="A27" s="11"/>
      <c r="B27" s="60" t="s">
        <v>51</v>
      </c>
      <c r="C27" s="48"/>
      <c r="D27" s="49"/>
      <c r="E27" s="49"/>
      <c r="F27" s="49"/>
      <c r="G27" s="70">
        <f>SUM(G25:G26)</f>
        <v>4.8799999999999996E-2</v>
      </c>
      <c r="H27" s="52" t="s">
        <v>65</v>
      </c>
      <c r="I27" s="53">
        <v>124140</v>
      </c>
      <c r="J27" s="50">
        <f>G27*I27</f>
        <v>6058.0319999999992</v>
      </c>
      <c r="K27" s="5"/>
    </row>
    <row r="28" spans="1:19" ht="15" customHeight="1" x14ac:dyDescent="0.3">
      <c r="A28" s="11"/>
      <c r="B28" s="60" t="s">
        <v>44</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74</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51</v>
      </c>
      <c r="C32" s="48"/>
      <c r="D32" s="49"/>
      <c r="E32" s="49"/>
      <c r="F32" s="49"/>
      <c r="G32" s="52">
        <f>SUM(G31:G31)</f>
        <v>0.39269908169872414</v>
      </c>
      <c r="H32" s="52" t="s">
        <v>49</v>
      </c>
      <c r="I32" s="53">
        <v>11588.17</v>
      </c>
      <c r="J32" s="50">
        <f>G32*I32</f>
        <v>4550.6637175687038</v>
      </c>
      <c r="K32" s="5"/>
    </row>
    <row r="33" spans="1:19" ht="15" customHeight="1" x14ac:dyDescent="0.3">
      <c r="A33" s="11"/>
      <c r="B33" s="60" t="s">
        <v>44</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74" t="s">
        <v>77</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51</v>
      </c>
      <c r="C38" s="48"/>
      <c r="D38" s="49"/>
      <c r="E38" s="49"/>
      <c r="F38" s="49"/>
      <c r="G38" s="52">
        <f>SUM(G36:G37)</f>
        <v>4.6063602283260341</v>
      </c>
      <c r="H38" s="52" t="s">
        <v>49</v>
      </c>
      <c r="I38" s="53">
        <v>14362.76</v>
      </c>
      <c r="J38" s="50">
        <f>G38*I38</f>
        <v>66160.046432992036</v>
      </c>
      <c r="K38" s="5"/>
    </row>
    <row r="39" spans="1:19" ht="15" customHeight="1" x14ac:dyDescent="0.3">
      <c r="A39" s="11"/>
      <c r="B39" s="60" t="s">
        <v>44</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3">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72</v>
      </c>
      <c r="C46" s="5"/>
      <c r="D46" s="8"/>
      <c r="E46" s="8"/>
      <c r="F46" s="8"/>
      <c r="G46" s="9"/>
      <c r="H46" s="11"/>
      <c r="I46" s="11"/>
      <c r="J46" s="11"/>
      <c r="K46" s="32"/>
      <c r="M46" s="36"/>
      <c r="N46" s="1"/>
      <c r="O46" s="1"/>
      <c r="P46" s="1"/>
      <c r="Q46" s="1"/>
      <c r="R46" s="36"/>
      <c r="S46" s="36"/>
    </row>
    <row r="47" spans="1:19" ht="15" customHeight="1" x14ac:dyDescent="0.3">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3">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08">
        <f>J53</f>
        <v>563311.92829411826</v>
      </c>
      <c r="D55" s="109"/>
      <c r="E55" s="16">
        <v>100</v>
      </c>
      <c r="F55" s="20"/>
      <c r="G55" s="21"/>
      <c r="H55" s="20"/>
      <c r="I55" s="22"/>
      <c r="J55" s="23"/>
      <c r="K55" s="24"/>
    </row>
    <row r="56" spans="1:19" x14ac:dyDescent="0.3">
      <c r="A56" s="73"/>
      <c r="B56" s="18" t="s">
        <v>35</v>
      </c>
      <c r="C56" s="110">
        <v>500000</v>
      </c>
      <c r="D56" s="111"/>
      <c r="E56" s="16"/>
    </row>
    <row r="57" spans="1:19" x14ac:dyDescent="0.3">
      <c r="A57" s="73"/>
      <c r="B57" s="18" t="s">
        <v>36</v>
      </c>
      <c r="C57" s="110">
        <f>C56-C59-C60</f>
        <v>475000</v>
      </c>
      <c r="D57" s="111"/>
      <c r="E57" s="16">
        <f>C57/C55*100</f>
        <v>84.322730647377924</v>
      </c>
    </row>
    <row r="58" spans="1:19" x14ac:dyDescent="0.3">
      <c r="A58" s="73"/>
      <c r="B58" s="18" t="s">
        <v>37</v>
      </c>
      <c r="C58" s="107">
        <f>C55-C57</f>
        <v>88311.928294118261</v>
      </c>
      <c r="D58" s="107"/>
      <c r="E58" s="16">
        <f>100-E57</f>
        <v>15.677269352622076</v>
      </c>
    </row>
    <row r="59" spans="1:19" x14ac:dyDescent="0.3">
      <c r="A59" s="73"/>
      <c r="B59" s="18" t="s">
        <v>38</v>
      </c>
      <c r="C59" s="108">
        <f>C56*0.03</f>
        <v>15000</v>
      </c>
      <c r="D59" s="109"/>
      <c r="E59" s="16">
        <v>3</v>
      </c>
    </row>
    <row r="60" spans="1:19" x14ac:dyDescent="0.3">
      <c r="A60" s="73"/>
      <c r="B60" s="18" t="s">
        <v>39</v>
      </c>
      <c r="C60" s="108">
        <f>C56*0.02</f>
        <v>10000</v>
      </c>
      <c r="D60" s="109"/>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28" t="s">
        <v>0</v>
      </c>
      <c r="B1" s="128"/>
      <c r="C1" s="128"/>
      <c r="D1" s="128"/>
      <c r="E1" s="128"/>
      <c r="F1" s="128"/>
      <c r="G1" s="128"/>
      <c r="H1" s="128"/>
      <c r="I1" s="128"/>
      <c r="J1" s="128"/>
      <c r="K1" s="128"/>
    </row>
    <row r="2" spans="1:11" ht="24.6" x14ac:dyDescent="0.4">
      <c r="A2" s="129" t="s">
        <v>1</v>
      </c>
      <c r="B2" s="129"/>
      <c r="C2" s="129"/>
      <c r="D2" s="129"/>
      <c r="E2" s="129"/>
      <c r="F2" s="129"/>
      <c r="G2" s="129"/>
      <c r="H2" s="129"/>
      <c r="I2" s="129"/>
      <c r="J2" s="129"/>
      <c r="K2" s="129"/>
    </row>
    <row r="3" spans="1:11" s="1" customFormat="1" x14ac:dyDescent="0.3">
      <c r="A3" s="114" t="s">
        <v>2</v>
      </c>
      <c r="B3" s="114"/>
      <c r="C3" s="114"/>
      <c r="D3" s="114"/>
      <c r="E3" s="114"/>
      <c r="F3" s="114"/>
      <c r="G3" s="114"/>
      <c r="H3" s="114"/>
      <c r="I3" s="114"/>
      <c r="J3" s="114"/>
      <c r="K3" s="114"/>
    </row>
    <row r="4" spans="1:11" s="1" customFormat="1" x14ac:dyDescent="0.3">
      <c r="A4" s="114" t="s">
        <v>3</v>
      </c>
      <c r="B4" s="114"/>
      <c r="C4" s="114"/>
      <c r="D4" s="114"/>
      <c r="E4" s="114"/>
      <c r="F4" s="114"/>
      <c r="G4" s="114"/>
      <c r="H4" s="114"/>
      <c r="I4" s="114"/>
      <c r="J4" s="114"/>
      <c r="K4" s="114"/>
    </row>
    <row r="5" spans="1:11" ht="18" x14ac:dyDescent="0.35">
      <c r="A5" s="130" t="s">
        <v>18</v>
      </c>
      <c r="B5" s="130"/>
      <c r="C5" s="130"/>
      <c r="D5" s="130"/>
      <c r="E5" s="130"/>
      <c r="F5" s="130"/>
      <c r="G5" s="130"/>
      <c r="H5" s="130"/>
      <c r="I5" s="130"/>
      <c r="J5" s="130"/>
      <c r="K5" s="130"/>
    </row>
    <row r="6" spans="1:11" ht="18" x14ac:dyDescent="0.35">
      <c r="A6" s="12" t="s">
        <v>19</v>
      </c>
      <c r="B6" s="12"/>
      <c r="C6" s="126" t="e">
        <f>F18</f>
        <v>#REF!</v>
      </c>
      <c r="D6" s="127"/>
      <c r="E6" s="13"/>
      <c r="F6" s="12"/>
      <c r="G6" s="12"/>
      <c r="H6" s="12" t="s">
        <v>20</v>
      </c>
      <c r="I6" s="12"/>
      <c r="J6" s="126" t="e">
        <f>I18</f>
        <v>#REF!</v>
      </c>
      <c r="K6" s="127"/>
    </row>
    <row r="7" spans="1:11" x14ac:dyDescent="0.3">
      <c r="A7" s="37" t="s">
        <v>31</v>
      </c>
      <c r="B7" s="14"/>
      <c r="C7" s="14"/>
      <c r="D7" s="14"/>
      <c r="F7" s="121"/>
      <c r="G7" s="121"/>
      <c r="I7" s="122" t="s">
        <v>40</v>
      </c>
      <c r="J7" s="122"/>
      <c r="K7" s="122"/>
    </row>
    <row r="8" spans="1:11" ht="15.6" x14ac:dyDescent="0.3">
      <c r="A8" s="116" t="str">
        <f>Estimate!A6</f>
        <v>Project:- बेन्डोल हाईट सडक निर्माण</v>
      </c>
      <c r="B8" s="116"/>
      <c r="C8" s="116"/>
      <c r="D8" s="116"/>
      <c r="E8" s="116"/>
      <c r="F8" s="116"/>
      <c r="I8" s="123" t="s">
        <v>41</v>
      </c>
      <c r="J8" s="123"/>
      <c r="K8" s="123"/>
    </row>
    <row r="9" spans="1:11" x14ac:dyDescent="0.3">
      <c r="A9" s="124" t="str">
        <f>Estimate!A7</f>
        <v>Location:- Shankharapur Municipality 9</v>
      </c>
      <c r="B9" s="124"/>
      <c r="C9" s="124"/>
      <c r="D9" s="124"/>
      <c r="E9" s="124"/>
      <c r="F9" s="124"/>
      <c r="I9" s="123" t="s">
        <v>42</v>
      </c>
      <c r="J9" s="123"/>
      <c r="K9" s="123"/>
    </row>
    <row r="11" spans="1:11" x14ac:dyDescent="0.3">
      <c r="A11" s="119" t="s">
        <v>21</v>
      </c>
      <c r="B11" s="119" t="s">
        <v>22</v>
      </c>
      <c r="C11" s="119" t="s">
        <v>12</v>
      </c>
      <c r="D11" s="125" t="s">
        <v>23</v>
      </c>
      <c r="E11" s="125"/>
      <c r="F11" s="125"/>
      <c r="G11" s="125" t="s">
        <v>24</v>
      </c>
      <c r="H11" s="125"/>
      <c r="I11" s="125"/>
      <c r="J11" s="119" t="s">
        <v>25</v>
      </c>
      <c r="K11" s="120" t="s">
        <v>15</v>
      </c>
    </row>
    <row r="12" spans="1:11" x14ac:dyDescent="0.3">
      <c r="A12" s="119"/>
      <c r="B12" s="119"/>
      <c r="C12" s="119"/>
      <c r="D12" s="15" t="s">
        <v>26</v>
      </c>
      <c r="E12" s="15" t="s">
        <v>13</v>
      </c>
      <c r="F12" s="15" t="s">
        <v>14</v>
      </c>
      <c r="G12" s="15" t="s">
        <v>26</v>
      </c>
      <c r="H12" s="15" t="s">
        <v>13</v>
      </c>
      <c r="I12" s="15" t="s">
        <v>14</v>
      </c>
      <c r="J12" s="119"/>
      <c r="K12" s="120"/>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6" x14ac:dyDescent="0.3">
      <c r="A14" s="38"/>
      <c r="B14" s="45" t="e">
        <f>Estimate!#REF!</f>
        <v>#REF!</v>
      </c>
      <c r="C14" s="16"/>
      <c r="D14" s="16"/>
      <c r="E14" s="16"/>
      <c r="F14" s="16" t="e">
        <f>Estimate!#REF!</f>
        <v>#REF!</v>
      </c>
      <c r="G14" s="16"/>
      <c r="H14" s="16"/>
      <c r="I14" s="16" t="e">
        <f>#REF!</f>
        <v>#REF!</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3">
      <c r="A17" s="80"/>
      <c r="B17" s="77" t="s">
        <v>51</v>
      </c>
      <c r="C17" s="82"/>
      <c r="D17" s="83"/>
      <c r="E17" s="83"/>
      <c r="F17" s="83"/>
      <c r="G17" s="53">
        <f>SUM(G16:G16)</f>
        <v>1.3253594007331939</v>
      </c>
      <c r="H17" s="53" t="s">
        <v>49</v>
      </c>
      <c r="I17" s="53">
        <v>4561.53</v>
      </c>
      <c r="J17" s="84">
        <f>G17*I17</f>
        <v>6045.6666672264855</v>
      </c>
      <c r="K17" s="76"/>
    </row>
    <row r="18" spans="1:19" x14ac:dyDescent="0.3">
      <c r="A18" s="80"/>
      <c r="B18" s="77" t="s">
        <v>44</v>
      </c>
      <c r="C18" s="82"/>
      <c r="D18" s="83"/>
      <c r="E18" s="83"/>
      <c r="F18" s="83"/>
      <c r="G18" s="83"/>
      <c r="H18" s="83"/>
      <c r="I18" s="83"/>
      <c r="J18" s="85">
        <f>0.13*G17*(15452.6/5)</f>
        <v>532.48646557001359</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3">
      <c r="A22" s="80"/>
      <c r="B22" s="77" t="s">
        <v>51</v>
      </c>
      <c r="C22" s="82"/>
      <c r="D22" s="83"/>
      <c r="E22" s="83"/>
      <c r="F22" s="83"/>
      <c r="G22" s="53">
        <f>SUM(G21:G21)</f>
        <v>0.66267970036659696</v>
      </c>
      <c r="H22" s="53" t="s">
        <v>49</v>
      </c>
      <c r="I22" s="53">
        <v>10634.5</v>
      </c>
      <c r="J22" s="84">
        <f>G22*I22</f>
        <v>7047.2672735485758</v>
      </c>
      <c r="K22" s="76"/>
    </row>
    <row r="23" spans="1:19" ht="15" customHeight="1" x14ac:dyDescent="0.3">
      <c r="A23" s="80"/>
      <c r="B23" s="77" t="s">
        <v>44</v>
      </c>
      <c r="C23" s="82"/>
      <c r="D23" s="83"/>
      <c r="E23" s="83"/>
      <c r="F23" s="83"/>
      <c r="G23" s="83"/>
      <c r="H23" s="83"/>
      <c r="I23" s="83"/>
      <c r="J23" s="85">
        <f>0.13*G22*((114907.3+6135.3)/15)</f>
        <v>695.17477379648005</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3">
      <c r="A27" s="80"/>
      <c r="B27" s="77" t="s">
        <v>51</v>
      </c>
      <c r="C27" s="82"/>
      <c r="D27" s="83"/>
      <c r="E27" s="83"/>
      <c r="F27" s="83"/>
      <c r="G27" s="53">
        <f>SUM(G26:G26)</f>
        <v>5</v>
      </c>
      <c r="H27" s="53" t="s">
        <v>83</v>
      </c>
      <c r="I27" s="53">
        <v>4487</v>
      </c>
      <c r="J27" s="84">
        <f>G27*I27</f>
        <v>22435</v>
      </c>
      <c r="K27" s="76"/>
    </row>
    <row r="28" spans="1:19" ht="15" customHeight="1" x14ac:dyDescent="0.3">
      <c r="A28" s="80"/>
      <c r="B28" s="77" t="s">
        <v>44</v>
      </c>
      <c r="C28" s="82"/>
      <c r="D28" s="83"/>
      <c r="E28" s="83"/>
      <c r="F28" s="83"/>
      <c r="G28" s="83"/>
      <c r="H28" s="83"/>
      <c r="I28" s="83"/>
      <c r="J28" s="85">
        <f>0.13*J27</f>
        <v>2916.55</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3">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4935.4994258110964</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15" customHeight="1" x14ac:dyDescent="0.3">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3">
      <c r="A42" s="29"/>
      <c r="B42" s="35"/>
      <c r="C42" s="30"/>
      <c r="D42" s="31"/>
      <c r="E42" s="32"/>
      <c r="F42" s="32"/>
      <c r="G42" s="34"/>
      <c r="H42" s="33"/>
      <c r="I42" s="34"/>
      <c r="J42" s="81"/>
      <c r="K42" s="32"/>
      <c r="M42" s="36"/>
      <c r="N42" s="1"/>
      <c r="O42" s="1"/>
      <c r="P42" s="1"/>
      <c r="Q42" s="1"/>
      <c r="R42" s="36"/>
      <c r="S42" s="36"/>
    </row>
    <row r="43" spans="1:19" x14ac:dyDescent="0.3">
      <c r="A43" s="80"/>
      <c r="B43" s="87" t="s">
        <v>17</v>
      </c>
      <c r="C43" s="88"/>
      <c r="D43" s="78"/>
      <c r="E43" s="78"/>
      <c r="F43" s="78"/>
      <c r="G43" s="81"/>
      <c r="H43" s="81"/>
      <c r="I43" s="81"/>
      <c r="J43" s="81">
        <f>SUM(J10:J41)</f>
        <v>567994.51733539614</v>
      </c>
      <c r="K43" s="76"/>
    </row>
    <row r="44" spans="1:19" x14ac:dyDescent="0.3">
      <c r="A44" s="89"/>
      <c r="B44" s="90"/>
      <c r="C44" s="90"/>
      <c r="D44" s="90"/>
      <c r="E44" s="90"/>
      <c r="F44" s="90"/>
      <c r="G44" s="89"/>
      <c r="H44" s="89"/>
      <c r="I44" s="89"/>
      <c r="J44" s="89"/>
      <c r="K44" s="90"/>
    </row>
    <row r="45" spans="1:19" s="1" customFormat="1" x14ac:dyDescent="0.3">
      <c r="A45" s="91"/>
      <c r="B45" s="40" t="s">
        <v>27</v>
      </c>
      <c r="C45" s="133">
        <f>J43</f>
        <v>567994.51733539614</v>
      </c>
      <c r="D45" s="133"/>
      <c r="E45" s="79">
        <v>100</v>
      </c>
      <c r="F45" s="92"/>
      <c r="G45" s="93"/>
      <c r="H45" s="92"/>
      <c r="I45" s="94"/>
      <c r="J45" s="95"/>
      <c r="K45" s="96"/>
    </row>
    <row r="46" spans="1:19" x14ac:dyDescent="0.3">
      <c r="A46" s="97"/>
      <c r="B46" s="40" t="s">
        <v>35</v>
      </c>
      <c r="C46" s="134">
        <v>500000</v>
      </c>
      <c r="D46" s="134"/>
      <c r="E46" s="79"/>
      <c r="F46" s="90"/>
      <c r="G46" s="89"/>
      <c r="H46" s="89"/>
      <c r="I46" s="89"/>
      <c r="J46" s="89"/>
      <c r="K46" s="90"/>
    </row>
    <row r="47" spans="1:19" x14ac:dyDescent="0.3">
      <c r="A47" s="97"/>
      <c r="B47" s="40" t="s">
        <v>36</v>
      </c>
      <c r="C47" s="134">
        <f>C46-C49-C50</f>
        <v>475000</v>
      </c>
      <c r="D47" s="134"/>
      <c r="E47" s="79">
        <f>C47/C45*100</f>
        <v>83.627567785045414</v>
      </c>
      <c r="F47" s="90"/>
      <c r="G47" s="89"/>
      <c r="H47" s="89"/>
      <c r="I47" s="89"/>
      <c r="J47" s="89"/>
      <c r="K47" s="90"/>
    </row>
    <row r="48" spans="1:19" x14ac:dyDescent="0.3">
      <c r="A48" s="97"/>
      <c r="B48" s="40" t="s">
        <v>37</v>
      </c>
      <c r="C48" s="133">
        <f>C45-C47</f>
        <v>92994.517335396144</v>
      </c>
      <c r="D48" s="133"/>
      <c r="E48" s="79">
        <f>100-E47</f>
        <v>16.372432214954586</v>
      </c>
      <c r="F48" s="90"/>
      <c r="G48" s="89"/>
      <c r="H48" s="89"/>
      <c r="I48" s="89"/>
      <c r="J48" s="89"/>
      <c r="K48" s="90"/>
    </row>
    <row r="49" spans="1:11" x14ac:dyDescent="0.3">
      <c r="A49" s="97"/>
      <c r="B49" s="40" t="s">
        <v>38</v>
      </c>
      <c r="C49" s="133">
        <f>C46*0.03</f>
        <v>15000</v>
      </c>
      <c r="D49" s="133"/>
      <c r="E49" s="79">
        <v>3</v>
      </c>
      <c r="F49" s="90"/>
      <c r="G49" s="89"/>
      <c r="H49" s="89"/>
      <c r="I49" s="89"/>
      <c r="J49" s="89"/>
      <c r="K49" s="90"/>
    </row>
    <row r="50" spans="1:11" x14ac:dyDescent="0.3">
      <c r="A50" s="97"/>
      <c r="B50" s="40" t="s">
        <v>39</v>
      </c>
      <c r="C50" s="133">
        <f>C46*0.02</f>
        <v>10000</v>
      </c>
      <c r="D50" s="133"/>
      <c r="E50" s="79">
        <v>2</v>
      </c>
      <c r="F50" s="90"/>
      <c r="G50" s="89"/>
      <c r="H50" s="89"/>
      <c r="I50" s="89"/>
      <c r="J50" s="89"/>
      <c r="K50" s="90"/>
    </row>
    <row r="51" spans="1:11" s="75" customFormat="1" x14ac:dyDescent="0.3">
      <c r="A51" s="98"/>
      <c r="B51" s="98"/>
      <c r="C51" s="98"/>
      <c r="D51" s="98"/>
      <c r="E51" s="98"/>
      <c r="F51" s="98"/>
      <c r="G51" s="98"/>
      <c r="H51" s="98"/>
      <c r="I51" s="98"/>
      <c r="J51" s="98"/>
      <c r="K51" s="98"/>
    </row>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1.0602875205865552</v>
      </c>
      <c r="H17" s="53" t="s">
        <v>49</v>
      </c>
      <c r="I17" s="53">
        <v>4561.53</v>
      </c>
      <c r="J17" s="84">
        <f>G17*I17</f>
        <v>4836.533333781189</v>
      </c>
      <c r="K17" s="76"/>
    </row>
    <row r="18" spans="1:19" x14ac:dyDescent="0.3">
      <c r="A18" s="80"/>
      <c r="B18" s="77" t="s">
        <v>44</v>
      </c>
      <c r="C18" s="82"/>
      <c r="D18" s="83"/>
      <c r="E18" s="83"/>
      <c r="F18" s="83"/>
      <c r="G18" s="83"/>
      <c r="H18" s="83"/>
      <c r="I18" s="83"/>
      <c r="J18" s="85">
        <f>0.13*G17*(15452.6/5)</f>
        <v>425.98917245601086</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3">
      <c r="A22" s="80"/>
      <c r="B22" s="77" t="s">
        <v>51</v>
      </c>
      <c r="C22" s="82"/>
      <c r="D22" s="83"/>
      <c r="E22" s="83"/>
      <c r="F22" s="83"/>
      <c r="G22" s="53">
        <f>SUM(G21:G21)</f>
        <v>0.53014376029327759</v>
      </c>
      <c r="H22" s="53" t="s">
        <v>49</v>
      </c>
      <c r="I22" s="53">
        <v>10634.5</v>
      </c>
      <c r="J22" s="84">
        <f>G22*I22</f>
        <v>5637.8138188388602</v>
      </c>
      <c r="K22" s="76"/>
    </row>
    <row r="23" spans="1:19" ht="15" customHeight="1" x14ac:dyDescent="0.3">
      <c r="A23" s="80"/>
      <c r="B23" s="77" t="s">
        <v>44</v>
      </c>
      <c r="C23" s="82"/>
      <c r="D23" s="83"/>
      <c r="E23" s="83"/>
      <c r="F23" s="83"/>
      <c r="G23" s="83"/>
      <c r="H23" s="83"/>
      <c r="I23" s="83"/>
      <c r="J23" s="85">
        <f>0.13*G22*((114907.3+6135.3)/15)</f>
        <v>556.13981903718411</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3">
      <c r="A27" s="80"/>
      <c r="B27" s="77" t="s">
        <v>51</v>
      </c>
      <c r="C27" s="82"/>
      <c r="D27" s="83"/>
      <c r="E27" s="83"/>
      <c r="F27" s="83"/>
      <c r="G27" s="53">
        <f>SUM(G26:G26)</f>
        <v>4</v>
      </c>
      <c r="H27" s="53" t="s">
        <v>83</v>
      </c>
      <c r="I27" s="53">
        <v>4487</v>
      </c>
      <c r="J27" s="84">
        <f>G27*I27</f>
        <v>17948</v>
      </c>
      <c r="K27" s="76"/>
    </row>
    <row r="28" spans="1:19" ht="15" customHeight="1" x14ac:dyDescent="0.3">
      <c r="A28" s="80"/>
      <c r="B28" s="77" t="s">
        <v>44</v>
      </c>
      <c r="C28" s="82"/>
      <c r="D28" s="83"/>
      <c r="E28" s="83"/>
      <c r="F28" s="83"/>
      <c r="G28" s="83"/>
      <c r="H28" s="83"/>
      <c r="I28" s="83"/>
      <c r="J28" s="85">
        <f>0.13*J27</f>
        <v>2333.2400000000002</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3">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3948.3995406488775</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96.6" x14ac:dyDescent="0.3">
      <c r="A41" s="29">
        <v>8</v>
      </c>
      <c r="B41" s="41" t="s">
        <v>85</v>
      </c>
      <c r="C41" s="76"/>
      <c r="D41" s="78"/>
      <c r="E41" s="78"/>
      <c r="F41" s="78"/>
      <c r="G41" s="81"/>
      <c r="H41" s="80"/>
      <c r="I41" s="80"/>
      <c r="J41" s="80"/>
      <c r="K41" s="32"/>
      <c r="M41" s="36"/>
      <c r="N41" s="1"/>
      <c r="O41" s="1"/>
      <c r="P41" s="1"/>
      <c r="Q41" s="1"/>
      <c r="R41" s="36"/>
      <c r="S41" s="36"/>
    </row>
    <row r="42" spans="1:19" ht="15" customHeight="1" x14ac:dyDescent="0.3">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3">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3">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3">
      <c r="A45" s="29"/>
      <c r="B45" s="77"/>
      <c r="C45" s="76"/>
      <c r="D45" s="78"/>
      <c r="E45" s="78"/>
      <c r="F45" s="78"/>
      <c r="G45" s="81"/>
      <c r="H45" s="80"/>
      <c r="I45" s="80"/>
      <c r="J45" s="80"/>
      <c r="K45" s="32"/>
      <c r="M45" s="36"/>
      <c r="N45" s="1"/>
      <c r="O45" s="1"/>
      <c r="P45" s="1"/>
      <c r="Q45" s="1"/>
      <c r="R45" s="36"/>
      <c r="S45" s="36"/>
    </row>
    <row r="46" spans="1:19" ht="15" customHeight="1" x14ac:dyDescent="0.3">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3">
      <c r="A47" s="29"/>
      <c r="B47" s="35"/>
      <c r="C47" s="30"/>
      <c r="D47" s="31"/>
      <c r="E47" s="32"/>
      <c r="F47" s="32"/>
      <c r="G47" s="34"/>
      <c r="H47" s="33"/>
      <c r="I47" s="34"/>
      <c r="J47" s="81"/>
      <c r="K47" s="32"/>
      <c r="M47" s="36"/>
      <c r="N47" s="1"/>
      <c r="O47" s="1"/>
      <c r="P47" s="1"/>
      <c r="Q47" s="1"/>
      <c r="R47" s="36"/>
      <c r="S47" s="36"/>
    </row>
    <row r="48" spans="1:19" x14ac:dyDescent="0.3">
      <c r="A48" s="80"/>
      <c r="B48" s="87" t="s">
        <v>17</v>
      </c>
      <c r="C48" s="88"/>
      <c r="D48" s="78"/>
      <c r="E48" s="78"/>
      <c r="F48" s="78"/>
      <c r="G48" s="81"/>
      <c r="H48" s="81"/>
      <c r="I48" s="81"/>
      <c r="J48" s="81">
        <f>SUM(J11:J46)</f>
        <v>559609.14225031692</v>
      </c>
      <c r="K48" s="76"/>
    </row>
    <row r="49" spans="1:11" x14ac:dyDescent="0.3">
      <c r="A49" s="89"/>
      <c r="B49" s="90"/>
      <c r="C49" s="90"/>
      <c r="D49" s="90"/>
      <c r="E49" s="90"/>
      <c r="F49" s="90"/>
      <c r="G49" s="89"/>
      <c r="H49" s="89"/>
      <c r="I49" s="89"/>
      <c r="J49" s="89"/>
      <c r="K49" s="90"/>
    </row>
    <row r="50" spans="1:11" s="1" customFormat="1" x14ac:dyDescent="0.3">
      <c r="A50" s="91"/>
      <c r="B50" s="40" t="s">
        <v>27</v>
      </c>
      <c r="C50" s="133">
        <f>J48</f>
        <v>559609.14225031692</v>
      </c>
      <c r="D50" s="133"/>
      <c r="E50" s="79">
        <v>100</v>
      </c>
      <c r="F50" s="92"/>
      <c r="G50" s="93"/>
      <c r="H50" s="92"/>
      <c r="I50" s="94"/>
      <c r="J50" s="95"/>
      <c r="K50" s="96"/>
    </row>
    <row r="51" spans="1:11" x14ac:dyDescent="0.3">
      <c r="A51" s="97"/>
      <c r="B51" s="40" t="s">
        <v>35</v>
      </c>
      <c r="C51" s="134">
        <v>500000</v>
      </c>
      <c r="D51" s="134"/>
      <c r="E51" s="79"/>
      <c r="F51" s="90"/>
      <c r="G51" s="89"/>
      <c r="H51" s="89"/>
      <c r="I51" s="89"/>
      <c r="J51" s="89"/>
      <c r="K51" s="90"/>
    </row>
    <row r="52" spans="1:11" x14ac:dyDescent="0.3">
      <c r="A52" s="97"/>
      <c r="B52" s="40" t="s">
        <v>36</v>
      </c>
      <c r="C52" s="134">
        <f>C51-C54-C55</f>
        <v>475000</v>
      </c>
      <c r="D52" s="134"/>
      <c r="E52" s="79">
        <f>C52/C50*100</f>
        <v>84.880671907881251</v>
      </c>
      <c r="F52" s="90"/>
      <c r="G52" s="89"/>
      <c r="H52" s="89"/>
      <c r="I52" s="89"/>
      <c r="J52" s="89"/>
      <c r="K52" s="90"/>
    </row>
    <row r="53" spans="1:11" x14ac:dyDescent="0.3">
      <c r="A53" s="97"/>
      <c r="B53" s="40" t="s">
        <v>37</v>
      </c>
      <c r="C53" s="133">
        <f>C50-C52</f>
        <v>84609.142250316916</v>
      </c>
      <c r="D53" s="133"/>
      <c r="E53" s="79">
        <f>100-E52</f>
        <v>15.119328092118749</v>
      </c>
      <c r="F53" s="90"/>
      <c r="G53" s="89"/>
      <c r="H53" s="89"/>
      <c r="I53" s="89"/>
      <c r="J53" s="89"/>
      <c r="K53" s="90"/>
    </row>
    <row r="54" spans="1:11" x14ac:dyDescent="0.3">
      <c r="A54" s="97"/>
      <c r="B54" s="40" t="s">
        <v>38</v>
      </c>
      <c r="C54" s="133">
        <f>C51*0.03</f>
        <v>15000</v>
      </c>
      <c r="D54" s="133"/>
      <c r="E54" s="79">
        <v>3</v>
      </c>
      <c r="F54" s="90"/>
      <c r="G54" s="89"/>
      <c r="H54" s="89"/>
      <c r="I54" s="89"/>
      <c r="J54" s="89"/>
      <c r="K54" s="90"/>
    </row>
    <row r="55" spans="1:11" x14ac:dyDescent="0.3">
      <c r="A55" s="97"/>
      <c r="B55" s="40" t="s">
        <v>39</v>
      </c>
      <c r="C55" s="133">
        <f>C51*0.02</f>
        <v>10000</v>
      </c>
      <c r="D55" s="133"/>
      <c r="E55" s="79">
        <v>2</v>
      </c>
      <c r="F55" s="90"/>
      <c r="G55" s="89"/>
      <c r="H55" s="89"/>
      <c r="I55" s="89"/>
      <c r="J55" s="89"/>
      <c r="K55" s="90"/>
    </row>
    <row r="56" spans="1:11" s="75" customFormat="1" x14ac:dyDescent="0.3">
      <c r="A56" s="98"/>
      <c r="B56" s="98"/>
      <c r="C56" s="98"/>
      <c r="D56" s="98"/>
      <c r="E56" s="98"/>
      <c r="F56" s="98"/>
      <c r="G56" s="98"/>
      <c r="H56" s="98"/>
      <c r="I56" s="98"/>
      <c r="J56" s="98"/>
      <c r="K56" s="98"/>
    </row>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3">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3">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3">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3">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82.8" x14ac:dyDescent="0.3">
      <c r="A16" s="29">
        <v>2</v>
      </c>
      <c r="B16" s="41" t="s">
        <v>73</v>
      </c>
      <c r="C16" s="30"/>
      <c r="D16" s="31"/>
      <c r="E16" s="32"/>
      <c r="F16" s="32"/>
      <c r="G16" s="34"/>
      <c r="H16" s="33"/>
      <c r="I16" s="34"/>
      <c r="J16" s="81"/>
      <c r="K16" s="32"/>
      <c r="M16" s="36"/>
      <c r="N16" s="1"/>
      <c r="O16" s="1"/>
      <c r="P16" s="1"/>
      <c r="Q16" s="1"/>
      <c r="R16" s="36"/>
      <c r="S16" s="36"/>
    </row>
    <row r="17" spans="1:19" ht="15" customHeight="1" x14ac:dyDescent="0.3">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3">
      <c r="A18" s="80"/>
      <c r="B18" s="77" t="s">
        <v>51</v>
      </c>
      <c r="C18" s="82"/>
      <c r="D18" s="83"/>
      <c r="E18" s="83"/>
      <c r="F18" s="83"/>
      <c r="G18" s="53">
        <f>SUM(G17:G17)</f>
        <v>0.53014376029327759</v>
      </c>
      <c r="H18" s="53" t="s">
        <v>49</v>
      </c>
      <c r="I18" s="53">
        <v>4561.53</v>
      </c>
      <c r="J18" s="84">
        <f>G18*I18</f>
        <v>2418.2666668905945</v>
      </c>
      <c r="K18" s="76"/>
    </row>
    <row r="19" spans="1:19" x14ac:dyDescent="0.3">
      <c r="A19" s="80"/>
      <c r="B19" s="77" t="s">
        <v>44</v>
      </c>
      <c r="C19" s="82"/>
      <c r="D19" s="83"/>
      <c r="E19" s="83"/>
      <c r="F19" s="83"/>
      <c r="G19" s="83"/>
      <c r="H19" s="83"/>
      <c r="I19" s="83"/>
      <c r="J19" s="85">
        <f>0.13*G18*(15452.6/5)</f>
        <v>212.99458622800543</v>
      </c>
      <c r="K19" s="76"/>
    </row>
    <row r="20" spans="1:19" x14ac:dyDescent="0.3">
      <c r="A20" s="80"/>
      <c r="B20" s="77"/>
      <c r="C20" s="82"/>
      <c r="D20" s="83"/>
      <c r="E20" s="83"/>
      <c r="F20" s="83"/>
      <c r="G20" s="83"/>
      <c r="H20" s="83"/>
      <c r="I20" s="83"/>
      <c r="J20" s="85"/>
      <c r="K20" s="76"/>
    </row>
    <row r="21" spans="1:19" ht="69" x14ac:dyDescent="0.3">
      <c r="A21" s="29">
        <v>3</v>
      </c>
      <c r="B21" s="41" t="s">
        <v>56</v>
      </c>
      <c r="C21" s="30"/>
      <c r="D21" s="31"/>
      <c r="E21" s="32"/>
      <c r="F21" s="32"/>
      <c r="G21" s="34"/>
      <c r="H21" s="33"/>
      <c r="I21" s="34"/>
      <c r="J21" s="81"/>
      <c r="K21" s="32"/>
      <c r="M21" s="36"/>
      <c r="N21" s="1"/>
      <c r="O21" s="1"/>
      <c r="P21" s="1"/>
      <c r="Q21" s="1"/>
      <c r="R21" s="36"/>
      <c r="S21" s="36"/>
    </row>
    <row r="22" spans="1:19" ht="15" customHeight="1" x14ac:dyDescent="0.3">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3">
      <c r="A23" s="80"/>
      <c r="B23" s="77" t="s">
        <v>51</v>
      </c>
      <c r="C23" s="82"/>
      <c r="D23" s="83"/>
      <c r="E23" s="83"/>
      <c r="F23" s="83"/>
      <c r="G23" s="53">
        <f>SUM(G22:G22)</f>
        <v>0.26507188014663879</v>
      </c>
      <c r="H23" s="53" t="s">
        <v>49</v>
      </c>
      <c r="I23" s="53">
        <v>10634.5</v>
      </c>
      <c r="J23" s="84">
        <f>G23*I23</f>
        <v>2818.9069094194301</v>
      </c>
      <c r="K23" s="76"/>
    </row>
    <row r="24" spans="1:19" ht="15" customHeight="1" x14ac:dyDescent="0.3">
      <c r="A24" s="80"/>
      <c r="B24" s="77" t="s">
        <v>44</v>
      </c>
      <c r="C24" s="82"/>
      <c r="D24" s="83"/>
      <c r="E24" s="83"/>
      <c r="F24" s="83"/>
      <c r="G24" s="83"/>
      <c r="H24" s="83"/>
      <c r="I24" s="83"/>
      <c r="J24" s="85">
        <f>0.13*G23*((114907.3+6135.3)/15)</f>
        <v>278.06990951859206</v>
      </c>
      <c r="K24" s="76"/>
    </row>
    <row r="25" spans="1:19" ht="15" customHeight="1" x14ac:dyDescent="0.3">
      <c r="A25" s="80"/>
      <c r="B25" s="77"/>
      <c r="C25" s="82"/>
      <c r="D25" s="83"/>
      <c r="E25" s="83"/>
      <c r="F25" s="83"/>
      <c r="G25" s="83"/>
      <c r="H25" s="83"/>
      <c r="I25" s="83"/>
      <c r="J25" s="85"/>
      <c r="K25" s="76"/>
    </row>
    <row r="26" spans="1:19" ht="19.8" x14ac:dyDescent="0.3">
      <c r="A26" s="29">
        <v>5</v>
      </c>
      <c r="B26" s="41" t="s">
        <v>81</v>
      </c>
      <c r="C26" s="30"/>
      <c r="D26" s="31"/>
      <c r="E26" s="32"/>
      <c r="F26" s="32"/>
      <c r="G26" s="34"/>
      <c r="H26" s="33"/>
      <c r="I26" s="34"/>
      <c r="J26" s="81"/>
      <c r="K26" s="32"/>
      <c r="M26" s="36"/>
      <c r="N26" s="1"/>
      <c r="O26" s="1"/>
      <c r="P26" s="1"/>
      <c r="Q26" s="1"/>
      <c r="R26" s="36"/>
      <c r="S26" s="36"/>
    </row>
    <row r="27" spans="1:19" ht="28.2" x14ac:dyDescent="0.3">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3">
      <c r="A28" s="80"/>
      <c r="B28" s="77" t="s">
        <v>51</v>
      </c>
      <c r="C28" s="82"/>
      <c r="D28" s="83"/>
      <c r="E28" s="83"/>
      <c r="F28" s="83"/>
      <c r="G28" s="53">
        <f>SUM(G27:G27)</f>
        <v>2</v>
      </c>
      <c r="H28" s="53" t="s">
        <v>83</v>
      </c>
      <c r="I28" s="53">
        <v>7063</v>
      </c>
      <c r="J28" s="84">
        <f>G28*I28</f>
        <v>14126</v>
      </c>
      <c r="K28" s="76"/>
    </row>
    <row r="29" spans="1:19" ht="15" customHeight="1" x14ac:dyDescent="0.3">
      <c r="A29" s="80"/>
      <c r="B29" s="77" t="s">
        <v>44</v>
      </c>
      <c r="C29" s="82"/>
      <c r="D29" s="83"/>
      <c r="E29" s="83"/>
      <c r="F29" s="83"/>
      <c r="G29" s="83"/>
      <c r="H29" s="83"/>
      <c r="I29" s="83"/>
      <c r="J29" s="85">
        <f>0.13*J28</f>
        <v>1836.38</v>
      </c>
      <c r="K29" s="76"/>
    </row>
    <row r="30" spans="1:19" ht="15" customHeight="1" x14ac:dyDescent="0.3">
      <c r="A30" s="80"/>
      <c r="B30" s="77"/>
      <c r="C30" s="82"/>
      <c r="D30" s="83"/>
      <c r="E30" s="83"/>
      <c r="F30" s="83"/>
      <c r="G30" s="83"/>
      <c r="H30" s="83"/>
      <c r="I30" s="83"/>
      <c r="J30" s="85"/>
      <c r="K30" s="76"/>
    </row>
    <row r="31" spans="1:19" ht="30.6" x14ac:dyDescent="0.3">
      <c r="A31" s="29">
        <v>6</v>
      </c>
      <c r="B31" s="74" t="s">
        <v>77</v>
      </c>
      <c r="C31" s="30"/>
      <c r="D31" s="31"/>
      <c r="E31" s="32"/>
      <c r="F31" s="32"/>
      <c r="G31" s="34"/>
      <c r="H31" s="33"/>
      <c r="I31" s="34"/>
      <c r="J31" s="81"/>
      <c r="K31" s="32"/>
      <c r="M31" s="36"/>
      <c r="N31" s="1"/>
      <c r="O31" s="1"/>
      <c r="P31" s="1"/>
      <c r="Q31" s="1"/>
      <c r="R31" s="36"/>
      <c r="S31" s="36"/>
    </row>
    <row r="32" spans="1:19" ht="15" customHeight="1" x14ac:dyDescent="0.3">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3">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3">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3">
      <c r="A35" s="80"/>
      <c r="B35" s="77" t="s">
        <v>44</v>
      </c>
      <c r="C35" s="82"/>
      <c r="D35" s="83"/>
      <c r="E35" s="83"/>
      <c r="F35" s="83"/>
      <c r="G35" s="83"/>
      <c r="H35" s="83"/>
      <c r="I35" s="83"/>
      <c r="J35" s="85">
        <f>0.13*G34*10311.74</f>
        <v>1960.8292254629134</v>
      </c>
      <c r="K35" s="76"/>
    </row>
    <row r="36" spans="1:19" ht="15" customHeight="1" x14ac:dyDescent="0.3">
      <c r="A36" s="80"/>
      <c r="B36" s="77"/>
      <c r="C36" s="82"/>
      <c r="D36" s="83"/>
      <c r="E36" s="83"/>
      <c r="F36" s="83"/>
      <c r="G36" s="83"/>
      <c r="H36" s="83"/>
      <c r="I36" s="83"/>
      <c r="J36" s="85"/>
      <c r="K36" s="76"/>
    </row>
    <row r="37" spans="1:19" ht="82.8" x14ac:dyDescent="0.3">
      <c r="A37" s="29">
        <v>7</v>
      </c>
      <c r="B37" s="41" t="s">
        <v>72</v>
      </c>
      <c r="C37" s="76"/>
      <c r="D37" s="78"/>
      <c r="E37" s="78"/>
      <c r="F37" s="78"/>
      <c r="G37" s="81"/>
      <c r="H37" s="80"/>
      <c r="I37" s="80"/>
      <c r="J37" s="80"/>
      <c r="K37" s="32"/>
      <c r="M37" s="36"/>
      <c r="N37" s="1"/>
      <c r="O37" s="1"/>
      <c r="P37" s="1"/>
      <c r="Q37" s="1"/>
      <c r="R37" s="36"/>
      <c r="S37" s="36"/>
    </row>
    <row r="38" spans="1:19" ht="15" customHeight="1" x14ac:dyDescent="0.3">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3">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3">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3">
      <c r="A41" s="29"/>
      <c r="B41" s="77"/>
      <c r="C41" s="76"/>
      <c r="D41" s="78"/>
      <c r="E41" s="78"/>
      <c r="F41" s="78"/>
      <c r="G41" s="81"/>
      <c r="H41" s="80"/>
      <c r="I41" s="80"/>
      <c r="J41" s="80"/>
      <c r="K41" s="32"/>
      <c r="M41" s="36"/>
      <c r="N41" s="1"/>
      <c r="O41" s="1"/>
      <c r="P41" s="1"/>
      <c r="Q41" s="1"/>
      <c r="R41" s="36"/>
      <c r="S41" s="36"/>
    </row>
    <row r="42" spans="1:19" ht="82.8" x14ac:dyDescent="0.3">
      <c r="A42" s="29">
        <v>8</v>
      </c>
      <c r="B42" s="41" t="s">
        <v>88</v>
      </c>
      <c r="C42" s="76"/>
      <c r="D42" s="78"/>
      <c r="E42" s="78"/>
      <c r="F42" s="78"/>
      <c r="G42" s="81"/>
      <c r="H42" s="80"/>
      <c r="I42" s="80"/>
      <c r="J42" s="80"/>
      <c r="K42" s="32"/>
      <c r="M42" s="36"/>
      <c r="N42" s="1"/>
      <c r="O42" s="1"/>
      <c r="P42" s="1"/>
      <c r="Q42" s="1"/>
      <c r="R42" s="36"/>
      <c r="S42" s="36"/>
    </row>
    <row r="43" spans="1:19" ht="15" customHeight="1" x14ac:dyDescent="0.3">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3">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3">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3">
      <c r="A46" s="29"/>
      <c r="B46" s="77"/>
      <c r="C46" s="76"/>
      <c r="D46" s="78"/>
      <c r="E46" s="78"/>
      <c r="F46" s="78"/>
      <c r="G46" s="81"/>
      <c r="H46" s="80"/>
      <c r="I46" s="80"/>
      <c r="J46" s="80"/>
      <c r="K46" s="32"/>
      <c r="M46" s="36"/>
      <c r="N46" s="1"/>
      <c r="O46" s="1"/>
      <c r="P46" s="1"/>
      <c r="Q46" s="1"/>
      <c r="R46" s="36"/>
      <c r="S46" s="36"/>
    </row>
    <row r="47" spans="1:19" ht="15" customHeight="1" x14ac:dyDescent="0.3">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3">
      <c r="A48" s="29"/>
      <c r="B48" s="35"/>
      <c r="C48" s="30"/>
      <c r="D48" s="31"/>
      <c r="E48" s="32"/>
      <c r="F48" s="32"/>
      <c r="G48" s="34"/>
      <c r="H48" s="33"/>
      <c r="I48" s="34"/>
      <c r="J48" s="81"/>
      <c r="K48" s="32"/>
      <c r="M48" s="36"/>
      <c r="N48" s="1"/>
      <c r="O48" s="1"/>
      <c r="P48" s="1"/>
      <c r="Q48" s="1"/>
      <c r="R48" s="36"/>
      <c r="S48" s="36"/>
    </row>
    <row r="49" spans="1:11" x14ac:dyDescent="0.3">
      <c r="A49" s="80"/>
      <c r="B49" s="87" t="s">
        <v>17</v>
      </c>
      <c r="C49" s="88"/>
      <c r="D49" s="78"/>
      <c r="E49" s="78"/>
      <c r="F49" s="78"/>
      <c r="G49" s="81"/>
      <c r="H49" s="81"/>
      <c r="I49" s="81"/>
      <c r="J49" s="81">
        <f>SUM(J10:J47)</f>
        <v>560312.25104410131</v>
      </c>
      <c r="K49" s="76"/>
    </row>
    <row r="50" spans="1:11" x14ac:dyDescent="0.3">
      <c r="A50" s="89"/>
      <c r="B50" s="90"/>
      <c r="C50" s="90"/>
      <c r="D50" s="90"/>
      <c r="E50" s="90"/>
      <c r="F50" s="90"/>
      <c r="G50" s="89"/>
      <c r="H50" s="89"/>
      <c r="I50" s="89"/>
      <c r="J50" s="89"/>
      <c r="K50" s="90"/>
    </row>
    <row r="51" spans="1:11" s="1" customFormat="1" x14ac:dyDescent="0.3">
      <c r="A51" s="91"/>
      <c r="B51" s="40" t="s">
        <v>27</v>
      </c>
      <c r="C51" s="133">
        <f>J49</f>
        <v>560312.25104410131</v>
      </c>
      <c r="D51" s="133"/>
      <c r="E51" s="79">
        <v>100</v>
      </c>
      <c r="F51" s="92"/>
      <c r="G51" s="93"/>
      <c r="H51" s="92"/>
      <c r="I51" s="94"/>
      <c r="J51" s="95"/>
      <c r="K51" s="96"/>
    </row>
    <row r="52" spans="1:11" x14ac:dyDescent="0.3">
      <c r="A52" s="97"/>
      <c r="B52" s="40" t="s">
        <v>35</v>
      </c>
      <c r="C52" s="134">
        <v>500000</v>
      </c>
      <c r="D52" s="134"/>
      <c r="E52" s="79"/>
      <c r="F52" s="90"/>
      <c r="G52" s="89"/>
      <c r="H52" s="89"/>
      <c r="I52" s="89"/>
      <c r="J52" s="89"/>
      <c r="K52" s="90"/>
    </row>
    <row r="53" spans="1:11" x14ac:dyDescent="0.3">
      <c r="A53" s="97"/>
      <c r="B53" s="40" t="s">
        <v>36</v>
      </c>
      <c r="C53" s="134">
        <f>C52-C55-C56</f>
        <v>475000</v>
      </c>
      <c r="D53" s="134"/>
      <c r="E53" s="79">
        <f>C53/C51*100</f>
        <v>84.774159250466482</v>
      </c>
      <c r="F53" s="90"/>
      <c r="G53" s="89"/>
      <c r="H53" s="89"/>
      <c r="I53" s="89"/>
      <c r="J53" s="89"/>
      <c r="K53" s="90"/>
    </row>
    <row r="54" spans="1:11" x14ac:dyDescent="0.3">
      <c r="A54" s="97"/>
      <c r="B54" s="40" t="s">
        <v>37</v>
      </c>
      <c r="C54" s="133">
        <f>C51-C53</f>
        <v>85312.251044101315</v>
      </c>
      <c r="D54" s="133"/>
      <c r="E54" s="79">
        <f>100-E53</f>
        <v>15.225840749533518</v>
      </c>
      <c r="F54" s="90"/>
      <c r="G54" s="89"/>
      <c r="H54" s="89"/>
      <c r="I54" s="89"/>
      <c r="J54" s="89"/>
      <c r="K54" s="90"/>
    </row>
    <row r="55" spans="1:11" x14ac:dyDescent="0.3">
      <c r="A55" s="97"/>
      <c r="B55" s="40" t="s">
        <v>38</v>
      </c>
      <c r="C55" s="133">
        <f>C52*0.03</f>
        <v>15000</v>
      </c>
      <c r="D55" s="133"/>
      <c r="E55" s="79">
        <v>3</v>
      </c>
      <c r="F55" s="90"/>
      <c r="G55" s="89"/>
      <c r="H55" s="89"/>
      <c r="I55" s="89"/>
      <c r="J55" s="89"/>
      <c r="K55" s="90"/>
    </row>
    <row r="56" spans="1:11" x14ac:dyDescent="0.3">
      <c r="A56" s="97"/>
      <c r="B56" s="40" t="s">
        <v>39</v>
      </c>
      <c r="C56" s="133">
        <f>C52*0.02</f>
        <v>10000</v>
      </c>
      <c r="D56" s="133"/>
      <c r="E56" s="79">
        <v>2</v>
      </c>
      <c r="F56" s="90"/>
      <c r="G56" s="89"/>
      <c r="H56" s="89"/>
      <c r="I56" s="89"/>
      <c r="J56" s="89"/>
      <c r="K56" s="90"/>
    </row>
    <row r="57" spans="1:11" s="75" customFormat="1" x14ac:dyDescent="0.3">
      <c r="A57" s="98"/>
      <c r="B57" s="98"/>
      <c r="C57" s="98"/>
      <c r="D57" s="98"/>
      <c r="E57" s="98"/>
      <c r="F57" s="98"/>
      <c r="G57" s="98"/>
      <c r="H57" s="98"/>
      <c r="I57" s="98"/>
      <c r="J57" s="98"/>
      <c r="K57" s="98"/>
    </row>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4"/>
  <sheetViews>
    <sheetView tabSelected="1" topLeftCell="A23" zoomScaleNormal="100" workbookViewId="0">
      <selection activeCell="P20" sqref="P20"/>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90</v>
      </c>
      <c r="B6" s="116"/>
      <c r="C6" s="116"/>
      <c r="D6" s="116"/>
      <c r="E6" s="116"/>
      <c r="F6" s="116"/>
      <c r="G6" s="2"/>
      <c r="H6" s="117" t="s">
        <v>79</v>
      </c>
      <c r="I6" s="117"/>
      <c r="J6" s="117"/>
      <c r="K6" s="117"/>
    </row>
    <row r="7" spans="1:19" ht="15.6" x14ac:dyDescent="0.3">
      <c r="A7" s="131" t="s">
        <v>28</v>
      </c>
      <c r="B7" s="131"/>
      <c r="C7" s="131"/>
      <c r="D7" s="131"/>
      <c r="E7" s="131"/>
      <c r="F7" s="131"/>
      <c r="G7" s="3"/>
      <c r="H7" s="132" t="s">
        <v>89</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30.6" x14ac:dyDescent="0.3">
      <c r="A9" s="40">
        <v>1</v>
      </c>
      <c r="B9" s="135" t="s">
        <v>91</v>
      </c>
      <c r="C9" s="76"/>
      <c r="D9" s="76"/>
      <c r="E9" s="76"/>
      <c r="F9" s="76"/>
      <c r="G9" s="76"/>
      <c r="H9" s="76"/>
      <c r="I9" s="76"/>
      <c r="J9" s="76"/>
      <c r="K9" s="76"/>
    </row>
    <row r="10" spans="1:19" ht="15" customHeight="1" x14ac:dyDescent="0.3">
      <c r="A10" s="29"/>
      <c r="B10" s="77" t="s">
        <v>92</v>
      </c>
      <c r="C10" s="76">
        <v>1</v>
      </c>
      <c r="D10" s="78">
        <f>((15+15.083)/2)/3.281</f>
        <v>4.5844254800365736</v>
      </c>
      <c r="E10" s="78">
        <f>((11.25+11.25)/2)/3.281</f>
        <v>3.4288326729655592</v>
      </c>
      <c r="F10" s="78">
        <v>0.15</v>
      </c>
      <c r="G10" s="79">
        <f>PRODUCT(C10:F10)</f>
        <v>2.3578841809087834</v>
      </c>
      <c r="H10" s="80"/>
      <c r="I10" s="80"/>
      <c r="J10" s="80"/>
      <c r="K10" s="32"/>
      <c r="M10" s="36"/>
      <c r="N10" s="1">
        <f>CONVERT((D10*E10),"m2","ft2")</f>
        <v>169.20036064186084</v>
      </c>
      <c r="O10" s="1"/>
      <c r="P10" s="1"/>
      <c r="Q10" s="1"/>
      <c r="R10" s="36"/>
      <c r="S10" s="36"/>
    </row>
    <row r="11" spans="1:19" ht="15" customHeight="1" x14ac:dyDescent="0.3">
      <c r="A11" s="29"/>
      <c r="B11" s="77"/>
      <c r="C11" s="76">
        <v>1</v>
      </c>
      <c r="D11" s="78">
        <f>((15+15.083)/2)/3.281</f>
        <v>4.5844254800365736</v>
      </c>
      <c r="E11" s="78">
        <f>((11.083+10.5)/2)/3.281</f>
        <v>3.289088692471807</v>
      </c>
      <c r="F11" s="78">
        <f>0.15</f>
        <v>0.15</v>
      </c>
      <c r="G11" s="79">
        <f>PRODUCT(C11:F11)</f>
        <v>2.2617873011801892</v>
      </c>
      <c r="H11" s="80"/>
      <c r="I11" s="80"/>
      <c r="J11" s="80"/>
      <c r="K11" s="32"/>
      <c r="M11" s="36"/>
      <c r="N11" s="1">
        <f>CONVERT((D11*E11),"m2","ft2")</f>
        <v>162.3045059437014</v>
      </c>
      <c r="O11" s="1"/>
      <c r="P11" s="1"/>
      <c r="Q11" s="1"/>
      <c r="R11" s="36"/>
      <c r="S11" s="36"/>
    </row>
    <row r="12" spans="1:19" ht="15" customHeight="1" x14ac:dyDescent="0.3">
      <c r="A12" s="29"/>
      <c r="B12" s="77"/>
      <c r="C12" s="76">
        <v>1</v>
      </c>
      <c r="D12" s="78">
        <f>((11.5+11.667)/2)/3.281</f>
        <v>3.5304785126485827</v>
      </c>
      <c r="E12" s="78">
        <f>((12.75+12.75)/2)/3.281</f>
        <v>3.8860103626943006</v>
      </c>
      <c r="F12" s="78">
        <f>0.15</f>
        <v>0.15</v>
      </c>
      <c r="G12" s="79">
        <f>PRODUCT(C12:F12)</f>
        <v>2.0579214128132932</v>
      </c>
      <c r="H12" s="80"/>
      <c r="I12" s="80"/>
      <c r="J12" s="80"/>
      <c r="K12" s="32"/>
      <c r="M12" s="36"/>
      <c r="N12" s="1">
        <f t="shared" ref="N12:N13" si="0">CONVERT((D12*E12),"m2","ft2")</f>
        <v>147.67521154767331</v>
      </c>
      <c r="O12" s="1"/>
      <c r="P12" s="1"/>
      <c r="Q12" s="1"/>
      <c r="R12" s="36"/>
      <c r="S12" s="36"/>
    </row>
    <row r="13" spans="1:19" ht="15" customHeight="1" x14ac:dyDescent="0.3">
      <c r="A13" s="29"/>
      <c r="B13" s="77"/>
      <c r="C13" s="76">
        <v>1</v>
      </c>
      <c r="D13" s="78">
        <f>((10.5+10)/2)/3.281</f>
        <v>3.1240475464797317</v>
      </c>
      <c r="E13" s="78">
        <f>((12+12)/2)/3.281</f>
        <v>3.6574215178299299</v>
      </c>
      <c r="F13" s="78">
        <f>0.15</f>
        <v>0.15</v>
      </c>
      <c r="G13" s="79">
        <f>PRODUCT(C13:F13)</f>
        <v>1.7138938078828154</v>
      </c>
      <c r="H13" s="80"/>
      <c r="I13" s="80"/>
      <c r="J13" s="80"/>
      <c r="K13" s="32"/>
      <c r="M13" s="36"/>
      <c r="N13" s="1">
        <f t="shared" si="0"/>
        <v>122.98799607869418</v>
      </c>
      <c r="O13" s="1"/>
      <c r="P13" s="1"/>
      <c r="Q13" s="1"/>
      <c r="R13" s="36"/>
      <c r="S13" s="36"/>
    </row>
    <row r="14" spans="1:19" ht="15" customHeight="1" x14ac:dyDescent="0.3">
      <c r="A14" s="29"/>
      <c r="B14" s="77" t="s">
        <v>51</v>
      </c>
      <c r="C14" s="30"/>
      <c r="D14" s="31"/>
      <c r="E14" s="32"/>
      <c r="F14" s="32"/>
      <c r="G14" s="34">
        <f>SUM(G10:G13)</f>
        <v>8.3914867027850804</v>
      </c>
      <c r="H14" s="33" t="s">
        <v>49</v>
      </c>
      <c r="I14" s="34">
        <v>663.31</v>
      </c>
      <c r="J14" s="81">
        <f>G14*I14</f>
        <v>5566.157044824371</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30.6" x14ac:dyDescent="0.3">
      <c r="A16" s="29">
        <v>2</v>
      </c>
      <c r="B16" s="135" t="s">
        <v>93</v>
      </c>
      <c r="C16" s="30"/>
      <c r="D16" s="31"/>
      <c r="E16" s="32"/>
      <c r="F16" s="32"/>
      <c r="G16" s="34"/>
      <c r="H16" s="33"/>
      <c r="I16" s="34"/>
      <c r="J16" s="81"/>
      <c r="K16" s="32"/>
      <c r="M16" s="36"/>
      <c r="N16" s="1"/>
      <c r="O16" s="1"/>
      <c r="P16" s="1"/>
      <c r="Q16" s="36"/>
      <c r="R16" s="36"/>
    </row>
    <row r="17" spans="1:19" ht="15" customHeight="1" x14ac:dyDescent="0.3">
      <c r="A17" s="29"/>
      <c r="B17" s="77" t="s">
        <v>92</v>
      </c>
      <c r="C17" s="76">
        <v>1</v>
      </c>
      <c r="D17" s="78">
        <f>((15+15.083)/2)/3.281</f>
        <v>4.5844254800365736</v>
      </c>
      <c r="E17" s="78">
        <f>((11.25+11.25)/2)/3.281</f>
        <v>3.4288326729655592</v>
      </c>
      <c r="F17" s="78">
        <f>0.15</f>
        <v>0.15</v>
      </c>
      <c r="G17" s="79">
        <f>PRODUCT(C17:F17)</f>
        <v>2.3578841809087834</v>
      </c>
      <c r="H17" s="80"/>
      <c r="I17" s="80"/>
      <c r="J17" s="80"/>
      <c r="K17" s="32"/>
      <c r="M17" s="36"/>
      <c r="N17" s="1"/>
      <c r="O17" s="1"/>
      <c r="P17" s="1"/>
      <c r="Q17" s="36"/>
      <c r="R17" s="36"/>
    </row>
    <row r="18" spans="1:19" ht="15" customHeight="1" x14ac:dyDescent="0.3">
      <c r="A18" s="29"/>
      <c r="B18" s="77"/>
      <c r="C18" s="76">
        <v>1</v>
      </c>
      <c r="D18" s="78">
        <f>((15+15.083)/2)/3.281</f>
        <v>4.5844254800365736</v>
      </c>
      <c r="E18" s="78">
        <f>((11.083+10.5)/2)/3.281</f>
        <v>3.289088692471807</v>
      </c>
      <c r="F18" s="78">
        <f>0.15</f>
        <v>0.15</v>
      </c>
      <c r="G18" s="79">
        <f>PRODUCT(C18:F18)</f>
        <v>2.2617873011801892</v>
      </c>
      <c r="H18" s="80"/>
      <c r="I18" s="80"/>
      <c r="J18" s="80"/>
      <c r="K18" s="32"/>
      <c r="M18" s="36"/>
      <c r="N18" s="1"/>
      <c r="O18" s="1"/>
      <c r="P18" s="1"/>
      <c r="Q18" s="36"/>
      <c r="R18" s="36"/>
    </row>
    <row r="19" spans="1:19" ht="15" customHeight="1" x14ac:dyDescent="0.3">
      <c r="A19" s="29"/>
      <c r="B19" s="77"/>
      <c r="C19" s="76">
        <v>1</v>
      </c>
      <c r="D19" s="78">
        <f>((11.5+11.667)/2)/3.281</f>
        <v>3.5304785126485827</v>
      </c>
      <c r="E19" s="78">
        <f>((12.75+12.75)/2)/3.281</f>
        <v>3.8860103626943006</v>
      </c>
      <c r="F19" s="78">
        <f>0.15</f>
        <v>0.15</v>
      </c>
      <c r="G19" s="79">
        <f>PRODUCT(C19:F19)</f>
        <v>2.0579214128132932</v>
      </c>
      <c r="H19" s="80"/>
      <c r="I19" s="80"/>
      <c r="J19" s="80"/>
      <c r="K19" s="32"/>
      <c r="M19" s="36"/>
      <c r="N19" s="1"/>
      <c r="O19" s="1"/>
      <c r="P19" s="1"/>
      <c r="Q19" s="36"/>
      <c r="R19" s="36"/>
    </row>
    <row r="20" spans="1:19" ht="15" customHeight="1" x14ac:dyDescent="0.3">
      <c r="A20" s="29"/>
      <c r="B20" s="77"/>
      <c r="C20" s="76">
        <v>1</v>
      </c>
      <c r="D20" s="78">
        <f>((10.5+10)/2)/3.281</f>
        <v>3.1240475464797317</v>
      </c>
      <c r="E20" s="78">
        <f>((12+12)/2)/3.281</f>
        <v>3.6574215178299299</v>
      </c>
      <c r="F20" s="78">
        <f>0.15</f>
        <v>0.15</v>
      </c>
      <c r="G20" s="79">
        <f>PRODUCT(C20:F20)</f>
        <v>1.7138938078828154</v>
      </c>
      <c r="H20" s="80"/>
      <c r="I20" s="80"/>
      <c r="J20" s="80"/>
      <c r="K20" s="32"/>
      <c r="M20" s="36"/>
      <c r="N20" s="1"/>
      <c r="O20" s="1"/>
      <c r="P20" s="1"/>
      <c r="Q20" s="36"/>
      <c r="R20" s="36"/>
    </row>
    <row r="21" spans="1:19" ht="15" customHeight="1" x14ac:dyDescent="0.3">
      <c r="A21" s="80"/>
      <c r="B21" s="77" t="s">
        <v>51</v>
      </c>
      <c r="C21" s="82"/>
      <c r="D21" s="83"/>
      <c r="E21" s="83"/>
      <c r="F21" s="83"/>
      <c r="G21" s="53">
        <f>SUM(G17:G20)</f>
        <v>8.3914867027850804</v>
      </c>
      <c r="H21" s="53" t="s">
        <v>49</v>
      </c>
      <c r="I21" s="53">
        <v>4473.1499999999996</v>
      </c>
      <c r="J21" s="84">
        <f>G21*I21</f>
        <v>37536.378744563081</v>
      </c>
      <c r="K21" s="76"/>
    </row>
    <row r="22" spans="1:19" x14ac:dyDescent="0.3">
      <c r="A22" s="80"/>
      <c r="B22" s="77" t="s">
        <v>44</v>
      </c>
      <c r="C22" s="82"/>
      <c r="D22" s="83"/>
      <c r="E22" s="83"/>
      <c r="F22" s="83"/>
      <c r="G22" s="83"/>
      <c r="H22" s="83"/>
      <c r="I22" s="83"/>
      <c r="J22" s="85">
        <f>0.13*G21*(3093.15)</f>
        <v>3374.2965223135575</v>
      </c>
      <c r="K22" s="76"/>
    </row>
    <row r="23" spans="1:19" x14ac:dyDescent="0.3">
      <c r="A23" s="80"/>
      <c r="B23" s="77"/>
      <c r="C23" s="82"/>
      <c r="D23" s="83"/>
      <c r="E23" s="83"/>
      <c r="F23" s="83"/>
      <c r="G23" s="83"/>
      <c r="H23" s="83"/>
      <c r="I23" s="83"/>
      <c r="J23" s="85"/>
      <c r="K23" s="76"/>
    </row>
    <row r="24" spans="1:19" ht="30.6" x14ac:dyDescent="0.3">
      <c r="A24" s="29">
        <v>3</v>
      </c>
      <c r="B24" s="135" t="s">
        <v>94</v>
      </c>
      <c r="C24" s="30"/>
      <c r="D24" s="31"/>
      <c r="E24" s="32"/>
      <c r="F24" s="32"/>
      <c r="G24" s="34"/>
      <c r="H24" s="33"/>
      <c r="I24" s="34"/>
      <c r="J24" s="81"/>
      <c r="K24" s="32"/>
      <c r="M24" s="36"/>
      <c r="N24" s="1"/>
      <c r="O24" s="1"/>
      <c r="P24" s="1"/>
      <c r="Q24" s="36"/>
      <c r="R24" s="36"/>
    </row>
    <row r="25" spans="1:19" ht="15" customHeight="1" x14ac:dyDescent="0.3">
      <c r="A25" s="29"/>
      <c r="B25" s="77" t="s">
        <v>92</v>
      </c>
      <c r="C25" s="76">
        <v>1</v>
      </c>
      <c r="D25" s="78">
        <f>((15+15.083)/2)/3.281</f>
        <v>4.5844254800365736</v>
      </c>
      <c r="E25" s="78">
        <f>((11.25+11.25)/2)/3.281</f>
        <v>3.4288326729655592</v>
      </c>
      <c r="F25" s="78">
        <v>7.4999999999999997E-2</v>
      </c>
      <c r="G25" s="79">
        <f>PRODUCT(C25:F25)</f>
        <v>1.1789420904543917</v>
      </c>
      <c r="H25" s="80"/>
      <c r="I25" s="80"/>
      <c r="J25" s="80"/>
      <c r="K25" s="32"/>
      <c r="M25" s="36"/>
      <c r="N25" s="1"/>
      <c r="O25" s="1"/>
      <c r="P25" s="1"/>
      <c r="Q25" s="36"/>
      <c r="R25" s="36"/>
    </row>
    <row r="26" spans="1:19" ht="15" customHeight="1" x14ac:dyDescent="0.3">
      <c r="A26" s="29"/>
      <c r="B26" s="77"/>
      <c r="C26" s="76">
        <v>1</v>
      </c>
      <c r="D26" s="78">
        <f>((15+15.083)/2)/3.281</f>
        <v>4.5844254800365736</v>
      </c>
      <c r="E26" s="78">
        <f>((11.083+10.5)/2)/3.281</f>
        <v>3.289088692471807</v>
      </c>
      <c r="F26" s="78">
        <v>7.4999999999999997E-2</v>
      </c>
      <c r="G26" s="79">
        <f>PRODUCT(C26:F26)</f>
        <v>1.1308936505900946</v>
      </c>
      <c r="H26" s="80"/>
      <c r="I26" s="80"/>
      <c r="J26" s="80"/>
      <c r="K26" s="32"/>
      <c r="M26" s="36"/>
      <c r="N26" s="1"/>
      <c r="O26" s="1"/>
      <c r="P26" s="1"/>
      <c r="Q26" s="36"/>
      <c r="R26" s="36"/>
    </row>
    <row r="27" spans="1:19" ht="15" customHeight="1" x14ac:dyDescent="0.3">
      <c r="A27" s="29"/>
      <c r="B27" s="77"/>
      <c r="C27" s="76">
        <v>1</v>
      </c>
      <c r="D27" s="78">
        <f>((11.5+11.667)/2)/3.281</f>
        <v>3.5304785126485827</v>
      </c>
      <c r="E27" s="78">
        <f>((12.75+12.75)/2)/3.281</f>
        <v>3.8860103626943006</v>
      </c>
      <c r="F27" s="78">
        <v>7.4999999999999997E-2</v>
      </c>
      <c r="G27" s="79">
        <f>PRODUCT(C27:F27)</f>
        <v>1.0289607064066466</v>
      </c>
      <c r="H27" s="80"/>
      <c r="I27" s="80"/>
      <c r="J27" s="80"/>
      <c r="K27" s="32"/>
      <c r="M27" s="36"/>
      <c r="N27" s="1"/>
      <c r="O27" s="1"/>
      <c r="P27" s="1"/>
      <c r="Q27" s="36"/>
      <c r="R27" s="36"/>
    </row>
    <row r="28" spans="1:19" ht="15" customHeight="1" x14ac:dyDescent="0.3">
      <c r="A28" s="29"/>
      <c r="B28" s="77"/>
      <c r="C28" s="76">
        <v>1</v>
      </c>
      <c r="D28" s="78">
        <f>((10.5+10)/2)/3.281</f>
        <v>3.1240475464797317</v>
      </c>
      <c r="E28" s="78">
        <f>((12+12)/2)/3.281</f>
        <v>3.6574215178299299</v>
      </c>
      <c r="F28" s="78">
        <v>7.4999999999999997E-2</v>
      </c>
      <c r="G28" s="79">
        <f>PRODUCT(C28:F28)</f>
        <v>0.85694690394140771</v>
      </c>
      <c r="H28" s="80"/>
      <c r="I28" s="80"/>
      <c r="J28" s="80"/>
      <c r="K28" s="32"/>
      <c r="M28" s="36"/>
      <c r="N28" s="1"/>
      <c r="O28" s="1"/>
      <c r="P28" s="1"/>
      <c r="Q28" s="36"/>
      <c r="R28" s="36"/>
    </row>
    <row r="29" spans="1:19" ht="15" customHeight="1" x14ac:dyDescent="0.3">
      <c r="A29" s="80"/>
      <c r="B29" s="77" t="s">
        <v>51</v>
      </c>
      <c r="C29" s="82"/>
      <c r="D29" s="83"/>
      <c r="E29" s="83"/>
      <c r="F29" s="83"/>
      <c r="G29" s="53">
        <f>SUM(G25:G28)</f>
        <v>4.1957433513925402</v>
      </c>
      <c r="H29" s="53" t="s">
        <v>49</v>
      </c>
      <c r="I29" s="53">
        <v>12983.1</v>
      </c>
      <c r="J29" s="84">
        <f>G29*I29</f>
        <v>54473.755505464491</v>
      </c>
      <c r="K29" s="76"/>
    </row>
    <row r="30" spans="1:19" ht="15" customHeight="1" x14ac:dyDescent="0.3">
      <c r="A30" s="80"/>
      <c r="B30" s="77" t="s">
        <v>44</v>
      </c>
      <c r="C30" s="82"/>
      <c r="D30" s="83"/>
      <c r="E30" s="83"/>
      <c r="F30" s="83"/>
      <c r="G30" s="83"/>
      <c r="H30" s="83"/>
      <c r="I30" s="83"/>
      <c r="J30" s="85">
        <f>0.13*G29*(8078.11)</f>
        <v>4406.1779221612869</v>
      </c>
      <c r="K30" s="76"/>
    </row>
    <row r="31" spans="1:19" ht="15" customHeight="1" x14ac:dyDescent="0.3">
      <c r="A31" s="80"/>
      <c r="B31" s="77"/>
      <c r="C31" s="82"/>
      <c r="D31" s="83"/>
      <c r="E31" s="83"/>
      <c r="F31" s="83"/>
      <c r="G31" s="83"/>
      <c r="H31" s="83"/>
      <c r="I31" s="83"/>
      <c r="J31" s="85"/>
      <c r="K31" s="76"/>
    </row>
    <row r="32" spans="1:19" ht="31.2" x14ac:dyDescent="0.3">
      <c r="A32" s="29">
        <v>5</v>
      </c>
      <c r="B32" s="135" t="s">
        <v>95</v>
      </c>
      <c r="C32" s="30"/>
      <c r="D32" s="31"/>
      <c r="E32" s="32"/>
      <c r="F32" s="32"/>
      <c r="G32" s="34"/>
      <c r="H32" s="33"/>
      <c r="I32" s="34"/>
      <c r="J32" s="81"/>
      <c r="K32" s="32"/>
      <c r="M32" s="36"/>
      <c r="N32" s="1"/>
      <c r="O32" s="1"/>
      <c r="P32" s="1"/>
      <c r="Q32" s="1"/>
      <c r="R32" s="36"/>
      <c r="S32" s="36"/>
    </row>
    <row r="33" spans="1:19" ht="15" customHeight="1" x14ac:dyDescent="0.3">
      <c r="A33" s="29"/>
      <c r="B33" s="77" t="s">
        <v>96</v>
      </c>
      <c r="C33" s="76">
        <f>4*3</f>
        <v>12</v>
      </c>
      <c r="D33" s="78">
        <f>(1+9.5/12)/3.281</f>
        <v>0.54607335162044091</v>
      </c>
      <c r="E33" s="78">
        <f>(4+1.5/12)/3.281</f>
        <v>1.2572386467540384</v>
      </c>
      <c r="F33" s="78"/>
      <c r="G33" s="79">
        <f>PRODUCT(C33:F33)</f>
        <v>8.2385342594367028</v>
      </c>
      <c r="H33" s="80"/>
      <c r="I33" s="80"/>
      <c r="J33" s="80"/>
      <c r="K33" s="32"/>
      <c r="M33" s="36"/>
      <c r="N33" s="1"/>
      <c r="O33" s="1"/>
      <c r="P33" s="1"/>
      <c r="Q33" s="1"/>
      <c r="R33" s="36"/>
      <c r="S33" s="36"/>
    </row>
    <row r="34" spans="1:19" ht="15" customHeight="1" x14ac:dyDescent="0.3">
      <c r="A34" s="80"/>
      <c r="B34" s="77" t="s">
        <v>51</v>
      </c>
      <c r="C34" s="82"/>
      <c r="D34" s="83"/>
      <c r="E34" s="83"/>
      <c r="F34" s="83"/>
      <c r="G34" s="53">
        <f>SUM(G33:G33)</f>
        <v>8.2385342594367028</v>
      </c>
      <c r="H34" s="53" t="s">
        <v>97</v>
      </c>
      <c r="I34" s="53">
        <v>10576.85</v>
      </c>
      <c r="J34" s="84">
        <f>G34*I34</f>
        <v>87137.741081923086</v>
      </c>
      <c r="K34" s="76"/>
    </row>
    <row r="35" spans="1:19" ht="15" customHeight="1" x14ac:dyDescent="0.3">
      <c r="A35" s="80"/>
      <c r="B35" s="77" t="s">
        <v>44</v>
      </c>
      <c r="C35" s="82"/>
      <c r="D35" s="83"/>
      <c r="E35" s="83"/>
      <c r="F35" s="83"/>
      <c r="G35" s="83"/>
      <c r="H35" s="83"/>
      <c r="I35" s="83"/>
      <c r="J35" s="85">
        <f>0.13*G34*(11733.39/2.23)</f>
        <v>5635.233907741328</v>
      </c>
      <c r="K35" s="76"/>
    </row>
    <row r="36" spans="1:19" ht="15" customHeight="1" x14ac:dyDescent="0.3">
      <c r="A36" s="80"/>
      <c r="B36" s="77"/>
      <c r="C36" s="82"/>
      <c r="D36" s="83"/>
      <c r="E36" s="83"/>
      <c r="F36" s="83"/>
      <c r="G36" s="83"/>
      <c r="H36" s="83"/>
      <c r="I36" s="83"/>
      <c r="J36" s="85"/>
      <c r="K36" s="76"/>
    </row>
    <row r="37" spans="1:19" ht="15" customHeight="1" x14ac:dyDescent="0.3">
      <c r="A37" s="80">
        <v>6</v>
      </c>
      <c r="B37" s="135" t="s">
        <v>98</v>
      </c>
      <c r="C37" s="82"/>
      <c r="D37" s="83"/>
      <c r="E37" s="83"/>
      <c r="F37" s="83"/>
      <c r="G37" s="83"/>
      <c r="H37" s="83"/>
      <c r="I37" s="83"/>
      <c r="J37" s="85"/>
      <c r="K37" s="76"/>
    </row>
    <row r="38" spans="1:19" ht="15" customHeight="1" x14ac:dyDescent="0.3">
      <c r="A38" s="29"/>
      <c r="B38" s="77" t="s">
        <v>99</v>
      </c>
      <c r="C38" s="76">
        <v>1</v>
      </c>
      <c r="D38" s="78">
        <f>(14.17+12+12.5+14.25+13.5+11.5)/3.281</f>
        <v>23.748857055775677</v>
      </c>
      <c r="E38" s="78"/>
      <c r="F38" s="78">
        <f>8/3.281</f>
        <v>2.4382810118866196</v>
      </c>
      <c r="G38" s="79">
        <f>PRODUCT(C38:F38)</f>
        <v>57.906387213107401</v>
      </c>
      <c r="H38" s="80"/>
      <c r="I38" s="80"/>
      <c r="J38" s="80"/>
      <c r="K38" s="32"/>
      <c r="M38" s="36"/>
      <c r="N38" s="1"/>
      <c r="O38" s="1"/>
      <c r="P38" s="1"/>
      <c r="Q38" s="1"/>
      <c r="R38" s="36"/>
      <c r="S38" s="36"/>
    </row>
    <row r="39" spans="1:19" ht="15" customHeight="1" x14ac:dyDescent="0.3">
      <c r="A39" s="29"/>
      <c r="B39" s="77" t="s">
        <v>101</v>
      </c>
      <c r="C39" s="76">
        <f>0*4*2</f>
        <v>0</v>
      </c>
      <c r="D39" s="78">
        <v>0.3</v>
      </c>
      <c r="E39" s="78"/>
      <c r="F39" s="78">
        <f>8/3.281</f>
        <v>2.4382810118866196</v>
      </c>
      <c r="G39" s="79">
        <f>PRODUCT(C39:F39)</f>
        <v>0</v>
      </c>
      <c r="H39" s="80"/>
      <c r="I39" s="80"/>
      <c r="J39" s="80"/>
      <c r="K39" s="32"/>
      <c r="M39" s="36"/>
      <c r="N39" s="1"/>
      <c r="O39" s="1"/>
      <c r="P39" s="1"/>
      <c r="Q39" s="1"/>
      <c r="R39" s="36"/>
      <c r="S39" s="36"/>
    </row>
    <row r="40" spans="1:19" ht="15" customHeight="1" x14ac:dyDescent="0.3">
      <c r="A40" s="29"/>
      <c r="B40" s="77"/>
      <c r="C40" s="76">
        <f>0*1</f>
        <v>0</v>
      </c>
      <c r="D40" s="78">
        <v>0.23</v>
      </c>
      <c r="E40" s="78"/>
      <c r="F40" s="78">
        <f>8/3.281</f>
        <v>2.4382810118866196</v>
      </c>
      <c r="G40" s="79">
        <f>C40*(D40/2)*2*F40*PI()</f>
        <v>0</v>
      </c>
      <c r="H40" s="80"/>
      <c r="I40" s="80"/>
      <c r="J40" s="80"/>
      <c r="K40" s="32"/>
      <c r="M40" s="36"/>
      <c r="N40" s="1"/>
      <c r="O40" s="1"/>
      <c r="P40" s="1"/>
      <c r="Q40" s="1"/>
      <c r="R40" s="36"/>
      <c r="S40" s="36"/>
    </row>
    <row r="41" spans="1:19" ht="15" customHeight="1" x14ac:dyDescent="0.3">
      <c r="A41" s="29"/>
      <c r="B41" s="77" t="s">
        <v>102</v>
      </c>
      <c r="C41" s="76">
        <f>0*3</f>
        <v>0</v>
      </c>
      <c r="D41" s="78">
        <f>15/3.281</f>
        <v>4.5717768972874122</v>
      </c>
      <c r="E41" s="78">
        <f>0.23*3</f>
        <v>0.69000000000000006</v>
      </c>
      <c r="F41" s="78"/>
      <c r="G41" s="79">
        <f>PRODUCT(C41:F41)</f>
        <v>0</v>
      </c>
      <c r="H41" s="80"/>
      <c r="I41" s="80"/>
      <c r="J41" s="80"/>
      <c r="K41" s="32"/>
      <c r="M41" s="36"/>
      <c r="N41" s="1"/>
      <c r="O41" s="1"/>
      <c r="P41" s="1"/>
      <c r="Q41" s="1"/>
      <c r="R41" s="36"/>
      <c r="S41" s="36"/>
    </row>
    <row r="42" spans="1:19" ht="15" customHeight="1" x14ac:dyDescent="0.3">
      <c r="A42" s="29"/>
      <c r="B42" s="77" t="s">
        <v>103</v>
      </c>
      <c r="C42" s="76">
        <v>1</v>
      </c>
      <c r="D42" s="78">
        <f>(12.17*4+10.5*2+11.5*2)/3.281</f>
        <v>28.247485522706494</v>
      </c>
      <c r="E42" s="78"/>
      <c r="F42" s="78">
        <f>8/3.281</f>
        <v>2.4382810118866196</v>
      </c>
      <c r="G42" s="79">
        <f>PRODUCT(C42:F42)</f>
        <v>68.875307583557429</v>
      </c>
      <c r="H42" s="80"/>
      <c r="I42" s="80"/>
      <c r="J42" s="80"/>
      <c r="K42" s="32"/>
      <c r="M42" s="36"/>
      <c r="N42" s="1"/>
      <c r="O42" s="1"/>
      <c r="P42" s="1"/>
      <c r="Q42" s="1"/>
      <c r="R42" s="36"/>
      <c r="S42" s="36"/>
    </row>
    <row r="43" spans="1:19" ht="15" customHeight="1" x14ac:dyDescent="0.3">
      <c r="A43" s="29"/>
      <c r="B43" s="77" t="s">
        <v>96</v>
      </c>
      <c r="C43" s="76">
        <f>-4*2</f>
        <v>-8</v>
      </c>
      <c r="D43" s="78">
        <f>6/3.281</f>
        <v>1.8287107589149649</v>
      </c>
      <c r="E43" s="78"/>
      <c r="F43" s="78">
        <f>4.5/3.281</f>
        <v>1.3715330691862238</v>
      </c>
      <c r="G43" s="79">
        <f>PRODUCT(C43:F43)</f>
        <v>-20.065098238628082</v>
      </c>
      <c r="H43" s="80"/>
      <c r="I43" s="80"/>
      <c r="J43" s="80"/>
      <c r="K43" s="32"/>
      <c r="M43" s="36"/>
      <c r="N43" s="1"/>
      <c r="O43" s="1"/>
      <c r="P43" s="1"/>
      <c r="Q43" s="1"/>
      <c r="R43" s="36"/>
      <c r="S43" s="36"/>
    </row>
    <row r="44" spans="1:19" ht="15" customHeight="1" x14ac:dyDescent="0.3">
      <c r="A44" s="29"/>
      <c r="B44" s="77" t="s">
        <v>100</v>
      </c>
      <c r="C44" s="76">
        <f>-2*2</f>
        <v>-4</v>
      </c>
      <c r="D44" s="78">
        <f>3/3.281</f>
        <v>0.91435537945748246</v>
      </c>
      <c r="E44" s="78"/>
      <c r="F44" s="78">
        <f>7/3.281</f>
        <v>2.1334958854007922</v>
      </c>
      <c r="G44" s="79">
        <f>PRODUCT(C44:F44)</f>
        <v>-7.8030937594664751</v>
      </c>
      <c r="H44" s="80"/>
      <c r="I44" s="80"/>
      <c r="J44" s="80"/>
      <c r="K44" s="32"/>
      <c r="M44" s="36"/>
      <c r="N44" s="1"/>
      <c r="O44" s="1"/>
      <c r="P44" s="1"/>
      <c r="Q44" s="1"/>
      <c r="R44" s="36"/>
      <c r="S44" s="36"/>
    </row>
    <row r="45" spans="1:19" ht="15" customHeight="1" x14ac:dyDescent="0.3">
      <c r="A45" s="29"/>
      <c r="B45" s="77" t="s">
        <v>51</v>
      </c>
      <c r="C45" s="76"/>
      <c r="D45" s="78"/>
      <c r="E45" s="78"/>
      <c r="F45" s="78"/>
      <c r="G45" s="59">
        <f>SUM(G38:G44)</f>
        <v>98.913502798570264</v>
      </c>
      <c r="H45" s="80" t="s">
        <v>97</v>
      </c>
      <c r="I45" s="80">
        <v>405.86</v>
      </c>
      <c r="J45" s="85">
        <f>G45*I45</f>
        <v>40145.03424582773</v>
      </c>
      <c r="K45" s="32"/>
      <c r="M45" s="36"/>
      <c r="N45" s="1"/>
      <c r="O45" s="1"/>
      <c r="P45" s="1"/>
      <c r="Q45" s="1"/>
      <c r="R45" s="36"/>
      <c r="S45" s="36"/>
    </row>
    <row r="46" spans="1:19" ht="15" customHeight="1" x14ac:dyDescent="0.3">
      <c r="A46" s="29"/>
      <c r="B46" s="77" t="s">
        <v>44</v>
      </c>
      <c r="C46" s="76"/>
      <c r="D46" s="78"/>
      <c r="E46" s="78"/>
      <c r="F46" s="78"/>
      <c r="G46" s="79"/>
      <c r="H46" s="80"/>
      <c r="I46" s="80"/>
      <c r="J46" s="85">
        <f>0.13*G45*(11166.2/100)</f>
        <v>1435.8343414342139</v>
      </c>
      <c r="K46" s="32"/>
      <c r="M46" s="36"/>
      <c r="N46" s="1"/>
      <c r="O46" s="1"/>
      <c r="P46" s="1"/>
      <c r="Q46" s="1"/>
      <c r="R46" s="36"/>
      <c r="S46" s="36"/>
    </row>
    <row r="47" spans="1:19" ht="15" customHeight="1" x14ac:dyDescent="0.3">
      <c r="A47" s="80"/>
      <c r="B47" s="77"/>
      <c r="C47" s="82"/>
      <c r="D47" s="83"/>
      <c r="E47" s="83"/>
      <c r="F47" s="83"/>
      <c r="G47" s="83"/>
      <c r="H47" s="83"/>
      <c r="I47" s="83"/>
      <c r="J47" s="85"/>
      <c r="K47" s="76"/>
    </row>
    <row r="48" spans="1:19" ht="15" customHeight="1" x14ac:dyDescent="0.3">
      <c r="A48" s="29">
        <v>9</v>
      </c>
      <c r="B48" s="41" t="s">
        <v>33</v>
      </c>
      <c r="C48" s="30">
        <v>1</v>
      </c>
      <c r="D48" s="31"/>
      <c r="E48" s="32"/>
      <c r="F48" s="32"/>
      <c r="G48" s="59">
        <f t="shared" ref="G48" si="1">PRODUCT(C48:F48)</f>
        <v>1</v>
      </c>
      <c r="H48" s="33" t="s">
        <v>34</v>
      </c>
      <c r="I48" s="34">
        <v>500</v>
      </c>
      <c r="J48" s="59">
        <f>G48*I48</f>
        <v>500</v>
      </c>
      <c r="K48" s="32"/>
      <c r="M48" s="36"/>
      <c r="N48" s="1"/>
      <c r="O48" s="1"/>
      <c r="P48" s="1"/>
      <c r="Q48" s="1"/>
      <c r="R48" s="36"/>
      <c r="S48" s="36"/>
    </row>
    <row r="49" spans="1:19" ht="15" customHeight="1" x14ac:dyDescent="0.3">
      <c r="A49" s="29"/>
      <c r="B49" s="35"/>
      <c r="C49" s="30"/>
      <c r="D49" s="31"/>
      <c r="E49" s="32"/>
      <c r="F49" s="32"/>
      <c r="G49" s="34"/>
      <c r="H49" s="33"/>
      <c r="I49" s="34"/>
      <c r="J49" s="81"/>
      <c r="K49" s="32"/>
      <c r="M49" s="36"/>
      <c r="N49" s="1"/>
      <c r="O49" s="1"/>
      <c r="P49" s="1"/>
      <c r="Q49" s="1"/>
      <c r="R49" s="36"/>
      <c r="S49" s="36"/>
    </row>
    <row r="50" spans="1:19" x14ac:dyDescent="0.3">
      <c r="A50" s="80"/>
      <c r="B50" s="87" t="s">
        <v>17</v>
      </c>
      <c r="C50" s="88"/>
      <c r="D50" s="78"/>
      <c r="E50" s="78"/>
      <c r="F50" s="78"/>
      <c r="G50" s="81"/>
      <c r="H50" s="81"/>
      <c r="I50" s="81"/>
      <c r="J50" s="81">
        <f>SUM(J10:J48)</f>
        <v>240210.60931625313</v>
      </c>
      <c r="K50" s="76"/>
    </row>
    <row r="51" spans="1:19" x14ac:dyDescent="0.3">
      <c r="A51" s="102"/>
      <c r="B51" s="105"/>
      <c r="C51" s="106"/>
      <c r="D51" s="103"/>
      <c r="E51" s="103"/>
      <c r="F51" s="103"/>
      <c r="G51" s="104"/>
      <c r="H51" s="104"/>
      <c r="I51" s="104"/>
      <c r="J51" s="104"/>
      <c r="K51" s="98"/>
    </row>
    <row r="52" spans="1:19" s="1" customFormat="1" x14ac:dyDescent="0.3">
      <c r="A52" s="91"/>
      <c r="B52" s="40" t="s">
        <v>27</v>
      </c>
      <c r="C52" s="133">
        <f>J50</f>
        <v>240210.60931625313</v>
      </c>
      <c r="D52" s="133"/>
      <c r="E52" s="79">
        <v>100</v>
      </c>
      <c r="F52" s="92"/>
      <c r="G52" s="93"/>
      <c r="H52" s="92"/>
      <c r="I52" s="94"/>
      <c r="J52" s="95"/>
      <c r="K52" s="96"/>
    </row>
    <row r="53" spans="1:19" x14ac:dyDescent="0.3">
      <c r="A53" s="97"/>
      <c r="B53" s="40" t="s">
        <v>35</v>
      </c>
      <c r="C53" s="134">
        <v>200000</v>
      </c>
      <c r="D53" s="134"/>
      <c r="E53" s="79"/>
      <c r="F53" s="90"/>
      <c r="G53" s="89"/>
      <c r="H53" s="89"/>
      <c r="I53" s="89"/>
      <c r="J53" s="89"/>
      <c r="K53" s="90"/>
    </row>
    <row r="54" spans="1:19" x14ac:dyDescent="0.3">
      <c r="A54" s="97"/>
      <c r="B54" s="40" t="s">
        <v>36</v>
      </c>
      <c r="C54" s="134">
        <f>C53-C56-C57</f>
        <v>190000</v>
      </c>
      <c r="D54" s="134"/>
      <c r="E54" s="79">
        <f>C54/C52*100</f>
        <v>79.097255754366969</v>
      </c>
      <c r="F54" s="90"/>
      <c r="G54" s="89"/>
      <c r="H54" s="89"/>
      <c r="I54" s="89"/>
      <c r="J54" s="89"/>
      <c r="K54" s="90"/>
    </row>
    <row r="55" spans="1:19" x14ac:dyDescent="0.3">
      <c r="A55" s="97"/>
      <c r="B55" s="40" t="s">
        <v>37</v>
      </c>
      <c r="C55" s="133">
        <f>C52-C54</f>
        <v>50210.609316253132</v>
      </c>
      <c r="D55" s="133"/>
      <c r="E55" s="79">
        <f>100-E54</f>
        <v>20.902744245633031</v>
      </c>
      <c r="F55" s="90"/>
      <c r="G55" s="89"/>
      <c r="H55" s="89"/>
      <c r="I55" s="89"/>
      <c r="J55" s="89"/>
      <c r="K55" s="90"/>
    </row>
    <row r="56" spans="1:19" x14ac:dyDescent="0.3">
      <c r="A56" s="97"/>
      <c r="B56" s="40" t="s">
        <v>38</v>
      </c>
      <c r="C56" s="133">
        <f>C53*0.03</f>
        <v>6000</v>
      </c>
      <c r="D56" s="133"/>
      <c r="E56" s="79">
        <v>3</v>
      </c>
      <c r="F56" s="90"/>
      <c r="G56" s="89"/>
      <c r="H56" s="89"/>
      <c r="I56" s="89"/>
      <c r="J56" s="89"/>
      <c r="K56" s="90"/>
    </row>
    <row r="57" spans="1:19" x14ac:dyDescent="0.3">
      <c r="A57" s="97"/>
      <c r="B57" s="40" t="s">
        <v>39</v>
      </c>
      <c r="C57" s="133">
        <f>C53*0.02</f>
        <v>4000</v>
      </c>
      <c r="D57" s="133"/>
      <c r="E57" s="79">
        <v>2</v>
      </c>
      <c r="F57" s="90"/>
      <c r="G57" s="89"/>
      <c r="H57" s="89"/>
      <c r="I57" s="89"/>
      <c r="J57" s="89"/>
      <c r="K57" s="90"/>
    </row>
    <row r="58" spans="1:19" s="75" customFormat="1" x14ac:dyDescent="0.3">
      <c r="A58" s="98"/>
      <c r="B58" s="98"/>
      <c r="C58" s="98"/>
      <c r="D58" s="98"/>
      <c r="E58" s="98"/>
      <c r="F58" s="98"/>
      <c r="G58" s="98"/>
      <c r="H58" s="98"/>
      <c r="I58" s="98"/>
      <c r="J58" s="98"/>
      <c r="K58" s="98"/>
    </row>
    <row r="59" spans="1:19" s="75" customFormat="1" x14ac:dyDescent="0.3"/>
    <row r="60" spans="1:19" s="75" customFormat="1" x14ac:dyDescent="0.3"/>
    <row r="61" spans="1:19" s="75" customFormat="1" x14ac:dyDescent="0.3"/>
    <row r="62" spans="1:19" s="75" customFormat="1" x14ac:dyDescent="0.3"/>
    <row r="63" spans="1:19" s="75" customFormat="1" x14ac:dyDescent="0.3"/>
    <row r="64" spans="1:19"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row r="114" s="75" customFormat="1" x14ac:dyDescent="0.3"/>
  </sheetData>
  <mergeCells count="15">
    <mergeCell ref="A6:F6"/>
    <mergeCell ref="H6:K6"/>
    <mergeCell ref="A1:K1"/>
    <mergeCell ref="A2:K2"/>
    <mergeCell ref="A3:K3"/>
    <mergeCell ref="A4:K4"/>
    <mergeCell ref="A5:K5"/>
    <mergeCell ref="C56:D56"/>
    <mergeCell ref="C57:D57"/>
    <mergeCell ref="A7:F7"/>
    <mergeCell ref="H7:K7"/>
    <mergeCell ref="C52:D52"/>
    <mergeCell ref="C53:D53"/>
    <mergeCell ref="C54:D54"/>
    <mergeCell ref="C55:D5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Sheet4 (2)</vt:lpstr>
      <vt:lpstr>Estimate!Print_Area</vt:lpstr>
      <vt:lpstr>final!Print_Area</vt:lpstr>
      <vt:lpstr>'Sheet4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2024-09-28T08:08:54Z</dcterms:modified>
</cp:coreProperties>
</file>