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school lilaami\"/>
    </mc:Choice>
  </mc:AlternateContent>
  <bookViews>
    <workbookView xWindow="-120" yWindow="-120" windowWidth="20736" windowHeight="11160"/>
  </bookViews>
  <sheets>
    <sheet name="new" sheetId="18" r:id="rId1"/>
    <sheet name="WCR" sheetId="6" r:id="rId2"/>
    <sheet name="Sheet1" sheetId="20" state="hidden" r:id="rId3"/>
  </sheets>
  <externalReferences>
    <externalReference r:id="rId4"/>
    <externalReference r:id="rId5"/>
    <externalReference r:id="rId6"/>
    <externalReference r:id="rId7"/>
    <externalReference r:id="rId8"/>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262">[5]Abstract!$B$34</definedName>
    <definedName name="description_6">[2]Abstract!$B$172</definedName>
    <definedName name="description_784">[2]Abstract!$B$300</definedName>
    <definedName name="excavator">[1]Equipment_Rate!$J$19</definedName>
    <definedName name="generator">[1]Equipment_Rate!$J$20</definedName>
    <definedName name="_xlnm.Print_Area" localSheetId="0">new!$A$1:$K$169</definedName>
    <definedName name="_xlnm.Print_Area" localSheetId="1">WCR!$A$1:$K$30</definedName>
    <definedName name="_xlnm.Print_Titles" localSheetId="0">new!$1:$8</definedName>
    <definedName name="_xlnm.Print_Titles" localSheetId="1">WCR!$1:$12</definedName>
    <definedName name="skilled">[1]District_Rate!$D$148</definedName>
    <definedName name="skilled_blacksmith">[1]District_Rate!$D$149</definedName>
    <definedName name="unskilled">[1]District_Rate!$D$156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18" l="1"/>
  <c r="G101" i="18" l="1"/>
  <c r="G102" i="18"/>
  <c r="G103" i="18"/>
  <c r="G104" i="18"/>
  <c r="G105" i="18"/>
  <c r="G107" i="18"/>
  <c r="G108" i="18"/>
  <c r="G110" i="18"/>
  <c r="G111" i="18"/>
  <c r="G112" i="18"/>
  <c r="G113" i="18"/>
  <c r="G114" i="18"/>
  <c r="G116" i="18"/>
  <c r="G117" i="18"/>
  <c r="G119" i="18"/>
  <c r="G120" i="18"/>
  <c r="G122" i="18"/>
  <c r="G123" i="18"/>
  <c r="G124" i="18"/>
  <c r="G125" i="18"/>
  <c r="G126" i="18"/>
  <c r="G127" i="18"/>
  <c r="G130" i="18"/>
  <c r="G131" i="18"/>
  <c r="G133" i="18"/>
  <c r="G134" i="18"/>
  <c r="G136" i="18"/>
  <c r="G137" i="18"/>
  <c r="G139" i="18"/>
  <c r="G140" i="18"/>
  <c r="G141" i="18"/>
  <c r="G142" i="18"/>
  <c r="G143" i="18"/>
  <c r="G144" i="18"/>
  <c r="G146" i="18"/>
  <c r="G147" i="18"/>
  <c r="G100" i="18"/>
  <c r="C148" i="18"/>
  <c r="D147" i="18"/>
  <c r="C147" i="18"/>
  <c r="C146" i="18"/>
  <c r="D146" i="18"/>
  <c r="D144" i="18"/>
  <c r="C144" i="18"/>
  <c r="E142" i="18"/>
  <c r="F142" i="18" s="1"/>
  <c r="E143" i="18"/>
  <c r="F143" i="18" s="1"/>
  <c r="C143" i="18"/>
  <c r="C142" i="18"/>
  <c r="F141" i="18"/>
  <c r="C139" i="18"/>
  <c r="F140" i="18"/>
  <c r="F139" i="18"/>
  <c r="D133" i="18"/>
  <c r="C131" i="18"/>
  <c r="C130" i="18"/>
  <c r="F130" i="18" s="1"/>
  <c r="E136" i="18"/>
  <c r="C136" i="18"/>
  <c r="C137" i="18"/>
  <c r="E137" i="18"/>
  <c r="C134" i="18"/>
  <c r="F134" i="18" s="1"/>
  <c r="C133" i="18"/>
  <c r="F131" i="18"/>
  <c r="F127" i="18"/>
  <c r="C124" i="18"/>
  <c r="F124" i="18" s="1"/>
  <c r="C125" i="18"/>
  <c r="F125" i="18" s="1"/>
  <c r="C126" i="18"/>
  <c r="C123" i="18"/>
  <c r="F123" i="18" s="1"/>
  <c r="F126" i="18"/>
  <c r="C122" i="18"/>
  <c r="F122" i="18"/>
  <c r="C120" i="18"/>
  <c r="F120" i="18" s="1"/>
  <c r="D119" i="18"/>
  <c r="C119" i="18"/>
  <c r="C117" i="18"/>
  <c r="F117" i="18" s="1"/>
  <c r="C116" i="18"/>
  <c r="F116" i="18" s="1"/>
  <c r="E114" i="18"/>
  <c r="C114" i="18"/>
  <c r="C111" i="18"/>
  <c r="C110" i="18"/>
  <c r="E110" i="18"/>
  <c r="E111" i="18"/>
  <c r="C113" i="18"/>
  <c r="C112" i="18"/>
  <c r="E112" i="18"/>
  <c r="E113" i="18"/>
  <c r="E108" i="18"/>
  <c r="C108" i="18"/>
  <c r="E107" i="18"/>
  <c r="C107" i="18"/>
  <c r="O105" i="18"/>
  <c r="F105" i="18"/>
  <c r="C103" i="18"/>
  <c r="F103" i="18" s="1"/>
  <c r="C102" i="18"/>
  <c r="C101" i="18"/>
  <c r="C100" i="18"/>
  <c r="F104" i="18"/>
  <c r="D100" i="18"/>
  <c r="D102" i="18"/>
  <c r="D101" i="18"/>
  <c r="F146" i="18" l="1"/>
  <c r="F101" i="18"/>
  <c r="F107" i="18"/>
  <c r="F144" i="18"/>
  <c r="F148" i="18"/>
  <c r="G148" i="18" s="1"/>
  <c r="G149" i="18" s="1"/>
  <c r="J149" i="18" s="1"/>
  <c r="F147" i="18"/>
  <c r="F111" i="18"/>
  <c r="F136" i="18"/>
  <c r="F137" i="18"/>
  <c r="F114" i="18"/>
  <c r="F112" i="18"/>
  <c r="F108" i="18"/>
  <c r="F102" i="18"/>
  <c r="F133" i="18"/>
  <c r="F100" i="18"/>
  <c r="F113" i="18"/>
  <c r="F119" i="18"/>
  <c r="F110" i="18"/>
  <c r="F70" i="18"/>
  <c r="G70" i="18" s="1"/>
  <c r="E94" i="18"/>
  <c r="D94" i="18"/>
  <c r="E93" i="18"/>
  <c r="D93" i="18"/>
  <c r="F69" i="18"/>
  <c r="D69" i="18"/>
  <c r="F67" i="18"/>
  <c r="G67" i="18" s="1"/>
  <c r="G68" i="18"/>
  <c r="F65" i="18"/>
  <c r="G65" i="18" s="1"/>
  <c r="F66" i="18"/>
  <c r="G66" i="18" s="1"/>
  <c r="F64" i="18"/>
  <c r="G64" i="18" s="1"/>
  <c r="F88" i="18"/>
  <c r="G88" i="18" s="1"/>
  <c r="F85" i="18"/>
  <c r="G85" i="18" s="1"/>
  <c r="F81" i="18"/>
  <c r="G81" i="18" s="1"/>
  <c r="F77" i="18"/>
  <c r="G77" i="18" s="1"/>
  <c r="F158" i="18"/>
  <c r="E158" i="18"/>
  <c r="D158" i="18"/>
  <c r="F156" i="18"/>
  <c r="E156" i="18"/>
  <c r="D156" i="18"/>
  <c r="F155" i="18"/>
  <c r="E155" i="18"/>
  <c r="D155" i="18"/>
  <c r="F154" i="18"/>
  <c r="E154" i="18"/>
  <c r="D154" i="18"/>
  <c r="F153" i="18"/>
  <c r="E153" i="18"/>
  <c r="F152" i="18"/>
  <c r="E152" i="18"/>
  <c r="D152" i="18"/>
  <c r="N92" i="18"/>
  <c r="O92" i="18" s="1"/>
  <c r="G62" i="18"/>
  <c r="F61" i="18"/>
  <c r="G61" i="18" s="1"/>
  <c r="E92" i="18"/>
  <c r="D92" i="18"/>
  <c r="G69" i="18" l="1"/>
  <c r="G153" i="18"/>
  <c r="G154" i="18"/>
  <c r="G93" i="18"/>
  <c r="G152" i="18"/>
  <c r="G94" i="18"/>
  <c r="G156" i="18"/>
  <c r="G158" i="18"/>
  <c r="G92" i="18"/>
  <c r="G155" i="18"/>
  <c r="G95" i="18" l="1"/>
  <c r="J95" i="18" s="1"/>
  <c r="G160" i="18"/>
  <c r="J160" i="18" s="1"/>
  <c r="F60" i="18"/>
  <c r="D60" i="18"/>
  <c r="F59" i="18"/>
  <c r="G59" i="18" s="1"/>
  <c r="F58" i="18"/>
  <c r="D58" i="18"/>
  <c r="G58" i="18" s="1"/>
  <c r="N82" i="18"/>
  <c r="O82" i="18" s="1"/>
  <c r="E87" i="18"/>
  <c r="G87" i="18" s="1"/>
  <c r="F57" i="18"/>
  <c r="G57" i="18" s="1"/>
  <c r="D55" i="18"/>
  <c r="F55" i="18"/>
  <c r="F54" i="18"/>
  <c r="D54" i="18"/>
  <c r="F53" i="18"/>
  <c r="G53" i="18" s="1"/>
  <c r="D52" i="18"/>
  <c r="G52" i="18" s="1"/>
  <c r="F51" i="18"/>
  <c r="D51" i="18"/>
  <c r="F50" i="18"/>
  <c r="D50" i="18"/>
  <c r="G50" i="18" s="1"/>
  <c r="F49" i="18"/>
  <c r="G49" i="18" s="1"/>
  <c r="G51" i="18" l="1"/>
  <c r="G54" i="18"/>
  <c r="G60" i="18"/>
  <c r="G55" i="18"/>
  <c r="G83" i="18"/>
  <c r="G82" i="18"/>
  <c r="G79" i="18"/>
  <c r="G78" i="18"/>
  <c r="G75" i="18"/>
  <c r="G74" i="18"/>
  <c r="D76" i="18"/>
  <c r="G76" i="18" s="1"/>
  <c r="D84" i="18"/>
  <c r="G84" i="18" s="1"/>
  <c r="D80" i="18"/>
  <c r="G80" i="18" s="1"/>
  <c r="B82" i="18"/>
  <c r="B78" i="18"/>
  <c r="B74" i="18"/>
  <c r="G45" i="18"/>
  <c r="F39" i="18"/>
  <c r="O39" i="18"/>
  <c r="N39" i="18"/>
  <c r="O40" i="18"/>
  <c r="G89" i="18" l="1"/>
  <c r="J89" i="18" s="1"/>
  <c r="C41" i="18"/>
  <c r="G41" i="18" s="1"/>
  <c r="C40" i="18"/>
  <c r="G40" i="18" s="1"/>
  <c r="N46" i="18"/>
  <c r="F46" i="18"/>
  <c r="F38" i="18"/>
  <c r="F36" i="18"/>
  <c r="F35" i="18"/>
  <c r="D24" i="18"/>
  <c r="D25" i="18"/>
  <c r="D12" i="18"/>
  <c r="D13" i="18"/>
  <c r="F47" i="18"/>
  <c r="D47" i="18"/>
  <c r="D46" i="18"/>
  <c r="G44" i="18"/>
  <c r="E43" i="18"/>
  <c r="D43" i="18"/>
  <c r="E42" i="18"/>
  <c r="D42" i="18"/>
  <c r="G39" i="18"/>
  <c r="G38" i="18"/>
  <c r="G36" i="18"/>
  <c r="G35" i="18"/>
  <c r="F37" i="18" l="1"/>
  <c r="G37" i="18" s="1"/>
  <c r="F42" i="18"/>
  <c r="G42" i="18" s="1"/>
  <c r="F43" i="18"/>
  <c r="G43" i="18" s="1"/>
  <c r="G47" i="18"/>
  <c r="G46" i="18"/>
  <c r="F28" i="18" l="1"/>
  <c r="F27" i="18"/>
  <c r="F24" i="18"/>
  <c r="F25" i="18"/>
  <c r="D30" i="18"/>
  <c r="F26" i="18" l="1"/>
  <c r="F29" i="18" s="1"/>
  <c r="D28" i="18"/>
  <c r="G28" i="18" s="1"/>
  <c r="D27" i="18"/>
  <c r="G27" i="18" s="1"/>
  <c r="D26" i="18"/>
  <c r="G25" i="18"/>
  <c r="G24" i="18"/>
  <c r="D33" i="18"/>
  <c r="D32" i="18"/>
  <c r="F31" i="18"/>
  <c r="D31" i="18"/>
  <c r="E30" i="18"/>
  <c r="E29" i="18"/>
  <c r="D29" i="18"/>
  <c r="D22" i="18"/>
  <c r="D21" i="18"/>
  <c r="F19" i="18"/>
  <c r="D19" i="18"/>
  <c r="E18" i="18"/>
  <c r="D18" i="18"/>
  <c r="E17" i="18"/>
  <c r="D17" i="18"/>
  <c r="D14" i="18"/>
  <c r="F16" i="18"/>
  <c r="F13" i="18"/>
  <c r="F22" i="18" s="1"/>
  <c r="D16" i="18"/>
  <c r="F15" i="18"/>
  <c r="F12" i="18"/>
  <c r="D15" i="18"/>
  <c r="G16" i="18" l="1"/>
  <c r="G19" i="18"/>
  <c r="G15" i="18"/>
  <c r="F14" i="18"/>
  <c r="F18" i="18" s="1"/>
  <c r="G18" i="18" s="1"/>
  <c r="G12" i="18"/>
  <c r="G13" i="18"/>
  <c r="G31" i="18"/>
  <c r="F33" i="18"/>
  <c r="F32" i="18" s="1"/>
  <c r="G32" i="18" s="1"/>
  <c r="G22" i="18"/>
  <c r="F21" i="18"/>
  <c r="G21" i="18" s="1"/>
  <c r="G29" i="18"/>
  <c r="G26" i="18"/>
  <c r="F30" i="18"/>
  <c r="G30" i="18" s="1"/>
  <c r="A9" i="6"/>
  <c r="A8" i="6"/>
  <c r="G14" i="18" l="1"/>
  <c r="F17" i="18"/>
  <c r="G17" i="18" s="1"/>
  <c r="G33" i="18"/>
  <c r="U61" i="20"/>
  <c r="P61" i="20"/>
  <c r="K60" i="20"/>
  <c r="F60" i="20"/>
  <c r="K59" i="20"/>
  <c r="F59" i="20"/>
  <c r="K49" i="20"/>
  <c r="K48" i="20"/>
  <c r="K47" i="20"/>
  <c r="P46" i="20"/>
  <c r="K46" i="20"/>
  <c r="F46" i="20"/>
  <c r="P45" i="20"/>
  <c r="K45" i="20"/>
  <c r="F45" i="20"/>
  <c r="K34" i="20"/>
  <c r="K33" i="20"/>
  <c r="K32" i="20"/>
  <c r="K31" i="20"/>
  <c r="P30" i="20"/>
  <c r="K30" i="20"/>
  <c r="F30" i="20"/>
  <c r="P29" i="20"/>
  <c r="K29" i="20"/>
  <c r="F29" i="20"/>
  <c r="U19" i="20"/>
  <c r="P19" i="20"/>
  <c r="F18" i="20"/>
  <c r="K17" i="20"/>
  <c r="K19" i="20" s="1"/>
  <c r="F17" i="20"/>
  <c r="U8" i="20"/>
  <c r="K8" i="20"/>
  <c r="F7" i="20"/>
  <c r="P6" i="20"/>
  <c r="P8" i="20" s="1"/>
  <c r="F6" i="20"/>
  <c r="G71" i="18" l="1"/>
  <c r="J71" i="18" s="1"/>
  <c r="J162" i="18" s="1"/>
  <c r="F35" i="20"/>
  <c r="F19" i="20"/>
  <c r="F20" i="20" s="1"/>
  <c r="P35" i="20"/>
  <c r="F61" i="20"/>
  <c r="F50" i="20"/>
  <c r="K35" i="20"/>
  <c r="F36" i="20" s="1"/>
  <c r="U29" i="20" s="1"/>
  <c r="U35" i="20" s="1"/>
  <c r="K36" i="20" s="1"/>
  <c r="P50" i="20"/>
  <c r="K61" i="20"/>
  <c r="K50" i="20"/>
  <c r="F8" i="20"/>
  <c r="K20" i="20" l="1"/>
  <c r="F51" i="20"/>
  <c r="U45" i="20" s="1"/>
  <c r="U50" i="20" s="1"/>
  <c r="K51" i="20" s="1"/>
  <c r="P51" i="20" s="1"/>
  <c r="U51" i="20" s="1"/>
  <c r="U52" i="20" s="1"/>
  <c r="F62" i="20"/>
  <c r="K62" i="20"/>
  <c r="P36" i="20"/>
  <c r="U36" i="20" s="1"/>
  <c r="U37" i="20" s="1"/>
  <c r="P20" i="20"/>
  <c r="U20" i="20" s="1"/>
  <c r="U21" i="20" s="1"/>
  <c r="F9" i="20"/>
  <c r="K9" i="20"/>
  <c r="P62" i="20" l="1"/>
  <c r="U62" i="20" s="1"/>
  <c r="U63" i="20" s="1"/>
  <c r="P9" i="20"/>
  <c r="U9" i="20" s="1"/>
  <c r="U10" i="20" s="1"/>
  <c r="H28" i="6" l="1"/>
  <c r="E28" i="6"/>
  <c r="C28" i="6"/>
  <c r="B28" i="6"/>
  <c r="A28" i="6"/>
  <c r="H25" i="6"/>
  <c r="E25" i="6"/>
  <c r="C25" i="6"/>
  <c r="B26" i="6"/>
  <c r="B25" i="6"/>
  <c r="A25" i="6"/>
  <c r="M27" i="6"/>
  <c r="H22" i="6"/>
  <c r="E22" i="6"/>
  <c r="C22" i="6"/>
  <c r="B23" i="6"/>
  <c r="B22" i="6"/>
  <c r="A22" i="6"/>
  <c r="H19" i="6"/>
  <c r="E19" i="6"/>
  <c r="C19" i="6"/>
  <c r="B20" i="6"/>
  <c r="B19" i="6"/>
  <c r="A19" i="6"/>
  <c r="M24" i="6"/>
  <c r="M21" i="6"/>
  <c r="H16" i="6"/>
  <c r="E16" i="6"/>
  <c r="C16" i="6"/>
  <c r="B17" i="6"/>
  <c r="B16" i="6"/>
  <c r="A16" i="6"/>
  <c r="H13" i="6"/>
  <c r="E13" i="6"/>
  <c r="C13" i="6"/>
  <c r="B14" i="6"/>
  <c r="B13" i="6"/>
  <c r="A13" i="6"/>
  <c r="G13" i="6"/>
  <c r="I14" i="6" l="1"/>
  <c r="G16" i="6"/>
  <c r="G19" i="6" l="1"/>
  <c r="I19" i="6" s="1"/>
  <c r="I17" i="6"/>
  <c r="C169" i="18"/>
  <c r="C168" i="18"/>
  <c r="D28" i="6" l="1"/>
  <c r="G28" i="6"/>
  <c r="I20" i="6"/>
  <c r="F14" i="6"/>
  <c r="D13" i="6"/>
  <c r="C166" i="18"/>
  <c r="G22" i="6" l="1"/>
  <c r="I22" i="6" s="1"/>
  <c r="D16" i="6"/>
  <c r="D19" i="6"/>
  <c r="F19" i="6" s="1"/>
  <c r="J19" i="6" s="1"/>
  <c r="G25" i="6"/>
  <c r="I25" i="6" s="1"/>
  <c r="F17" i="6"/>
  <c r="F20" i="6"/>
  <c r="J20" i="6" s="1"/>
  <c r="I26" i="6" l="1"/>
  <c r="I23" i="6"/>
  <c r="D22" i="6" l="1"/>
  <c r="F22" i="6" s="1"/>
  <c r="J22" i="6" s="1"/>
  <c r="F23" i="6"/>
  <c r="J23" i="6" s="1"/>
  <c r="F26" i="6" l="1"/>
  <c r="J26" i="6" s="1"/>
  <c r="D25" i="6"/>
  <c r="F25" i="6" s="1"/>
  <c r="J25" i="6" s="1"/>
  <c r="C164" i="18" l="1"/>
  <c r="C167" i="18" l="1"/>
  <c r="E166" i="18"/>
  <c r="E167" i="18" s="1"/>
  <c r="F16" i="6" l="1"/>
  <c r="J17" i="6"/>
  <c r="I16" i="6"/>
  <c r="J16" i="6" l="1"/>
  <c r="M18" i="6" l="1"/>
  <c r="I28" i="6" l="1"/>
  <c r="I13" i="6"/>
  <c r="F28" i="6" l="1"/>
  <c r="J28" i="6" s="1"/>
  <c r="F13" i="6" l="1"/>
  <c r="M14" i="6" l="1"/>
  <c r="J14" i="6"/>
  <c r="M13" i="6"/>
  <c r="J13" i="6"/>
  <c r="I30" i="6" l="1"/>
  <c r="J6" i="6" l="1"/>
  <c r="F30" i="6" l="1"/>
  <c r="J30" i="6" l="1"/>
  <c r="C6" i="6" l="1"/>
</calcChain>
</file>

<file path=xl/comments1.xml><?xml version="1.0" encoding="utf-8"?>
<comments xmlns="http://schemas.openxmlformats.org/spreadsheetml/2006/main">
  <authors>
    <author>DELL</author>
  </authors>
  <commentList>
    <comment ref="C58" authorId="0" shapeId="0">
      <text>
        <r>
          <rPr>
            <b/>
            <sz val="10"/>
            <color indexed="81"/>
            <rFont val="Tahoma"/>
            <family val="2"/>
          </rPr>
          <t>DELL:</t>
        </r>
        <r>
          <rPr>
            <sz val="10"/>
            <color indexed="81"/>
            <rFont val="Tahoma"/>
            <family val="2"/>
          </rPr>
          <t xml:space="preserve">
urinals</t>
        </r>
      </text>
    </comment>
  </commentList>
</comments>
</file>

<file path=xl/sharedStrings.xml><?xml version="1.0" encoding="utf-8"?>
<sst xmlns="http://schemas.openxmlformats.org/spreadsheetml/2006/main" count="427" uniqueCount="163">
  <si>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</si>
  <si>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</si>
  <si>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</si>
  <si>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</si>
  <si>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</si>
  <si>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</si>
  <si>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</si>
  <si>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</si>
  <si>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</si>
  <si>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</si>
  <si>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</si>
  <si>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</si>
  <si>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</si>
  <si>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</si>
  <si>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</si>
  <si>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</si>
  <si>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</si>
  <si>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</si>
  <si>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</si>
  <si>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</si>
  <si>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</si>
  <si>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</si>
  <si>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</si>
  <si>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</si>
  <si>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</si>
  <si>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</si>
  <si>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</si>
  <si>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Budget allocated</t>
  </si>
  <si>
    <t>Municipal payment</t>
  </si>
  <si>
    <t>User Contribution</t>
  </si>
  <si>
    <t xml:space="preserve">Contingencies </t>
  </si>
  <si>
    <t xml:space="preserve">Maintanince </t>
  </si>
  <si>
    <t>Total Estimated</t>
  </si>
  <si>
    <t>Location:- Shankharapur Municipality 9</t>
  </si>
  <si>
    <t>cum</t>
  </si>
  <si>
    <t>F.Y:2080/2081</t>
  </si>
  <si>
    <t>Providing and laying of hand pack locally available Stone soling with 150 to 200 mm thick stones and packing with smaller stone on prepared surface as per Drawing and Technical Specifications.</t>
  </si>
  <si>
    <t>Providing and laying of Plain/Reinforced Cement Concrete in Foundation complete as per Drawing and Technical Specifications, PCC Grade M 15</t>
  </si>
  <si>
    <t>Providing and laying of Plain/Reinforced Cement Concrete in Foundation complete as per Drawing and Technical Specifications., RCC Grade M 20</t>
  </si>
  <si>
    <t>Providing and laying , fitting and placing HYSD bar reinforcement in sub-structure complete as per Drawing and Technical Specifications</t>
  </si>
  <si>
    <t>tonne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</si>
  <si>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</si>
  <si>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Cement</t>
  </si>
  <si>
    <t>Description of Work:</t>
  </si>
  <si>
    <t>360 cum</t>
  </si>
  <si>
    <t>Spec. cl. No: 905</t>
  </si>
  <si>
    <t>Norms No.</t>
  </si>
  <si>
    <t>Labour (A)</t>
  </si>
  <si>
    <t>Material (B)</t>
  </si>
  <si>
    <t>Equipment (C)</t>
  </si>
  <si>
    <t>Formworks (D)</t>
  </si>
  <si>
    <t>Type</t>
  </si>
  <si>
    <t>9.1.I.B</t>
  </si>
  <si>
    <t>Skilled</t>
  </si>
  <si>
    <t>day</t>
  </si>
  <si>
    <t>Hydraulic Excavator</t>
  </si>
  <si>
    <t>hour</t>
  </si>
  <si>
    <t>Unskilled</t>
  </si>
  <si>
    <t>Sub total of A =</t>
  </si>
  <si>
    <t>Sub total of B =</t>
  </si>
  <si>
    <t>Sub total of C =</t>
  </si>
  <si>
    <t>Sub total of D =</t>
  </si>
  <si>
    <t>Sub total of A +B + C =</t>
  </si>
  <si>
    <t>Sub total of A + B + C + D=</t>
  </si>
  <si>
    <t>Contractor's overhead expenses 15% =</t>
  </si>
  <si>
    <t>Norms Rate =</t>
  </si>
  <si>
    <t>Unit Rate =</t>
  </si>
  <si>
    <t>5 Cum</t>
  </si>
  <si>
    <t>Spec. cl. No: N/A</t>
  </si>
  <si>
    <t>10.8.</t>
  </si>
  <si>
    <t>Stone</t>
  </si>
  <si>
    <t>15 cum</t>
  </si>
  <si>
    <t>Spec. cl. No: 2000</t>
  </si>
  <si>
    <t>20.2.A</t>
  </si>
  <si>
    <t>Concrete Mixer</t>
  </si>
  <si>
    <t>@ 4 per cent on cost of concrete i.e. cost of Material, Labour and Equipment</t>
  </si>
  <si>
    <t>Coarse Sand</t>
  </si>
  <si>
    <t>Generator</t>
  </si>
  <si>
    <t>Aggregate 40 mm</t>
  </si>
  <si>
    <t>Aggregate 20 mm</t>
  </si>
  <si>
    <t>Aggregate 10 mm</t>
  </si>
  <si>
    <t>Water</t>
  </si>
  <si>
    <t>KL</t>
  </si>
  <si>
    <t>20.2.C</t>
  </si>
  <si>
    <t>@ 4 per cent on (a+b+c)</t>
  </si>
  <si>
    <t>1 tonne</t>
  </si>
  <si>
    <t>Spec. cl. No: 2014</t>
  </si>
  <si>
    <t>20.5</t>
  </si>
  <si>
    <t>Skilled (Blacksmith)</t>
  </si>
  <si>
    <t>HYSD Bar</t>
  </si>
  <si>
    <t>Binding Wire</t>
  </si>
  <si>
    <t>kg</t>
  </si>
  <si>
    <t>Date:2081/03/16</t>
  </si>
  <si>
    <t xml:space="preserve">Work Started : </t>
  </si>
  <si>
    <t xml:space="preserve">Work Finished:       </t>
  </si>
  <si>
    <t xml:space="preserve">F.Y.: 2081/082     </t>
  </si>
  <si>
    <t xml:space="preserve">Date:                     </t>
  </si>
  <si>
    <t>Block 1</t>
  </si>
  <si>
    <t>l;d]G6 jf jh|df hf]8]sf] uf/f] eTsfO{ To;af6 cfPsf] ;fdfu+|L !) dL</t>
  </si>
  <si>
    <t>-Block 1</t>
  </si>
  <si>
    <t>-short wall</t>
  </si>
  <si>
    <t>-long wall</t>
  </si>
  <si>
    <t>-masonary column</t>
  </si>
  <si>
    <t>-deduction for window opening</t>
  </si>
  <si>
    <t>-deduction for door opening</t>
  </si>
  <si>
    <t>-Block 2</t>
  </si>
  <si>
    <t>sub-total</t>
  </si>
  <si>
    <t>h:tfkftfsf] 5fgf eTsfO{ To;af6 lg:s]sf sf7 tyf kmnfd] lgdf{0f ;fdu|Lx? !) dL= eGbf k/ nlu ldnfO{ yfs nufpg] sfo{ .</t>
  </si>
  <si>
    <t>-Block 3</t>
  </si>
  <si>
    <t>-deduction for ventilation</t>
  </si>
  <si>
    <t>sqm</t>
  </si>
  <si>
    <t>-Toilet</t>
  </si>
  <si>
    <t>-at roof</t>
  </si>
  <si>
    <t>-at toilet</t>
  </si>
  <si>
    <t>-roof</t>
  </si>
  <si>
    <t>Kn]g l;d]G6 sqmL6 jf jh| s+qmL6 eTsfO{ !) dL= k/ x6fpg] sfd</t>
  </si>
  <si>
    <t>-toilet 2nd</t>
  </si>
  <si>
    <t>Project:- Seti Devi Secondary School demolish work</t>
  </si>
  <si>
    <t>Wood from Roof</t>
  </si>
  <si>
    <t>-rafter</t>
  </si>
  <si>
    <t>-purlin from wooden plank</t>
  </si>
  <si>
    <t>-chaukosh</t>
  </si>
  <si>
    <t>-Mandir</t>
  </si>
  <si>
    <t>- Inner toilet</t>
  </si>
  <si>
    <t>-Wooden door</t>
  </si>
  <si>
    <t>-at door</t>
  </si>
  <si>
    <t>-Long wall</t>
  </si>
  <si>
    <t>-mandir</t>
  </si>
  <si>
    <t>-inclined slope</t>
  </si>
  <si>
    <t>-step</t>
  </si>
  <si>
    <t>kmnfd] sfd -Rofgn PËn 6L cflb_ x6fpg] sfo{ lemSg]</t>
  </si>
  <si>
    <t>Length (m)</t>
  </si>
  <si>
    <t>Total Weight (kg)</t>
  </si>
  <si>
    <t>Unit length (Kg/m)</t>
  </si>
  <si>
    <t>-at truss</t>
  </si>
  <si>
    <t>MS steel pipe 1" diagnal member of 2.5mm thickness</t>
  </si>
  <si>
    <t>MS steel pipe 3/4" diagnal member of 2.5mm thickness</t>
  </si>
  <si>
    <t>MS steel pipe 1 1/4" inclined member of 2.5mm thickness</t>
  </si>
  <si>
    <t>MS steel pipe 1 1/4" bottom member of 2.5mm thickness</t>
  </si>
  <si>
    <t>MS steel pipe 1" bottom member of 2.5mm thickness</t>
  </si>
  <si>
    <t>-Purlins</t>
  </si>
  <si>
    <t>-At long window</t>
  </si>
  <si>
    <t>-horizontal bar as grill</t>
  </si>
  <si>
    <t>-vertical bars as grill</t>
  </si>
  <si>
    <t>-At small window</t>
  </si>
  <si>
    <t>-Ventilation part</t>
  </si>
  <si>
    <t>-35*35*4mm Equal angles at windows</t>
  </si>
  <si>
    <t>-horizontal element</t>
  </si>
  <si>
    <t>-vertical element</t>
  </si>
  <si>
    <t>-35*35*4mm Equal angles at doors</t>
  </si>
  <si>
    <t>-35*35*4mm Equal angles at ventilations</t>
  </si>
  <si>
    <t>-55*55*6mm equal angle at Long wall lintel level</t>
  </si>
  <si>
    <t>-Block 1 &amp; 2</t>
  </si>
  <si>
    <t>-rebars at windows</t>
  </si>
  <si>
    <t>-diagnol members as grill</t>
  </si>
  <si>
    <t>-vertical members as grill</t>
  </si>
  <si>
    <t>-Light Channel section of size 150*50*4 as vertical post</t>
  </si>
  <si>
    <t>assume 2.5ft below GL</t>
  </si>
  <si>
    <t>-For truss at block 1 &amp; 2</t>
  </si>
  <si>
    <t>-Light Channel section of size ISMC 75 as top chord</t>
  </si>
  <si>
    <t>-Light Channel section of size 40*32*5 as purlins</t>
  </si>
  <si>
    <t>-Light Channel section of size ISMC 75 as purlins</t>
  </si>
  <si>
    <t>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</si>
</sst>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2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color rgb="FF000000"/>
      <name val="Times New Roman"/>
      <family val="1"/>
    </font>
    <font>
      <sz val="12"/>
      <color rgb="FF000000"/>
      <name val="Times New Roman"/>
      <family val="1"/>
    </font>
    <font>
      <sz val="12"/>
      <name val="Times New Roman"/>
      <family val="1"/>
    </font>
    <font>
      <b/>
      <sz val="12"/>
      <color theme="1"/>
      <name val="Preeti"/>
    </font>
    <font>
      <sz val="11"/>
      <color rgb="FFFF0000"/>
      <name val="Calibri"/>
      <family val="2"/>
      <scheme val="minor"/>
    </font>
    <font>
      <sz val="11"/>
      <color rgb="FFFF0000"/>
      <name val="Times New Roman"/>
      <family val="1"/>
    </font>
    <font>
      <sz val="10"/>
      <color indexed="81"/>
      <name val="Tahoma"/>
      <family val="2"/>
    </font>
    <font>
      <b/>
      <sz val="10"/>
      <color indexed="81"/>
      <name val="Tahoma"/>
      <family val="2"/>
    </font>
    <font>
      <b/>
      <sz val="12"/>
      <name val="Preeti"/>
    </font>
  </fonts>
  <fills count="14">
    <fill>
      <patternFill patternType="none"/>
    </fill>
    <fill>
      <patternFill patternType="gray125"/>
    </fill>
    <fill>
      <patternFill patternType="solid">
        <fgColor theme="0" tint="-0.14999847407452621"/>
        <bgColor indexed="64"/>
      </patternFill>
    </fill>
    <fill>
      <patternFill patternType="solid">
        <fgColor rgb="FFFDFCD9"/>
        <bgColor indexed="64"/>
      </patternFill>
    </fill>
    <fill>
      <patternFill patternType="solid">
        <fgColor rgb="FFB9FFCB"/>
        <bgColor indexed="64"/>
      </patternFill>
    </fill>
    <fill>
      <patternFill patternType="solid">
        <fgColor rgb="FF86D7F6"/>
        <bgColor indexed="64"/>
      </patternFill>
    </fill>
    <fill>
      <patternFill patternType="solid">
        <fgColor rgb="FFD2FFFE"/>
        <bgColor indexed="64"/>
      </patternFill>
    </fill>
    <fill>
      <patternFill patternType="solid">
        <fgColor rgb="FFFDFCD9"/>
        <bgColor rgb="FF000000"/>
      </patternFill>
    </fill>
    <fill>
      <patternFill patternType="solid">
        <fgColor rgb="FFB9FFCB"/>
        <bgColor rgb="FF000000"/>
      </patternFill>
    </fill>
    <fill>
      <patternFill patternType="solid">
        <fgColor rgb="FF86D7F6"/>
        <bgColor rgb="FF000000"/>
      </patternFill>
    </fill>
    <fill>
      <patternFill patternType="solid">
        <fgColor rgb="FFD2FFFE"/>
        <bgColor rgb="FF000000"/>
      </patternFill>
    </fill>
    <fill>
      <patternFill patternType="solid">
        <fgColor rgb="FFFFFF00"/>
        <bgColor rgb="FF000000"/>
      </patternFill>
    </fill>
    <fill>
      <patternFill patternType="solid">
        <fgColor rgb="FF00B050"/>
        <bgColor rgb="FF000000"/>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bottom/>
      <diagonal/>
    </border>
    <border>
      <left/>
      <right style="thin">
        <color auto="1"/>
      </right>
      <top/>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s>
  <cellStyleXfs count="8">
    <xf numFmtId="0" fontId="0" fillId="0" borderId="0"/>
    <xf numFmtId="164" fontId="1" fillId="0" borderId="0" applyFont="0" applyFill="0" applyBorder="0" applyAlignment="0" applyProtection="0"/>
    <xf numFmtId="0" fontId="15" fillId="0" borderId="0"/>
    <xf numFmtId="164" fontId="15" fillId="0" borderId="0" applyFont="0" applyFill="0" applyBorder="0" applyAlignment="0" applyProtection="0"/>
    <xf numFmtId="0" fontId="15" fillId="0" borderId="0"/>
    <xf numFmtId="0" fontId="15" fillId="0" borderId="0"/>
    <xf numFmtId="0" fontId="15" fillId="0" borderId="0"/>
    <xf numFmtId="0" fontId="15" fillId="0" borderId="0"/>
  </cellStyleXfs>
  <cellXfs count="168">
    <xf numFmtId="0" fontId="0" fillId="0" borderId="0" xfId="0"/>
    <xf numFmtId="0" fontId="0" fillId="0" borderId="0" xfId="0" applyAlignment="1">
      <alignment vertic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5"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0" fontId="0" fillId="0" borderId="0" xfId="0" applyAlignment="1">
      <alignment horizontal="left"/>
    </xf>
    <xf numFmtId="1" fontId="14" fillId="0" borderId="1" xfId="0" applyNumberFormat="1" applyFont="1" applyBorder="1" applyAlignment="1">
      <alignment vertical="center"/>
    </xf>
    <xf numFmtId="164" fontId="2" fillId="0" borderId="1" xfId="1" applyFont="1" applyBorder="1" applyAlignment="1">
      <alignment vertical="center"/>
    </xf>
    <xf numFmtId="0" fontId="14" fillId="0" borderId="1" xfId="0" applyFont="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1" fontId="14" fillId="0" borderId="1" xfId="0" applyNumberFormat="1" applyFont="1" applyBorder="1" applyAlignment="1">
      <alignment vertical="center" wrapText="1"/>
    </xf>
    <xf numFmtId="0" fontId="0" fillId="0" borderId="0" xfId="0" applyBorder="1"/>
    <xf numFmtId="0" fontId="0" fillId="0" borderId="0" xfId="0" applyBorder="1" applyAlignment="1"/>
    <xf numFmtId="1" fontId="14" fillId="0" borderId="1" xfId="0" applyNumberFormat="1" applyFont="1" applyBorder="1" applyAlignment="1">
      <alignment horizontal="right" vertical="center" wrapText="1"/>
    </xf>
    <xf numFmtId="0" fontId="6" fillId="0" borderId="0" xfId="0" applyFont="1" applyAlignment="1">
      <alignment horizontal="right"/>
    </xf>
    <xf numFmtId="0" fontId="6" fillId="0" borderId="0" xfId="0" applyFont="1"/>
    <xf numFmtId="0" fontId="6" fillId="0" borderId="0" xfId="0" applyFont="1" applyAlignment="1">
      <alignment horizontal="left"/>
    </xf>
    <xf numFmtId="2" fontId="0" fillId="0" borderId="0" xfId="0" applyNumberFormat="1"/>
    <xf numFmtId="2" fontId="0" fillId="0" borderId="0" xfId="0" applyNumberFormat="1" applyFill="1" applyBorder="1"/>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horizontal="right" vertical="center" wrapText="1"/>
    </xf>
    <xf numFmtId="0" fontId="7" fillId="0" borderId="1" xfId="0" applyFont="1" applyBorder="1" applyAlignment="1">
      <alignment vertical="center" wrapText="1"/>
    </xf>
    <xf numFmtId="165" fontId="6" fillId="0" borderId="1" xfId="0" applyNumberFormat="1" applyFont="1" applyBorder="1" applyAlignment="1">
      <alignment vertical="center" wrapText="1"/>
    </xf>
    <xf numFmtId="165" fontId="6" fillId="0" borderId="1" xfId="0" applyNumberFormat="1" applyFont="1" applyBorder="1" applyAlignment="1">
      <alignment horizontal="right" vertical="center" wrapText="1"/>
    </xf>
    <xf numFmtId="0" fontId="7" fillId="5" borderId="1" xfId="0" applyFont="1" applyFill="1" applyBorder="1" applyAlignment="1">
      <alignment horizontal="right" vertical="center" wrapText="1"/>
    </xf>
    <xf numFmtId="0" fontId="18" fillId="0" borderId="1" xfId="0" applyFont="1" applyFill="1" applyBorder="1" applyAlignment="1">
      <alignment vertical="center" wrapText="1"/>
    </xf>
    <xf numFmtId="0" fontId="18" fillId="0" borderId="1" xfId="0" applyFont="1" applyFill="1" applyBorder="1" applyAlignment="1">
      <alignment horizontal="left" vertical="center" wrapText="1"/>
    </xf>
    <xf numFmtId="0" fontId="18" fillId="0" borderId="1" xfId="0" applyFont="1" applyFill="1" applyBorder="1" applyAlignment="1">
      <alignment horizontal="right" vertical="center" wrapText="1"/>
    </xf>
    <xf numFmtId="0" fontId="17" fillId="0" borderId="1" xfId="0" applyFont="1" applyFill="1" applyBorder="1" applyAlignment="1">
      <alignment vertical="center" wrapText="1"/>
    </xf>
    <xf numFmtId="165" fontId="18" fillId="0" borderId="1" xfId="0" applyNumberFormat="1" applyFont="1" applyFill="1" applyBorder="1" applyAlignment="1">
      <alignment vertical="center" wrapText="1"/>
    </xf>
    <xf numFmtId="0" fontId="18" fillId="0" borderId="0" xfId="0" applyFont="1" applyFill="1" applyBorder="1"/>
    <xf numFmtId="0" fontId="18" fillId="0" borderId="0" xfId="0" applyFont="1" applyFill="1" applyBorder="1" applyAlignment="1">
      <alignment horizontal="left"/>
    </xf>
    <xf numFmtId="0" fontId="18" fillId="0" borderId="0" xfId="0" applyFont="1" applyFill="1" applyBorder="1" applyAlignment="1">
      <alignment horizontal="right"/>
    </xf>
    <xf numFmtId="165" fontId="18" fillId="0" borderId="1" xfId="0" applyNumberFormat="1" applyFont="1" applyFill="1" applyBorder="1" applyAlignment="1">
      <alignment horizontal="right" vertical="center" wrapText="1"/>
    </xf>
    <xf numFmtId="0" fontId="17" fillId="9" borderId="1" xfId="0" applyFont="1" applyFill="1" applyBorder="1" applyAlignment="1">
      <alignment horizontal="right" vertical="center" wrapText="1"/>
    </xf>
    <xf numFmtId="0" fontId="18" fillId="11" borderId="1" xfId="0" applyFont="1" applyFill="1" applyBorder="1" applyAlignment="1">
      <alignment vertical="center" wrapText="1"/>
    </xf>
    <xf numFmtId="0" fontId="18" fillId="11" borderId="1" xfId="0" applyFont="1" applyFill="1" applyBorder="1" applyAlignment="1">
      <alignment horizontal="left" vertical="center" wrapText="1"/>
    </xf>
    <xf numFmtId="0" fontId="18" fillId="11" borderId="1" xfId="0" applyFont="1" applyFill="1" applyBorder="1" applyAlignment="1">
      <alignment horizontal="right" vertical="center" wrapText="1"/>
    </xf>
    <xf numFmtId="0" fontId="17" fillId="11" borderId="1" xfId="0" applyFont="1" applyFill="1" applyBorder="1" applyAlignment="1">
      <alignment vertical="center" wrapText="1"/>
    </xf>
    <xf numFmtId="165" fontId="18" fillId="11" borderId="1" xfId="0" applyNumberFormat="1" applyFont="1" applyFill="1" applyBorder="1" applyAlignment="1">
      <alignment vertical="center" wrapText="1"/>
    </xf>
    <xf numFmtId="0" fontId="19" fillId="12" borderId="1" xfId="0" applyFont="1" applyFill="1" applyBorder="1" applyAlignment="1">
      <alignment vertical="center" wrapText="1"/>
    </xf>
    <xf numFmtId="0" fontId="18" fillId="11" borderId="0" xfId="0" applyFont="1" applyFill="1" applyBorder="1"/>
    <xf numFmtId="0" fontId="18" fillId="11" borderId="0" xfId="0" applyFont="1" applyFill="1" applyBorder="1" applyAlignment="1">
      <alignment horizontal="right"/>
    </xf>
    <xf numFmtId="165" fontId="18" fillId="11" borderId="1" xfId="0" applyNumberFormat="1" applyFont="1" applyFill="1" applyBorder="1" applyAlignment="1">
      <alignment horizontal="right" vertical="center" wrapText="1"/>
    </xf>
    <xf numFmtId="0" fontId="18" fillId="11" borderId="0" xfId="0" applyFont="1" applyFill="1" applyBorder="1" applyAlignment="1">
      <alignment horizontal="left"/>
    </xf>
    <xf numFmtId="0" fontId="17" fillId="11" borderId="1" xfId="0" applyFont="1" applyFill="1" applyBorder="1" applyAlignment="1">
      <alignment horizontal="right" vertical="center" wrapText="1"/>
    </xf>
    <xf numFmtId="0" fontId="17" fillId="11" borderId="2" xfId="0" applyFont="1" applyFill="1" applyBorder="1" applyAlignment="1">
      <alignment horizontal="right" vertical="center" wrapText="1"/>
    </xf>
    <xf numFmtId="0" fontId="17" fillId="11" borderId="15" xfId="0" applyFont="1" applyFill="1" applyBorder="1" applyAlignment="1">
      <alignment horizontal="right" vertical="center" wrapText="1"/>
    </xf>
    <xf numFmtId="0" fontId="17" fillId="11" borderId="3" xfId="0" applyFont="1" applyFill="1" applyBorder="1" applyAlignment="1">
      <alignment horizontal="right" vertical="center" wrapText="1"/>
    </xf>
    <xf numFmtId="0" fontId="2" fillId="0" borderId="0" xfId="0" applyFont="1" applyFill="1" applyBorder="1"/>
    <xf numFmtId="2" fontId="0" fillId="0" borderId="0" xfId="0" applyNumberFormat="1" applyBorder="1"/>
    <xf numFmtId="0" fontId="3" fillId="0" borderId="1" xfId="0" quotePrefix="1" applyFont="1" applyBorder="1" applyAlignment="1">
      <alignment horizontal="right" wrapText="1"/>
    </xf>
    <xf numFmtId="0" fontId="20" fillId="0" borderId="1" xfId="0" applyFont="1" applyBorder="1" applyAlignment="1">
      <alignment vertical="center" wrapText="1"/>
    </xf>
    <xf numFmtId="2" fontId="0" fillId="0" borderId="1" xfId="0" applyNumberFormat="1" applyFont="1" applyBorder="1"/>
    <xf numFmtId="0" fontId="14" fillId="0" borderId="1" xfId="0" quotePrefix="1" applyFont="1" applyBorder="1" applyAlignment="1">
      <alignment horizontal="center" wrapText="1"/>
    </xf>
    <xf numFmtId="0" fontId="14" fillId="0" borderId="1" xfId="0" quotePrefix="1" applyFont="1" applyBorder="1" applyAlignment="1">
      <alignment horizontal="right" wrapText="1"/>
    </xf>
    <xf numFmtId="165" fontId="22" fillId="0" borderId="1" xfId="0" applyNumberFormat="1" applyFont="1" applyFill="1" applyBorder="1" applyAlignment="1">
      <alignment vertical="center"/>
    </xf>
    <xf numFmtId="2" fontId="22" fillId="0" borderId="1" xfId="1" applyNumberFormat="1" applyFont="1" applyFill="1" applyBorder="1" applyAlignment="1">
      <alignment vertical="center"/>
    </xf>
    <xf numFmtId="2" fontId="22" fillId="0" borderId="1" xfId="0" applyNumberFormat="1" applyFont="1" applyFill="1" applyBorder="1" applyAlignment="1">
      <alignment vertical="center"/>
    </xf>
    <xf numFmtId="2" fontId="21" fillId="0" borderId="1" xfId="0" applyNumberFormat="1" applyFont="1" applyBorder="1" applyAlignment="1">
      <alignment vertical="center"/>
    </xf>
    <xf numFmtId="166" fontId="0" fillId="0" borderId="0" xfId="0" applyNumberFormat="1" applyBorder="1"/>
    <xf numFmtId="0" fontId="2" fillId="0" borderId="0" xfId="0" applyFont="1" applyFill="1" applyBorder="1" applyAlignment="1">
      <alignment vertical="center"/>
    </xf>
    <xf numFmtId="0" fontId="3" fillId="0" borderId="1" xfId="0" quotePrefix="1" applyFont="1" applyBorder="1" applyAlignment="1">
      <alignment wrapText="1"/>
    </xf>
    <xf numFmtId="0" fontId="25" fillId="13" borderId="1" xfId="0" applyFont="1" applyFill="1" applyBorder="1" applyAlignment="1">
      <alignment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0" fillId="0" borderId="1" xfId="0" quotePrefix="1" applyBorder="1" applyAlignment="1">
      <alignment wrapText="1"/>
    </xf>
    <xf numFmtId="0" fontId="2" fillId="0" borderId="1" xfId="0" applyFont="1" applyBorder="1" applyAlignment="1">
      <alignment vertical="center"/>
    </xf>
    <xf numFmtId="0" fontId="14" fillId="0" borderId="1" xfId="0" quotePrefix="1" applyFont="1" applyBorder="1" applyAlignment="1">
      <alignment horizontal="right" vertical="center" wrapText="1"/>
    </xf>
    <xf numFmtId="165" fontId="0" fillId="0" borderId="1" xfId="0" applyNumberFormat="1" applyBorder="1" applyAlignment="1">
      <alignment vertical="center"/>
    </xf>
    <xf numFmtId="0" fontId="0" fillId="0" borderId="1" xfId="0" quotePrefix="1" applyBorder="1" applyAlignment="1">
      <alignment vertical="center" wrapText="1"/>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16" fillId="0" borderId="0" xfId="0" applyFont="1" applyAlignment="1"/>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7" fillId="0" borderId="1" xfId="0" applyFont="1" applyBorder="1" applyAlignment="1">
      <alignment horizontal="right" vertical="center" wrapText="1"/>
    </xf>
    <xf numFmtId="0" fontId="7" fillId="5" borderId="1" xfId="0" applyFont="1" applyFill="1" applyBorder="1" applyAlignment="1">
      <alignment horizontal="right" vertical="center" wrapText="1"/>
    </xf>
    <xf numFmtId="0" fontId="7" fillId="6" borderId="1" xfId="0" applyFont="1" applyFill="1" applyBorder="1" applyAlignment="1">
      <alignment horizontal="center" vertical="center" wrapText="1"/>
    </xf>
    <xf numFmtId="0" fontId="7" fillId="0" borderId="1" xfId="0" applyFont="1" applyBorder="1" applyAlignment="1">
      <alignment vertical="center" wrapText="1"/>
    </xf>
    <xf numFmtId="0" fontId="7" fillId="0" borderId="1" xfId="0" applyFont="1" applyBorder="1" applyAlignment="1">
      <alignment horizontal="center" vertical="center"/>
    </xf>
    <xf numFmtId="0" fontId="7" fillId="3" borderId="1" xfId="0" applyFont="1" applyFill="1" applyBorder="1" applyAlignment="1" applyProtection="1">
      <alignment horizontal="center" vertical="center" wrapText="1"/>
      <protection locked="0"/>
    </xf>
    <xf numFmtId="0" fontId="7" fillId="4" borderId="1" xfId="0" applyFont="1" applyFill="1" applyBorder="1" applyAlignment="1">
      <alignment horizontal="left" vertical="center" wrapText="1"/>
    </xf>
    <xf numFmtId="0" fontId="6" fillId="0" borderId="0" xfId="0" applyFont="1" applyAlignment="1">
      <alignment vertical="center" wrapText="1"/>
    </xf>
    <xf numFmtId="0" fontId="17" fillId="11" borderId="2" xfId="0" applyFont="1" applyFill="1" applyBorder="1" applyAlignment="1">
      <alignment horizontal="right" vertical="center" wrapText="1"/>
    </xf>
    <xf numFmtId="0" fontId="17" fillId="11" borderId="15" xfId="0" applyFont="1" applyFill="1" applyBorder="1" applyAlignment="1">
      <alignment horizontal="right" vertical="center" wrapText="1"/>
    </xf>
    <xf numFmtId="0" fontId="17" fillId="11" borderId="3" xfId="0" applyFont="1" applyFill="1" applyBorder="1" applyAlignment="1">
      <alignment horizontal="right" vertical="center" wrapText="1"/>
    </xf>
    <xf numFmtId="0" fontId="17" fillId="0" borderId="1" xfId="0" applyFont="1" applyFill="1" applyBorder="1" applyAlignment="1">
      <alignment horizontal="right" vertical="center" wrapText="1"/>
    </xf>
    <xf numFmtId="0" fontId="18" fillId="0" borderId="0" xfId="0" applyFont="1" applyFill="1" applyBorder="1" applyAlignment="1">
      <alignment vertical="center" wrapText="1"/>
    </xf>
    <xf numFmtId="0" fontId="17" fillId="11" borderId="5" xfId="0" applyFont="1" applyFill="1" applyBorder="1" applyAlignment="1" applyProtection="1">
      <alignment horizontal="center" vertical="center" wrapText="1"/>
      <protection locked="0"/>
    </xf>
    <xf numFmtId="0" fontId="17" fillId="11" borderId="6" xfId="0" applyFont="1" applyFill="1" applyBorder="1" applyAlignment="1" applyProtection="1">
      <alignment horizontal="center" vertical="center" wrapText="1"/>
      <protection locked="0"/>
    </xf>
    <xf numFmtId="0" fontId="17" fillId="11" borderId="9" xfId="0" applyFont="1" applyFill="1" applyBorder="1" applyAlignment="1" applyProtection="1">
      <alignment horizontal="center" vertical="center" wrapText="1"/>
      <protection locked="0"/>
    </xf>
    <xf numFmtId="0" fontId="17" fillId="11" borderId="10" xfId="0" applyFont="1" applyFill="1" applyBorder="1" applyAlignment="1" applyProtection="1">
      <alignment horizontal="center" vertical="center" wrapText="1"/>
      <protection locked="0"/>
    </xf>
    <xf numFmtId="0" fontId="17" fillId="11" borderId="5" xfId="0" applyFont="1" applyFill="1" applyBorder="1" applyAlignment="1">
      <alignment horizontal="left" vertical="center" wrapText="1"/>
    </xf>
    <xf numFmtId="0" fontId="17" fillId="11" borderId="7" xfId="0" applyFont="1" applyFill="1" applyBorder="1" applyAlignment="1">
      <alignment horizontal="left" vertical="center" wrapText="1"/>
    </xf>
    <xf numFmtId="0" fontId="17" fillId="11" borderId="6" xfId="0" applyFont="1" applyFill="1" applyBorder="1" applyAlignment="1">
      <alignment horizontal="left" vertical="center" wrapText="1"/>
    </xf>
    <xf numFmtId="0" fontId="17" fillId="11" borderId="11" xfId="0" applyFont="1" applyFill="1" applyBorder="1" applyAlignment="1">
      <alignment horizontal="left" vertical="center" wrapText="1"/>
    </xf>
    <xf numFmtId="0" fontId="17" fillId="11" borderId="0" xfId="0" applyFont="1" applyFill="1" applyBorder="1" applyAlignment="1">
      <alignment horizontal="left" vertical="center" wrapText="1"/>
    </xf>
    <xf numFmtId="0" fontId="17" fillId="11" borderId="12" xfId="0" applyFont="1" applyFill="1" applyBorder="1" applyAlignment="1">
      <alignment horizontal="left" vertical="center" wrapText="1"/>
    </xf>
    <xf numFmtId="0" fontId="17" fillId="11" borderId="9" xfId="0" applyFont="1" applyFill="1" applyBorder="1" applyAlignment="1">
      <alignment horizontal="left" vertical="center" wrapText="1"/>
    </xf>
    <xf numFmtId="0" fontId="17" fillId="11" borderId="13" xfId="0" applyFont="1" applyFill="1" applyBorder="1" applyAlignment="1">
      <alignment horizontal="left" vertical="center" wrapText="1"/>
    </xf>
    <xf numFmtId="0" fontId="17" fillId="11" borderId="10" xfId="0" applyFont="1" applyFill="1" applyBorder="1" applyAlignment="1">
      <alignment horizontal="left" vertical="center" wrapText="1"/>
    </xf>
    <xf numFmtId="0" fontId="17" fillId="11" borderId="8" xfId="0" applyFont="1" applyFill="1" applyBorder="1" applyAlignment="1">
      <alignment horizontal="right" vertical="center" wrapText="1"/>
    </xf>
    <xf numFmtId="0" fontId="17" fillId="11" borderId="4" xfId="0" applyFont="1" applyFill="1" applyBorder="1" applyAlignment="1">
      <alignment horizontal="right" vertical="center" wrapText="1"/>
    </xf>
    <xf numFmtId="0" fontId="17" fillId="11" borderId="14" xfId="0" applyFont="1" applyFill="1" applyBorder="1" applyAlignment="1">
      <alignment horizontal="right" vertical="center" wrapText="1"/>
    </xf>
    <xf numFmtId="0" fontId="17" fillId="11" borderId="2" xfId="0" applyFont="1" applyFill="1" applyBorder="1" applyAlignment="1">
      <alignment horizontal="center" vertical="center" wrapText="1"/>
    </xf>
    <xf numFmtId="0" fontId="17" fillId="11" borderId="3" xfId="0" applyFont="1" applyFill="1" applyBorder="1" applyAlignment="1">
      <alignment horizontal="center" vertical="center" wrapText="1"/>
    </xf>
    <xf numFmtId="0" fontId="17" fillId="11" borderId="8" xfId="0" applyFont="1" applyFill="1" applyBorder="1" applyAlignment="1">
      <alignment vertical="center" wrapText="1"/>
    </xf>
    <xf numFmtId="0" fontId="17" fillId="11" borderId="14" xfId="0" applyFont="1" applyFill="1" applyBorder="1" applyAlignment="1">
      <alignment vertical="center" wrapText="1"/>
    </xf>
    <xf numFmtId="0" fontId="17" fillId="11" borderId="2" xfId="0" applyFont="1" applyFill="1" applyBorder="1" applyAlignment="1">
      <alignment horizontal="center" vertical="center"/>
    </xf>
    <xf numFmtId="0" fontId="17" fillId="11" borderId="15" xfId="0" applyFont="1" applyFill="1" applyBorder="1" applyAlignment="1">
      <alignment horizontal="center" vertical="center"/>
    </xf>
    <xf numFmtId="0" fontId="17" fillId="11" borderId="3" xfId="0" applyFont="1" applyFill="1" applyBorder="1" applyAlignment="1">
      <alignment horizontal="center" vertical="center"/>
    </xf>
    <xf numFmtId="0" fontId="17" fillId="7" borderId="1" xfId="0" applyFont="1" applyFill="1" applyBorder="1" applyAlignment="1" applyProtection="1">
      <alignment horizontal="center" vertical="center" wrapText="1"/>
      <protection locked="0"/>
    </xf>
    <xf numFmtId="0" fontId="17" fillId="8" borderId="1" xfId="0" applyFont="1" applyFill="1" applyBorder="1" applyAlignment="1">
      <alignment horizontal="left" vertical="center" wrapText="1"/>
    </xf>
    <xf numFmtId="0" fontId="17" fillId="9" borderId="1" xfId="0" applyFont="1" applyFill="1" applyBorder="1" applyAlignment="1">
      <alignment horizontal="right" vertical="center" wrapText="1"/>
    </xf>
    <xf numFmtId="0" fontId="17" fillId="10" borderId="1" xfId="0" applyFont="1" applyFill="1" applyBorder="1" applyAlignment="1">
      <alignment horizontal="center" vertical="center" wrapText="1"/>
    </xf>
    <xf numFmtId="0" fontId="17" fillId="0" borderId="1" xfId="0" applyFont="1" applyFill="1" applyBorder="1" applyAlignment="1">
      <alignment vertical="center" wrapText="1"/>
    </xf>
    <xf numFmtId="0" fontId="17" fillId="0" borderId="1" xfId="0" applyFont="1" applyFill="1" applyBorder="1" applyAlignment="1">
      <alignment horizontal="center" vertical="center"/>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5">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69"/>
  <sheetViews>
    <sheetView tabSelected="1" topLeftCell="A140" zoomScaleNormal="100" zoomScaleSheetLayoutView="80" workbookViewId="0">
      <selection activeCell="D149" sqref="D149"/>
    </sheetView>
  </sheetViews>
  <sheetFormatPr defaultRowHeight="14.4" x14ac:dyDescent="0.3"/>
  <cols>
    <col min="1" max="1" width="5.109375" style="6" bestFit="1" customWidth="1"/>
    <col min="2" max="2" width="30.109375" customWidth="1"/>
    <col min="3" max="3" width="5.5546875" bestFit="1" customWidth="1"/>
    <col min="4" max="4" width="6.6640625" customWidth="1"/>
    <col min="5" max="5" width="7.88671875" customWidth="1"/>
    <col min="6" max="6" width="7.109375" customWidth="1"/>
    <col min="7" max="7" width="9.33203125" style="6" customWidth="1"/>
    <col min="8" max="8" width="6.33203125" style="6" bestFit="1" customWidth="1"/>
    <col min="9" max="9" width="10.6640625" style="6" bestFit="1" customWidth="1"/>
    <col min="10" max="10" width="10.5546875" style="6"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7" s="1" customFormat="1" x14ac:dyDescent="0.3">
      <c r="A1" s="110" t="s">
        <v>0</v>
      </c>
      <c r="B1" s="110"/>
      <c r="C1" s="110"/>
      <c r="D1" s="110"/>
      <c r="E1" s="110"/>
      <c r="F1" s="110"/>
      <c r="G1" s="110"/>
      <c r="H1" s="110"/>
      <c r="I1" s="110"/>
      <c r="J1" s="110"/>
      <c r="K1" s="110"/>
    </row>
    <row r="2" spans="1:17" s="1" customFormat="1" ht="22.8" x14ac:dyDescent="0.3">
      <c r="A2" s="111" t="s">
        <v>1</v>
      </c>
      <c r="B2" s="111"/>
      <c r="C2" s="111"/>
      <c r="D2" s="111"/>
      <c r="E2" s="111"/>
      <c r="F2" s="111"/>
      <c r="G2" s="111"/>
      <c r="H2" s="111"/>
      <c r="I2" s="111"/>
      <c r="J2" s="111"/>
      <c r="K2" s="111"/>
    </row>
    <row r="3" spans="1:17" s="1" customFormat="1" x14ac:dyDescent="0.3">
      <c r="A3" s="112" t="s">
        <v>2</v>
      </c>
      <c r="B3" s="112"/>
      <c r="C3" s="112"/>
      <c r="D3" s="112"/>
      <c r="E3" s="112"/>
      <c r="F3" s="112"/>
      <c r="G3" s="112"/>
      <c r="H3" s="112"/>
      <c r="I3" s="112"/>
      <c r="J3" s="112"/>
      <c r="K3" s="112"/>
    </row>
    <row r="4" spans="1:17" s="1" customFormat="1" x14ac:dyDescent="0.3">
      <c r="A4" s="112" t="s">
        <v>3</v>
      </c>
      <c r="B4" s="112"/>
      <c r="C4" s="112"/>
      <c r="D4" s="112"/>
      <c r="E4" s="112"/>
      <c r="F4" s="112"/>
      <c r="G4" s="112"/>
      <c r="H4" s="112"/>
      <c r="I4" s="112"/>
      <c r="J4" s="112"/>
      <c r="K4" s="112"/>
    </row>
    <row r="5" spans="1:17" ht="17.399999999999999" x14ac:dyDescent="0.3">
      <c r="A5" s="113" t="s">
        <v>4</v>
      </c>
      <c r="B5" s="113"/>
      <c r="C5" s="113"/>
      <c r="D5" s="113"/>
      <c r="E5" s="113"/>
      <c r="F5" s="113"/>
      <c r="G5" s="113"/>
      <c r="H5" s="113"/>
      <c r="I5" s="113"/>
      <c r="J5" s="113"/>
      <c r="K5" s="113"/>
    </row>
    <row r="6" spans="1:17" ht="18" x14ac:dyDescent="0.35">
      <c r="A6" s="109" t="s">
        <v>117</v>
      </c>
      <c r="B6" s="109"/>
      <c r="C6" s="109"/>
      <c r="D6" s="109"/>
      <c r="E6" s="109"/>
      <c r="F6" s="109"/>
      <c r="G6" s="109"/>
      <c r="H6" s="105" t="s">
        <v>95</v>
      </c>
      <c r="I6" s="105"/>
      <c r="J6" s="105"/>
      <c r="K6" s="105"/>
    </row>
    <row r="7" spans="1:17" ht="15.6" x14ac:dyDescent="0.3">
      <c r="A7" s="104" t="s">
        <v>33</v>
      </c>
      <c r="B7" s="104"/>
      <c r="C7" s="104"/>
      <c r="D7" s="104"/>
      <c r="E7" s="104"/>
      <c r="F7" s="104"/>
      <c r="G7" s="2"/>
      <c r="H7" s="105" t="s">
        <v>96</v>
      </c>
      <c r="I7" s="105"/>
      <c r="J7" s="105"/>
      <c r="K7" s="105"/>
    </row>
    <row r="8" spans="1:17" ht="15" customHeight="1" x14ac:dyDescent="0.3">
      <c r="A8" s="3" t="s">
        <v>5</v>
      </c>
      <c r="B8" s="24" t="s">
        <v>6</v>
      </c>
      <c r="C8" s="3" t="s">
        <v>7</v>
      </c>
      <c r="D8" s="25" t="s">
        <v>8</v>
      </c>
      <c r="E8" s="25" t="s">
        <v>9</v>
      </c>
      <c r="F8" s="25" t="s">
        <v>10</v>
      </c>
      <c r="G8" s="25" t="s">
        <v>11</v>
      </c>
      <c r="H8" s="3" t="s">
        <v>12</v>
      </c>
      <c r="I8" s="25" t="s">
        <v>13</v>
      </c>
      <c r="J8" s="25" t="s">
        <v>14</v>
      </c>
      <c r="K8" s="26" t="s">
        <v>15</v>
      </c>
    </row>
    <row r="9" spans="1:17" ht="15" customHeight="1" x14ac:dyDescent="0.3">
      <c r="A9" s="3"/>
      <c r="B9" s="24" t="s">
        <v>97</v>
      </c>
      <c r="C9" s="3"/>
      <c r="D9" s="25"/>
      <c r="E9" s="25"/>
      <c r="F9" s="25"/>
      <c r="G9" s="25"/>
      <c r="H9" s="3"/>
      <c r="I9" s="25"/>
      <c r="J9" s="25"/>
      <c r="K9" s="26"/>
    </row>
    <row r="10" spans="1:17" s="1" customFormat="1" ht="30" x14ac:dyDescent="0.3">
      <c r="A10" s="28">
        <v>1</v>
      </c>
      <c r="B10" s="83" t="s">
        <v>98</v>
      </c>
      <c r="C10" s="29"/>
      <c r="D10" s="30"/>
      <c r="E10" s="31"/>
      <c r="F10" s="31"/>
      <c r="G10" s="38"/>
      <c r="H10" s="32"/>
      <c r="I10" s="33"/>
      <c r="J10" s="38"/>
      <c r="K10" s="31"/>
      <c r="N10" s="92"/>
      <c r="O10" s="19"/>
      <c r="P10" s="20"/>
      <c r="Q10" s="20"/>
    </row>
    <row r="11" spans="1:17" x14ac:dyDescent="0.3">
      <c r="A11" s="28"/>
      <c r="B11" s="85" t="s">
        <v>99</v>
      </c>
      <c r="C11" s="29"/>
      <c r="D11" s="30"/>
      <c r="E11" s="31"/>
      <c r="F11" s="31"/>
      <c r="G11" s="39"/>
      <c r="H11" s="32"/>
      <c r="I11" s="33"/>
      <c r="J11" s="8"/>
      <c r="K11" s="31"/>
      <c r="N11" s="80"/>
      <c r="O11" s="41"/>
      <c r="P11" s="81"/>
      <c r="Q11" s="81"/>
    </row>
    <row r="12" spans="1:17" x14ac:dyDescent="0.3">
      <c r="A12" s="28"/>
      <c r="B12" s="86" t="s">
        <v>100</v>
      </c>
      <c r="C12" s="29">
        <v>2</v>
      </c>
      <c r="D12" s="30">
        <f t="shared" ref="D12:D13" si="0">14.083/3.281</f>
        <v>4.2922889362999088</v>
      </c>
      <c r="E12" s="31">
        <v>0.23</v>
      </c>
      <c r="F12" s="31">
        <f>2.5/3.281</f>
        <v>0.76196281621456874</v>
      </c>
      <c r="G12" s="39">
        <f>PRODUCT(C12:F12)</f>
        <v>1.5044597003184688</v>
      </c>
      <c r="H12" s="32"/>
      <c r="I12" s="33"/>
      <c r="J12" s="8"/>
      <c r="K12" s="31"/>
      <c r="N12" s="80"/>
      <c r="O12" s="41"/>
      <c r="P12" s="81"/>
      <c r="Q12" s="81"/>
    </row>
    <row r="13" spans="1:17" x14ac:dyDescent="0.3">
      <c r="A13" s="28"/>
      <c r="B13" s="86"/>
      <c r="C13" s="29">
        <v>2</v>
      </c>
      <c r="D13" s="30">
        <f t="shared" si="0"/>
        <v>4.2922889362999088</v>
      </c>
      <c r="E13" s="31">
        <v>0.1</v>
      </c>
      <c r="F13" s="31">
        <f>3.917/3.281</f>
        <v>1.1938433404449862</v>
      </c>
      <c r="G13" s="39">
        <f t="shared" ref="G13:G19" si="1">PRODUCT(C13:F13)</f>
        <v>1.0248641123734679</v>
      </c>
      <c r="H13" s="32"/>
      <c r="I13" s="33"/>
      <c r="J13" s="8"/>
      <c r="K13" s="31"/>
      <c r="N13" s="80"/>
      <c r="O13" s="41"/>
      <c r="P13" s="81"/>
      <c r="Q13" s="81"/>
    </row>
    <row r="14" spans="1:17" x14ac:dyDescent="0.3">
      <c r="A14" s="28"/>
      <c r="B14" s="86"/>
      <c r="C14" s="29">
        <v>1</v>
      </c>
      <c r="D14" s="30">
        <f>14.083/3.281</f>
        <v>4.2922889362999088</v>
      </c>
      <c r="E14" s="31">
        <v>0.1</v>
      </c>
      <c r="F14" s="31">
        <f>F13+F12</f>
        <v>1.955806156659555</v>
      </c>
      <c r="G14" s="39">
        <f t="shared" si="1"/>
        <v>0.83948851277770542</v>
      </c>
      <c r="H14" s="32"/>
      <c r="I14" s="33"/>
      <c r="J14" s="8"/>
      <c r="K14" s="31"/>
      <c r="N14" s="80"/>
      <c r="O14" s="41"/>
      <c r="P14" s="81"/>
      <c r="Q14" s="81"/>
    </row>
    <row r="15" spans="1:17" x14ac:dyDescent="0.3">
      <c r="A15" s="28"/>
      <c r="B15" s="86" t="s">
        <v>101</v>
      </c>
      <c r="C15" s="29">
        <v>2</v>
      </c>
      <c r="D15" s="30">
        <f>45.42/3.281</f>
        <v>13.843340444986284</v>
      </c>
      <c r="E15" s="31">
        <v>0.23</v>
      </c>
      <c r="F15" s="31">
        <f>2.5/3.281</f>
        <v>0.76196281621456874</v>
      </c>
      <c r="G15" s="39">
        <f t="shared" si="1"/>
        <v>4.8521309087882436</v>
      </c>
      <c r="H15" s="32"/>
      <c r="I15" s="33"/>
      <c r="J15" s="8"/>
      <c r="K15" s="31"/>
      <c r="N15" s="80"/>
      <c r="O15" s="41"/>
      <c r="P15" s="81"/>
      <c r="Q15" s="81"/>
    </row>
    <row r="16" spans="1:17" x14ac:dyDescent="0.3">
      <c r="A16" s="28"/>
      <c r="B16" s="86"/>
      <c r="C16" s="29">
        <v>2</v>
      </c>
      <c r="D16" s="30">
        <f>45.42/3.281</f>
        <v>13.843340444986284</v>
      </c>
      <c r="E16" s="31">
        <v>0.1</v>
      </c>
      <c r="F16" s="31">
        <f>3.917/3.281</f>
        <v>1.1938433404449862</v>
      </c>
      <c r="G16" s="39">
        <f t="shared" si="1"/>
        <v>3.3053559599519216</v>
      </c>
      <c r="H16" s="32"/>
      <c r="I16" s="33"/>
      <c r="J16" s="8"/>
      <c r="K16" s="31"/>
      <c r="N16" s="80"/>
      <c r="O16" s="41"/>
      <c r="P16" s="81"/>
      <c r="Q16" s="81"/>
    </row>
    <row r="17" spans="1:17" x14ac:dyDescent="0.3">
      <c r="A17" s="28"/>
      <c r="B17" s="86" t="s">
        <v>102</v>
      </c>
      <c r="C17" s="29">
        <v>6</v>
      </c>
      <c r="D17" s="30">
        <f>1.17/3.281</f>
        <v>0.35659859798841814</v>
      </c>
      <c r="E17" s="31">
        <f>0.42/3.281</f>
        <v>0.12800975312404753</v>
      </c>
      <c r="F17" s="31">
        <f>F14</f>
        <v>1.955806156659555</v>
      </c>
      <c r="G17" s="39">
        <f t="shared" si="1"/>
        <v>0.53567299243304567</v>
      </c>
      <c r="H17" s="32"/>
      <c r="I17" s="33"/>
      <c r="J17" s="8"/>
      <c r="K17" s="31"/>
      <c r="N17" s="80"/>
      <c r="O17" s="41"/>
      <c r="P17" s="81"/>
      <c r="Q17" s="81"/>
    </row>
    <row r="18" spans="1:17" x14ac:dyDescent="0.3">
      <c r="A18" s="28"/>
      <c r="B18" s="86"/>
      <c r="C18" s="29">
        <v>4</v>
      </c>
      <c r="D18" s="30">
        <f>1.917/3.281</f>
        <v>0.58427308747333129</v>
      </c>
      <c r="E18" s="31">
        <f>0.42/3.281</f>
        <v>0.12800975312404753</v>
      </c>
      <c r="F18" s="31">
        <f>F14</f>
        <v>1.955806156659555</v>
      </c>
      <c r="G18" s="39">
        <f t="shared" si="1"/>
        <v>0.58511973019609598</v>
      </c>
      <c r="H18" s="32"/>
      <c r="I18" s="33"/>
      <c r="J18" s="8"/>
      <c r="K18" s="31"/>
      <c r="N18" s="80"/>
      <c r="O18" s="41"/>
      <c r="P18" s="81"/>
      <c r="Q18" s="81"/>
    </row>
    <row r="19" spans="1:17" x14ac:dyDescent="0.3">
      <c r="A19" s="28"/>
      <c r="B19" s="86" t="s">
        <v>103</v>
      </c>
      <c r="C19" s="29">
        <v>-14</v>
      </c>
      <c r="D19" s="30">
        <f>2.75/3.281</f>
        <v>0.8381590978360256</v>
      </c>
      <c r="E19" s="31">
        <v>0.1</v>
      </c>
      <c r="F19" s="31">
        <f>3.917/3.281</f>
        <v>1.1938433404449862</v>
      </c>
      <c r="G19" s="39">
        <f t="shared" si="1"/>
        <v>-1.4008829200588837</v>
      </c>
      <c r="H19" s="32"/>
      <c r="I19" s="33"/>
      <c r="J19" s="8"/>
      <c r="K19" s="31"/>
      <c r="N19" s="41"/>
      <c r="O19" s="81"/>
      <c r="P19" s="81"/>
    </row>
    <row r="20" spans="1:17" x14ac:dyDescent="0.3">
      <c r="A20" s="28"/>
      <c r="B20" s="86"/>
      <c r="C20" s="29"/>
      <c r="D20" s="30"/>
      <c r="E20" s="31"/>
      <c r="F20" s="31"/>
      <c r="G20" s="39"/>
      <c r="H20" s="32"/>
      <c r="I20" s="33"/>
      <c r="J20" s="8"/>
      <c r="K20" s="31"/>
      <c r="N20" s="41"/>
      <c r="O20" s="81"/>
      <c r="P20" s="81"/>
    </row>
    <row r="21" spans="1:17" x14ac:dyDescent="0.3">
      <c r="A21" s="28"/>
      <c r="B21" s="86" t="s">
        <v>104</v>
      </c>
      <c r="C21" s="29">
        <v>-2</v>
      </c>
      <c r="D21" s="30">
        <f>2.75/3.281</f>
        <v>0.8381590978360256</v>
      </c>
      <c r="E21" s="31">
        <v>0.23</v>
      </c>
      <c r="F21" s="31">
        <f>(6.5/3.281)-F22</f>
        <v>0.78725998171289246</v>
      </c>
      <c r="G21" s="39">
        <f t="shared" ref="G21" si="2">PRODUCT(C21:F21)</f>
        <v>-0.30353059337604665</v>
      </c>
      <c r="H21" s="32"/>
      <c r="I21" s="33"/>
      <c r="J21" s="8"/>
      <c r="K21" s="31"/>
      <c r="N21" s="80"/>
      <c r="O21" s="41"/>
      <c r="P21" s="81"/>
      <c r="Q21" s="81"/>
    </row>
    <row r="22" spans="1:17" x14ac:dyDescent="0.3">
      <c r="A22" s="28"/>
      <c r="B22" s="86"/>
      <c r="C22" s="29">
        <v>-2</v>
      </c>
      <c r="D22" s="30">
        <f>2.75/3.281</f>
        <v>0.8381590978360256</v>
      </c>
      <c r="E22" s="31">
        <v>0.1</v>
      </c>
      <c r="F22" s="31">
        <f>F13</f>
        <v>1.1938433404449862</v>
      </c>
      <c r="G22" s="39">
        <f t="shared" ref="G22" si="3">PRODUCT(C22:F22)</f>
        <v>-0.20012613143698338</v>
      </c>
      <c r="H22" s="32"/>
      <c r="I22" s="33"/>
      <c r="J22" s="8"/>
      <c r="K22" s="31"/>
      <c r="N22" s="80"/>
      <c r="O22" s="41"/>
      <c r="P22" s="81"/>
      <c r="Q22" s="81"/>
    </row>
    <row r="23" spans="1:17" x14ac:dyDescent="0.3">
      <c r="A23" s="28"/>
      <c r="B23" s="85" t="s">
        <v>105</v>
      </c>
      <c r="C23" s="29"/>
      <c r="D23" s="30"/>
      <c r="E23" s="31"/>
      <c r="F23" s="31"/>
      <c r="G23" s="39"/>
      <c r="H23" s="32"/>
      <c r="I23" s="33"/>
      <c r="J23" s="8"/>
      <c r="K23" s="31"/>
      <c r="N23" s="80"/>
      <c r="O23" s="41"/>
      <c r="P23" s="81"/>
      <c r="Q23" s="81"/>
    </row>
    <row r="24" spans="1:17" x14ac:dyDescent="0.3">
      <c r="A24" s="28"/>
      <c r="B24" s="86" t="s">
        <v>100</v>
      </c>
      <c r="C24" s="29">
        <v>2</v>
      </c>
      <c r="D24" s="30">
        <f t="shared" ref="D24:D25" si="4">13.667/3.281</f>
        <v>4.1654983236818044</v>
      </c>
      <c r="E24" s="31">
        <v>0.23</v>
      </c>
      <c r="F24" s="31">
        <f>3.75/3.281</f>
        <v>1.1429442243218531</v>
      </c>
      <c r="G24" s="39">
        <f>PRODUCT(C24:F24)</f>
        <v>2.1900288352182602</v>
      </c>
      <c r="H24" s="32"/>
      <c r="I24" s="33"/>
      <c r="J24" s="8"/>
      <c r="K24" s="31"/>
      <c r="N24" s="80"/>
      <c r="O24" s="41"/>
      <c r="P24" s="81"/>
      <c r="Q24" s="81"/>
    </row>
    <row r="25" spans="1:17" x14ac:dyDescent="0.3">
      <c r="A25" s="28"/>
      <c r="B25" s="86"/>
      <c r="C25" s="29">
        <v>2</v>
      </c>
      <c r="D25" s="30">
        <f t="shared" si="4"/>
        <v>4.1654983236818044</v>
      </c>
      <c r="E25" s="31">
        <v>0.1</v>
      </c>
      <c r="F25" s="31">
        <f>2.75/3.281</f>
        <v>0.8381590978360256</v>
      </c>
      <c r="G25" s="39">
        <f t="shared" ref="G25:G33" si="5">PRODUCT(C25:F25)</f>
        <v>0.69827006340292364</v>
      </c>
      <c r="H25" s="32"/>
      <c r="I25" s="33"/>
      <c r="J25" s="8"/>
      <c r="K25" s="31"/>
      <c r="N25" s="80"/>
      <c r="O25" s="41"/>
      <c r="P25" s="81"/>
      <c r="Q25" s="81"/>
    </row>
    <row r="26" spans="1:17" x14ac:dyDescent="0.3">
      <c r="A26" s="28"/>
      <c r="B26" s="86"/>
      <c r="C26" s="29">
        <v>1</v>
      </c>
      <c r="D26" s="30">
        <f>13.667/3.281</f>
        <v>4.1654983236818044</v>
      </c>
      <c r="E26" s="31">
        <v>0.1</v>
      </c>
      <c r="F26" s="31">
        <f>F25+F24</f>
        <v>1.9811033221578787</v>
      </c>
      <c r="G26" s="39">
        <f t="shared" si="5"/>
        <v>0.82522825674890976</v>
      </c>
      <c r="H26" s="32"/>
      <c r="I26" s="33"/>
      <c r="J26" s="8"/>
      <c r="K26" s="31"/>
      <c r="N26" s="41"/>
      <c r="O26" s="81"/>
      <c r="P26" s="81"/>
    </row>
    <row r="27" spans="1:17" x14ac:dyDescent="0.3">
      <c r="A27" s="28"/>
      <c r="B27" s="86" t="s">
        <v>101</v>
      </c>
      <c r="C27" s="29">
        <v>2</v>
      </c>
      <c r="D27" s="30">
        <f>44.917/3.281</f>
        <v>13.690033526363914</v>
      </c>
      <c r="E27" s="31">
        <v>0.23</v>
      </c>
      <c r="F27" s="31">
        <f>4/3.281</f>
        <v>1.2191405059433098</v>
      </c>
      <c r="G27" s="39">
        <f t="shared" si="5"/>
        <v>7.6774342238676008</v>
      </c>
      <c r="H27" s="32"/>
      <c r="I27" s="33"/>
      <c r="J27" s="8"/>
      <c r="K27" s="31"/>
      <c r="N27" s="41"/>
      <c r="O27" s="81"/>
      <c r="P27" s="81"/>
    </row>
    <row r="28" spans="1:17" x14ac:dyDescent="0.3">
      <c r="A28" s="28"/>
      <c r="B28" s="86"/>
      <c r="C28" s="29">
        <v>2</v>
      </c>
      <c r="D28" s="30">
        <f>44.917/3.281</f>
        <v>13.690033526363914</v>
      </c>
      <c r="E28" s="31">
        <v>0.1</v>
      </c>
      <c r="F28" s="31">
        <f>2.75/3.281</f>
        <v>0.8381590978360256</v>
      </c>
      <c r="G28" s="39">
        <f t="shared" si="5"/>
        <v>2.2948852299604243</v>
      </c>
      <c r="H28" s="32"/>
      <c r="I28" s="33"/>
      <c r="J28" s="8"/>
      <c r="K28" s="31"/>
      <c r="N28" s="41"/>
      <c r="O28" s="81"/>
      <c r="P28" s="81"/>
    </row>
    <row r="29" spans="1:17" x14ac:dyDescent="0.3">
      <c r="A29" s="28"/>
      <c r="B29" s="86" t="s">
        <v>102</v>
      </c>
      <c r="C29" s="29">
        <v>6</v>
      </c>
      <c r="D29" s="30">
        <f>1.17/3.281</f>
        <v>0.35659859798841814</v>
      </c>
      <c r="E29" s="31">
        <f>0.42/3.281</f>
        <v>0.12800975312404753</v>
      </c>
      <c r="F29" s="31">
        <f>F26</f>
        <v>1.9811033221578787</v>
      </c>
      <c r="G29" s="39">
        <f t="shared" si="5"/>
        <v>0.54260159744659442</v>
      </c>
      <c r="H29" s="32"/>
      <c r="I29" s="33"/>
      <c r="J29" s="8"/>
      <c r="K29" s="31"/>
      <c r="N29" s="41"/>
      <c r="O29" s="81"/>
      <c r="P29" s="81"/>
    </row>
    <row r="30" spans="1:17" x14ac:dyDescent="0.3">
      <c r="A30" s="28"/>
      <c r="B30" s="86"/>
      <c r="C30" s="29">
        <v>4</v>
      </c>
      <c r="D30" s="30">
        <f>1.917/3.281</f>
        <v>0.58427308747333129</v>
      </c>
      <c r="E30" s="31">
        <f>0.42/3.281</f>
        <v>0.12800975312404753</v>
      </c>
      <c r="F30" s="31">
        <f>F26</f>
        <v>1.9811033221578787</v>
      </c>
      <c r="G30" s="39">
        <f t="shared" si="5"/>
        <v>0.59268789874935701</v>
      </c>
      <c r="H30" s="32"/>
      <c r="I30" s="33"/>
      <c r="J30" s="8"/>
      <c r="K30" s="31"/>
      <c r="N30" s="41"/>
      <c r="O30" s="81"/>
      <c r="P30" s="81"/>
    </row>
    <row r="31" spans="1:17" x14ac:dyDescent="0.3">
      <c r="A31" s="28"/>
      <c r="B31" s="86" t="s">
        <v>103</v>
      </c>
      <c r="C31" s="29">
        <v>-14</v>
      </c>
      <c r="D31" s="30">
        <f>2.75/3.281</f>
        <v>0.8381590978360256</v>
      </c>
      <c r="E31" s="31">
        <v>0.1</v>
      </c>
      <c r="F31" s="31">
        <f>3.917/3.281</f>
        <v>1.1938433404449862</v>
      </c>
      <c r="G31" s="39">
        <f t="shared" si="5"/>
        <v>-1.4008829200588837</v>
      </c>
      <c r="H31" s="32"/>
      <c r="I31" s="33"/>
      <c r="J31" s="8"/>
      <c r="K31" s="31"/>
      <c r="N31" s="41"/>
      <c r="O31" s="81"/>
      <c r="P31" s="81"/>
    </row>
    <row r="32" spans="1:17" x14ac:dyDescent="0.3">
      <c r="A32" s="28"/>
      <c r="B32" s="86" t="s">
        <v>104</v>
      </c>
      <c r="C32" s="29">
        <v>-2</v>
      </c>
      <c r="D32" s="30">
        <f>2.75/3.281</f>
        <v>0.8381590978360256</v>
      </c>
      <c r="E32" s="31">
        <v>0.23</v>
      </c>
      <c r="F32" s="31">
        <f>(6.25/3.281)-F33</f>
        <v>0.71106370009143549</v>
      </c>
      <c r="G32" s="39">
        <f t="shared" si="5"/>
        <v>-0.27415287431138857</v>
      </c>
      <c r="H32" s="32"/>
      <c r="I32" s="33"/>
      <c r="J32" s="8"/>
      <c r="K32" s="31"/>
      <c r="N32" s="41"/>
      <c r="O32" s="81"/>
      <c r="P32" s="81"/>
    </row>
    <row r="33" spans="1:17" x14ac:dyDescent="0.3">
      <c r="A33" s="28"/>
      <c r="B33" s="82"/>
      <c r="C33" s="29">
        <v>-2</v>
      </c>
      <c r="D33" s="30">
        <f>2.75/3.281</f>
        <v>0.8381590978360256</v>
      </c>
      <c r="E33" s="31">
        <v>0.1</v>
      </c>
      <c r="F33" s="31">
        <f>F31</f>
        <v>1.1938433404449862</v>
      </c>
      <c r="G33" s="39">
        <f t="shared" si="5"/>
        <v>-0.20012613143698338</v>
      </c>
      <c r="H33" s="32"/>
      <c r="I33" s="33"/>
      <c r="J33" s="8"/>
      <c r="K33" s="31"/>
    </row>
    <row r="34" spans="1:17" x14ac:dyDescent="0.3">
      <c r="A34" s="28"/>
      <c r="B34" s="85" t="s">
        <v>108</v>
      </c>
      <c r="C34" s="29"/>
      <c r="D34" s="30"/>
      <c r="E34" s="31"/>
      <c r="F34" s="31"/>
      <c r="G34" s="39"/>
      <c r="H34" s="32"/>
      <c r="I34" s="33"/>
      <c r="J34" s="8"/>
      <c r="K34" s="31"/>
      <c r="N34" s="80"/>
      <c r="O34" s="41"/>
      <c r="P34" s="81"/>
      <c r="Q34" s="81"/>
    </row>
    <row r="35" spans="1:17" x14ac:dyDescent="0.3">
      <c r="A35" s="28"/>
      <c r="B35" s="86" t="s">
        <v>100</v>
      </c>
      <c r="C35" s="87">
        <v>2</v>
      </c>
      <c r="D35" s="88">
        <v>4.0339999999999998</v>
      </c>
      <c r="E35" s="89">
        <v>0.23</v>
      </c>
      <c r="F35" s="89">
        <f>3.5/3.281</f>
        <v>1.0667479427003961</v>
      </c>
      <c r="G35" s="90">
        <f>PRODUCT(C35:F35)</f>
        <v>1.9795001523925628</v>
      </c>
      <c r="H35" s="32"/>
      <c r="I35" s="33"/>
      <c r="J35" s="8"/>
      <c r="K35" s="31"/>
      <c r="N35" s="80"/>
      <c r="O35" s="41"/>
      <c r="P35" s="81"/>
      <c r="Q35" s="81"/>
    </row>
    <row r="36" spans="1:17" x14ac:dyDescent="0.3">
      <c r="A36" s="28"/>
      <c r="B36" s="86"/>
      <c r="C36" s="87">
        <v>2</v>
      </c>
      <c r="D36" s="88">
        <v>4.0339999999999998</v>
      </c>
      <c r="E36" s="89">
        <v>0.1</v>
      </c>
      <c r="F36" s="89">
        <f>4.75/3.281</f>
        <v>1.4477293508076805</v>
      </c>
      <c r="G36" s="90">
        <f t="shared" ref="G36:G61" si="6">PRODUCT(C36:F36)</f>
        <v>1.1680280402316365</v>
      </c>
      <c r="H36" s="32"/>
      <c r="I36" s="33"/>
      <c r="J36" s="8"/>
      <c r="K36" s="31"/>
      <c r="N36" s="80"/>
      <c r="O36" s="41"/>
      <c r="P36" s="81"/>
      <c r="Q36" s="81"/>
    </row>
    <row r="37" spans="1:17" x14ac:dyDescent="0.3">
      <c r="A37" s="28"/>
      <c r="B37" s="86"/>
      <c r="C37" s="87">
        <v>1</v>
      </c>
      <c r="D37" s="88">
        <v>4.0129999999999999</v>
      </c>
      <c r="E37" s="89">
        <v>0.1</v>
      </c>
      <c r="F37" s="89">
        <f>F36+F35</f>
        <v>2.5144772935080768</v>
      </c>
      <c r="G37" s="90">
        <f t="shared" si="6"/>
        <v>1.0090597378847912</v>
      </c>
      <c r="H37" s="32"/>
      <c r="I37" s="33"/>
      <c r="J37" s="8"/>
      <c r="K37" s="31"/>
      <c r="N37" s="41"/>
      <c r="O37" s="81"/>
      <c r="P37" s="81"/>
    </row>
    <row r="38" spans="1:17" x14ac:dyDescent="0.3">
      <c r="A38" s="28"/>
      <c r="B38" s="86" t="s">
        <v>101</v>
      </c>
      <c r="C38" s="87">
        <v>2</v>
      </c>
      <c r="D38" s="88">
        <v>14.147</v>
      </c>
      <c r="E38" s="89">
        <v>0.23</v>
      </c>
      <c r="F38" s="89">
        <f>3.5/3.281</f>
        <v>1.0667479427003961</v>
      </c>
      <c r="G38" s="90">
        <f t="shared" si="6"/>
        <v>6.9419902468759513</v>
      </c>
      <c r="H38" s="32"/>
      <c r="I38" s="33"/>
      <c r="J38" s="8"/>
      <c r="K38" s="31"/>
      <c r="N38" s="41"/>
      <c r="O38" s="81"/>
      <c r="P38" s="81"/>
    </row>
    <row r="39" spans="1:17" x14ac:dyDescent="0.3">
      <c r="A39" s="28"/>
      <c r="B39" s="86"/>
      <c r="C39" s="87">
        <v>2</v>
      </c>
      <c r="D39" s="88">
        <v>14.147</v>
      </c>
      <c r="E39" s="89">
        <v>0.1</v>
      </c>
      <c r="F39" s="89">
        <f>5.75/3.281</f>
        <v>1.752514477293508</v>
      </c>
      <c r="G39" s="90">
        <f t="shared" si="6"/>
        <v>4.9585644620542517</v>
      </c>
      <c r="H39" s="32"/>
      <c r="I39" s="33"/>
      <c r="J39" s="8"/>
      <c r="K39" s="31"/>
      <c r="N39" s="91">
        <f>1.76+3.5/3.281</f>
        <v>2.8267479427003961</v>
      </c>
      <c r="O39" s="81">
        <f>(5.75+3.5)/3.281</f>
        <v>2.8192624199939043</v>
      </c>
      <c r="P39" s="81"/>
    </row>
    <row r="40" spans="1:17" x14ac:dyDescent="0.3">
      <c r="A40" s="28"/>
      <c r="B40" s="86" t="s">
        <v>109</v>
      </c>
      <c r="C40" s="87">
        <f>-3*2</f>
        <v>-6</v>
      </c>
      <c r="D40" s="88">
        <v>2.3410000000000002</v>
      </c>
      <c r="E40" s="89">
        <v>0.1</v>
      </c>
      <c r="F40" s="89">
        <v>0.5</v>
      </c>
      <c r="G40" s="90">
        <f t="shared" si="6"/>
        <v>-0.70230000000000015</v>
      </c>
      <c r="H40" s="32"/>
      <c r="I40" s="33"/>
      <c r="J40" s="8"/>
      <c r="K40" s="31"/>
      <c r="N40" s="41"/>
      <c r="O40" s="81">
        <f>3000*4*6000</f>
        <v>72000000</v>
      </c>
      <c r="P40" s="81"/>
    </row>
    <row r="41" spans="1:17" x14ac:dyDescent="0.3">
      <c r="A41" s="28"/>
      <c r="B41" s="86"/>
      <c r="C41" s="87">
        <f>-1*2</f>
        <v>-2</v>
      </c>
      <c r="D41" s="88">
        <v>2.375</v>
      </c>
      <c r="E41" s="89">
        <v>0.1</v>
      </c>
      <c r="F41" s="89">
        <v>0.5</v>
      </c>
      <c r="G41" s="90">
        <f t="shared" si="6"/>
        <v>-0.23750000000000002</v>
      </c>
      <c r="H41" s="32"/>
      <c r="I41" s="33"/>
      <c r="J41" s="8"/>
      <c r="K41" s="31"/>
      <c r="N41" s="41"/>
      <c r="O41" s="81"/>
      <c r="P41" s="81"/>
    </row>
    <row r="42" spans="1:17" x14ac:dyDescent="0.3">
      <c r="A42" s="28"/>
      <c r="B42" s="86" t="s">
        <v>102</v>
      </c>
      <c r="C42" s="87">
        <v>6</v>
      </c>
      <c r="D42" s="88">
        <f>1.17/3.281</f>
        <v>0.35659859798841814</v>
      </c>
      <c r="E42" s="89">
        <f>0.42/3.281</f>
        <v>0.12800975312404753</v>
      </c>
      <c r="F42" s="89">
        <f>F39+F38</f>
        <v>2.8192624199939038</v>
      </c>
      <c r="G42" s="90">
        <f t="shared" si="6"/>
        <v>0.77216381175092275</v>
      </c>
      <c r="H42" s="32"/>
      <c r="I42" s="33"/>
      <c r="J42" s="8"/>
      <c r="K42" s="31"/>
      <c r="N42" s="41"/>
      <c r="O42" s="81"/>
      <c r="P42" s="81"/>
    </row>
    <row r="43" spans="1:17" x14ac:dyDescent="0.3">
      <c r="A43" s="28"/>
      <c r="B43" s="86"/>
      <c r="C43" s="87">
        <v>4</v>
      </c>
      <c r="D43" s="88">
        <f>1.917/3.281</f>
        <v>0.58427308747333129</v>
      </c>
      <c r="E43" s="89">
        <f>0.42/3.281</f>
        <v>0.12800975312404753</v>
      </c>
      <c r="F43" s="89">
        <f>F38+F39</f>
        <v>2.8192624199939038</v>
      </c>
      <c r="G43" s="90">
        <f t="shared" si="6"/>
        <v>0.84344047129716171</v>
      </c>
      <c r="H43" s="32"/>
      <c r="I43" s="33"/>
      <c r="J43" s="8"/>
      <c r="K43" s="31"/>
      <c r="N43" s="41"/>
      <c r="O43" s="81"/>
      <c r="P43" s="81"/>
    </row>
    <row r="44" spans="1:17" x14ac:dyDescent="0.3">
      <c r="A44" s="28"/>
      <c r="B44" s="86" t="s">
        <v>103</v>
      </c>
      <c r="C44" s="87">
        <v>-10</v>
      </c>
      <c r="D44" s="88">
        <v>0.83799999999999997</v>
      </c>
      <c r="E44" s="89">
        <v>0.1</v>
      </c>
      <c r="F44" s="89">
        <v>1.2</v>
      </c>
      <c r="G44" s="90">
        <f t="shared" si="6"/>
        <v>-1.0055999999999998</v>
      </c>
      <c r="H44" s="32"/>
      <c r="I44" s="33"/>
      <c r="J44" s="8"/>
      <c r="K44" s="31"/>
      <c r="N44" s="41"/>
      <c r="O44" s="81"/>
      <c r="P44" s="81"/>
    </row>
    <row r="45" spans="1:17" x14ac:dyDescent="0.3">
      <c r="A45" s="28"/>
      <c r="B45" s="86"/>
      <c r="C45" s="87">
        <v>-2</v>
      </c>
      <c r="D45" s="88">
        <v>2.375</v>
      </c>
      <c r="E45" s="89">
        <v>0.1</v>
      </c>
      <c r="F45" s="89">
        <v>1.2</v>
      </c>
      <c r="G45" s="90">
        <f t="shared" ref="G45" si="7">PRODUCT(C45:F45)</f>
        <v>-0.57000000000000006</v>
      </c>
      <c r="H45" s="32"/>
      <c r="I45" s="33"/>
      <c r="J45" s="8"/>
      <c r="K45" s="31"/>
      <c r="N45" s="41"/>
      <c r="O45" s="81"/>
      <c r="P45" s="81"/>
    </row>
    <row r="46" spans="1:17" x14ac:dyDescent="0.3">
      <c r="A46" s="28"/>
      <c r="B46" s="86" t="s">
        <v>104</v>
      </c>
      <c r="C46" s="87">
        <v>-2</v>
      </c>
      <c r="D46" s="88">
        <f>2.75/3.281</f>
        <v>0.8381590978360256</v>
      </c>
      <c r="E46" s="89">
        <v>0.23</v>
      </c>
      <c r="F46" s="89">
        <f>3.5/3.281</f>
        <v>1.0667479427003961</v>
      </c>
      <c r="G46" s="90">
        <f t="shared" si="6"/>
        <v>-0.41128806690521219</v>
      </c>
      <c r="H46" s="32"/>
      <c r="I46" s="33"/>
      <c r="J46" s="8"/>
      <c r="K46" s="31"/>
      <c r="N46" s="41">
        <f>6.5/3.281</f>
        <v>1.9811033221578787</v>
      </c>
      <c r="O46" s="81"/>
      <c r="P46" s="81"/>
    </row>
    <row r="47" spans="1:17" x14ac:dyDescent="0.3">
      <c r="A47" s="28"/>
      <c r="B47" s="82"/>
      <c r="C47" s="87">
        <v>-2</v>
      </c>
      <c r="D47" s="88">
        <f>2.75/3.281</f>
        <v>0.8381590978360256</v>
      </c>
      <c r="E47" s="89">
        <v>0.1</v>
      </c>
      <c r="F47" s="89">
        <f>F44</f>
        <v>1.2</v>
      </c>
      <c r="G47" s="90">
        <f t="shared" si="6"/>
        <v>-0.20115818348064615</v>
      </c>
      <c r="H47" s="32"/>
      <c r="I47" s="33"/>
      <c r="J47" s="8"/>
      <c r="K47" s="31"/>
    </row>
    <row r="48" spans="1:17" x14ac:dyDescent="0.3">
      <c r="A48" s="28"/>
      <c r="B48" s="85" t="s">
        <v>111</v>
      </c>
      <c r="C48" s="87"/>
      <c r="D48" s="88"/>
      <c r="E48" s="89"/>
      <c r="F48" s="89"/>
      <c r="G48" s="90"/>
      <c r="H48" s="32"/>
      <c r="I48" s="33"/>
      <c r="J48" s="8"/>
      <c r="K48" s="31"/>
    </row>
    <row r="49" spans="1:11" x14ac:dyDescent="0.3">
      <c r="A49" s="28"/>
      <c r="B49" s="86" t="s">
        <v>100</v>
      </c>
      <c r="C49" s="87">
        <v>2</v>
      </c>
      <c r="D49" s="88">
        <v>2.64</v>
      </c>
      <c r="E49" s="89">
        <v>0.1</v>
      </c>
      <c r="F49" s="89">
        <f>((6.75+8)/2)/3.281</f>
        <v>2.2477903078329775</v>
      </c>
      <c r="G49" s="90">
        <f t="shared" si="6"/>
        <v>1.1868332825358121</v>
      </c>
      <c r="H49" s="32"/>
      <c r="I49" s="33"/>
      <c r="J49" s="8"/>
      <c r="K49" s="31"/>
    </row>
    <row r="50" spans="1:11" x14ac:dyDescent="0.3">
      <c r="A50" s="28"/>
      <c r="B50" s="86" t="s">
        <v>101</v>
      </c>
      <c r="C50" s="87">
        <v>1</v>
      </c>
      <c r="D50" s="88">
        <f>6.4-0.23</f>
        <v>6.17</v>
      </c>
      <c r="E50" s="89">
        <v>0.23</v>
      </c>
      <c r="F50" s="89">
        <f>6.75/3.281</f>
        <v>2.0572996037793354</v>
      </c>
      <c r="G50" s="90">
        <f t="shared" si="6"/>
        <v>2.9195138677232548</v>
      </c>
      <c r="H50" s="32"/>
      <c r="I50" s="33"/>
      <c r="J50" s="8"/>
      <c r="K50" s="31"/>
    </row>
    <row r="51" spans="1:11" x14ac:dyDescent="0.3">
      <c r="A51" s="28"/>
      <c r="B51" s="86"/>
      <c r="C51" s="87">
        <v>1</v>
      </c>
      <c r="D51" s="88">
        <f>8/3.281</f>
        <v>2.4382810118866196</v>
      </c>
      <c r="E51" s="89">
        <v>0.23</v>
      </c>
      <c r="F51" s="89">
        <f>6.75/3.281</f>
        <v>2.0572996037793354</v>
      </c>
      <c r="G51" s="90">
        <f t="shared" si="6"/>
        <v>1.1537431487211145</v>
      </c>
      <c r="H51" s="32"/>
      <c r="I51" s="33"/>
      <c r="J51" s="8"/>
      <c r="K51" s="31"/>
    </row>
    <row r="52" spans="1:11" x14ac:dyDescent="0.3">
      <c r="A52" s="28"/>
      <c r="B52" s="86" t="s">
        <v>112</v>
      </c>
      <c r="C52" s="87">
        <v>1</v>
      </c>
      <c r="D52" s="88">
        <f>(6.4-1.75/3.281)</f>
        <v>5.8666260286498026</v>
      </c>
      <c r="E52" s="89">
        <v>0.23</v>
      </c>
      <c r="F52" s="89">
        <v>0.23</v>
      </c>
      <c r="G52" s="90">
        <f t="shared" si="6"/>
        <v>0.31034451691557458</v>
      </c>
      <c r="H52" s="32"/>
      <c r="I52" s="33"/>
      <c r="J52" s="8"/>
      <c r="K52" s="31"/>
    </row>
    <row r="53" spans="1:11" x14ac:dyDescent="0.3">
      <c r="A53" s="28"/>
      <c r="B53" s="86" t="s">
        <v>104</v>
      </c>
      <c r="C53" s="87">
        <v>-1</v>
      </c>
      <c r="D53" s="88">
        <v>0.8</v>
      </c>
      <c r="E53" s="89">
        <v>0.23</v>
      </c>
      <c r="F53" s="89">
        <f>5.75/3.281</f>
        <v>1.752514477293508</v>
      </c>
      <c r="G53" s="90">
        <f t="shared" si="6"/>
        <v>-0.3224626638220055</v>
      </c>
      <c r="H53" s="32"/>
      <c r="I53" s="33"/>
      <c r="J53" s="8"/>
      <c r="K53" s="31"/>
    </row>
    <row r="54" spans="1:11" x14ac:dyDescent="0.3">
      <c r="A54" s="28"/>
      <c r="B54" s="86" t="s">
        <v>103</v>
      </c>
      <c r="C54" s="87">
        <v>-2</v>
      </c>
      <c r="D54" s="88">
        <f>1.5/3.281</f>
        <v>0.45717768972874123</v>
      </c>
      <c r="E54" s="89">
        <v>0.23</v>
      </c>
      <c r="F54" s="89">
        <f>1.17/3.281</f>
        <v>0.35659859798841814</v>
      </c>
      <c r="G54" s="90">
        <f t="shared" si="6"/>
        <v>-7.4993304666872457E-2</v>
      </c>
      <c r="H54" s="32"/>
      <c r="I54" s="33"/>
      <c r="J54" s="8"/>
      <c r="K54" s="31"/>
    </row>
    <row r="55" spans="1:11" x14ac:dyDescent="0.3">
      <c r="A55" s="28"/>
      <c r="B55" s="86"/>
      <c r="C55" s="87">
        <v>-4</v>
      </c>
      <c r="D55" s="88">
        <f>1.5/3.281</f>
        <v>0.45717768972874123</v>
      </c>
      <c r="E55" s="89">
        <v>0.23</v>
      </c>
      <c r="F55" s="89">
        <f>1.17/3.281</f>
        <v>0.35659859798841814</v>
      </c>
      <c r="G55" s="90">
        <f t="shared" si="6"/>
        <v>-0.14998660933374491</v>
      </c>
      <c r="H55" s="32"/>
      <c r="I55" s="33"/>
      <c r="J55" s="8"/>
      <c r="K55" s="31"/>
    </row>
    <row r="56" spans="1:11" x14ac:dyDescent="0.3">
      <c r="A56" s="28"/>
      <c r="B56" s="86" t="s">
        <v>123</v>
      </c>
      <c r="C56" s="87"/>
      <c r="D56" s="88"/>
      <c r="E56" s="89"/>
      <c r="F56" s="89"/>
      <c r="G56" s="90"/>
      <c r="H56" s="32"/>
      <c r="I56" s="33"/>
      <c r="J56" s="8"/>
      <c r="K56" s="31"/>
    </row>
    <row r="57" spans="1:11" x14ac:dyDescent="0.3">
      <c r="A57" s="28"/>
      <c r="B57" s="86" t="s">
        <v>101</v>
      </c>
      <c r="C57" s="87">
        <v>1</v>
      </c>
      <c r="D57" s="88">
        <v>2.63</v>
      </c>
      <c r="E57" s="89">
        <v>0.1</v>
      </c>
      <c r="F57" s="89">
        <f>7.25/3.281</f>
        <v>2.2096921670222494</v>
      </c>
      <c r="G57" s="90">
        <f t="shared" si="6"/>
        <v>0.58114903992685163</v>
      </c>
      <c r="H57" s="32"/>
      <c r="I57" s="33"/>
      <c r="J57" s="8"/>
      <c r="K57" s="31"/>
    </row>
    <row r="58" spans="1:11" x14ac:dyDescent="0.3">
      <c r="A58" s="28"/>
      <c r="B58" s="86"/>
      <c r="C58" s="87">
        <v>1</v>
      </c>
      <c r="D58" s="88">
        <f>6.4-0.23-2.63</f>
        <v>3.54</v>
      </c>
      <c r="E58" s="89">
        <v>0.23</v>
      </c>
      <c r="F58" s="89">
        <f>0.42/3.281</f>
        <v>0.12800975312404753</v>
      </c>
      <c r="G58" s="90">
        <f t="shared" si="6"/>
        <v>0.1042255409935995</v>
      </c>
      <c r="H58" s="32"/>
      <c r="I58" s="33"/>
      <c r="J58" s="8"/>
      <c r="K58" s="31"/>
    </row>
    <row r="59" spans="1:11" x14ac:dyDescent="0.3">
      <c r="A59" s="28"/>
      <c r="B59" s="86" t="s">
        <v>100</v>
      </c>
      <c r="C59" s="87">
        <v>3</v>
      </c>
      <c r="D59" s="88">
        <v>1</v>
      </c>
      <c r="E59" s="89">
        <v>0.1</v>
      </c>
      <c r="F59" s="89">
        <f>7.25/3.281</f>
        <v>2.2096921670222494</v>
      </c>
      <c r="G59" s="90">
        <f t="shared" si="6"/>
        <v>0.66290765010667485</v>
      </c>
      <c r="H59" s="32"/>
      <c r="I59" s="33"/>
      <c r="J59" s="8"/>
      <c r="K59" s="31"/>
    </row>
    <row r="60" spans="1:11" x14ac:dyDescent="0.3">
      <c r="A60" s="28"/>
      <c r="B60" s="86" t="s">
        <v>104</v>
      </c>
      <c r="C60" s="87">
        <v>-2</v>
      </c>
      <c r="D60" s="88">
        <f>2.5/3.281</f>
        <v>0.76196281621456874</v>
      </c>
      <c r="E60" s="89">
        <v>0.1</v>
      </c>
      <c r="F60" s="89">
        <f>5.5/3.281</f>
        <v>1.6763181956720512</v>
      </c>
      <c r="G60" s="90">
        <f t="shared" si="6"/>
        <v>-0.25545842664920015</v>
      </c>
      <c r="H60" s="32"/>
      <c r="I60" s="33"/>
      <c r="J60" s="8"/>
      <c r="K60" s="31"/>
    </row>
    <row r="61" spans="1:11" x14ac:dyDescent="0.3">
      <c r="A61" s="28"/>
      <c r="B61" s="86" t="s">
        <v>116</v>
      </c>
      <c r="C61" s="87">
        <v>1</v>
      </c>
      <c r="D61" s="88">
        <v>2</v>
      </c>
      <c r="E61" s="89">
        <v>0.23</v>
      </c>
      <c r="F61" s="89">
        <f>6.75/3.281</f>
        <v>2.0572996037793354</v>
      </c>
      <c r="G61" s="90">
        <f t="shared" si="6"/>
        <v>0.94635781773849437</v>
      </c>
      <c r="H61" s="32"/>
      <c r="I61" s="33"/>
      <c r="J61" s="8"/>
      <c r="K61" s="31"/>
    </row>
    <row r="62" spans="1:11" x14ac:dyDescent="0.3">
      <c r="A62" s="28"/>
      <c r="B62" s="86" t="s">
        <v>104</v>
      </c>
      <c r="C62" s="87">
        <v>-2</v>
      </c>
      <c r="D62" s="88">
        <v>0.78</v>
      </c>
      <c r="E62" s="89">
        <v>0.23</v>
      </c>
      <c r="F62" s="89">
        <v>1.8</v>
      </c>
      <c r="G62" s="90">
        <f t="shared" ref="G62:G70" si="8">PRODUCT(C62:F62)</f>
        <v>-0.64584000000000008</v>
      </c>
      <c r="H62" s="32"/>
      <c r="I62" s="33"/>
      <c r="J62" s="8"/>
      <c r="K62" s="31"/>
    </row>
    <row r="63" spans="1:11" x14ac:dyDescent="0.3">
      <c r="A63" s="28"/>
      <c r="B63" s="85" t="s">
        <v>122</v>
      </c>
      <c r="C63" s="87"/>
      <c r="D63" s="88"/>
      <c r="E63" s="89"/>
      <c r="F63" s="89"/>
      <c r="G63" s="90"/>
      <c r="H63" s="32"/>
      <c r="I63" s="33"/>
      <c r="J63" s="8"/>
      <c r="K63" s="31"/>
    </row>
    <row r="64" spans="1:11" x14ac:dyDescent="0.3">
      <c r="A64" s="28"/>
      <c r="B64" s="86" t="s">
        <v>126</v>
      </c>
      <c r="C64" s="87">
        <v>1</v>
      </c>
      <c r="D64" s="88">
        <v>2.11</v>
      </c>
      <c r="E64" s="89">
        <v>0.23</v>
      </c>
      <c r="F64" s="89">
        <f>6.75/3.281</f>
        <v>2.0572996037793354</v>
      </c>
      <c r="G64" s="90">
        <f t="shared" si="8"/>
        <v>0.99840749771411152</v>
      </c>
      <c r="H64" s="32"/>
      <c r="I64" s="33"/>
      <c r="J64" s="8"/>
      <c r="K64" s="31"/>
    </row>
    <row r="65" spans="1:17" x14ac:dyDescent="0.3">
      <c r="A65" s="28"/>
      <c r="B65" s="86"/>
      <c r="C65" s="87">
        <v>1</v>
      </c>
      <c r="D65" s="88">
        <v>2.11</v>
      </c>
      <c r="E65" s="89">
        <v>0.1</v>
      </c>
      <c r="F65" s="89">
        <f t="shared" ref="F65:F66" si="9">6.75/3.281</f>
        <v>2.0572996037793354</v>
      </c>
      <c r="G65" s="90">
        <f t="shared" si="8"/>
        <v>0.43409021639743978</v>
      </c>
      <c r="H65" s="32"/>
      <c r="I65" s="33"/>
      <c r="J65" s="8"/>
      <c r="K65" s="31"/>
    </row>
    <row r="66" spans="1:17" x14ac:dyDescent="0.3">
      <c r="A66" s="28"/>
      <c r="B66" s="86"/>
      <c r="C66" s="87">
        <v>2</v>
      </c>
      <c r="D66" s="88">
        <v>1.68</v>
      </c>
      <c r="E66" s="89">
        <v>0.1</v>
      </c>
      <c r="F66" s="89">
        <f t="shared" si="9"/>
        <v>2.0572996037793354</v>
      </c>
      <c r="G66" s="90">
        <f t="shared" si="8"/>
        <v>0.69125266686985676</v>
      </c>
      <c r="H66" s="32"/>
      <c r="I66" s="33"/>
      <c r="J66" s="8"/>
      <c r="K66" s="31"/>
    </row>
    <row r="67" spans="1:17" x14ac:dyDescent="0.3">
      <c r="A67" s="28"/>
      <c r="B67" s="86" t="s">
        <v>104</v>
      </c>
      <c r="C67" s="87">
        <v>-1</v>
      </c>
      <c r="D67" s="88">
        <v>0.78</v>
      </c>
      <c r="E67" s="89">
        <v>0.23</v>
      </c>
      <c r="F67" s="89">
        <f>6/3.281</f>
        <v>1.8287107589149649</v>
      </c>
      <c r="G67" s="90">
        <f t="shared" si="8"/>
        <v>-0.32807071014934469</v>
      </c>
      <c r="H67" s="32"/>
      <c r="I67" s="33"/>
      <c r="J67" s="8"/>
      <c r="K67" s="31"/>
    </row>
    <row r="68" spans="1:17" x14ac:dyDescent="0.3">
      <c r="A68" s="28"/>
      <c r="B68" s="86" t="s">
        <v>103</v>
      </c>
      <c r="C68" s="87">
        <v>-2</v>
      </c>
      <c r="D68" s="88">
        <v>0.45</v>
      </c>
      <c r="E68" s="89">
        <v>0.1</v>
      </c>
      <c r="F68" s="89">
        <v>0.3</v>
      </c>
      <c r="G68" s="90">
        <f t="shared" si="8"/>
        <v>-2.7000000000000003E-2</v>
      </c>
      <c r="H68" s="32"/>
      <c r="I68" s="33"/>
      <c r="J68" s="8"/>
      <c r="K68" s="31"/>
    </row>
    <row r="69" spans="1:17" x14ac:dyDescent="0.3">
      <c r="A69" s="28"/>
      <c r="B69" s="86" t="s">
        <v>112</v>
      </c>
      <c r="C69" s="87">
        <v>1</v>
      </c>
      <c r="D69" s="88">
        <f>5.25/3.281</f>
        <v>1.6001219140505942</v>
      </c>
      <c r="E69" s="89">
        <v>0.23</v>
      </c>
      <c r="F69" s="89">
        <f>2.583/3.281</f>
        <v>0.78725998171289246</v>
      </c>
      <c r="G69" s="90">
        <f t="shared" si="8"/>
        <v>0.28973374822258996</v>
      </c>
      <c r="H69" s="32"/>
      <c r="I69" s="33"/>
      <c r="J69" s="8"/>
      <c r="K69" s="31"/>
    </row>
    <row r="70" spans="1:17" x14ac:dyDescent="0.3">
      <c r="A70" s="28"/>
      <c r="B70" s="86" t="s">
        <v>129</v>
      </c>
      <c r="C70" s="87">
        <v>1</v>
      </c>
      <c r="D70" s="88">
        <v>0.48</v>
      </c>
      <c r="E70" s="89">
        <v>0.2</v>
      </c>
      <c r="F70" s="89">
        <f>0.42/3.281</f>
        <v>0.12800975312404753</v>
      </c>
      <c r="G70" s="90">
        <f t="shared" si="8"/>
        <v>1.2288936299908564E-2</v>
      </c>
      <c r="H70" s="32"/>
      <c r="I70" s="33"/>
      <c r="J70" s="8"/>
      <c r="K70" s="31"/>
    </row>
    <row r="71" spans="1:17" x14ac:dyDescent="0.3">
      <c r="A71" s="28"/>
      <c r="B71" s="86" t="s">
        <v>106</v>
      </c>
      <c r="C71" s="29"/>
      <c r="D71" s="30"/>
      <c r="E71" s="31"/>
      <c r="F71" s="31"/>
      <c r="G71" s="38">
        <f>SUM(G12:G70)</f>
        <v>46.720463339199377</v>
      </c>
      <c r="H71" s="32" t="s">
        <v>34</v>
      </c>
      <c r="I71" s="33">
        <v>1950.4</v>
      </c>
      <c r="J71" s="8">
        <f>G71*I71</f>
        <v>91123.591696774471</v>
      </c>
      <c r="K71" s="31"/>
    </row>
    <row r="72" spans="1:17" x14ac:dyDescent="0.3">
      <c r="A72" s="28"/>
      <c r="B72" s="86"/>
      <c r="C72" s="29"/>
      <c r="D72" s="30"/>
      <c r="E72" s="31"/>
      <c r="F72" s="31"/>
      <c r="G72" s="39"/>
      <c r="H72" s="32"/>
      <c r="I72" s="33"/>
      <c r="J72" s="8"/>
      <c r="K72" s="31"/>
    </row>
    <row r="73" spans="1:17" ht="60" x14ac:dyDescent="0.3">
      <c r="A73" s="28">
        <v>2</v>
      </c>
      <c r="B73" s="83" t="s">
        <v>107</v>
      </c>
      <c r="C73" s="29"/>
      <c r="D73" s="30"/>
      <c r="E73" s="31"/>
      <c r="F73" s="31"/>
      <c r="G73" s="39"/>
      <c r="H73" s="32"/>
      <c r="I73" s="33"/>
      <c r="J73" s="8"/>
      <c r="K73" s="31"/>
    </row>
    <row r="74" spans="1:17" x14ac:dyDescent="0.3">
      <c r="A74" s="28"/>
      <c r="B74" s="85" t="str">
        <f>B11</f>
        <v>-Block 1</v>
      </c>
      <c r="C74" s="29">
        <v>2</v>
      </c>
      <c r="D74" s="30">
        <v>14.097</v>
      </c>
      <c r="E74" s="31">
        <v>3.2</v>
      </c>
      <c r="F74" s="31"/>
      <c r="G74" s="90">
        <f t="shared" ref="G74:G83" si="10">PRODUCT(C74:F74)</f>
        <v>90.220799999999997</v>
      </c>
      <c r="H74" s="32"/>
      <c r="I74" s="33"/>
      <c r="J74" s="8"/>
      <c r="K74" s="31"/>
      <c r="N74" s="80"/>
      <c r="O74" s="41"/>
      <c r="P74" s="81"/>
      <c r="Q74" s="81"/>
    </row>
    <row r="75" spans="1:17" x14ac:dyDescent="0.3">
      <c r="A75" s="28"/>
      <c r="B75" s="85"/>
      <c r="C75" s="29">
        <v>2</v>
      </c>
      <c r="D75" s="30">
        <v>5</v>
      </c>
      <c r="E75" s="31"/>
      <c r="F75" s="31">
        <v>0.40600000000000003</v>
      </c>
      <c r="G75" s="90">
        <f t="shared" si="10"/>
        <v>4.0600000000000005</v>
      </c>
      <c r="H75" s="32"/>
      <c r="I75" s="33"/>
      <c r="J75" s="8"/>
      <c r="K75" s="31"/>
      <c r="N75" s="80"/>
      <c r="O75" s="41"/>
      <c r="P75" s="81"/>
      <c r="Q75" s="81"/>
    </row>
    <row r="76" spans="1:17" x14ac:dyDescent="0.3">
      <c r="A76" s="28"/>
      <c r="B76" s="86"/>
      <c r="C76" s="29">
        <v>2</v>
      </c>
      <c r="D76" s="30">
        <f>D75/2</f>
        <v>2.5</v>
      </c>
      <c r="E76" s="31"/>
      <c r="F76" s="31">
        <v>0.96499999999999997</v>
      </c>
      <c r="G76" s="39">
        <f>C76*0.5*D76*F76</f>
        <v>2.4125000000000001</v>
      </c>
      <c r="H76" s="32"/>
      <c r="I76" s="33"/>
      <c r="J76" s="8"/>
      <c r="K76" s="31"/>
      <c r="N76" s="80"/>
      <c r="O76" s="41"/>
      <c r="P76" s="81"/>
      <c r="Q76" s="81"/>
    </row>
    <row r="77" spans="1:17" x14ac:dyDescent="0.3">
      <c r="A77" s="28"/>
      <c r="B77" s="86" t="s">
        <v>125</v>
      </c>
      <c r="C77" s="29">
        <v>2</v>
      </c>
      <c r="D77" s="30">
        <v>0.84</v>
      </c>
      <c r="E77" s="31"/>
      <c r="F77" s="31">
        <f>6.5/3.281</f>
        <v>1.9811033221578787</v>
      </c>
      <c r="G77" s="39">
        <f>C77*0.5*D77*F77</f>
        <v>1.664126790612618</v>
      </c>
      <c r="H77" s="32"/>
      <c r="I77" s="33"/>
      <c r="J77" s="8"/>
      <c r="K77" s="31"/>
      <c r="N77" s="80"/>
      <c r="O77" s="41"/>
      <c r="P77" s="81"/>
      <c r="Q77" s="81"/>
    </row>
    <row r="78" spans="1:17" x14ac:dyDescent="0.3">
      <c r="A78" s="28"/>
      <c r="B78" s="85" t="str">
        <f>B23</f>
        <v>-Block 2</v>
      </c>
      <c r="C78" s="29">
        <v>2</v>
      </c>
      <c r="D78" s="30">
        <v>13.945</v>
      </c>
      <c r="E78" s="31">
        <v>3.15</v>
      </c>
      <c r="F78" s="31"/>
      <c r="G78" s="90">
        <f t="shared" si="10"/>
        <v>87.853499999999997</v>
      </c>
      <c r="H78" s="32"/>
      <c r="I78" s="33"/>
      <c r="J78" s="8"/>
      <c r="K78" s="31"/>
      <c r="N78" s="80"/>
      <c r="O78" s="41"/>
      <c r="P78" s="81"/>
      <c r="Q78" s="81"/>
    </row>
    <row r="79" spans="1:17" x14ac:dyDescent="0.3">
      <c r="A79" s="28"/>
      <c r="B79" s="85"/>
      <c r="C79" s="29">
        <v>2</v>
      </c>
      <c r="D79" s="30">
        <v>4.5209999999999999</v>
      </c>
      <c r="E79" s="31"/>
      <c r="F79" s="31">
        <v>0.40600000000000003</v>
      </c>
      <c r="G79" s="90">
        <f t="shared" si="10"/>
        <v>3.671052</v>
      </c>
      <c r="H79" s="32"/>
      <c r="I79" s="33"/>
      <c r="J79" s="8"/>
      <c r="K79" s="31"/>
      <c r="N79" s="80"/>
      <c r="O79" s="41"/>
      <c r="P79" s="81"/>
      <c r="Q79" s="81"/>
    </row>
    <row r="80" spans="1:17" x14ac:dyDescent="0.3">
      <c r="A80" s="28"/>
      <c r="B80" s="86"/>
      <c r="C80" s="29">
        <v>2</v>
      </c>
      <c r="D80" s="30">
        <f>D79/2</f>
        <v>2.2605</v>
      </c>
      <c r="E80" s="31"/>
      <c r="F80" s="31">
        <v>0.99099999999999999</v>
      </c>
      <c r="G80" s="39">
        <f>C80*0.5*D80*F80</f>
        <v>2.2401554999999997</v>
      </c>
      <c r="H80" s="32"/>
      <c r="I80" s="33"/>
      <c r="J80" s="8"/>
      <c r="K80" s="31"/>
      <c r="N80" s="80"/>
      <c r="O80" s="41"/>
      <c r="P80" s="81"/>
      <c r="Q80" s="81"/>
    </row>
    <row r="81" spans="1:17" x14ac:dyDescent="0.3">
      <c r="A81" s="28"/>
      <c r="B81" s="86" t="s">
        <v>125</v>
      </c>
      <c r="C81" s="29">
        <v>2</v>
      </c>
      <c r="D81" s="30">
        <v>0.84</v>
      </c>
      <c r="E81" s="31"/>
      <c r="F81" s="31">
        <f>6.5/3.281</f>
        <v>1.9811033221578787</v>
      </c>
      <c r="G81" s="39">
        <f>C81*0.5*D81*F81</f>
        <v>1.664126790612618</v>
      </c>
      <c r="H81" s="32"/>
      <c r="I81" s="33"/>
      <c r="J81" s="8"/>
      <c r="K81" s="31"/>
      <c r="N81" s="80"/>
      <c r="O81" s="41"/>
      <c r="P81" s="81"/>
      <c r="Q81" s="81"/>
    </row>
    <row r="82" spans="1:17" x14ac:dyDescent="0.3">
      <c r="A82" s="28"/>
      <c r="B82" s="85" t="str">
        <f>B34</f>
        <v>-Block 3</v>
      </c>
      <c r="C82" s="29">
        <v>2</v>
      </c>
      <c r="D82" s="30">
        <v>14.401</v>
      </c>
      <c r="E82" s="31">
        <v>3.35</v>
      </c>
      <c r="F82" s="31"/>
      <c r="G82" s="90">
        <f t="shared" si="10"/>
        <v>96.486699999999999</v>
      </c>
      <c r="H82" s="32"/>
      <c r="I82" s="33"/>
      <c r="J82" s="8"/>
      <c r="K82" s="31"/>
      <c r="N82" s="80">
        <f>2.6*3.281</f>
        <v>8.5306000000000015</v>
      </c>
      <c r="O82" s="41">
        <f>N82-1.5</f>
        <v>7.0306000000000015</v>
      </c>
      <c r="P82" s="81"/>
      <c r="Q82" s="81"/>
    </row>
    <row r="83" spans="1:17" x14ac:dyDescent="0.3">
      <c r="A83" s="28"/>
      <c r="B83" s="85"/>
      <c r="C83" s="29">
        <v>2</v>
      </c>
      <c r="D83" s="30">
        <v>4.0389999999999997</v>
      </c>
      <c r="E83" s="31"/>
      <c r="F83" s="31">
        <v>0.35599999999999998</v>
      </c>
      <c r="G83" s="90">
        <f t="shared" si="10"/>
        <v>2.8757679999999994</v>
      </c>
      <c r="H83" s="32"/>
      <c r="I83" s="33"/>
      <c r="J83" s="8"/>
      <c r="K83" s="31"/>
      <c r="N83" s="80"/>
      <c r="O83" s="41"/>
      <c r="P83" s="81"/>
      <c r="Q83" s="81"/>
    </row>
    <row r="84" spans="1:17" x14ac:dyDescent="0.3">
      <c r="A84" s="28"/>
      <c r="B84" s="85"/>
      <c r="C84" s="29">
        <v>2</v>
      </c>
      <c r="D84" s="30">
        <f>D83/2</f>
        <v>2.0194999999999999</v>
      </c>
      <c r="E84" s="31"/>
      <c r="F84" s="31">
        <v>0.86399999999999999</v>
      </c>
      <c r="G84" s="39">
        <f>C84*0.5*D84*F84</f>
        <v>1.744848</v>
      </c>
      <c r="H84" s="32"/>
      <c r="I84" s="33"/>
      <c r="J84" s="8"/>
      <c r="K84" s="31"/>
      <c r="N84" s="80"/>
      <c r="O84" s="41"/>
      <c r="P84" s="81"/>
      <c r="Q84" s="81"/>
    </row>
    <row r="85" spans="1:17" x14ac:dyDescent="0.3">
      <c r="A85" s="28"/>
      <c r="B85" s="86" t="s">
        <v>125</v>
      </c>
      <c r="C85" s="29">
        <v>2</v>
      </c>
      <c r="D85" s="30">
        <v>0.84</v>
      </c>
      <c r="E85" s="31"/>
      <c r="F85" s="31">
        <f>6.5/3.281</f>
        <v>1.9811033221578787</v>
      </c>
      <c r="G85" s="39">
        <f>C85*0.5*D85*F85</f>
        <v>1.664126790612618</v>
      </c>
      <c r="H85" s="32"/>
      <c r="I85" s="33"/>
      <c r="J85" s="8"/>
      <c r="K85" s="31"/>
      <c r="N85" s="80"/>
      <c r="O85" s="41"/>
      <c r="P85" s="81"/>
      <c r="Q85" s="81"/>
    </row>
    <row r="86" spans="1:17" x14ac:dyDescent="0.3">
      <c r="A86" s="28"/>
      <c r="B86" s="85" t="s">
        <v>113</v>
      </c>
      <c r="C86" s="29"/>
      <c r="D86" s="30"/>
      <c r="E86" s="31"/>
      <c r="F86" s="31"/>
      <c r="G86" s="39"/>
      <c r="H86" s="32"/>
      <c r="I86" s="33"/>
      <c r="J86" s="8"/>
      <c r="K86" s="31"/>
      <c r="N86" s="80"/>
      <c r="O86" s="41"/>
      <c r="P86" s="81"/>
      <c r="Q86" s="81"/>
    </row>
    <row r="87" spans="1:17" x14ac:dyDescent="0.3">
      <c r="A87" s="28"/>
      <c r="B87" s="86" t="s">
        <v>114</v>
      </c>
      <c r="C87" s="29">
        <v>1</v>
      </c>
      <c r="D87" s="30">
        <v>6.4</v>
      </c>
      <c r="E87" s="31">
        <f>11.25/3.281</f>
        <v>3.4288326729655592</v>
      </c>
      <c r="F87" s="31"/>
      <c r="G87" s="90">
        <f t="shared" ref="G87" si="11">PRODUCT(C87:F87)</f>
        <v>21.94452910697958</v>
      </c>
      <c r="H87" s="32"/>
      <c r="I87" s="33"/>
      <c r="J87" s="8"/>
      <c r="K87" s="31"/>
      <c r="N87" s="80"/>
      <c r="O87" s="41"/>
      <c r="P87" s="81"/>
      <c r="Q87" s="81"/>
    </row>
    <row r="88" spans="1:17" x14ac:dyDescent="0.3">
      <c r="A88" s="28"/>
      <c r="B88" s="86" t="s">
        <v>125</v>
      </c>
      <c r="C88" s="29">
        <v>1</v>
      </c>
      <c r="D88" s="30">
        <v>0.8</v>
      </c>
      <c r="E88" s="31"/>
      <c r="F88" s="31">
        <f>5.75/3.281</f>
        <v>1.752514477293508</v>
      </c>
      <c r="G88" s="39">
        <f>C88*0.5*D88*F88</f>
        <v>0.70100579091740323</v>
      </c>
      <c r="H88" s="32"/>
      <c r="I88" s="33"/>
      <c r="J88" s="8"/>
      <c r="K88" s="31"/>
      <c r="N88" s="80"/>
      <c r="O88" s="41"/>
      <c r="P88" s="81"/>
      <c r="Q88" s="81"/>
    </row>
    <row r="89" spans="1:17" x14ac:dyDescent="0.3">
      <c r="A89" s="28"/>
      <c r="B89" s="86" t="s">
        <v>106</v>
      </c>
      <c r="C89" s="29"/>
      <c r="D89" s="30"/>
      <c r="E89" s="31"/>
      <c r="F89" s="31"/>
      <c r="G89" s="38">
        <f>SUM(G74:G88)</f>
        <v>319.20323876973481</v>
      </c>
      <c r="H89" s="32" t="s">
        <v>110</v>
      </c>
      <c r="I89" s="33">
        <v>69.87</v>
      </c>
      <c r="J89" s="8">
        <f>G89*I89</f>
        <v>22302.730292841374</v>
      </c>
      <c r="K89" s="31"/>
    </row>
    <row r="90" spans="1:17" x14ac:dyDescent="0.3">
      <c r="A90" s="28"/>
      <c r="B90" s="86"/>
      <c r="C90" s="29"/>
      <c r="D90" s="30"/>
      <c r="E90" s="31"/>
      <c r="F90" s="31"/>
      <c r="G90" s="39"/>
      <c r="H90" s="32"/>
      <c r="I90" s="33"/>
      <c r="J90" s="8"/>
      <c r="K90" s="31"/>
    </row>
    <row r="91" spans="1:17" ht="30" x14ac:dyDescent="0.3">
      <c r="A91" s="28">
        <v>3</v>
      </c>
      <c r="B91" s="83" t="s">
        <v>115</v>
      </c>
      <c r="C91" s="29"/>
      <c r="D91" s="30"/>
      <c r="E91" s="31"/>
      <c r="F91" s="31"/>
      <c r="G91" s="39"/>
      <c r="H91" s="32"/>
      <c r="I91" s="33"/>
      <c r="J91" s="8"/>
      <c r="K91" s="31"/>
    </row>
    <row r="92" spans="1:17" x14ac:dyDescent="0.3">
      <c r="A92" s="10"/>
      <c r="B92" s="86" t="s">
        <v>113</v>
      </c>
      <c r="C92" s="9">
        <v>1</v>
      </c>
      <c r="D92" s="7">
        <f>(46+9+9)/12/3.281</f>
        <v>1.6255206745910797</v>
      </c>
      <c r="E92" s="7">
        <f>2</f>
        <v>2</v>
      </c>
      <c r="F92" s="7">
        <v>0.05</v>
      </c>
      <c r="G92" s="90">
        <f t="shared" ref="G92:G94" si="12">PRODUCT(C92:F92)</f>
        <v>0.162552067459108</v>
      </c>
      <c r="H92" s="8"/>
      <c r="I92" s="8"/>
      <c r="J92" s="8"/>
      <c r="K92" s="4"/>
      <c r="M92" s="41"/>
      <c r="N92">
        <f>0.78+0.78+(14)/12/3.281</f>
        <v>1.9155826475667987</v>
      </c>
      <c r="O92">
        <f>N92*3.281</f>
        <v>6.285026666666667</v>
      </c>
    </row>
    <row r="93" spans="1:17" x14ac:dyDescent="0.3">
      <c r="A93" s="10"/>
      <c r="B93" s="86" t="s">
        <v>127</v>
      </c>
      <c r="C93" s="9">
        <v>1</v>
      </c>
      <c r="D93" s="7">
        <f>2.11+0.15</f>
        <v>2.2599999999999998</v>
      </c>
      <c r="E93" s="7">
        <f>2.01+0.15</f>
        <v>2.1599999999999997</v>
      </c>
      <c r="F93" s="7">
        <v>0.1</v>
      </c>
      <c r="G93" s="90">
        <f t="shared" si="12"/>
        <v>0.48815999999999993</v>
      </c>
      <c r="H93" s="8"/>
      <c r="I93" s="8"/>
      <c r="J93" s="8"/>
      <c r="K93" s="4"/>
      <c r="M93" s="41"/>
    </row>
    <row r="94" spans="1:17" x14ac:dyDescent="0.3">
      <c r="A94" s="10"/>
      <c r="B94" s="86" t="s">
        <v>128</v>
      </c>
      <c r="C94" s="9">
        <v>4</v>
      </c>
      <c r="D94" s="7">
        <f>((1.5+5.25)/2)/3.281</f>
        <v>1.0286498018896677</v>
      </c>
      <c r="E94" s="7">
        <f>2.5/3.281</f>
        <v>0.76196281621456874</v>
      </c>
      <c r="F94" s="7">
        <v>0.05</v>
      </c>
      <c r="G94" s="90">
        <f t="shared" si="12"/>
        <v>0.15675857998928189</v>
      </c>
      <c r="H94" s="8"/>
      <c r="I94" s="8"/>
      <c r="J94" s="8"/>
      <c r="K94" s="4"/>
      <c r="M94" s="41"/>
    </row>
    <row r="95" spans="1:17" x14ac:dyDescent="0.3">
      <c r="A95" s="28"/>
      <c r="B95" s="86" t="s">
        <v>106</v>
      </c>
      <c r="C95" s="29"/>
      <c r="D95" s="30"/>
      <c r="E95" s="31"/>
      <c r="F95" s="31"/>
      <c r="G95" s="38">
        <f>SUM(G92:G94)</f>
        <v>0.80747064744838981</v>
      </c>
      <c r="H95" s="32" t="s">
        <v>110</v>
      </c>
      <c r="I95" s="33">
        <v>3680</v>
      </c>
      <c r="J95" s="8">
        <f>G95*I95</f>
        <v>2971.4919826100745</v>
      </c>
      <c r="K95" s="31"/>
    </row>
    <row r="96" spans="1:17" x14ac:dyDescent="0.3">
      <c r="A96" s="28"/>
      <c r="B96" s="86"/>
      <c r="C96" s="29"/>
      <c r="D96" s="30"/>
      <c r="E96" s="31"/>
      <c r="F96" s="31"/>
      <c r="G96" s="39"/>
      <c r="H96" s="32"/>
      <c r="I96" s="33"/>
      <c r="J96" s="8"/>
      <c r="K96" s="31"/>
    </row>
    <row r="97" spans="1:15" ht="41.4" x14ac:dyDescent="0.3">
      <c r="A97" s="28">
        <v>4</v>
      </c>
      <c r="B97" s="94" t="s">
        <v>130</v>
      </c>
      <c r="C97" s="29" t="s">
        <v>7</v>
      </c>
      <c r="D97" s="95" t="s">
        <v>131</v>
      </c>
      <c r="E97" s="96" t="s">
        <v>133</v>
      </c>
      <c r="F97" s="96" t="s">
        <v>132</v>
      </c>
      <c r="G97" s="96"/>
      <c r="H97" s="32"/>
      <c r="I97" s="33"/>
      <c r="J97" s="8"/>
      <c r="K97" s="31"/>
    </row>
    <row r="98" spans="1:15" x14ac:dyDescent="0.3">
      <c r="A98" s="28"/>
      <c r="B98" s="85" t="s">
        <v>108</v>
      </c>
      <c r="C98" s="29"/>
      <c r="D98" s="30"/>
      <c r="E98" s="31"/>
      <c r="F98" s="31"/>
      <c r="G98" s="90"/>
      <c r="H98" s="32"/>
      <c r="I98" s="33"/>
      <c r="J98" s="8"/>
      <c r="K98" s="31"/>
    </row>
    <row r="99" spans="1:15" x14ac:dyDescent="0.3">
      <c r="A99" s="10"/>
      <c r="B99" s="86" t="s">
        <v>134</v>
      </c>
      <c r="C99" s="9"/>
      <c r="D99" s="7"/>
      <c r="E99" s="7"/>
      <c r="F99" s="7"/>
      <c r="G99" s="90"/>
      <c r="H99" s="8"/>
      <c r="I99" s="8"/>
      <c r="J99" s="8"/>
      <c r="K99" s="4"/>
      <c r="M99" s="41"/>
    </row>
    <row r="100" spans="1:15" ht="28.2" x14ac:dyDescent="0.3">
      <c r="A100" s="10"/>
      <c r="B100" s="86" t="s">
        <v>137</v>
      </c>
      <c r="C100" s="9">
        <f>2*5</f>
        <v>10</v>
      </c>
      <c r="D100" s="7">
        <f>10.5/3.281</f>
        <v>3.2002438281011885</v>
      </c>
      <c r="E100" s="7">
        <v>2.46</v>
      </c>
      <c r="F100" s="7">
        <f>PRODUCT(C100:E100)</f>
        <v>78.725998171289234</v>
      </c>
      <c r="G100" s="90">
        <f>F100/1000</f>
        <v>7.8725998171289238E-2</v>
      </c>
      <c r="H100" s="8"/>
      <c r="I100" s="8"/>
      <c r="J100" s="8"/>
      <c r="K100" s="4"/>
      <c r="M100" s="41"/>
    </row>
    <row r="101" spans="1:15" ht="28.2" x14ac:dyDescent="0.3">
      <c r="A101" s="10"/>
      <c r="B101" s="86" t="s">
        <v>135</v>
      </c>
      <c r="C101" s="9">
        <f>2*5</f>
        <v>10</v>
      </c>
      <c r="D101" s="7">
        <f>4/3.281</f>
        <v>1.2191405059433098</v>
      </c>
      <c r="E101" s="7">
        <v>1.92</v>
      </c>
      <c r="F101" s="7">
        <f t="shared" ref="F101:F103" si="13">PRODUCT(C101:E101)</f>
        <v>23.407497714111546</v>
      </c>
      <c r="G101" s="90">
        <f t="shared" ref="G101:G148" si="14">F101/1000</f>
        <v>2.3407497714111547E-2</v>
      </c>
      <c r="H101" s="8"/>
      <c r="I101" s="8"/>
      <c r="J101" s="8"/>
      <c r="K101" s="4"/>
      <c r="M101" s="41"/>
    </row>
    <row r="102" spans="1:15" ht="28.2" x14ac:dyDescent="0.3">
      <c r="A102" s="10"/>
      <c r="B102" s="86" t="s">
        <v>136</v>
      </c>
      <c r="C102" s="9">
        <f>2*5</f>
        <v>10</v>
      </c>
      <c r="D102" s="7">
        <f>1.5/3.281</f>
        <v>0.45717768972874123</v>
      </c>
      <c r="E102" s="7">
        <v>1.5</v>
      </c>
      <c r="F102" s="7">
        <f t="shared" si="13"/>
        <v>6.8576653459311183</v>
      </c>
      <c r="G102" s="90">
        <f t="shared" si="14"/>
        <v>6.8576653459311186E-3</v>
      </c>
      <c r="H102" s="8"/>
      <c r="I102" s="8"/>
      <c r="J102" s="8"/>
      <c r="K102" s="97"/>
      <c r="M102" s="41"/>
    </row>
    <row r="103" spans="1:15" ht="28.2" x14ac:dyDescent="0.3">
      <c r="A103" s="10"/>
      <c r="B103" s="86" t="s">
        <v>138</v>
      </c>
      <c r="C103" s="9">
        <f>2*5</f>
        <v>10</v>
      </c>
      <c r="D103" s="7">
        <v>4.7450000000000001</v>
      </c>
      <c r="E103" s="7">
        <v>2.46</v>
      </c>
      <c r="F103" s="7">
        <f t="shared" si="13"/>
        <v>116.727</v>
      </c>
      <c r="G103" s="90">
        <f t="shared" si="14"/>
        <v>0.116727</v>
      </c>
      <c r="H103" s="8"/>
      <c r="I103" s="8"/>
      <c r="J103" s="8"/>
      <c r="K103" s="97"/>
      <c r="M103" s="41"/>
    </row>
    <row r="104" spans="1:15" ht="28.2" x14ac:dyDescent="0.3">
      <c r="A104" s="10"/>
      <c r="B104" s="86" t="s">
        <v>139</v>
      </c>
      <c r="C104" s="9">
        <v>2</v>
      </c>
      <c r="D104" s="7">
        <v>14.147</v>
      </c>
      <c r="E104" s="7">
        <v>1.92</v>
      </c>
      <c r="F104" s="7">
        <f t="shared" ref="F104:F108" si="15">PRODUCT(C104:E104)</f>
        <v>54.324480000000001</v>
      </c>
      <c r="G104" s="90">
        <f t="shared" si="14"/>
        <v>5.4324480000000001E-2</v>
      </c>
      <c r="H104" s="8"/>
      <c r="I104" s="8"/>
      <c r="J104" s="8"/>
      <c r="K104" s="4"/>
      <c r="M104" s="41"/>
    </row>
    <row r="105" spans="1:15" x14ac:dyDescent="0.3">
      <c r="A105" s="10"/>
      <c r="B105" s="86" t="s">
        <v>140</v>
      </c>
      <c r="C105" s="9">
        <v>8</v>
      </c>
      <c r="D105" s="7">
        <v>14.4</v>
      </c>
      <c r="E105" s="7">
        <v>3.56</v>
      </c>
      <c r="F105" s="7">
        <f t="shared" si="15"/>
        <v>410.11200000000002</v>
      </c>
      <c r="G105" s="90">
        <f t="shared" si="14"/>
        <v>0.41011200000000003</v>
      </c>
      <c r="H105" s="8"/>
      <c r="I105" s="8"/>
      <c r="J105" s="8"/>
      <c r="K105" s="97"/>
      <c r="M105" s="41"/>
      <c r="O105">
        <f>3.6+5*0.05-0.05</f>
        <v>3.8000000000000003</v>
      </c>
    </row>
    <row r="106" spans="1:15" x14ac:dyDescent="0.3">
      <c r="A106" s="10"/>
      <c r="B106" s="86" t="s">
        <v>141</v>
      </c>
      <c r="C106" s="9"/>
      <c r="D106" s="7"/>
      <c r="E106" s="7"/>
      <c r="F106" s="7"/>
      <c r="G106" s="90"/>
      <c r="H106" s="8"/>
      <c r="I106" s="8"/>
      <c r="J106" s="8"/>
      <c r="K106" s="97"/>
      <c r="M106" s="41"/>
    </row>
    <row r="107" spans="1:15" x14ac:dyDescent="0.3">
      <c r="A107" s="10"/>
      <c r="B107" s="86" t="s">
        <v>142</v>
      </c>
      <c r="C107" s="9">
        <f>2*7</f>
        <v>14</v>
      </c>
      <c r="D107" s="7">
        <v>2.375</v>
      </c>
      <c r="E107" s="7">
        <f>12*12/162</f>
        <v>0.88888888888888884</v>
      </c>
      <c r="F107" s="7">
        <f t="shared" si="15"/>
        <v>29.555555555555554</v>
      </c>
      <c r="G107" s="90">
        <f t="shared" si="14"/>
        <v>2.9555555555555554E-2</v>
      </c>
      <c r="H107" s="8"/>
      <c r="I107" s="8"/>
      <c r="J107" s="8"/>
      <c r="K107" s="97"/>
      <c r="M107" s="41"/>
    </row>
    <row r="108" spans="1:15" x14ac:dyDescent="0.3">
      <c r="A108" s="10"/>
      <c r="B108" s="86" t="s">
        <v>143</v>
      </c>
      <c r="C108" s="9">
        <f>2*9</f>
        <v>18</v>
      </c>
      <c r="D108" s="7">
        <v>1.2</v>
      </c>
      <c r="E108" s="7">
        <f>12*12/162</f>
        <v>0.88888888888888884</v>
      </c>
      <c r="F108" s="7">
        <f t="shared" si="15"/>
        <v>19.199999999999996</v>
      </c>
      <c r="G108" s="90">
        <f t="shared" si="14"/>
        <v>1.9199999999999995E-2</v>
      </c>
      <c r="H108" s="8"/>
      <c r="I108" s="8"/>
      <c r="J108" s="8"/>
      <c r="K108" s="97"/>
      <c r="M108" s="41"/>
    </row>
    <row r="109" spans="1:15" x14ac:dyDescent="0.3">
      <c r="A109" s="10"/>
      <c r="B109" s="86" t="s">
        <v>144</v>
      </c>
      <c r="C109" s="9"/>
      <c r="D109" s="7"/>
      <c r="E109" s="7"/>
      <c r="F109" s="7"/>
      <c r="G109" s="90"/>
      <c r="H109" s="8"/>
      <c r="I109" s="8"/>
      <c r="J109" s="8"/>
      <c r="K109" s="97"/>
      <c r="M109" s="41"/>
    </row>
    <row r="110" spans="1:15" x14ac:dyDescent="0.3">
      <c r="A110" s="10"/>
      <c r="B110" s="86" t="s">
        <v>142</v>
      </c>
      <c r="C110" s="9">
        <f>10*3</f>
        <v>30</v>
      </c>
      <c r="D110" s="7">
        <v>2.375</v>
      </c>
      <c r="E110" s="7">
        <f>6*6/162</f>
        <v>0.22222222222222221</v>
      </c>
      <c r="F110" s="7">
        <f t="shared" ref="F110:F112" si="16">PRODUCT(C110:E110)</f>
        <v>15.833333333333332</v>
      </c>
      <c r="G110" s="90">
        <f t="shared" si="14"/>
        <v>1.5833333333333331E-2</v>
      </c>
      <c r="H110" s="8"/>
      <c r="I110" s="8"/>
      <c r="J110" s="8"/>
      <c r="K110" s="97"/>
      <c r="M110" s="41"/>
    </row>
    <row r="111" spans="1:15" x14ac:dyDescent="0.3">
      <c r="A111" s="10"/>
      <c r="B111" s="86"/>
      <c r="C111" s="9">
        <f>10*4</f>
        <v>40</v>
      </c>
      <c r="D111" s="7">
        <v>2.375</v>
      </c>
      <c r="E111" s="7">
        <f>12*12/162</f>
        <v>0.88888888888888884</v>
      </c>
      <c r="F111" s="7">
        <f t="shared" ref="F111" si="17">PRODUCT(C111:E111)</f>
        <v>84.444444444444443</v>
      </c>
      <c r="G111" s="90">
        <f t="shared" si="14"/>
        <v>8.4444444444444447E-2</v>
      </c>
      <c r="H111" s="8"/>
      <c r="I111" s="8"/>
      <c r="J111" s="8"/>
      <c r="K111" s="97"/>
      <c r="M111" s="41"/>
    </row>
    <row r="112" spans="1:15" x14ac:dyDescent="0.3">
      <c r="A112" s="10"/>
      <c r="B112" s="86" t="s">
        <v>143</v>
      </c>
      <c r="C112" s="9">
        <f>10*2</f>
        <v>20</v>
      </c>
      <c r="D112" s="7">
        <v>1.2</v>
      </c>
      <c r="E112" s="7">
        <f>8*8/162</f>
        <v>0.39506172839506171</v>
      </c>
      <c r="F112" s="7">
        <f t="shared" si="16"/>
        <v>9.481481481481481</v>
      </c>
      <c r="G112" s="90">
        <f t="shared" si="14"/>
        <v>9.4814814814814814E-3</v>
      </c>
      <c r="H112" s="8"/>
      <c r="I112" s="8"/>
      <c r="J112" s="8"/>
      <c r="K112" s="97"/>
      <c r="M112" s="41"/>
    </row>
    <row r="113" spans="1:13" x14ac:dyDescent="0.3">
      <c r="A113" s="10"/>
      <c r="B113" s="86"/>
      <c r="C113" s="9">
        <f>10*1</f>
        <v>10</v>
      </c>
      <c r="D113" s="7">
        <v>1.2</v>
      </c>
      <c r="E113" s="7">
        <f>12*12/162</f>
        <v>0.88888888888888884</v>
      </c>
      <c r="F113" s="7">
        <f t="shared" ref="F113:F114" si="18">PRODUCT(C113:E113)</f>
        <v>10.666666666666666</v>
      </c>
      <c r="G113" s="90">
        <f t="shared" si="14"/>
        <v>1.0666666666666666E-2</v>
      </c>
      <c r="H113" s="8"/>
      <c r="I113" s="8"/>
      <c r="J113" s="8"/>
      <c r="K113" s="97"/>
      <c r="M113" s="41"/>
    </row>
    <row r="114" spans="1:13" x14ac:dyDescent="0.3">
      <c r="A114" s="10"/>
      <c r="B114" s="86" t="s">
        <v>145</v>
      </c>
      <c r="C114" s="9">
        <f>8*8</f>
        <v>64</v>
      </c>
      <c r="D114" s="7">
        <v>0.49</v>
      </c>
      <c r="E114" s="7">
        <f>8*8/162</f>
        <v>0.39506172839506171</v>
      </c>
      <c r="F114" s="7">
        <f t="shared" si="18"/>
        <v>12.389135802469134</v>
      </c>
      <c r="G114" s="90">
        <f t="shared" si="14"/>
        <v>1.2389135802469134E-2</v>
      </c>
      <c r="H114" s="8"/>
      <c r="I114" s="8"/>
      <c r="J114" s="8"/>
      <c r="K114" s="97"/>
      <c r="M114" s="41"/>
    </row>
    <row r="115" spans="1:13" ht="28.2" x14ac:dyDescent="0.3">
      <c r="A115" s="10"/>
      <c r="B115" s="86" t="s">
        <v>146</v>
      </c>
      <c r="C115" s="9"/>
      <c r="D115" s="7"/>
      <c r="E115" s="7"/>
      <c r="F115" s="7"/>
      <c r="G115" s="90"/>
      <c r="H115" s="8"/>
      <c r="I115" s="8"/>
      <c r="J115" s="8"/>
      <c r="K115" s="97"/>
      <c r="M115" s="41"/>
    </row>
    <row r="116" spans="1:13" x14ac:dyDescent="0.3">
      <c r="A116" s="10"/>
      <c r="B116" s="86" t="s">
        <v>148</v>
      </c>
      <c r="C116" s="9">
        <f>4*2+2*10</f>
        <v>28</v>
      </c>
      <c r="D116" s="7">
        <v>1.2</v>
      </c>
      <c r="E116" s="7">
        <v>2.1</v>
      </c>
      <c r="F116" s="7">
        <f t="shared" ref="F116" si="19">PRODUCT(C116:E116)</f>
        <v>70.56</v>
      </c>
      <c r="G116" s="90">
        <f t="shared" si="14"/>
        <v>7.0559999999999998E-2</v>
      </c>
      <c r="H116" s="8"/>
      <c r="I116" s="8"/>
      <c r="J116" s="8"/>
      <c r="K116" s="97"/>
      <c r="M116" s="41"/>
    </row>
    <row r="117" spans="1:13" x14ac:dyDescent="0.3">
      <c r="A117" s="10"/>
      <c r="B117" s="86" t="s">
        <v>147</v>
      </c>
      <c r="C117" s="9">
        <f>10*2+4*2</f>
        <v>28</v>
      </c>
      <c r="D117" s="7">
        <v>0.83799999999999997</v>
      </c>
      <c r="E117" s="7">
        <v>2.1</v>
      </c>
      <c r="F117" s="7">
        <f t="shared" ref="F117" si="20">PRODUCT(C117:E117)</f>
        <v>49.2744</v>
      </c>
      <c r="G117" s="90">
        <f t="shared" si="14"/>
        <v>4.9274400000000003E-2</v>
      </c>
      <c r="H117" s="8"/>
      <c r="I117" s="8"/>
      <c r="J117" s="8"/>
      <c r="K117" s="97"/>
      <c r="M117" s="41"/>
    </row>
    <row r="118" spans="1:13" x14ac:dyDescent="0.3">
      <c r="A118" s="10"/>
      <c r="B118" s="86" t="s">
        <v>149</v>
      </c>
      <c r="C118" s="9"/>
      <c r="D118" s="7"/>
      <c r="E118" s="7"/>
      <c r="F118" s="7"/>
      <c r="G118" s="90"/>
      <c r="H118" s="8"/>
      <c r="I118" s="8"/>
      <c r="J118" s="8"/>
      <c r="K118" s="97"/>
      <c r="M118" s="41"/>
    </row>
    <row r="119" spans="1:13" x14ac:dyDescent="0.3">
      <c r="A119" s="10"/>
      <c r="B119" s="86" t="s">
        <v>148</v>
      </c>
      <c r="C119" s="9">
        <f>2*2</f>
        <v>4</v>
      </c>
      <c r="D119" s="7">
        <f>1.2+3.5/3.281</f>
        <v>2.266747942700396</v>
      </c>
      <c r="E119" s="7">
        <v>2.1</v>
      </c>
      <c r="F119" s="7">
        <f t="shared" ref="F119:F120" si="21">PRODUCT(C119:E119)</f>
        <v>19.040682718683328</v>
      </c>
      <c r="G119" s="90">
        <f t="shared" si="14"/>
        <v>1.9040682718683328E-2</v>
      </c>
      <c r="H119" s="8"/>
      <c r="I119" s="8"/>
      <c r="J119" s="8"/>
      <c r="K119" s="97"/>
      <c r="M119" s="41"/>
    </row>
    <row r="120" spans="1:13" x14ac:dyDescent="0.3">
      <c r="A120" s="10"/>
      <c r="B120" s="86" t="s">
        <v>147</v>
      </c>
      <c r="C120" s="9">
        <f>2*2</f>
        <v>4</v>
      </c>
      <c r="D120" s="7">
        <v>0.83799999999999997</v>
      </c>
      <c r="E120" s="7">
        <v>2.1</v>
      </c>
      <c r="F120" s="7">
        <f t="shared" si="21"/>
        <v>7.0392000000000001</v>
      </c>
      <c r="G120" s="90">
        <f t="shared" si="14"/>
        <v>7.0391999999999998E-3</v>
      </c>
      <c r="H120" s="8"/>
      <c r="I120" s="8"/>
      <c r="J120" s="8"/>
      <c r="K120" s="97"/>
      <c r="M120" s="41"/>
    </row>
    <row r="121" spans="1:13" ht="28.2" x14ac:dyDescent="0.3">
      <c r="A121" s="10"/>
      <c r="B121" s="86" t="s">
        <v>150</v>
      </c>
      <c r="C121" s="9"/>
      <c r="D121" s="7"/>
      <c r="E121" s="7"/>
      <c r="F121" s="7"/>
      <c r="G121" s="90"/>
      <c r="H121" s="8"/>
      <c r="I121" s="8"/>
      <c r="J121" s="8"/>
      <c r="K121" s="97"/>
      <c r="M121" s="41"/>
    </row>
    <row r="122" spans="1:13" x14ac:dyDescent="0.3">
      <c r="A122" s="10"/>
      <c r="B122" s="86" t="s">
        <v>148</v>
      </c>
      <c r="C122" s="9">
        <f>4*8</f>
        <v>32</v>
      </c>
      <c r="D122" s="7">
        <v>0.49</v>
      </c>
      <c r="E122" s="7">
        <v>2.1</v>
      </c>
      <c r="F122" s="7">
        <f t="shared" ref="F122:F123" si="22">PRODUCT(C122:E122)</f>
        <v>32.927999999999997</v>
      </c>
      <c r="G122" s="90">
        <f t="shared" si="14"/>
        <v>3.2927999999999999E-2</v>
      </c>
      <c r="H122" s="8"/>
      <c r="I122" s="8"/>
      <c r="J122" s="8"/>
      <c r="K122" s="97"/>
      <c r="M122" s="41"/>
    </row>
    <row r="123" spans="1:13" x14ac:dyDescent="0.3">
      <c r="A123" s="10"/>
      <c r="B123" s="86" t="s">
        <v>147</v>
      </c>
      <c r="C123" s="9">
        <f>2*2</f>
        <v>4</v>
      </c>
      <c r="D123" s="7">
        <v>2.3780000000000001</v>
      </c>
      <c r="E123" s="7">
        <v>2.1</v>
      </c>
      <c r="F123" s="7">
        <f t="shared" si="22"/>
        <v>19.975200000000001</v>
      </c>
      <c r="G123" s="90">
        <f t="shared" si="14"/>
        <v>1.9975200000000002E-2</v>
      </c>
      <c r="H123" s="8"/>
      <c r="I123" s="8"/>
      <c r="J123" s="8"/>
      <c r="K123" s="97"/>
      <c r="M123" s="41"/>
    </row>
    <row r="124" spans="1:13" x14ac:dyDescent="0.3">
      <c r="A124" s="10"/>
      <c r="B124" s="86"/>
      <c r="C124" s="9">
        <f t="shared" ref="C124:C126" si="23">2*2</f>
        <v>4</v>
      </c>
      <c r="D124" s="7">
        <v>2.3410000000000002</v>
      </c>
      <c r="E124" s="7">
        <v>2.1</v>
      </c>
      <c r="F124" s="7">
        <f t="shared" ref="F124:F127" si="24">PRODUCT(C124:E124)</f>
        <v>19.664400000000004</v>
      </c>
      <c r="G124" s="90">
        <f t="shared" si="14"/>
        <v>1.9664400000000005E-2</v>
      </c>
      <c r="H124" s="8"/>
      <c r="I124" s="8"/>
      <c r="J124" s="8"/>
      <c r="K124" s="97"/>
      <c r="M124" s="41"/>
    </row>
    <row r="125" spans="1:13" x14ac:dyDescent="0.3">
      <c r="A125" s="10"/>
      <c r="B125" s="86"/>
      <c r="C125" s="9">
        <f t="shared" si="23"/>
        <v>4</v>
      </c>
      <c r="D125" s="7">
        <v>2.3370000000000002</v>
      </c>
      <c r="E125" s="7">
        <v>2.1</v>
      </c>
      <c r="F125" s="7">
        <f t="shared" si="24"/>
        <v>19.630800000000001</v>
      </c>
      <c r="G125" s="90">
        <f t="shared" si="14"/>
        <v>1.96308E-2</v>
      </c>
      <c r="H125" s="8"/>
      <c r="I125" s="8"/>
      <c r="J125" s="8"/>
      <c r="K125" s="97"/>
      <c r="M125" s="41"/>
    </row>
    <row r="126" spans="1:13" x14ac:dyDescent="0.3">
      <c r="A126" s="10"/>
      <c r="B126" s="86"/>
      <c r="C126" s="9">
        <f t="shared" si="23"/>
        <v>4</v>
      </c>
      <c r="D126" s="7">
        <v>2.3460000000000001</v>
      </c>
      <c r="E126" s="7">
        <v>2.1</v>
      </c>
      <c r="F126" s="7">
        <f t="shared" si="24"/>
        <v>19.706400000000002</v>
      </c>
      <c r="G126" s="90">
        <f t="shared" si="14"/>
        <v>1.9706400000000002E-2</v>
      </c>
      <c r="H126" s="8"/>
      <c r="I126" s="8"/>
      <c r="J126" s="8"/>
      <c r="K126" s="97"/>
      <c r="M126" s="41"/>
    </row>
    <row r="127" spans="1:13" ht="28.2" x14ac:dyDescent="0.3">
      <c r="A127" s="10"/>
      <c r="B127" s="86" t="s">
        <v>151</v>
      </c>
      <c r="C127" s="9">
        <v>1</v>
      </c>
      <c r="D127" s="7">
        <v>14.4</v>
      </c>
      <c r="E127" s="7">
        <v>4.95</v>
      </c>
      <c r="F127" s="7">
        <f t="shared" si="24"/>
        <v>71.28</v>
      </c>
      <c r="G127" s="90">
        <f t="shared" si="14"/>
        <v>7.1279999999999996E-2</v>
      </c>
      <c r="H127" s="8"/>
      <c r="I127" s="8"/>
      <c r="J127" s="8"/>
      <c r="K127" s="97"/>
      <c r="M127" s="41"/>
    </row>
    <row r="128" spans="1:13" x14ac:dyDescent="0.3">
      <c r="A128" s="10"/>
      <c r="B128" s="85" t="s">
        <v>152</v>
      </c>
      <c r="C128" s="9"/>
      <c r="D128" s="7"/>
      <c r="E128" s="7"/>
      <c r="F128" s="7"/>
      <c r="G128" s="90"/>
      <c r="H128" s="8"/>
      <c r="I128" s="8"/>
      <c r="J128" s="8"/>
      <c r="K128" s="97"/>
      <c r="M128" s="41"/>
    </row>
    <row r="129" spans="1:13" ht="28.2" x14ac:dyDescent="0.3">
      <c r="A129" s="10"/>
      <c r="B129" s="86" t="s">
        <v>146</v>
      </c>
      <c r="C129" s="9"/>
      <c r="D129" s="7"/>
      <c r="E129" s="7"/>
      <c r="F129" s="7"/>
      <c r="G129" s="90"/>
      <c r="H129" s="8"/>
      <c r="I129" s="8"/>
      <c r="J129" s="8"/>
      <c r="K129" s="97"/>
      <c r="M129" s="41"/>
    </row>
    <row r="130" spans="1:13" x14ac:dyDescent="0.3">
      <c r="A130" s="10"/>
      <c r="B130" s="86" t="s">
        <v>148</v>
      </c>
      <c r="C130" s="9">
        <f>14*2</f>
        <v>28</v>
      </c>
      <c r="D130" s="7">
        <v>1.2</v>
      </c>
      <c r="E130" s="7">
        <v>2.1</v>
      </c>
      <c r="F130" s="7">
        <f t="shared" ref="F130:F131" si="25">PRODUCT(C130:E130)</f>
        <v>70.56</v>
      </c>
      <c r="G130" s="90">
        <f t="shared" si="14"/>
        <v>7.0559999999999998E-2</v>
      </c>
      <c r="H130" s="8"/>
      <c r="I130" s="8"/>
      <c r="J130" s="8"/>
      <c r="K130" s="97"/>
      <c r="M130" s="41"/>
    </row>
    <row r="131" spans="1:13" x14ac:dyDescent="0.3">
      <c r="A131" s="10"/>
      <c r="B131" s="86" t="s">
        <v>147</v>
      </c>
      <c r="C131" s="9">
        <f>14*2</f>
        <v>28</v>
      </c>
      <c r="D131" s="7">
        <v>0.83799999999999997</v>
      </c>
      <c r="E131" s="7">
        <v>2.1</v>
      </c>
      <c r="F131" s="7">
        <f t="shared" si="25"/>
        <v>49.2744</v>
      </c>
      <c r="G131" s="90">
        <f t="shared" si="14"/>
        <v>4.9274400000000003E-2</v>
      </c>
      <c r="H131" s="8"/>
      <c r="I131" s="8"/>
      <c r="J131" s="8"/>
      <c r="K131" s="97"/>
      <c r="M131" s="41"/>
    </row>
    <row r="132" spans="1:13" x14ac:dyDescent="0.3">
      <c r="A132" s="10"/>
      <c r="B132" s="86" t="s">
        <v>149</v>
      </c>
      <c r="C132" s="9"/>
      <c r="D132" s="7"/>
      <c r="E132" s="7"/>
      <c r="F132" s="7"/>
      <c r="G132" s="90"/>
      <c r="H132" s="8"/>
      <c r="I132" s="8"/>
      <c r="J132" s="8"/>
      <c r="K132" s="97"/>
      <c r="M132" s="41"/>
    </row>
    <row r="133" spans="1:13" x14ac:dyDescent="0.3">
      <c r="A133" s="10"/>
      <c r="B133" s="86" t="s">
        <v>148</v>
      </c>
      <c r="C133" s="9">
        <f>2*2</f>
        <v>4</v>
      </c>
      <c r="D133" s="7">
        <f>6.5/3.281</f>
        <v>1.9811033221578787</v>
      </c>
      <c r="E133" s="7">
        <v>2.1</v>
      </c>
      <c r="F133" s="7">
        <f t="shared" ref="F133:F134" si="26">PRODUCT(C133:E133)</f>
        <v>16.641267906126181</v>
      </c>
      <c r="G133" s="90">
        <f t="shared" si="14"/>
        <v>1.6641267906126182E-2</v>
      </c>
      <c r="H133" s="8"/>
      <c r="I133" s="8"/>
      <c r="J133" s="8"/>
      <c r="K133" s="97"/>
      <c r="M133" s="41"/>
    </row>
    <row r="134" spans="1:13" x14ac:dyDescent="0.3">
      <c r="A134" s="10"/>
      <c r="B134" s="86" t="s">
        <v>147</v>
      </c>
      <c r="C134" s="9">
        <f>2*2</f>
        <v>4</v>
      </c>
      <c r="D134" s="7">
        <v>0.83799999999999997</v>
      </c>
      <c r="E134" s="7">
        <v>2.1</v>
      </c>
      <c r="F134" s="7">
        <f t="shared" si="26"/>
        <v>7.0392000000000001</v>
      </c>
      <c r="G134" s="90">
        <f t="shared" si="14"/>
        <v>7.0391999999999998E-3</v>
      </c>
      <c r="H134" s="8"/>
      <c r="I134" s="8"/>
      <c r="J134" s="8"/>
      <c r="K134" s="97"/>
      <c r="M134" s="41"/>
    </row>
    <row r="135" spans="1:13" x14ac:dyDescent="0.3">
      <c r="A135" s="10"/>
      <c r="B135" s="86" t="s">
        <v>153</v>
      </c>
      <c r="C135" s="9"/>
      <c r="D135" s="7"/>
      <c r="E135" s="7"/>
      <c r="F135" s="7"/>
      <c r="G135" s="90"/>
      <c r="H135" s="8"/>
      <c r="I135" s="8"/>
      <c r="J135" s="8"/>
      <c r="K135" s="97"/>
      <c r="M135" s="41"/>
    </row>
    <row r="136" spans="1:13" x14ac:dyDescent="0.3">
      <c r="A136" s="10"/>
      <c r="B136" s="86" t="s">
        <v>142</v>
      </c>
      <c r="C136" s="9">
        <f>14*6</f>
        <v>84</v>
      </c>
      <c r="D136" s="7">
        <v>0.83799999999999997</v>
      </c>
      <c r="E136" s="7">
        <f>7*7/162</f>
        <v>0.30246913580246915</v>
      </c>
      <c r="F136" s="7">
        <f t="shared" ref="F136:F137" si="27">PRODUCT(C136:E136)</f>
        <v>21.291407407407409</v>
      </c>
      <c r="G136" s="90">
        <f t="shared" si="14"/>
        <v>2.1291407407407408E-2</v>
      </c>
      <c r="H136" s="8"/>
      <c r="I136" s="8"/>
      <c r="J136" s="8"/>
      <c r="K136" s="97"/>
      <c r="M136" s="41"/>
    </row>
    <row r="137" spans="1:13" x14ac:dyDescent="0.3">
      <c r="A137" s="10"/>
      <c r="B137" s="86" t="s">
        <v>143</v>
      </c>
      <c r="C137" s="9">
        <f>14*5</f>
        <v>70</v>
      </c>
      <c r="D137" s="7">
        <v>1.2</v>
      </c>
      <c r="E137" s="7">
        <f>10*10/162</f>
        <v>0.61728395061728392</v>
      </c>
      <c r="F137" s="7">
        <f t="shared" si="27"/>
        <v>51.851851851851848</v>
      </c>
      <c r="G137" s="90">
        <f t="shared" si="14"/>
        <v>5.185185185185185E-2</v>
      </c>
      <c r="H137" s="8"/>
      <c r="I137" s="8"/>
      <c r="J137" s="8"/>
      <c r="K137" s="97"/>
      <c r="M137" s="41"/>
    </row>
    <row r="138" spans="1:13" ht="28.2" x14ac:dyDescent="0.3">
      <c r="A138" s="10"/>
      <c r="B138" s="86" t="s">
        <v>150</v>
      </c>
      <c r="C138" s="9"/>
      <c r="D138" s="7"/>
      <c r="E138" s="7"/>
      <c r="F138" s="7"/>
      <c r="G138" s="90"/>
      <c r="H138" s="8"/>
      <c r="I138" s="8"/>
      <c r="J138" s="8"/>
      <c r="K138" s="97"/>
      <c r="M138" s="41"/>
    </row>
    <row r="139" spans="1:13" x14ac:dyDescent="0.3">
      <c r="A139" s="10"/>
      <c r="B139" s="86" t="s">
        <v>148</v>
      </c>
      <c r="C139" s="9">
        <f>8*2*2</f>
        <v>32</v>
      </c>
      <c r="D139" s="7">
        <v>0.3</v>
      </c>
      <c r="E139" s="7">
        <v>2.1</v>
      </c>
      <c r="F139" s="7">
        <f t="shared" ref="F139:F140" si="28">PRODUCT(C139:E139)</f>
        <v>20.16</v>
      </c>
      <c r="G139" s="90">
        <f t="shared" si="14"/>
        <v>2.0160000000000001E-2</v>
      </c>
      <c r="H139" s="8"/>
      <c r="I139" s="8"/>
      <c r="J139" s="8"/>
      <c r="K139" s="97"/>
      <c r="M139" s="41"/>
    </row>
    <row r="140" spans="1:13" x14ac:dyDescent="0.3">
      <c r="A140" s="10"/>
      <c r="B140" s="86" t="s">
        <v>147</v>
      </c>
      <c r="C140" s="9">
        <v>2</v>
      </c>
      <c r="D140" s="7">
        <v>13.38</v>
      </c>
      <c r="E140" s="7">
        <v>2.1</v>
      </c>
      <c r="F140" s="7">
        <f t="shared" si="28"/>
        <v>56.196000000000005</v>
      </c>
      <c r="G140" s="90">
        <f t="shared" si="14"/>
        <v>5.6196000000000003E-2</v>
      </c>
      <c r="H140" s="8"/>
      <c r="I140" s="8"/>
      <c r="J140" s="8"/>
      <c r="K140" s="97"/>
      <c r="M140" s="41"/>
    </row>
    <row r="141" spans="1:13" x14ac:dyDescent="0.3">
      <c r="A141" s="10"/>
      <c r="B141" s="86"/>
      <c r="C141" s="9">
        <v>2</v>
      </c>
      <c r="D141" s="7">
        <v>13.233000000000001</v>
      </c>
      <c r="E141" s="7">
        <v>2.1</v>
      </c>
      <c r="F141" s="7">
        <f t="shared" ref="F141" si="29">PRODUCT(C141:E141)</f>
        <v>55.578600000000002</v>
      </c>
      <c r="G141" s="90">
        <f t="shared" si="14"/>
        <v>5.5578599999999999E-2</v>
      </c>
      <c r="H141" s="8"/>
      <c r="I141" s="8"/>
      <c r="J141" s="8"/>
      <c r="K141" s="97"/>
      <c r="M141" s="41"/>
    </row>
    <row r="142" spans="1:13" x14ac:dyDescent="0.3">
      <c r="A142" s="10"/>
      <c r="B142" s="86" t="s">
        <v>155</v>
      </c>
      <c r="C142" s="9">
        <f>5*4*2*2</f>
        <v>80</v>
      </c>
      <c r="D142" s="7">
        <v>0.3</v>
      </c>
      <c r="E142" s="7">
        <f>11*11/162</f>
        <v>0.74691358024691357</v>
      </c>
      <c r="F142" s="7">
        <f t="shared" ref="F142" si="30">PRODUCT(C142:E142)</f>
        <v>17.925925925925924</v>
      </c>
      <c r="G142" s="90">
        <f t="shared" si="14"/>
        <v>1.7925925925925925E-2</v>
      </c>
      <c r="H142" s="8"/>
      <c r="I142" s="8"/>
      <c r="J142" s="8"/>
      <c r="K142" s="97"/>
      <c r="M142" s="41"/>
    </row>
    <row r="143" spans="1:13" x14ac:dyDescent="0.3">
      <c r="A143" s="10"/>
      <c r="B143" s="86" t="s">
        <v>154</v>
      </c>
      <c r="C143" s="9">
        <f>6*8*2</f>
        <v>96</v>
      </c>
      <c r="D143" s="7">
        <v>0.6</v>
      </c>
      <c r="E143" s="7">
        <f>11*11/162</f>
        <v>0.74691358024691357</v>
      </c>
      <c r="F143" s="7">
        <f t="shared" ref="F143:F144" si="31">PRODUCT(C143:E143)</f>
        <v>43.022222222222219</v>
      </c>
      <c r="G143" s="90">
        <f t="shared" si="14"/>
        <v>4.3022222222222219E-2</v>
      </c>
      <c r="H143" s="8"/>
      <c r="I143" s="8"/>
      <c r="J143" s="8"/>
      <c r="K143" s="97"/>
      <c r="M143" s="41"/>
    </row>
    <row r="144" spans="1:13" s="1" customFormat="1" ht="43.2" x14ac:dyDescent="0.3">
      <c r="A144" s="98"/>
      <c r="B144" s="99" t="s">
        <v>156</v>
      </c>
      <c r="C144" s="100">
        <f>5*2*2</f>
        <v>20</v>
      </c>
      <c r="D144" s="15">
        <f>2.75+0.75</f>
        <v>3.5</v>
      </c>
      <c r="E144" s="15">
        <v>7.37</v>
      </c>
      <c r="F144" s="15">
        <f t="shared" si="31"/>
        <v>515.9</v>
      </c>
      <c r="G144" s="90">
        <f t="shared" si="14"/>
        <v>0.51590000000000003</v>
      </c>
      <c r="H144" s="38"/>
      <c r="I144" s="38"/>
      <c r="J144" s="38"/>
      <c r="K144" s="101" t="s">
        <v>157</v>
      </c>
      <c r="M144" s="19"/>
    </row>
    <row r="145" spans="1:13" s="1" customFormat="1" x14ac:dyDescent="0.3">
      <c r="A145" s="98"/>
      <c r="B145" s="99" t="s">
        <v>158</v>
      </c>
      <c r="C145" s="100"/>
      <c r="D145" s="15"/>
      <c r="E145" s="15"/>
      <c r="F145" s="15"/>
      <c r="G145" s="90"/>
      <c r="H145" s="38"/>
      <c r="I145" s="38"/>
      <c r="J145" s="38"/>
      <c r="K145" s="101"/>
      <c r="M145" s="19"/>
    </row>
    <row r="146" spans="1:13" s="1" customFormat="1" ht="43.2" x14ac:dyDescent="0.3">
      <c r="A146" s="98"/>
      <c r="B146" s="99" t="s">
        <v>159</v>
      </c>
      <c r="C146" s="100">
        <f>2*5*2</f>
        <v>20</v>
      </c>
      <c r="D146" s="15">
        <f>10/3.281</f>
        <v>3.047851264858275</v>
      </c>
      <c r="E146" s="15">
        <v>7.14</v>
      </c>
      <c r="F146" s="15">
        <f t="shared" ref="F146" si="32">PRODUCT(C146:E146)</f>
        <v>435.23316062176167</v>
      </c>
      <c r="G146" s="90">
        <f t="shared" si="14"/>
        <v>0.43523316062176165</v>
      </c>
      <c r="H146" s="38"/>
      <c r="I146" s="38"/>
      <c r="J146" s="38"/>
      <c r="K146" s="101" t="s">
        <v>157</v>
      </c>
      <c r="M146" s="19"/>
    </row>
    <row r="147" spans="1:13" ht="27.6" x14ac:dyDescent="0.3">
      <c r="A147" s="10"/>
      <c r="B147" s="99" t="s">
        <v>161</v>
      </c>
      <c r="C147" s="100">
        <f>6*2*2</f>
        <v>24</v>
      </c>
      <c r="D147" s="15">
        <f>((13.843+13.691)/2)/3.281</f>
        <v>4.1959768363303871</v>
      </c>
      <c r="E147" s="15">
        <v>7.14</v>
      </c>
      <c r="F147" s="15">
        <f t="shared" ref="F147" si="33">PRODUCT(C147:E147)</f>
        <v>719.022590673575</v>
      </c>
      <c r="G147" s="90">
        <f t="shared" si="14"/>
        <v>0.71902259067357499</v>
      </c>
      <c r="H147" s="8"/>
      <c r="I147" s="8"/>
      <c r="J147" s="8"/>
      <c r="K147" s="97"/>
      <c r="M147" s="41"/>
    </row>
    <row r="148" spans="1:13" ht="27.6" x14ac:dyDescent="0.3">
      <c r="A148" s="10"/>
      <c r="B148" s="99" t="s">
        <v>160</v>
      </c>
      <c r="C148" s="100">
        <f>5*2</f>
        <v>10</v>
      </c>
      <c r="D148" s="15">
        <f>(4.75+7.667+4.75+1.5+2)/3.281</f>
        <v>6.298994209082597</v>
      </c>
      <c r="E148" s="15">
        <v>4.82</v>
      </c>
      <c r="F148" s="15">
        <f t="shared" ref="F148" si="34">PRODUCT(C148:E148)</f>
        <v>303.61152087778117</v>
      </c>
      <c r="G148" s="90">
        <f t="shared" si="14"/>
        <v>0.30361152087778115</v>
      </c>
      <c r="H148" s="8"/>
      <c r="I148" s="8"/>
      <c r="J148" s="8"/>
      <c r="K148" s="97"/>
      <c r="M148" s="41"/>
    </row>
    <row r="149" spans="1:13" x14ac:dyDescent="0.3">
      <c r="A149" s="28"/>
      <c r="B149" s="86" t="s">
        <v>106</v>
      </c>
      <c r="C149" s="29"/>
      <c r="D149" s="30"/>
      <c r="E149" s="31"/>
      <c r="F149" s="31"/>
      <c r="G149" s="38">
        <f>SUM(G100:G148)</f>
        <v>3.5841324887206163</v>
      </c>
      <c r="H149" s="32" t="s">
        <v>162</v>
      </c>
      <c r="I149" s="33">
        <v>3541.11</v>
      </c>
      <c r="J149" s="8">
        <f>G149*I149</f>
        <v>12691.807397133462</v>
      </c>
      <c r="K149" s="31"/>
    </row>
    <row r="150" spans="1:13" ht="15.6" x14ac:dyDescent="0.3">
      <c r="A150" s="28"/>
      <c r="B150" s="94"/>
      <c r="C150" s="29"/>
      <c r="D150" s="30"/>
      <c r="E150" s="31"/>
      <c r="F150" s="31"/>
      <c r="G150" s="39"/>
      <c r="H150" s="32"/>
      <c r="I150" s="33"/>
      <c r="J150" s="8"/>
      <c r="K150" s="31"/>
    </row>
    <row r="151" spans="1:13" x14ac:dyDescent="0.3">
      <c r="A151" s="28">
        <v>5</v>
      </c>
      <c r="B151" s="93" t="s">
        <v>118</v>
      </c>
      <c r="C151" s="29"/>
      <c r="D151" s="30"/>
      <c r="E151" s="31"/>
      <c r="F151" s="31"/>
      <c r="G151" s="39"/>
      <c r="H151" s="32"/>
      <c r="I151" s="33"/>
      <c r="J151" s="8"/>
      <c r="K151" s="31"/>
    </row>
    <row r="152" spans="1:13" x14ac:dyDescent="0.3">
      <c r="A152" s="28"/>
      <c r="B152" s="86" t="s">
        <v>119</v>
      </c>
      <c r="C152" s="29">
        <v>9</v>
      </c>
      <c r="D152" s="30">
        <f>11/3.281</f>
        <v>3.3526363913441024</v>
      </c>
      <c r="E152" s="31">
        <f>2/12/3.281</f>
        <v>5.0797521080971242E-2</v>
      </c>
      <c r="F152" s="31">
        <f>3/12/3.281</f>
        <v>7.6196281621456863E-2</v>
      </c>
      <c r="G152" s="90">
        <f t="shared" ref="G152:G158" si="35">PRODUCT(C152:F152)</f>
        <v>0.11678989331722038</v>
      </c>
      <c r="H152" s="32"/>
      <c r="I152" s="33"/>
      <c r="J152" s="8"/>
      <c r="K152" s="31"/>
    </row>
    <row r="153" spans="1:13" x14ac:dyDescent="0.3">
      <c r="A153" s="10"/>
      <c r="B153" s="86" t="s">
        <v>120</v>
      </c>
      <c r="C153" s="9">
        <v>2</v>
      </c>
      <c r="D153" s="7">
        <v>6.4</v>
      </c>
      <c r="E153" s="7">
        <f>1/12/3.281</f>
        <v>2.5398760540485621E-2</v>
      </c>
      <c r="F153" s="7">
        <f>3/12/3.281</f>
        <v>7.6196281621456863E-2</v>
      </c>
      <c r="G153" s="90">
        <f t="shared" si="35"/>
        <v>2.4771726220528492E-2</v>
      </c>
      <c r="H153" s="8"/>
      <c r="I153" s="8"/>
      <c r="J153" s="8"/>
      <c r="K153" s="4"/>
      <c r="M153" s="41"/>
    </row>
    <row r="154" spans="1:13" x14ac:dyDescent="0.3">
      <c r="A154" s="10"/>
      <c r="B154" s="86" t="s">
        <v>121</v>
      </c>
      <c r="C154" s="9">
        <v>1</v>
      </c>
      <c r="D154" s="7">
        <f>2*(5.75/3.281)+0.8</f>
        <v>4.3050289545870157</v>
      </c>
      <c r="E154" s="7">
        <f>2.25/12/3.281</f>
        <v>5.7147211216092654E-2</v>
      </c>
      <c r="F154" s="7">
        <f>2.5/12/3.281</f>
        <v>6.3496901351214066E-2</v>
      </c>
      <c r="G154" s="90">
        <f t="shared" si="35"/>
        <v>1.56215330030973E-2</v>
      </c>
      <c r="H154" s="8"/>
      <c r="I154" s="8"/>
      <c r="J154" s="8"/>
      <c r="K154" s="4"/>
      <c r="M154" s="41"/>
    </row>
    <row r="155" spans="1:13" x14ac:dyDescent="0.3">
      <c r="A155" s="10"/>
      <c r="B155" s="86"/>
      <c r="C155" s="9">
        <v>2</v>
      </c>
      <c r="D155" s="7">
        <f>2*(5.5/3.281)+2.5/3.281</f>
        <v>4.1145992075586708</v>
      </c>
      <c r="E155" s="7">
        <f>2/12/3.281</f>
        <v>5.0797521080971242E-2</v>
      </c>
      <c r="F155" s="7">
        <f>3/12/3.281</f>
        <v>7.6196281621456863E-2</v>
      </c>
      <c r="G155" s="90">
        <f t="shared" si="35"/>
        <v>3.1851789086514648E-2</v>
      </c>
      <c r="H155" s="8"/>
      <c r="I155" s="8"/>
      <c r="J155" s="8"/>
      <c r="K155" s="4"/>
      <c r="M155" s="41"/>
    </row>
    <row r="156" spans="1:13" x14ac:dyDescent="0.3">
      <c r="A156" s="10"/>
      <c r="B156" s="86" t="s">
        <v>116</v>
      </c>
      <c r="C156" s="9">
        <v>2</v>
      </c>
      <c r="D156" s="7">
        <f>0.78+1.8*2</f>
        <v>4.38</v>
      </c>
      <c r="E156" s="7">
        <f>2/12/3.281</f>
        <v>5.0797521080971242E-2</v>
      </c>
      <c r="F156" s="7">
        <f>3/12/3.281</f>
        <v>7.6196281621456863E-2</v>
      </c>
      <c r="G156" s="90">
        <f t="shared" si="35"/>
        <v>3.390630026434837E-2</v>
      </c>
      <c r="H156" s="8"/>
      <c r="I156" s="8"/>
      <c r="J156" s="8"/>
      <c r="K156" s="4"/>
      <c r="M156" s="41"/>
    </row>
    <row r="157" spans="1:13" x14ac:dyDescent="0.3">
      <c r="A157" s="10"/>
      <c r="B157" s="86" t="s">
        <v>124</v>
      </c>
      <c r="C157" s="9">
        <v>2</v>
      </c>
      <c r="D157" s="7">
        <v>0.78</v>
      </c>
      <c r="E157" s="7"/>
      <c r="F157" s="7">
        <v>1.8</v>
      </c>
      <c r="G157" s="90"/>
      <c r="H157" s="8"/>
      <c r="I157" s="8"/>
      <c r="J157" s="8"/>
      <c r="K157" s="4"/>
      <c r="M157" s="41"/>
    </row>
    <row r="158" spans="1:13" x14ac:dyDescent="0.3">
      <c r="A158" s="10"/>
      <c r="B158" s="86" t="s">
        <v>122</v>
      </c>
      <c r="C158" s="9">
        <v>1</v>
      </c>
      <c r="D158" s="7">
        <f>0.78+2*(6/3.281)</f>
        <v>4.4374215178299297</v>
      </c>
      <c r="E158" s="7">
        <f>3.5/12/3.281</f>
        <v>8.8895661891699687E-2</v>
      </c>
      <c r="F158" s="7">
        <f>2.5/12/3.281</f>
        <v>6.3496901351214066E-2</v>
      </c>
      <c r="G158" s="90">
        <f t="shared" si="35"/>
        <v>2.504746538910662E-2</v>
      </c>
      <c r="H158" s="8"/>
      <c r="I158" s="8"/>
      <c r="J158" s="8"/>
      <c r="K158" s="4"/>
      <c r="M158" s="41"/>
    </row>
    <row r="159" spans="1:13" x14ac:dyDescent="0.3">
      <c r="A159" s="10"/>
      <c r="B159" s="86" t="s">
        <v>124</v>
      </c>
      <c r="C159" s="9">
        <v>1</v>
      </c>
      <c r="D159" s="7">
        <v>0.78</v>
      </c>
      <c r="E159" s="7"/>
      <c r="F159" s="7">
        <v>1.8</v>
      </c>
      <c r="G159" s="90"/>
      <c r="H159" s="8"/>
      <c r="I159" s="8"/>
      <c r="J159" s="8"/>
      <c r="K159" s="4"/>
      <c r="M159" s="41"/>
    </row>
    <row r="160" spans="1:13" x14ac:dyDescent="0.3">
      <c r="A160" s="28"/>
      <c r="B160" s="86" t="s">
        <v>106</v>
      </c>
      <c r="C160" s="29"/>
      <c r="D160" s="30"/>
      <c r="E160" s="31"/>
      <c r="F160" s="31"/>
      <c r="G160" s="38">
        <f>SUM(G152:G158)</f>
        <v>0.24798870728081582</v>
      </c>
      <c r="H160" s="32" t="s">
        <v>34</v>
      </c>
      <c r="I160" s="33"/>
      <c r="J160" s="8">
        <f>G160*I160</f>
        <v>0</v>
      </c>
      <c r="K160" s="31"/>
    </row>
    <row r="161" spans="1:31" x14ac:dyDescent="0.3">
      <c r="A161" s="10"/>
      <c r="B161" s="86"/>
      <c r="C161" s="9"/>
      <c r="D161" s="7"/>
      <c r="E161" s="7"/>
      <c r="F161" s="7"/>
      <c r="G161" s="84"/>
      <c r="H161" s="8"/>
      <c r="I161" s="8"/>
      <c r="J161" s="8"/>
      <c r="K161" s="4"/>
      <c r="M161" s="41"/>
    </row>
    <row r="162" spans="1:31" x14ac:dyDescent="0.3">
      <c r="A162" s="10"/>
      <c r="B162" s="27" t="s">
        <v>17</v>
      </c>
      <c r="C162" s="9"/>
      <c r="D162" s="7"/>
      <c r="E162" s="7"/>
      <c r="F162" s="7"/>
      <c r="G162" s="84"/>
      <c r="H162" s="8"/>
      <c r="I162" s="8"/>
      <c r="J162" s="8">
        <f>SUM(J10:J92)</f>
        <v>113426.32198961584</v>
      </c>
      <c r="K162" s="4"/>
      <c r="M162" s="41"/>
      <c r="P162" s="48"/>
      <c r="Q162" s="48"/>
    </row>
    <row r="163" spans="1:31" x14ac:dyDescent="0.3">
      <c r="M163" s="41"/>
      <c r="N163" s="42"/>
      <c r="O163" s="42"/>
      <c r="P163" s="47"/>
      <c r="R163" s="42"/>
      <c r="S163" s="42"/>
      <c r="T163" s="42"/>
      <c r="U163" s="41"/>
      <c r="V163" s="41"/>
      <c r="W163" s="41"/>
      <c r="X163" s="41"/>
      <c r="Y163" s="41"/>
      <c r="Z163" s="41"/>
      <c r="AA163" s="41"/>
      <c r="AB163" s="41"/>
      <c r="AC163" s="41"/>
      <c r="AD163" s="41"/>
      <c r="AE163" s="41"/>
    </row>
    <row r="164" spans="1:31" s="1" customFormat="1" x14ac:dyDescent="0.3">
      <c r="B164" s="17" t="s">
        <v>32</v>
      </c>
      <c r="C164" s="102">
        <f>J162</f>
        <v>113426.32198961584</v>
      </c>
      <c r="D164" s="103"/>
      <c r="E164" s="15">
        <v>100</v>
      </c>
      <c r="F164" s="19"/>
      <c r="G164" s="20"/>
      <c r="H164" s="19"/>
      <c r="I164" s="21"/>
      <c r="J164" s="22"/>
      <c r="K164" s="23"/>
      <c r="M164" s="19"/>
      <c r="N164" s="42"/>
      <c r="O164" s="42"/>
      <c r="P164" s="42"/>
      <c r="Q164" s="42"/>
      <c r="R164" s="42"/>
      <c r="S164" s="42"/>
      <c r="T164" s="42"/>
      <c r="U164" s="19"/>
      <c r="V164" s="19"/>
      <c r="W164" s="19"/>
      <c r="X164" s="19"/>
      <c r="Y164" s="19"/>
      <c r="Z164" s="19"/>
      <c r="AA164" s="19"/>
      <c r="AB164" s="19"/>
      <c r="AC164" s="19"/>
      <c r="AD164" s="19"/>
      <c r="AE164" s="19"/>
    </row>
    <row r="165" spans="1:31" x14ac:dyDescent="0.3">
      <c r="B165" s="17" t="s">
        <v>27</v>
      </c>
      <c r="C165" s="106">
        <v>150000</v>
      </c>
      <c r="D165" s="107"/>
      <c r="E165" s="15"/>
      <c r="M165" s="41"/>
      <c r="N165" s="42"/>
      <c r="O165" s="42"/>
      <c r="P165" s="42"/>
      <c r="Q165" s="42"/>
      <c r="R165" s="42"/>
      <c r="S165" s="42"/>
      <c r="T165" s="42"/>
      <c r="U165" s="41"/>
      <c r="V165" s="41"/>
      <c r="W165" s="41"/>
      <c r="X165" s="41"/>
      <c r="Y165" s="41"/>
      <c r="Z165" s="41"/>
      <c r="AA165" s="41"/>
      <c r="AB165" s="41"/>
      <c r="AC165" s="41"/>
      <c r="AD165" s="41"/>
      <c r="AE165" s="41"/>
    </row>
    <row r="166" spans="1:31" x14ac:dyDescent="0.3">
      <c r="B166" s="17" t="s">
        <v>28</v>
      </c>
      <c r="C166" s="106">
        <f>C165-C168-C169</f>
        <v>142500</v>
      </c>
      <c r="D166" s="107"/>
      <c r="E166" s="15">
        <f>C166/C164*100</f>
        <v>125.63221437528922</v>
      </c>
      <c r="M166" s="41"/>
      <c r="N166" s="41"/>
      <c r="O166" s="41"/>
      <c r="P166" s="41"/>
      <c r="Q166" s="41"/>
      <c r="R166" s="41"/>
      <c r="S166" s="41"/>
      <c r="T166" s="41"/>
      <c r="U166" s="41"/>
      <c r="V166" s="41"/>
      <c r="W166" s="41"/>
      <c r="X166" s="41"/>
      <c r="Y166" s="41"/>
      <c r="Z166" s="41"/>
      <c r="AA166" s="41"/>
      <c r="AB166" s="41"/>
      <c r="AC166" s="41"/>
      <c r="AD166" s="41"/>
      <c r="AE166" s="41"/>
    </row>
    <row r="167" spans="1:31" x14ac:dyDescent="0.3">
      <c r="B167" s="17" t="s">
        <v>29</v>
      </c>
      <c r="C167" s="108">
        <f>C164-C166</f>
        <v>-29073.678010384159</v>
      </c>
      <c r="D167" s="108"/>
      <c r="E167" s="15">
        <f>100-E166</f>
        <v>-25.632214375289223</v>
      </c>
      <c r="M167" s="41"/>
      <c r="N167" s="41"/>
      <c r="O167" s="41"/>
      <c r="P167" s="41"/>
      <c r="Q167" s="41"/>
      <c r="R167" s="41"/>
      <c r="S167" s="41"/>
      <c r="T167" s="41"/>
      <c r="U167" s="41"/>
      <c r="V167" s="41"/>
      <c r="W167" s="41"/>
      <c r="X167" s="41"/>
      <c r="Y167" s="41"/>
      <c r="Z167" s="41"/>
      <c r="AA167" s="41"/>
      <c r="AB167" s="41"/>
      <c r="AC167" s="41"/>
      <c r="AD167" s="41"/>
      <c r="AE167" s="41"/>
    </row>
    <row r="168" spans="1:31" x14ac:dyDescent="0.3">
      <c r="B168" s="17" t="s">
        <v>30</v>
      </c>
      <c r="C168" s="102">
        <f>C165*0.03</f>
        <v>4500</v>
      </c>
      <c r="D168" s="103"/>
      <c r="E168" s="15">
        <v>3</v>
      </c>
      <c r="M168" s="41"/>
      <c r="N168" s="41"/>
      <c r="O168" s="41"/>
      <c r="P168" s="41"/>
      <c r="Q168" s="41"/>
      <c r="R168" s="41"/>
      <c r="S168" s="41"/>
      <c r="T168" s="41"/>
      <c r="U168" s="41"/>
      <c r="V168" s="41"/>
      <c r="W168" s="41"/>
      <c r="X168" s="41"/>
      <c r="Y168" s="41"/>
      <c r="Z168" s="41"/>
      <c r="AA168" s="41"/>
      <c r="AB168" s="41"/>
      <c r="AC168" s="41"/>
      <c r="AD168" s="41"/>
      <c r="AE168" s="41"/>
    </row>
    <row r="169" spans="1:31" x14ac:dyDescent="0.3">
      <c r="B169" s="17" t="s">
        <v>31</v>
      </c>
      <c r="C169" s="102">
        <f>C165*0.02</f>
        <v>3000</v>
      </c>
      <c r="D169" s="103"/>
      <c r="E169" s="15">
        <v>2</v>
      </c>
      <c r="M169" s="41"/>
      <c r="N169" s="41"/>
      <c r="O169" s="41"/>
      <c r="P169" s="41"/>
      <c r="Q169" s="41"/>
      <c r="R169" s="41"/>
      <c r="S169" s="41"/>
      <c r="T169" s="41"/>
      <c r="U169" s="41"/>
      <c r="V169" s="41"/>
      <c r="W169" s="41"/>
      <c r="X169" s="41"/>
      <c r="Y169" s="41"/>
      <c r="Z169" s="41"/>
      <c r="AA169" s="41"/>
      <c r="AB169" s="41"/>
      <c r="AC169" s="41"/>
      <c r="AD169" s="41"/>
      <c r="AE169" s="41"/>
    </row>
  </sheetData>
  <mergeCells count="15">
    <mergeCell ref="A6:G6"/>
    <mergeCell ref="H6:K6"/>
    <mergeCell ref="A1:K1"/>
    <mergeCell ref="A2:K2"/>
    <mergeCell ref="A3:K3"/>
    <mergeCell ref="A4:K4"/>
    <mergeCell ref="A5:K5"/>
    <mergeCell ref="C168:D168"/>
    <mergeCell ref="C169:D169"/>
    <mergeCell ref="A7:F7"/>
    <mergeCell ref="H7:K7"/>
    <mergeCell ref="C164:D164"/>
    <mergeCell ref="C165:D165"/>
    <mergeCell ref="C166:D166"/>
    <mergeCell ref="C167:D167"/>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view="pageBreakPreview" zoomScale="60" zoomScaleNormal="100" workbookViewId="0">
      <selection activeCell="I8" sqref="I8:K8"/>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3" x14ac:dyDescent="0.3">
      <c r="A1" s="123" t="s">
        <v>0</v>
      </c>
      <c r="B1" s="123"/>
      <c r="C1" s="123"/>
      <c r="D1" s="123"/>
      <c r="E1" s="123"/>
      <c r="F1" s="123"/>
      <c r="G1" s="123"/>
      <c r="H1" s="123"/>
      <c r="I1" s="123"/>
      <c r="J1" s="123"/>
      <c r="K1" s="123"/>
    </row>
    <row r="2" spans="1:13" ht="24.6" x14ac:dyDescent="0.4">
      <c r="A2" s="124" t="s">
        <v>1</v>
      </c>
      <c r="B2" s="124"/>
      <c r="C2" s="124"/>
      <c r="D2" s="124"/>
      <c r="E2" s="124"/>
      <c r="F2" s="124"/>
      <c r="G2" s="124"/>
      <c r="H2" s="124"/>
      <c r="I2" s="124"/>
      <c r="J2" s="124"/>
      <c r="K2" s="124"/>
    </row>
    <row r="3" spans="1:13" s="1" customFormat="1" x14ac:dyDescent="0.3">
      <c r="A3" s="112" t="s">
        <v>2</v>
      </c>
      <c r="B3" s="112"/>
      <c r="C3" s="112"/>
      <c r="D3" s="112"/>
      <c r="E3" s="112"/>
      <c r="F3" s="112"/>
      <c r="G3" s="112"/>
      <c r="H3" s="112"/>
      <c r="I3" s="112"/>
      <c r="J3" s="112"/>
      <c r="K3" s="112"/>
    </row>
    <row r="4" spans="1:13" s="1" customFormat="1" x14ac:dyDescent="0.3">
      <c r="A4" s="112" t="s">
        <v>3</v>
      </c>
      <c r="B4" s="112"/>
      <c r="C4" s="112"/>
      <c r="D4" s="112"/>
      <c r="E4" s="112"/>
      <c r="F4" s="112"/>
      <c r="G4" s="112"/>
      <c r="H4" s="112"/>
      <c r="I4" s="112"/>
      <c r="J4" s="112"/>
      <c r="K4" s="112"/>
    </row>
    <row r="5" spans="1:13" ht="18" x14ac:dyDescent="0.35">
      <c r="A5" s="125" t="s">
        <v>18</v>
      </c>
      <c r="B5" s="125"/>
      <c r="C5" s="125"/>
      <c r="D5" s="125"/>
      <c r="E5" s="125"/>
      <c r="F5" s="125"/>
      <c r="G5" s="125"/>
      <c r="H5" s="125"/>
      <c r="I5" s="125"/>
      <c r="J5" s="125"/>
      <c r="K5" s="125"/>
    </row>
    <row r="6" spans="1:13" ht="18" x14ac:dyDescent="0.35">
      <c r="A6" s="11" t="s">
        <v>19</v>
      </c>
      <c r="B6" s="11"/>
      <c r="C6" s="121" t="e">
        <f>F30</f>
        <v>#REF!</v>
      </c>
      <c r="D6" s="122"/>
      <c r="E6" s="12"/>
      <c r="F6" s="11"/>
      <c r="G6" s="11"/>
      <c r="H6" s="11" t="s">
        <v>20</v>
      </c>
      <c r="I6" s="11"/>
      <c r="J6" s="121" t="e">
        <f>I30</f>
        <v>#REF!</v>
      </c>
      <c r="K6" s="122"/>
    </row>
    <row r="7" spans="1:13" x14ac:dyDescent="0.3">
      <c r="A7" s="34" t="s">
        <v>93</v>
      </c>
      <c r="B7" s="13"/>
      <c r="C7" s="13"/>
      <c r="D7" s="13"/>
      <c r="F7" s="117"/>
      <c r="G7" s="117"/>
      <c r="I7" s="118" t="s">
        <v>94</v>
      </c>
      <c r="J7" s="118"/>
      <c r="K7" s="118"/>
    </row>
    <row r="8" spans="1:13" ht="15.6" x14ac:dyDescent="0.3">
      <c r="A8" s="116" t="e">
        <f>#REF!</f>
        <v>#REF!</v>
      </c>
      <c r="B8" s="116"/>
      <c r="C8" s="116"/>
      <c r="D8" s="116"/>
      <c r="E8" s="116"/>
      <c r="F8" s="116"/>
      <c r="I8" s="119" t="s">
        <v>35</v>
      </c>
      <c r="J8" s="119"/>
      <c r="K8" s="119"/>
    </row>
    <row r="9" spans="1:13" ht="15.6" x14ac:dyDescent="0.3">
      <c r="A9" s="116" t="e">
        <f>#REF!</f>
        <v>#REF!</v>
      </c>
      <c r="B9" s="116"/>
      <c r="C9" s="116"/>
      <c r="D9" s="116"/>
      <c r="E9" s="116"/>
      <c r="F9" s="116"/>
      <c r="I9" s="119" t="s">
        <v>92</v>
      </c>
      <c r="J9" s="119"/>
      <c r="K9" s="119"/>
    </row>
    <row r="11" spans="1:13" x14ac:dyDescent="0.3">
      <c r="A11" s="114" t="s">
        <v>21</v>
      </c>
      <c r="B11" s="114" t="s">
        <v>22</v>
      </c>
      <c r="C11" s="114" t="s">
        <v>12</v>
      </c>
      <c r="D11" s="120" t="s">
        <v>23</v>
      </c>
      <c r="E11" s="120"/>
      <c r="F11" s="120"/>
      <c r="G11" s="120" t="s">
        <v>24</v>
      </c>
      <c r="H11" s="120"/>
      <c r="I11" s="120"/>
      <c r="J11" s="114" t="s">
        <v>25</v>
      </c>
      <c r="K11" s="115" t="s">
        <v>15</v>
      </c>
    </row>
    <row r="12" spans="1:13" x14ac:dyDescent="0.3">
      <c r="A12" s="114"/>
      <c r="B12" s="114"/>
      <c r="C12" s="114"/>
      <c r="D12" s="14" t="s">
        <v>26</v>
      </c>
      <c r="E12" s="14" t="s">
        <v>13</v>
      </c>
      <c r="F12" s="14" t="s">
        <v>14</v>
      </c>
      <c r="G12" s="14" t="s">
        <v>26</v>
      </c>
      <c r="H12" s="14" t="s">
        <v>13</v>
      </c>
      <c r="I12" s="14" t="s">
        <v>14</v>
      </c>
      <c r="J12" s="114"/>
      <c r="K12" s="115"/>
    </row>
    <row r="13" spans="1:13" s="1" customFormat="1" x14ac:dyDescent="0.3">
      <c r="A13" s="35" t="e">
        <f>new!#REF!</f>
        <v>#REF!</v>
      </c>
      <c r="B13" s="40" t="e">
        <f>new!#REF!</f>
        <v>#REF!</v>
      </c>
      <c r="C13" s="15" t="e">
        <f>new!#REF!</f>
        <v>#REF!</v>
      </c>
      <c r="D13" s="15" t="e">
        <f>new!#REF!</f>
        <v>#REF!</v>
      </c>
      <c r="E13" s="15" t="e">
        <f>new!#REF!</f>
        <v>#REF!</v>
      </c>
      <c r="F13" s="15" t="e">
        <f>D13*E13</f>
        <v>#REF!</v>
      </c>
      <c r="G13" s="15" t="e">
        <f>#REF!</f>
        <v>#REF!</v>
      </c>
      <c r="H13" s="15" t="e">
        <f>#REF!</f>
        <v>#REF!</v>
      </c>
      <c r="I13" s="15" t="e">
        <f>G13*H13</f>
        <v>#REF!</v>
      </c>
      <c r="J13" s="36" t="e">
        <f>I13-F13</f>
        <v>#REF!</v>
      </c>
      <c r="K13" s="18"/>
      <c r="M13" s="1" t="e">
        <f t="shared" ref="M13:M18" si="0">1.25*F13</f>
        <v>#REF!</v>
      </c>
    </row>
    <row r="14" spans="1:13" s="1" customFormat="1" x14ac:dyDescent="0.3">
      <c r="A14" s="35"/>
      <c r="B14" s="43" t="e">
        <f>new!#REF!</f>
        <v>#REF!</v>
      </c>
      <c r="C14" s="15"/>
      <c r="D14" s="15"/>
      <c r="E14" s="15"/>
      <c r="F14" s="15" t="e">
        <f>new!#REF!</f>
        <v>#REF!</v>
      </c>
      <c r="G14" s="15"/>
      <c r="H14" s="15"/>
      <c r="I14" s="15" t="e">
        <f>#REF!</f>
        <v>#REF!</v>
      </c>
      <c r="J14" s="36" t="e">
        <f>I14-F14</f>
        <v>#REF!</v>
      </c>
      <c r="K14" s="18"/>
      <c r="M14" s="1" t="e">
        <f t="shared" si="0"/>
        <v>#REF!</v>
      </c>
    </row>
    <row r="15" spans="1:13" s="1" customFormat="1" x14ac:dyDescent="0.3">
      <c r="A15" s="35"/>
      <c r="B15" s="40"/>
      <c r="C15" s="15"/>
      <c r="D15" s="15"/>
      <c r="E15" s="15"/>
      <c r="F15" s="15"/>
      <c r="G15" s="15"/>
      <c r="H15" s="15"/>
      <c r="I15" s="15"/>
      <c r="J15" s="36"/>
      <c r="K15" s="18"/>
    </row>
    <row r="16" spans="1:13" s="1" customFormat="1" x14ac:dyDescent="0.3">
      <c r="A16" s="35" t="e">
        <f>new!#REF!</f>
        <v>#REF!</v>
      </c>
      <c r="B16" s="40" t="e">
        <f>new!#REF!</f>
        <v>#REF!</v>
      </c>
      <c r="C16" s="15" t="e">
        <f>new!#REF!</f>
        <v>#REF!</v>
      </c>
      <c r="D16" s="15" t="e">
        <f>new!#REF!</f>
        <v>#REF!</v>
      </c>
      <c r="E16" s="15" t="e">
        <f>new!#REF!</f>
        <v>#REF!</v>
      </c>
      <c r="F16" s="15" t="e">
        <f>D16*E16</f>
        <v>#REF!</v>
      </c>
      <c r="G16" s="15" t="e">
        <f>#REF!</f>
        <v>#REF!</v>
      </c>
      <c r="H16" s="15" t="e">
        <f>#REF!</f>
        <v>#REF!</v>
      </c>
      <c r="I16" s="15" t="e">
        <f>G16*H16</f>
        <v>#REF!</v>
      </c>
      <c r="J16" s="36" t="e">
        <f>I16-F16</f>
        <v>#REF!</v>
      </c>
      <c r="K16" s="18"/>
    </row>
    <row r="17" spans="1:13" s="1" customFormat="1" x14ac:dyDescent="0.3">
      <c r="A17" s="35"/>
      <c r="B17" s="43" t="e">
        <f>new!#REF!</f>
        <v>#REF!</v>
      </c>
      <c r="C17" s="15"/>
      <c r="D17" s="15"/>
      <c r="E17" s="15"/>
      <c r="F17" s="15" t="e">
        <f>new!#REF!</f>
        <v>#REF!</v>
      </c>
      <c r="G17" s="15"/>
      <c r="H17" s="15"/>
      <c r="I17" s="15" t="e">
        <f>#REF!</f>
        <v>#REF!</v>
      </c>
      <c r="J17" s="36" t="e">
        <f>I17-F17</f>
        <v>#REF!</v>
      </c>
      <c r="K17" s="18"/>
    </row>
    <row r="18" spans="1:13" s="1" customFormat="1" x14ac:dyDescent="0.3">
      <c r="A18" s="35"/>
      <c r="B18" s="40"/>
      <c r="C18" s="15"/>
      <c r="D18" s="15"/>
      <c r="E18" s="15"/>
      <c r="F18" s="15"/>
      <c r="G18" s="15"/>
      <c r="H18" s="15"/>
      <c r="I18" s="15"/>
      <c r="J18" s="36"/>
      <c r="K18" s="18"/>
      <c r="M18" s="1">
        <f t="shared" si="0"/>
        <v>0</v>
      </c>
    </row>
    <row r="19" spans="1:13" s="1" customFormat="1" x14ac:dyDescent="0.3">
      <c r="A19" s="35" t="e">
        <f>new!#REF!</f>
        <v>#REF!</v>
      </c>
      <c r="B19" s="40" t="e">
        <f>new!#REF!</f>
        <v>#REF!</v>
      </c>
      <c r="C19" s="15" t="e">
        <f>new!#REF!</f>
        <v>#REF!</v>
      </c>
      <c r="D19" s="15" t="e">
        <f>new!#REF!</f>
        <v>#REF!</v>
      </c>
      <c r="E19" s="15" t="e">
        <f>new!#REF!</f>
        <v>#REF!</v>
      </c>
      <c r="F19" s="15" t="e">
        <f>D19*E19</f>
        <v>#REF!</v>
      </c>
      <c r="G19" s="15" t="e">
        <f>#REF!</f>
        <v>#REF!</v>
      </c>
      <c r="H19" s="15" t="e">
        <f>#REF!</f>
        <v>#REF!</v>
      </c>
      <c r="I19" s="15" t="e">
        <f>G19*H19</f>
        <v>#REF!</v>
      </c>
      <c r="J19" s="36" t="e">
        <f>I19-F19</f>
        <v>#REF!</v>
      </c>
      <c r="K19" s="18"/>
    </row>
    <row r="20" spans="1:13" s="1" customFormat="1" x14ac:dyDescent="0.3">
      <c r="A20" s="35"/>
      <c r="B20" s="43" t="e">
        <f>new!#REF!</f>
        <v>#REF!</v>
      </c>
      <c r="C20" s="15"/>
      <c r="D20" s="15"/>
      <c r="E20" s="15"/>
      <c r="F20" s="15" t="e">
        <f>new!#REF!</f>
        <v>#REF!</v>
      </c>
      <c r="G20" s="15"/>
      <c r="H20" s="15"/>
      <c r="I20" s="15" t="e">
        <f>#REF!</f>
        <v>#REF!</v>
      </c>
      <c r="J20" s="36" t="e">
        <f>I20-F20</f>
        <v>#REF!</v>
      </c>
      <c r="K20" s="18"/>
    </row>
    <row r="21" spans="1:13" s="1" customFormat="1" x14ac:dyDescent="0.3">
      <c r="A21" s="35"/>
      <c r="B21" s="40"/>
      <c r="C21" s="15"/>
      <c r="D21" s="15"/>
      <c r="E21" s="15"/>
      <c r="F21" s="15"/>
      <c r="G21" s="15"/>
      <c r="H21" s="15"/>
      <c r="I21" s="15"/>
      <c r="J21" s="36"/>
      <c r="K21" s="18"/>
      <c r="M21" s="1">
        <f t="shared" ref="M21" si="1">1.25*F21</f>
        <v>0</v>
      </c>
    </row>
    <row r="22" spans="1:13" s="1" customFormat="1" x14ac:dyDescent="0.3">
      <c r="A22" s="35" t="e">
        <f>new!#REF!</f>
        <v>#REF!</v>
      </c>
      <c r="B22" s="40" t="e">
        <f>new!#REF!</f>
        <v>#REF!</v>
      </c>
      <c r="C22" s="15" t="e">
        <f>new!#REF!</f>
        <v>#REF!</v>
      </c>
      <c r="D22" s="15" t="e">
        <f>new!#REF!</f>
        <v>#REF!</v>
      </c>
      <c r="E22" s="15" t="e">
        <f>new!#REF!</f>
        <v>#REF!</v>
      </c>
      <c r="F22" s="15" t="e">
        <f>D22*E22</f>
        <v>#REF!</v>
      </c>
      <c r="G22" s="15" t="e">
        <f>#REF!</f>
        <v>#REF!</v>
      </c>
      <c r="H22" s="15" t="e">
        <f>#REF!</f>
        <v>#REF!</v>
      </c>
      <c r="I22" s="15" t="e">
        <f>G22*H22</f>
        <v>#REF!</v>
      </c>
      <c r="J22" s="36" t="e">
        <f>I22-F22</f>
        <v>#REF!</v>
      </c>
      <c r="K22" s="18"/>
    </row>
    <row r="23" spans="1:13" s="1" customFormat="1" x14ac:dyDescent="0.3">
      <c r="A23" s="35"/>
      <c r="B23" s="43" t="e">
        <f>new!#REF!</f>
        <v>#REF!</v>
      </c>
      <c r="C23" s="15"/>
      <c r="D23" s="15"/>
      <c r="E23" s="15"/>
      <c r="F23" s="15" t="e">
        <f>new!#REF!</f>
        <v>#REF!</v>
      </c>
      <c r="G23" s="15"/>
      <c r="H23" s="15"/>
      <c r="I23" s="15" t="e">
        <f>#REF!</f>
        <v>#REF!</v>
      </c>
      <c r="J23" s="36" t="e">
        <f>I23-F23</f>
        <v>#REF!</v>
      </c>
      <c r="K23" s="18"/>
    </row>
    <row r="24" spans="1:13" s="1" customFormat="1" x14ac:dyDescent="0.3">
      <c r="A24" s="35"/>
      <c r="B24" s="40"/>
      <c r="C24" s="15"/>
      <c r="D24" s="15"/>
      <c r="E24" s="15"/>
      <c r="F24" s="15"/>
      <c r="G24" s="15"/>
      <c r="H24" s="15"/>
      <c r="I24" s="15"/>
      <c r="J24" s="36"/>
      <c r="K24" s="18"/>
      <c r="M24" s="1">
        <f t="shared" ref="M24" si="2">1.25*F24</f>
        <v>0</v>
      </c>
    </row>
    <row r="25" spans="1:13" s="1" customFormat="1" x14ac:dyDescent="0.3">
      <c r="A25" s="35" t="e">
        <f>new!#REF!</f>
        <v>#REF!</v>
      </c>
      <c r="B25" s="40" t="e">
        <f>new!#REF!</f>
        <v>#REF!</v>
      </c>
      <c r="C25" s="15" t="e">
        <f>new!#REF!</f>
        <v>#REF!</v>
      </c>
      <c r="D25" s="15" t="e">
        <f>new!#REF!</f>
        <v>#REF!</v>
      </c>
      <c r="E25" s="15" t="e">
        <f>new!#REF!</f>
        <v>#REF!</v>
      </c>
      <c r="F25" s="15" t="e">
        <f>D25*E25</f>
        <v>#REF!</v>
      </c>
      <c r="G25" s="15" t="e">
        <f>#REF!</f>
        <v>#REF!</v>
      </c>
      <c r="H25" s="15" t="e">
        <f>#REF!</f>
        <v>#REF!</v>
      </c>
      <c r="I25" s="15" t="e">
        <f>G25*H25</f>
        <v>#REF!</v>
      </c>
      <c r="J25" s="36" t="e">
        <f>I25-F25</f>
        <v>#REF!</v>
      </c>
      <c r="K25" s="18"/>
    </row>
    <row r="26" spans="1:13" s="1" customFormat="1" x14ac:dyDescent="0.3">
      <c r="A26" s="35"/>
      <c r="B26" s="40" t="e">
        <f>new!#REF!</f>
        <v>#REF!</v>
      </c>
      <c r="C26" s="15"/>
      <c r="D26" s="15"/>
      <c r="E26" s="15"/>
      <c r="F26" s="15" t="e">
        <f>new!#REF!</f>
        <v>#REF!</v>
      </c>
      <c r="G26" s="15"/>
      <c r="H26" s="15"/>
      <c r="I26" s="15" t="e">
        <f>#REF!</f>
        <v>#REF!</v>
      </c>
      <c r="J26" s="36" t="e">
        <f>I26-F26</f>
        <v>#REF!</v>
      </c>
      <c r="K26" s="18"/>
    </row>
    <row r="27" spans="1:13" s="1" customFormat="1" x14ac:dyDescent="0.3">
      <c r="A27" s="35"/>
      <c r="B27" s="40"/>
      <c r="C27" s="15"/>
      <c r="D27" s="15"/>
      <c r="E27" s="15"/>
      <c r="F27" s="15"/>
      <c r="G27" s="15"/>
      <c r="H27" s="15"/>
      <c r="I27" s="15"/>
      <c r="J27" s="36"/>
      <c r="K27" s="18"/>
      <c r="M27" s="1">
        <f t="shared" ref="M27" si="3">1.25*F27</f>
        <v>0</v>
      </c>
    </row>
    <row r="28" spans="1:13" s="1" customFormat="1" ht="27.6" x14ac:dyDescent="0.3">
      <c r="A28" s="40">
        <f>new!A10</f>
        <v>1</v>
      </c>
      <c r="B28" s="40" t="str">
        <f>new!B10</f>
        <v>l;d]G6 jf jh|df hf]8]sf] uf/f] eTsfO{ To;af6 cfPsf] ;fdfu+|L !) dL</v>
      </c>
      <c r="C28" s="15">
        <f>new!H10</f>
        <v>0</v>
      </c>
      <c r="D28" s="15">
        <f>new!G10</f>
        <v>0</v>
      </c>
      <c r="E28" s="15" t="e">
        <f>#REF!</f>
        <v>#REF!</v>
      </c>
      <c r="F28" s="15" t="e">
        <f>D28*E28</f>
        <v>#REF!</v>
      </c>
      <c r="G28" s="15">
        <f>new!G10</f>
        <v>0</v>
      </c>
      <c r="H28" s="15" t="e">
        <f>#REF!</f>
        <v>#REF!</v>
      </c>
      <c r="I28" s="15" t="e">
        <f>G28*H28</f>
        <v>#REF!</v>
      </c>
      <c r="J28" s="36" t="e">
        <f>I28-F28</f>
        <v>#REF!</v>
      </c>
      <c r="K28" s="18"/>
    </row>
    <row r="29" spans="1:13" s="1" customFormat="1" x14ac:dyDescent="0.3">
      <c r="A29" s="37"/>
      <c r="B29" s="37"/>
      <c r="C29" s="15"/>
      <c r="D29" s="15"/>
      <c r="E29" s="15"/>
      <c r="F29" s="15"/>
      <c r="G29" s="15"/>
      <c r="H29" s="15"/>
      <c r="I29" s="15"/>
      <c r="J29" s="36"/>
      <c r="K29" s="18"/>
    </row>
    <row r="30" spans="1:13" x14ac:dyDescent="0.3">
      <c r="A30" s="4"/>
      <c r="B30" s="5" t="s">
        <v>16</v>
      </c>
      <c r="C30" s="5"/>
      <c r="D30" s="8"/>
      <c r="E30" s="8"/>
      <c r="F30" s="8" t="e">
        <f>SUM(F13:F29)</f>
        <v>#REF!</v>
      </c>
      <c r="G30" s="8"/>
      <c r="H30" s="8"/>
      <c r="I30" s="8" t="e">
        <f>SUM(I13:I29)</f>
        <v>#REF!</v>
      </c>
      <c r="J30" s="16" t="e">
        <f>I30-F30</f>
        <v>#REF!</v>
      </c>
      <c r="K30" s="4"/>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Er. Prakash Singh Saud</oddFooter>
  </headerFooter>
  <rowBreaks count="1" manualBreakCount="1">
    <brk id="21"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topLeftCell="A37" zoomScale="90" zoomScaleNormal="90" workbookViewId="0">
      <selection activeCell="A54" sqref="A54:U63"/>
    </sheetView>
  </sheetViews>
  <sheetFormatPr defaultRowHeight="14.4" x14ac:dyDescent="0.3"/>
  <sheetData>
    <row r="1" spans="1:21" x14ac:dyDescent="0.3">
      <c r="A1" s="162" t="s">
        <v>43</v>
      </c>
      <c r="B1" s="162"/>
      <c r="C1" s="163" t="s">
        <v>41</v>
      </c>
      <c r="D1" s="163"/>
      <c r="E1" s="163"/>
      <c r="F1" s="163"/>
      <c r="G1" s="163"/>
      <c r="H1" s="163"/>
      <c r="I1" s="163"/>
      <c r="J1" s="163"/>
      <c r="K1" s="163"/>
      <c r="L1" s="163"/>
      <c r="M1" s="163"/>
      <c r="N1" s="163"/>
      <c r="O1" s="163"/>
      <c r="P1" s="163"/>
      <c r="Q1" s="163"/>
      <c r="R1" s="163"/>
      <c r="S1" s="163"/>
      <c r="T1" s="163"/>
      <c r="U1" s="164" t="s">
        <v>44</v>
      </c>
    </row>
    <row r="2" spans="1:21" x14ac:dyDescent="0.3">
      <c r="A2" s="162"/>
      <c r="B2" s="162"/>
      <c r="C2" s="163"/>
      <c r="D2" s="163"/>
      <c r="E2" s="163"/>
      <c r="F2" s="163"/>
      <c r="G2" s="163"/>
      <c r="H2" s="163"/>
      <c r="I2" s="163"/>
      <c r="J2" s="163"/>
      <c r="K2" s="163"/>
      <c r="L2" s="163"/>
      <c r="M2" s="163"/>
      <c r="N2" s="163"/>
      <c r="O2" s="163"/>
      <c r="P2" s="163"/>
      <c r="Q2" s="163"/>
      <c r="R2" s="163"/>
      <c r="S2" s="163"/>
      <c r="T2" s="163"/>
      <c r="U2" s="164"/>
    </row>
    <row r="3" spans="1:21" ht="15.6" x14ac:dyDescent="0.3">
      <c r="A3" s="165" t="s">
        <v>45</v>
      </c>
      <c r="B3" s="165"/>
      <c r="C3" s="163"/>
      <c r="D3" s="163"/>
      <c r="E3" s="163"/>
      <c r="F3" s="163"/>
      <c r="G3" s="163"/>
      <c r="H3" s="163"/>
      <c r="I3" s="163"/>
      <c r="J3" s="163"/>
      <c r="K3" s="163"/>
      <c r="L3" s="163"/>
      <c r="M3" s="163"/>
      <c r="N3" s="163"/>
      <c r="O3" s="163"/>
      <c r="P3" s="163"/>
      <c r="Q3" s="163"/>
      <c r="R3" s="163"/>
      <c r="S3" s="163"/>
      <c r="T3" s="163"/>
      <c r="U3" s="164"/>
    </row>
    <row r="4" spans="1:21" ht="15.6" x14ac:dyDescent="0.3">
      <c r="A4" s="166" t="s">
        <v>46</v>
      </c>
      <c r="B4" s="167" t="s">
        <v>47</v>
      </c>
      <c r="C4" s="167"/>
      <c r="D4" s="167"/>
      <c r="E4" s="167"/>
      <c r="F4" s="167"/>
      <c r="G4" s="167" t="s">
        <v>48</v>
      </c>
      <c r="H4" s="167"/>
      <c r="I4" s="167"/>
      <c r="J4" s="167"/>
      <c r="K4" s="167"/>
      <c r="L4" s="167" t="s">
        <v>49</v>
      </c>
      <c r="M4" s="167"/>
      <c r="N4" s="167"/>
      <c r="O4" s="167"/>
      <c r="P4" s="167"/>
      <c r="Q4" s="167" t="s">
        <v>50</v>
      </c>
      <c r="R4" s="167"/>
      <c r="S4" s="167"/>
      <c r="T4" s="167"/>
      <c r="U4" s="167"/>
    </row>
    <row r="5" spans="1:21" ht="15.6" x14ac:dyDescent="0.3">
      <c r="A5" s="166"/>
      <c r="B5" s="56" t="s">
        <v>51</v>
      </c>
      <c r="C5" s="56" t="s">
        <v>12</v>
      </c>
      <c r="D5" s="56" t="s">
        <v>11</v>
      </c>
      <c r="E5" s="56" t="s">
        <v>13</v>
      </c>
      <c r="F5" s="56" t="s">
        <v>14</v>
      </c>
      <c r="G5" s="56" t="s">
        <v>51</v>
      </c>
      <c r="H5" s="57" t="s">
        <v>12</v>
      </c>
      <c r="I5" s="56" t="s">
        <v>11</v>
      </c>
      <c r="J5" s="56" t="s">
        <v>13</v>
      </c>
      <c r="K5" s="56" t="s">
        <v>14</v>
      </c>
      <c r="L5" s="56" t="s">
        <v>51</v>
      </c>
      <c r="M5" s="56" t="s">
        <v>12</v>
      </c>
      <c r="N5" s="56" t="s">
        <v>11</v>
      </c>
      <c r="O5" s="56" t="s">
        <v>13</v>
      </c>
      <c r="P5" s="56" t="s">
        <v>14</v>
      </c>
      <c r="Q5" s="56" t="s">
        <v>51</v>
      </c>
      <c r="R5" s="56" t="s">
        <v>12</v>
      </c>
      <c r="S5" s="56" t="s">
        <v>11</v>
      </c>
      <c r="T5" s="56" t="s">
        <v>13</v>
      </c>
      <c r="U5" s="58" t="s">
        <v>14</v>
      </c>
    </row>
    <row r="6" spans="1:21" ht="62.4" x14ac:dyDescent="0.3">
      <c r="A6" s="59" t="s">
        <v>52</v>
      </c>
      <c r="B6" s="56" t="s">
        <v>53</v>
      </c>
      <c r="C6" s="56" t="s">
        <v>54</v>
      </c>
      <c r="D6" s="56">
        <v>1</v>
      </c>
      <c r="E6" s="56">
        <v>1200</v>
      </c>
      <c r="F6" s="60">
        <f>(D6*E6)</f>
        <v>1200</v>
      </c>
      <c r="G6" s="61"/>
      <c r="H6" s="62"/>
      <c r="I6" s="61"/>
      <c r="J6" s="61"/>
      <c r="K6" s="61"/>
      <c r="L6" s="56" t="s">
        <v>55</v>
      </c>
      <c r="M6" s="56" t="s">
        <v>56</v>
      </c>
      <c r="N6" s="56">
        <v>6</v>
      </c>
      <c r="O6" s="56">
        <v>3071</v>
      </c>
      <c r="P6" s="60">
        <f>(N6*O6)</f>
        <v>18426</v>
      </c>
      <c r="Q6" s="61"/>
      <c r="R6" s="61"/>
      <c r="S6" s="61"/>
      <c r="T6" s="61"/>
      <c r="U6" s="63"/>
    </row>
    <row r="7" spans="1:21" ht="31.2" x14ac:dyDescent="0.3">
      <c r="A7" s="61"/>
      <c r="B7" s="56" t="s">
        <v>57</v>
      </c>
      <c r="C7" s="56" t="s">
        <v>54</v>
      </c>
      <c r="D7" s="56">
        <v>3</v>
      </c>
      <c r="E7" s="56">
        <v>900</v>
      </c>
      <c r="F7" s="60">
        <f>(D7*E7)</f>
        <v>2700</v>
      </c>
      <c r="G7" s="61"/>
      <c r="H7" s="62"/>
      <c r="I7" s="61"/>
      <c r="J7" s="61"/>
      <c r="K7" s="61"/>
      <c r="L7" s="61"/>
      <c r="M7" s="61"/>
      <c r="N7" s="61"/>
      <c r="O7" s="61"/>
      <c r="P7" s="61"/>
      <c r="Q7" s="61"/>
      <c r="R7" s="61"/>
      <c r="S7" s="61"/>
      <c r="T7" s="61"/>
      <c r="U7" s="63"/>
    </row>
    <row r="8" spans="1:21" ht="15.6" x14ac:dyDescent="0.3">
      <c r="A8" s="137" t="s">
        <v>58</v>
      </c>
      <c r="B8" s="137"/>
      <c r="C8" s="137"/>
      <c r="D8" s="137"/>
      <c r="E8" s="137"/>
      <c r="F8" s="60">
        <f>SUM(F5:F7)</f>
        <v>3900</v>
      </c>
      <c r="G8" s="137" t="s">
        <v>59</v>
      </c>
      <c r="H8" s="137"/>
      <c r="I8" s="137"/>
      <c r="J8" s="137"/>
      <c r="K8" s="60">
        <f>SUM(K5:K7)</f>
        <v>0</v>
      </c>
      <c r="L8" s="137" t="s">
        <v>60</v>
      </c>
      <c r="M8" s="137"/>
      <c r="N8" s="137"/>
      <c r="O8" s="137"/>
      <c r="P8" s="60">
        <f>SUM(P5:P7)</f>
        <v>18426</v>
      </c>
      <c r="Q8" s="137" t="s">
        <v>61</v>
      </c>
      <c r="R8" s="137"/>
      <c r="S8" s="137"/>
      <c r="T8" s="137"/>
      <c r="U8" s="64">
        <f>SUM(U5:U7)</f>
        <v>0</v>
      </c>
    </row>
    <row r="9" spans="1:21" ht="15.6" x14ac:dyDescent="0.3">
      <c r="A9" s="137" t="s">
        <v>62</v>
      </c>
      <c r="B9" s="137"/>
      <c r="C9" s="137"/>
      <c r="D9" s="137"/>
      <c r="E9" s="137"/>
      <c r="F9" s="60">
        <f>SUM(F8+K8+P8)</f>
        <v>22326</v>
      </c>
      <c r="G9" s="137" t="s">
        <v>63</v>
      </c>
      <c r="H9" s="137"/>
      <c r="I9" s="137"/>
      <c r="J9" s="137"/>
      <c r="K9" s="60">
        <f>SUM(F8+K8+P8+U8)</f>
        <v>22326</v>
      </c>
      <c r="L9" s="137" t="s">
        <v>64</v>
      </c>
      <c r="M9" s="137"/>
      <c r="N9" s="137"/>
      <c r="O9" s="137"/>
      <c r="P9" s="60">
        <f>SUM(K9*0.15)</f>
        <v>3348.9</v>
      </c>
      <c r="Q9" s="137" t="s">
        <v>65</v>
      </c>
      <c r="R9" s="137"/>
      <c r="S9" s="137"/>
      <c r="T9" s="137"/>
      <c r="U9" s="64">
        <f>SUM(K9+P9)</f>
        <v>25674.9</v>
      </c>
    </row>
    <row r="10" spans="1:21" ht="15.6" x14ac:dyDescent="0.3">
      <c r="A10" s="61"/>
      <c r="B10" s="61"/>
      <c r="C10" s="61"/>
      <c r="D10" s="61"/>
      <c r="E10" s="61"/>
      <c r="F10" s="61"/>
      <c r="G10" s="61"/>
      <c r="H10" s="62"/>
      <c r="I10" s="61"/>
      <c r="J10" s="61"/>
      <c r="K10" s="61"/>
      <c r="L10" s="61"/>
      <c r="M10" s="61"/>
      <c r="N10" s="61"/>
      <c r="O10" s="61"/>
      <c r="P10" s="61"/>
      <c r="Q10" s="137" t="s">
        <v>66</v>
      </c>
      <c r="R10" s="137"/>
      <c r="S10" s="137"/>
      <c r="T10" s="137"/>
      <c r="U10" s="65">
        <f>ROUND((U9/360),2)</f>
        <v>71.319999999999993</v>
      </c>
    </row>
    <row r="11" spans="1:21" ht="15.6" x14ac:dyDescent="0.3">
      <c r="A11" s="138"/>
      <c r="B11" s="138"/>
      <c r="C11" s="138"/>
      <c r="D11" s="138"/>
      <c r="E11" s="138"/>
      <c r="F11" s="138"/>
      <c r="G11" s="138"/>
      <c r="H11" s="138"/>
      <c r="I11" s="138"/>
      <c r="J11" s="138"/>
      <c r="K11" s="138"/>
      <c r="L11" s="138"/>
      <c r="M11" s="138"/>
      <c r="N11" s="138"/>
      <c r="O11" s="138"/>
      <c r="P11" s="138"/>
      <c r="Q11" s="138"/>
      <c r="R11" s="138"/>
      <c r="S11" s="138"/>
      <c r="T11" s="138"/>
      <c r="U11" s="138"/>
    </row>
    <row r="12" spans="1:21" x14ac:dyDescent="0.3">
      <c r="A12" s="139" t="s">
        <v>43</v>
      </c>
      <c r="B12" s="140"/>
      <c r="C12" s="143" t="s">
        <v>36</v>
      </c>
      <c r="D12" s="144"/>
      <c r="E12" s="144"/>
      <c r="F12" s="144"/>
      <c r="G12" s="144"/>
      <c r="H12" s="144"/>
      <c r="I12" s="144"/>
      <c r="J12" s="144"/>
      <c r="K12" s="144"/>
      <c r="L12" s="144"/>
      <c r="M12" s="144"/>
      <c r="N12" s="144"/>
      <c r="O12" s="144"/>
      <c r="P12" s="144"/>
      <c r="Q12" s="144"/>
      <c r="R12" s="144"/>
      <c r="S12" s="144"/>
      <c r="T12" s="145"/>
      <c r="U12" s="152" t="s">
        <v>67</v>
      </c>
    </row>
    <row r="13" spans="1:21" x14ac:dyDescent="0.3">
      <c r="A13" s="141"/>
      <c r="B13" s="142"/>
      <c r="C13" s="146"/>
      <c r="D13" s="147"/>
      <c r="E13" s="147"/>
      <c r="F13" s="147"/>
      <c r="G13" s="147"/>
      <c r="H13" s="147"/>
      <c r="I13" s="147"/>
      <c r="J13" s="147"/>
      <c r="K13" s="147"/>
      <c r="L13" s="147"/>
      <c r="M13" s="147"/>
      <c r="N13" s="147"/>
      <c r="O13" s="147"/>
      <c r="P13" s="147"/>
      <c r="Q13" s="147"/>
      <c r="R13" s="147"/>
      <c r="S13" s="147"/>
      <c r="T13" s="148"/>
      <c r="U13" s="153"/>
    </row>
    <row r="14" spans="1:21" ht="15.6" x14ac:dyDescent="0.3">
      <c r="A14" s="155" t="s">
        <v>68</v>
      </c>
      <c r="B14" s="156"/>
      <c r="C14" s="149"/>
      <c r="D14" s="150"/>
      <c r="E14" s="150"/>
      <c r="F14" s="150"/>
      <c r="G14" s="150"/>
      <c r="H14" s="150"/>
      <c r="I14" s="150"/>
      <c r="J14" s="150"/>
      <c r="K14" s="150"/>
      <c r="L14" s="150"/>
      <c r="M14" s="150"/>
      <c r="N14" s="150"/>
      <c r="O14" s="150"/>
      <c r="P14" s="150"/>
      <c r="Q14" s="150"/>
      <c r="R14" s="150"/>
      <c r="S14" s="150"/>
      <c r="T14" s="151"/>
      <c r="U14" s="154"/>
    </row>
    <row r="15" spans="1:21" ht="15.6" x14ac:dyDescent="0.3">
      <c r="A15" s="157" t="s">
        <v>46</v>
      </c>
      <c r="B15" s="159" t="s">
        <v>47</v>
      </c>
      <c r="C15" s="160"/>
      <c r="D15" s="160"/>
      <c r="E15" s="160"/>
      <c r="F15" s="161"/>
      <c r="G15" s="159" t="s">
        <v>48</v>
      </c>
      <c r="H15" s="160"/>
      <c r="I15" s="160"/>
      <c r="J15" s="160"/>
      <c r="K15" s="161"/>
      <c r="L15" s="159" t="s">
        <v>49</v>
      </c>
      <c r="M15" s="160"/>
      <c r="N15" s="160"/>
      <c r="O15" s="160"/>
      <c r="P15" s="161"/>
      <c r="Q15" s="159" t="s">
        <v>50</v>
      </c>
      <c r="R15" s="160"/>
      <c r="S15" s="160"/>
      <c r="T15" s="160"/>
      <c r="U15" s="161"/>
    </row>
    <row r="16" spans="1:21" ht="15.6" x14ac:dyDescent="0.3">
      <c r="A16" s="158"/>
      <c r="B16" s="66" t="s">
        <v>51</v>
      </c>
      <c r="C16" s="66" t="s">
        <v>12</v>
      </c>
      <c r="D16" s="66" t="s">
        <v>11</v>
      </c>
      <c r="E16" s="66" t="s">
        <v>13</v>
      </c>
      <c r="F16" s="66" t="s">
        <v>14</v>
      </c>
      <c r="G16" s="66" t="s">
        <v>51</v>
      </c>
      <c r="H16" s="67" t="s">
        <v>12</v>
      </c>
      <c r="I16" s="66" t="s">
        <v>11</v>
      </c>
      <c r="J16" s="66" t="s">
        <v>13</v>
      </c>
      <c r="K16" s="66" t="s">
        <v>14</v>
      </c>
      <c r="L16" s="66" t="s">
        <v>51</v>
      </c>
      <c r="M16" s="66" t="s">
        <v>12</v>
      </c>
      <c r="N16" s="66" t="s">
        <v>11</v>
      </c>
      <c r="O16" s="66" t="s">
        <v>13</v>
      </c>
      <c r="P16" s="66" t="s">
        <v>14</v>
      </c>
      <c r="Q16" s="66" t="s">
        <v>51</v>
      </c>
      <c r="R16" s="66" t="s">
        <v>12</v>
      </c>
      <c r="S16" s="66" t="s">
        <v>11</v>
      </c>
      <c r="T16" s="66" t="s">
        <v>13</v>
      </c>
      <c r="U16" s="68" t="s">
        <v>14</v>
      </c>
    </row>
    <row r="17" spans="1:21" ht="15.6" x14ac:dyDescent="0.3">
      <c r="A17" s="69" t="s">
        <v>69</v>
      </c>
      <c r="B17" s="66" t="s">
        <v>53</v>
      </c>
      <c r="C17" s="66" t="s">
        <v>54</v>
      </c>
      <c r="D17" s="66">
        <v>3</v>
      </c>
      <c r="E17" s="66">
        <v>1200</v>
      </c>
      <c r="F17" s="70">
        <f>(D17*E17)</f>
        <v>3600</v>
      </c>
      <c r="G17" s="66" t="s">
        <v>70</v>
      </c>
      <c r="H17" s="67" t="s">
        <v>34</v>
      </c>
      <c r="I17" s="66">
        <v>6</v>
      </c>
      <c r="J17" s="71">
        <v>2469.6</v>
      </c>
      <c r="K17" s="66">
        <f>(I17*J17)</f>
        <v>14817.599999999999</v>
      </c>
      <c r="L17" s="72"/>
      <c r="M17" s="72"/>
      <c r="N17" s="72"/>
      <c r="O17" s="72"/>
      <c r="P17" s="72"/>
      <c r="Q17" s="72"/>
      <c r="R17" s="72"/>
      <c r="S17" s="72"/>
      <c r="T17" s="72"/>
      <c r="U17" s="73"/>
    </row>
    <row r="18" spans="1:21" ht="31.2" x14ac:dyDescent="0.3">
      <c r="A18" s="72"/>
      <c r="B18" s="66" t="s">
        <v>57</v>
      </c>
      <c r="C18" s="66" t="s">
        <v>54</v>
      </c>
      <c r="D18" s="66">
        <v>4</v>
      </c>
      <c r="E18" s="66">
        <v>900</v>
      </c>
      <c r="F18" s="70">
        <f>(D18*E18)</f>
        <v>3600</v>
      </c>
      <c r="G18" s="66"/>
      <c r="H18" s="67"/>
      <c r="I18" s="66">
        <v>0</v>
      </c>
      <c r="J18" s="72"/>
      <c r="K18" s="72"/>
      <c r="L18" s="72"/>
      <c r="M18" s="72"/>
      <c r="N18" s="72"/>
      <c r="O18" s="72"/>
      <c r="P18" s="72"/>
      <c r="Q18" s="72"/>
      <c r="R18" s="72"/>
      <c r="S18" s="72"/>
      <c r="T18" s="72"/>
      <c r="U18" s="73"/>
    </row>
    <row r="19" spans="1:21" ht="15.6" x14ac:dyDescent="0.3">
      <c r="A19" s="134" t="s">
        <v>58</v>
      </c>
      <c r="B19" s="135"/>
      <c r="C19" s="135"/>
      <c r="D19" s="135"/>
      <c r="E19" s="136"/>
      <c r="F19" s="70">
        <f>SUM(F16:F18)</f>
        <v>7200</v>
      </c>
      <c r="G19" s="134" t="s">
        <v>59</v>
      </c>
      <c r="H19" s="135"/>
      <c r="I19" s="135"/>
      <c r="J19" s="136"/>
      <c r="K19" s="70">
        <f>SUM(K16:K18)</f>
        <v>14817.599999999999</v>
      </c>
      <c r="L19" s="134" t="s">
        <v>60</v>
      </c>
      <c r="M19" s="135"/>
      <c r="N19" s="135"/>
      <c r="O19" s="136"/>
      <c r="P19" s="70">
        <f>SUM(P16:P18)</f>
        <v>0</v>
      </c>
      <c r="Q19" s="134" t="s">
        <v>61</v>
      </c>
      <c r="R19" s="135"/>
      <c r="S19" s="135"/>
      <c r="T19" s="136"/>
      <c r="U19" s="74">
        <f>SUM(U16:U18)</f>
        <v>0</v>
      </c>
    </row>
    <row r="20" spans="1:21" ht="15.6" x14ac:dyDescent="0.3">
      <c r="A20" s="134" t="s">
        <v>62</v>
      </c>
      <c r="B20" s="135"/>
      <c r="C20" s="135"/>
      <c r="D20" s="135"/>
      <c r="E20" s="136"/>
      <c r="F20" s="70">
        <f>SUM(F19+K19+P19)</f>
        <v>22017.599999999999</v>
      </c>
      <c r="G20" s="134" t="s">
        <v>63</v>
      </c>
      <c r="H20" s="135"/>
      <c r="I20" s="135"/>
      <c r="J20" s="136"/>
      <c r="K20" s="70">
        <f>SUM(F19+K19+P19+U19)</f>
        <v>22017.599999999999</v>
      </c>
      <c r="L20" s="134" t="s">
        <v>64</v>
      </c>
      <c r="M20" s="135"/>
      <c r="N20" s="135"/>
      <c r="O20" s="136"/>
      <c r="P20" s="70">
        <f>SUM(K20*0.15)</f>
        <v>3302.64</v>
      </c>
      <c r="Q20" s="134" t="s">
        <v>65</v>
      </c>
      <c r="R20" s="135"/>
      <c r="S20" s="135"/>
      <c r="T20" s="136"/>
      <c r="U20" s="74">
        <f>SUM(K20+P20)</f>
        <v>25320.239999999998</v>
      </c>
    </row>
    <row r="21" spans="1:21" ht="15.6" x14ac:dyDescent="0.3">
      <c r="A21" s="72"/>
      <c r="B21" s="72"/>
      <c r="C21" s="72"/>
      <c r="D21" s="72"/>
      <c r="E21" s="72"/>
      <c r="F21" s="72"/>
      <c r="G21" s="72"/>
      <c r="H21" s="75"/>
      <c r="I21" s="72"/>
      <c r="J21" s="72"/>
      <c r="K21" s="72"/>
      <c r="L21" s="72"/>
      <c r="M21" s="72"/>
      <c r="N21" s="72"/>
      <c r="O21" s="72"/>
      <c r="P21" s="72"/>
      <c r="Q21" s="134" t="s">
        <v>66</v>
      </c>
      <c r="R21" s="135"/>
      <c r="S21" s="135"/>
      <c r="T21" s="136"/>
      <c r="U21" s="76">
        <f>ROUND((U20/5),2)</f>
        <v>5064.05</v>
      </c>
    </row>
    <row r="22" spans="1:21" ht="15.6" x14ac:dyDescent="0.3">
      <c r="A22" s="72"/>
      <c r="B22" s="72"/>
      <c r="C22" s="72"/>
      <c r="D22" s="72"/>
      <c r="E22" s="72"/>
      <c r="F22" s="72"/>
      <c r="G22" s="72"/>
      <c r="H22" s="75"/>
      <c r="I22" s="72"/>
      <c r="J22" s="72"/>
      <c r="K22" s="72"/>
      <c r="L22" s="72"/>
      <c r="M22" s="72"/>
      <c r="N22" s="72"/>
      <c r="O22" s="72"/>
      <c r="P22" s="72"/>
      <c r="Q22" s="77"/>
      <c r="R22" s="78"/>
      <c r="S22" s="78"/>
      <c r="T22" s="79"/>
      <c r="U22" s="76"/>
    </row>
    <row r="24" spans="1:21" x14ac:dyDescent="0.3">
      <c r="A24" s="131" t="s">
        <v>43</v>
      </c>
      <c r="B24" s="131"/>
      <c r="C24" s="132" t="s">
        <v>37</v>
      </c>
      <c r="D24" s="132"/>
      <c r="E24" s="132"/>
      <c r="F24" s="132"/>
      <c r="G24" s="132"/>
      <c r="H24" s="132"/>
      <c r="I24" s="132"/>
      <c r="J24" s="132"/>
      <c r="K24" s="132"/>
      <c r="L24" s="132"/>
      <c r="M24" s="132"/>
      <c r="N24" s="132"/>
      <c r="O24" s="132"/>
      <c r="P24" s="132"/>
      <c r="Q24" s="132"/>
      <c r="R24" s="132"/>
      <c r="S24" s="132"/>
      <c r="T24" s="132"/>
      <c r="U24" s="127" t="s">
        <v>71</v>
      </c>
    </row>
    <row r="25" spans="1:21" x14ac:dyDescent="0.3">
      <c r="A25" s="131"/>
      <c r="B25" s="131"/>
      <c r="C25" s="132"/>
      <c r="D25" s="132"/>
      <c r="E25" s="132"/>
      <c r="F25" s="132"/>
      <c r="G25" s="132"/>
      <c r="H25" s="132"/>
      <c r="I25" s="132"/>
      <c r="J25" s="132"/>
      <c r="K25" s="132"/>
      <c r="L25" s="132"/>
      <c r="M25" s="132"/>
      <c r="N25" s="132"/>
      <c r="O25" s="132"/>
      <c r="P25" s="132"/>
      <c r="Q25" s="132"/>
      <c r="R25" s="132"/>
      <c r="S25" s="132"/>
      <c r="T25" s="132"/>
      <c r="U25" s="127"/>
    </row>
    <row r="26" spans="1:21" ht="15.6" x14ac:dyDescent="0.3">
      <c r="A26" s="128" t="s">
        <v>72</v>
      </c>
      <c r="B26" s="128"/>
      <c r="C26" s="132"/>
      <c r="D26" s="132"/>
      <c r="E26" s="132"/>
      <c r="F26" s="132"/>
      <c r="G26" s="132"/>
      <c r="H26" s="132"/>
      <c r="I26" s="132"/>
      <c r="J26" s="132"/>
      <c r="K26" s="132"/>
      <c r="L26" s="132"/>
      <c r="M26" s="132"/>
      <c r="N26" s="132"/>
      <c r="O26" s="132"/>
      <c r="P26" s="132"/>
      <c r="Q26" s="132"/>
      <c r="R26" s="132"/>
      <c r="S26" s="132"/>
      <c r="T26" s="132"/>
      <c r="U26" s="127"/>
    </row>
    <row r="27" spans="1:21" ht="15.6" x14ac:dyDescent="0.3">
      <c r="A27" s="129" t="s">
        <v>46</v>
      </c>
      <c r="B27" s="130" t="s">
        <v>47</v>
      </c>
      <c r="C27" s="130"/>
      <c r="D27" s="130"/>
      <c r="E27" s="130"/>
      <c r="F27" s="130"/>
      <c r="G27" s="130" t="s">
        <v>48</v>
      </c>
      <c r="H27" s="130"/>
      <c r="I27" s="130"/>
      <c r="J27" s="130"/>
      <c r="K27" s="130"/>
      <c r="L27" s="130" t="s">
        <v>49</v>
      </c>
      <c r="M27" s="130"/>
      <c r="N27" s="130"/>
      <c r="O27" s="130"/>
      <c r="P27" s="130"/>
      <c r="Q27" s="130" t="s">
        <v>50</v>
      </c>
      <c r="R27" s="130"/>
      <c r="S27" s="130"/>
      <c r="T27" s="130"/>
      <c r="U27" s="130"/>
    </row>
    <row r="28" spans="1:21" ht="15.6" x14ac:dyDescent="0.3">
      <c r="A28" s="129"/>
      <c r="B28" s="49" t="s">
        <v>51</v>
      </c>
      <c r="C28" s="49" t="s">
        <v>12</v>
      </c>
      <c r="D28" s="49" t="s">
        <v>11</v>
      </c>
      <c r="E28" s="49" t="s">
        <v>13</v>
      </c>
      <c r="F28" s="49" t="s">
        <v>14</v>
      </c>
      <c r="G28" s="49" t="s">
        <v>51</v>
      </c>
      <c r="H28" s="50" t="s">
        <v>12</v>
      </c>
      <c r="I28" s="49" t="s">
        <v>11</v>
      </c>
      <c r="J28" s="49" t="s">
        <v>13</v>
      </c>
      <c r="K28" s="49" t="s">
        <v>14</v>
      </c>
      <c r="L28" s="49" t="s">
        <v>51</v>
      </c>
      <c r="M28" s="49" t="s">
        <v>12</v>
      </c>
      <c r="N28" s="49" t="s">
        <v>11</v>
      </c>
      <c r="O28" s="49" t="s">
        <v>13</v>
      </c>
      <c r="P28" s="49" t="s">
        <v>14</v>
      </c>
      <c r="Q28" s="49" t="s">
        <v>51</v>
      </c>
      <c r="R28" s="49" t="s">
        <v>12</v>
      </c>
      <c r="S28" s="49" t="s">
        <v>11</v>
      </c>
      <c r="T28" s="49" t="s">
        <v>13</v>
      </c>
      <c r="U28" s="51" t="s">
        <v>14</v>
      </c>
    </row>
    <row r="29" spans="1:21" ht="171.6" x14ac:dyDescent="0.3">
      <c r="A29" s="52" t="s">
        <v>73</v>
      </c>
      <c r="B29" s="49" t="s">
        <v>53</v>
      </c>
      <c r="C29" s="49" t="s">
        <v>54</v>
      </c>
      <c r="D29" s="49">
        <v>3</v>
      </c>
      <c r="E29" s="49">
        <v>1200</v>
      </c>
      <c r="F29" s="53">
        <f>(D29*E29)</f>
        <v>3600</v>
      </c>
      <c r="G29" s="49" t="s">
        <v>42</v>
      </c>
      <c r="H29" s="50" t="s">
        <v>40</v>
      </c>
      <c r="I29" s="49">
        <v>4.13</v>
      </c>
      <c r="J29" s="49">
        <v>14231</v>
      </c>
      <c r="K29" s="49">
        <f t="shared" ref="K29:K34" si="0">(I29*J29)</f>
        <v>58774.03</v>
      </c>
      <c r="L29" s="49" t="s">
        <v>74</v>
      </c>
      <c r="M29" s="49" t="s">
        <v>56</v>
      </c>
      <c r="N29" s="49">
        <v>6</v>
      </c>
      <c r="O29" s="49">
        <v>293</v>
      </c>
      <c r="P29" s="53">
        <f>(N29*O29)</f>
        <v>1758</v>
      </c>
      <c r="Q29" s="49" t="s">
        <v>75</v>
      </c>
      <c r="R29" s="49"/>
      <c r="S29" s="45"/>
      <c r="T29" s="45"/>
      <c r="U29" s="54">
        <f>F36*4/100</f>
        <v>6419.06664</v>
      </c>
    </row>
    <row r="30" spans="1:21" ht="31.2" x14ac:dyDescent="0.3">
      <c r="A30" s="45"/>
      <c r="B30" s="49" t="s">
        <v>57</v>
      </c>
      <c r="C30" s="49" t="s">
        <v>54</v>
      </c>
      <c r="D30" s="49">
        <v>30</v>
      </c>
      <c r="E30" s="49">
        <v>900</v>
      </c>
      <c r="F30" s="53">
        <f>(D30*E30)</f>
        <v>27000</v>
      </c>
      <c r="G30" s="49" t="s">
        <v>76</v>
      </c>
      <c r="H30" s="50" t="s">
        <v>34</v>
      </c>
      <c r="I30" s="49">
        <v>6.75</v>
      </c>
      <c r="J30" s="49">
        <v>2504.88</v>
      </c>
      <c r="K30" s="49">
        <f t="shared" si="0"/>
        <v>16907.940000000002</v>
      </c>
      <c r="L30" s="49" t="s">
        <v>77</v>
      </c>
      <c r="M30" s="49" t="s">
        <v>56</v>
      </c>
      <c r="N30" s="49">
        <v>6</v>
      </c>
      <c r="O30" s="49">
        <v>841</v>
      </c>
      <c r="P30" s="53">
        <f>(N30*O30)</f>
        <v>5046</v>
      </c>
      <c r="Q30" s="45"/>
      <c r="R30" s="45"/>
      <c r="S30" s="45"/>
      <c r="T30" s="45"/>
      <c r="U30" s="44"/>
    </row>
    <row r="31" spans="1:21" ht="31.2" x14ac:dyDescent="0.3">
      <c r="A31" s="45"/>
      <c r="B31" s="45"/>
      <c r="C31" s="45"/>
      <c r="D31" s="45"/>
      <c r="E31" s="45"/>
      <c r="F31" s="45"/>
      <c r="G31" s="49" t="s">
        <v>78</v>
      </c>
      <c r="H31" s="50" t="s">
        <v>34</v>
      </c>
      <c r="I31" s="49">
        <v>8.1</v>
      </c>
      <c r="J31" s="49">
        <v>3457.44</v>
      </c>
      <c r="K31" s="49">
        <f t="shared" si="0"/>
        <v>28005.263999999999</v>
      </c>
      <c r="L31" s="45"/>
      <c r="M31" s="45"/>
      <c r="N31" s="45"/>
      <c r="O31" s="45"/>
      <c r="P31" s="45"/>
      <c r="Q31" s="45"/>
      <c r="R31" s="45"/>
      <c r="S31" s="45"/>
      <c r="T31" s="45"/>
      <c r="U31" s="44"/>
    </row>
    <row r="32" spans="1:21" ht="31.2" x14ac:dyDescent="0.3">
      <c r="A32" s="45"/>
      <c r="B32" s="45"/>
      <c r="C32" s="45"/>
      <c r="D32" s="45"/>
      <c r="E32" s="45"/>
      <c r="F32" s="45"/>
      <c r="G32" s="49" t="s">
        <v>79</v>
      </c>
      <c r="H32" s="50" t="s">
        <v>34</v>
      </c>
      <c r="I32" s="49">
        <v>4.05</v>
      </c>
      <c r="J32" s="49">
        <v>3598.56</v>
      </c>
      <c r="K32" s="49">
        <f t="shared" si="0"/>
        <v>14574.168</v>
      </c>
      <c r="L32" s="45"/>
      <c r="M32" s="45"/>
      <c r="N32" s="45"/>
      <c r="O32" s="45"/>
      <c r="P32" s="45"/>
      <c r="Q32" s="45"/>
      <c r="R32" s="45"/>
      <c r="S32" s="45"/>
      <c r="T32" s="45"/>
      <c r="U32" s="44"/>
    </row>
    <row r="33" spans="1:21" ht="31.2" x14ac:dyDescent="0.3">
      <c r="A33" s="45"/>
      <c r="B33" s="45"/>
      <c r="C33" s="45"/>
      <c r="D33" s="45"/>
      <c r="E33" s="45"/>
      <c r="F33" s="45"/>
      <c r="G33" s="49" t="s">
        <v>80</v>
      </c>
      <c r="H33" s="50" t="s">
        <v>34</v>
      </c>
      <c r="I33" s="49">
        <v>1.35</v>
      </c>
      <c r="J33" s="49">
        <v>3104.6400000000003</v>
      </c>
      <c r="K33" s="49">
        <f t="shared" si="0"/>
        <v>4191.264000000001</v>
      </c>
      <c r="L33" s="45"/>
      <c r="M33" s="45"/>
      <c r="N33" s="45"/>
      <c r="O33" s="45"/>
      <c r="P33" s="45"/>
      <c r="Q33" s="45"/>
      <c r="R33" s="45"/>
      <c r="S33" s="45"/>
      <c r="T33" s="45"/>
      <c r="U33" s="44"/>
    </row>
    <row r="34" spans="1:21" ht="15.6" x14ac:dyDescent="0.3">
      <c r="A34" s="45"/>
      <c r="B34" s="45"/>
      <c r="C34" s="45"/>
      <c r="D34" s="45"/>
      <c r="E34" s="45"/>
      <c r="F34" s="45"/>
      <c r="G34" s="49" t="s">
        <v>81</v>
      </c>
      <c r="H34" s="50" t="s">
        <v>82</v>
      </c>
      <c r="I34" s="49">
        <v>2</v>
      </c>
      <c r="J34" s="49">
        <v>310</v>
      </c>
      <c r="K34" s="49">
        <f t="shared" si="0"/>
        <v>620</v>
      </c>
      <c r="L34" s="45"/>
      <c r="M34" s="45"/>
      <c r="N34" s="45"/>
      <c r="O34" s="45"/>
      <c r="P34" s="45"/>
      <c r="Q34" s="45"/>
      <c r="R34" s="45"/>
      <c r="S34" s="45"/>
      <c r="T34" s="45"/>
      <c r="U34" s="44"/>
    </row>
    <row r="35" spans="1:21" ht="15.6" x14ac:dyDescent="0.3">
      <c r="A35" s="126" t="s">
        <v>58</v>
      </c>
      <c r="B35" s="126"/>
      <c r="C35" s="126"/>
      <c r="D35" s="126"/>
      <c r="E35" s="126"/>
      <c r="F35" s="53">
        <f>SUM(F28:F34)</f>
        <v>30600</v>
      </c>
      <c r="G35" s="126" t="s">
        <v>59</v>
      </c>
      <c r="H35" s="126"/>
      <c r="I35" s="126"/>
      <c r="J35" s="126"/>
      <c r="K35" s="53">
        <f>SUM(K28:K34)</f>
        <v>123072.666</v>
      </c>
      <c r="L35" s="126" t="s">
        <v>60</v>
      </c>
      <c r="M35" s="126"/>
      <c r="N35" s="126"/>
      <c r="O35" s="126"/>
      <c r="P35" s="53">
        <f>SUM(P28:P34)</f>
        <v>6804</v>
      </c>
      <c r="Q35" s="126" t="s">
        <v>61</v>
      </c>
      <c r="R35" s="126"/>
      <c r="S35" s="126"/>
      <c r="T35" s="126"/>
      <c r="U35" s="54">
        <f>SUM(U28:U34)</f>
        <v>6419.06664</v>
      </c>
    </row>
    <row r="36" spans="1:21" ht="15.6" x14ac:dyDescent="0.3">
      <c r="A36" s="126" t="s">
        <v>62</v>
      </c>
      <c r="B36" s="126"/>
      <c r="C36" s="126"/>
      <c r="D36" s="126"/>
      <c r="E36" s="126"/>
      <c r="F36" s="53">
        <f>SUM(F35+K35+P35)</f>
        <v>160476.666</v>
      </c>
      <c r="G36" s="126" t="s">
        <v>63</v>
      </c>
      <c r="H36" s="126"/>
      <c r="I36" s="126"/>
      <c r="J36" s="126"/>
      <c r="K36" s="53">
        <f>SUM(F35+K35+P35+U35)</f>
        <v>166895.73264</v>
      </c>
      <c r="L36" s="126" t="s">
        <v>64</v>
      </c>
      <c r="M36" s="126"/>
      <c r="N36" s="126"/>
      <c r="O36" s="126"/>
      <c r="P36" s="53">
        <f>SUM(K36*0.15)</f>
        <v>25034.359895999998</v>
      </c>
      <c r="Q36" s="126" t="s">
        <v>65</v>
      </c>
      <c r="R36" s="126"/>
      <c r="S36" s="126"/>
      <c r="T36" s="126"/>
      <c r="U36" s="54">
        <f>SUM(K36+P36)</f>
        <v>191930.09253600001</v>
      </c>
    </row>
    <row r="37" spans="1:21" ht="15.6" x14ac:dyDescent="0.3">
      <c r="A37" s="45"/>
      <c r="B37" s="45"/>
      <c r="C37" s="45"/>
      <c r="D37" s="45"/>
      <c r="E37" s="45"/>
      <c r="F37" s="45"/>
      <c r="G37" s="45"/>
      <c r="H37" s="46"/>
      <c r="I37" s="45"/>
      <c r="J37" s="45"/>
      <c r="K37" s="45"/>
      <c r="L37" s="45"/>
      <c r="M37" s="45"/>
      <c r="N37" s="45"/>
      <c r="O37" s="45"/>
      <c r="P37" s="45"/>
      <c r="Q37" s="126" t="s">
        <v>66</v>
      </c>
      <c r="R37" s="126"/>
      <c r="S37" s="126"/>
      <c r="T37" s="126"/>
      <c r="U37" s="55">
        <f>ROUND((U36/15),2)</f>
        <v>12795.34</v>
      </c>
    </row>
    <row r="38" spans="1:21" ht="15.6" x14ac:dyDescent="0.3">
      <c r="A38" s="133"/>
      <c r="B38" s="133"/>
      <c r="C38" s="133"/>
      <c r="D38" s="133"/>
      <c r="E38" s="133"/>
      <c r="F38" s="133"/>
      <c r="G38" s="133"/>
      <c r="H38" s="133"/>
      <c r="I38" s="133"/>
      <c r="J38" s="133"/>
      <c r="K38" s="133"/>
      <c r="L38" s="133"/>
      <c r="M38" s="133"/>
      <c r="N38" s="133"/>
      <c r="O38" s="133"/>
      <c r="P38" s="133"/>
      <c r="Q38" s="133"/>
      <c r="R38" s="133"/>
      <c r="S38" s="133"/>
      <c r="T38" s="133"/>
      <c r="U38" s="133"/>
    </row>
    <row r="40" spans="1:21" x14ac:dyDescent="0.3">
      <c r="A40" s="131" t="s">
        <v>43</v>
      </c>
      <c r="B40" s="131"/>
      <c r="C40" s="132" t="s">
        <v>38</v>
      </c>
      <c r="D40" s="132"/>
      <c r="E40" s="132"/>
      <c r="F40" s="132"/>
      <c r="G40" s="132"/>
      <c r="H40" s="132"/>
      <c r="I40" s="132"/>
      <c r="J40" s="132"/>
      <c r="K40" s="132"/>
      <c r="L40" s="132"/>
      <c r="M40" s="132"/>
      <c r="N40" s="132"/>
      <c r="O40" s="132"/>
      <c r="P40" s="132"/>
      <c r="Q40" s="132"/>
      <c r="R40" s="132"/>
      <c r="S40" s="132"/>
      <c r="T40" s="132"/>
      <c r="U40" s="127" t="s">
        <v>71</v>
      </c>
    </row>
    <row r="41" spans="1:21" x14ac:dyDescent="0.3">
      <c r="A41" s="131"/>
      <c r="B41" s="131"/>
      <c r="C41" s="132"/>
      <c r="D41" s="132"/>
      <c r="E41" s="132"/>
      <c r="F41" s="132"/>
      <c r="G41" s="132"/>
      <c r="H41" s="132"/>
      <c r="I41" s="132"/>
      <c r="J41" s="132"/>
      <c r="K41" s="132"/>
      <c r="L41" s="132"/>
      <c r="M41" s="132"/>
      <c r="N41" s="132"/>
      <c r="O41" s="132"/>
      <c r="P41" s="132"/>
      <c r="Q41" s="132"/>
      <c r="R41" s="132"/>
      <c r="S41" s="132"/>
      <c r="T41" s="132"/>
      <c r="U41" s="127"/>
    </row>
    <row r="42" spans="1:21" ht="15.6" x14ac:dyDescent="0.3">
      <c r="A42" s="128" t="s">
        <v>72</v>
      </c>
      <c r="B42" s="128"/>
      <c r="C42" s="132"/>
      <c r="D42" s="132"/>
      <c r="E42" s="132"/>
      <c r="F42" s="132"/>
      <c r="G42" s="132"/>
      <c r="H42" s="132"/>
      <c r="I42" s="132"/>
      <c r="J42" s="132"/>
      <c r="K42" s="132"/>
      <c r="L42" s="132"/>
      <c r="M42" s="132"/>
      <c r="N42" s="132"/>
      <c r="O42" s="132"/>
      <c r="P42" s="132"/>
      <c r="Q42" s="132"/>
      <c r="R42" s="132"/>
      <c r="S42" s="132"/>
      <c r="T42" s="132"/>
      <c r="U42" s="127"/>
    </row>
    <row r="43" spans="1:21" ht="15.6" x14ac:dyDescent="0.3">
      <c r="A43" s="129" t="s">
        <v>46</v>
      </c>
      <c r="B43" s="130" t="s">
        <v>47</v>
      </c>
      <c r="C43" s="130"/>
      <c r="D43" s="130"/>
      <c r="E43" s="130"/>
      <c r="F43" s="130"/>
      <c r="G43" s="130" t="s">
        <v>48</v>
      </c>
      <c r="H43" s="130"/>
      <c r="I43" s="130"/>
      <c r="J43" s="130"/>
      <c r="K43" s="130"/>
      <c r="L43" s="130" t="s">
        <v>49</v>
      </c>
      <c r="M43" s="130"/>
      <c r="N43" s="130"/>
      <c r="O43" s="130"/>
      <c r="P43" s="130"/>
      <c r="Q43" s="130" t="s">
        <v>50</v>
      </c>
      <c r="R43" s="130"/>
      <c r="S43" s="130"/>
      <c r="T43" s="130"/>
      <c r="U43" s="130"/>
    </row>
    <row r="44" spans="1:21" ht="15.6" x14ac:dyDescent="0.3">
      <c r="A44" s="129"/>
      <c r="B44" s="49" t="s">
        <v>51</v>
      </c>
      <c r="C44" s="49" t="s">
        <v>12</v>
      </c>
      <c r="D44" s="49" t="s">
        <v>11</v>
      </c>
      <c r="E44" s="49" t="s">
        <v>13</v>
      </c>
      <c r="F44" s="49" t="s">
        <v>14</v>
      </c>
      <c r="G44" s="49" t="s">
        <v>51</v>
      </c>
      <c r="H44" s="50" t="s">
        <v>12</v>
      </c>
      <c r="I44" s="49" t="s">
        <v>11</v>
      </c>
      <c r="J44" s="49" t="s">
        <v>13</v>
      </c>
      <c r="K44" s="49" t="s">
        <v>14</v>
      </c>
      <c r="L44" s="49" t="s">
        <v>51</v>
      </c>
      <c r="M44" s="49" t="s">
        <v>12</v>
      </c>
      <c r="N44" s="49" t="s">
        <v>11</v>
      </c>
      <c r="O44" s="49" t="s">
        <v>13</v>
      </c>
      <c r="P44" s="49" t="s">
        <v>14</v>
      </c>
      <c r="Q44" s="49" t="s">
        <v>51</v>
      </c>
      <c r="R44" s="49" t="s">
        <v>12</v>
      </c>
      <c r="S44" s="49" t="s">
        <v>11</v>
      </c>
      <c r="T44" s="49" t="s">
        <v>13</v>
      </c>
      <c r="U44" s="51" t="s">
        <v>14</v>
      </c>
    </row>
    <row r="45" spans="1:21" ht="46.8" x14ac:dyDescent="0.3">
      <c r="A45" s="52" t="s">
        <v>83</v>
      </c>
      <c r="B45" s="49" t="s">
        <v>53</v>
      </c>
      <c r="C45" s="49" t="s">
        <v>54</v>
      </c>
      <c r="D45" s="49">
        <v>3</v>
      </c>
      <c r="E45" s="49">
        <v>1200</v>
      </c>
      <c r="F45" s="53">
        <f>(D45*E45)</f>
        <v>3600</v>
      </c>
      <c r="G45" s="49" t="s">
        <v>42</v>
      </c>
      <c r="H45" s="50" t="s">
        <v>40</v>
      </c>
      <c r="I45" s="49">
        <v>5.21</v>
      </c>
      <c r="J45" s="49">
        <v>14231</v>
      </c>
      <c r="K45" s="49">
        <f>(I45*J45)</f>
        <v>74143.509999999995</v>
      </c>
      <c r="L45" s="49" t="s">
        <v>74</v>
      </c>
      <c r="M45" s="49" t="s">
        <v>56</v>
      </c>
      <c r="N45" s="49">
        <v>6</v>
      </c>
      <c r="O45" s="49">
        <v>293</v>
      </c>
      <c r="P45" s="53">
        <f>(N45*O45)</f>
        <v>1758</v>
      </c>
      <c r="Q45" s="49" t="s">
        <v>84</v>
      </c>
      <c r="R45" s="49"/>
      <c r="S45" s="45"/>
      <c r="T45" s="45"/>
      <c r="U45" s="54">
        <f>F51*4/100</f>
        <v>7005.7536799999998</v>
      </c>
    </row>
    <row r="46" spans="1:21" ht="31.2" x14ac:dyDescent="0.3">
      <c r="A46" s="45"/>
      <c r="B46" s="49" t="s">
        <v>57</v>
      </c>
      <c r="C46" s="49" t="s">
        <v>54</v>
      </c>
      <c r="D46" s="49">
        <v>30</v>
      </c>
      <c r="E46" s="49">
        <v>900</v>
      </c>
      <c r="F46" s="53">
        <f>(D46*E46)</f>
        <v>27000</v>
      </c>
      <c r="G46" s="49" t="s">
        <v>76</v>
      </c>
      <c r="H46" s="50" t="s">
        <v>34</v>
      </c>
      <c r="I46" s="49">
        <v>6.75</v>
      </c>
      <c r="J46" s="49">
        <v>2504.88</v>
      </c>
      <c r="K46" s="49">
        <f>(I46*J46)</f>
        <v>16907.940000000002</v>
      </c>
      <c r="L46" s="49" t="s">
        <v>77</v>
      </c>
      <c r="M46" s="49" t="s">
        <v>56</v>
      </c>
      <c r="N46" s="49">
        <v>6</v>
      </c>
      <c r="O46" s="49">
        <v>841</v>
      </c>
      <c r="P46" s="53">
        <f>(N46*O46)</f>
        <v>5046</v>
      </c>
      <c r="Q46" s="45"/>
      <c r="R46" s="45"/>
      <c r="S46" s="45"/>
      <c r="T46" s="45"/>
      <c r="U46" s="44"/>
    </row>
    <row r="47" spans="1:21" ht="31.2" x14ac:dyDescent="0.3">
      <c r="A47" s="45"/>
      <c r="B47" s="45"/>
      <c r="C47" s="45"/>
      <c r="D47" s="45"/>
      <c r="E47" s="45"/>
      <c r="F47" s="45"/>
      <c r="G47" s="49" t="s">
        <v>79</v>
      </c>
      <c r="H47" s="50" t="s">
        <v>34</v>
      </c>
      <c r="I47" s="49">
        <v>8.1</v>
      </c>
      <c r="J47" s="49">
        <v>3598.56</v>
      </c>
      <c r="K47" s="49">
        <f>(I47*J47)</f>
        <v>29148.335999999999</v>
      </c>
      <c r="L47" s="45"/>
      <c r="M47" s="45"/>
      <c r="N47" s="45"/>
      <c r="O47" s="45"/>
      <c r="P47" s="45"/>
      <c r="Q47" s="45"/>
      <c r="R47" s="45"/>
      <c r="S47" s="45"/>
      <c r="T47" s="45"/>
      <c r="U47" s="44"/>
    </row>
    <row r="48" spans="1:21" ht="31.2" x14ac:dyDescent="0.3">
      <c r="A48" s="45"/>
      <c r="B48" s="45"/>
      <c r="C48" s="45"/>
      <c r="D48" s="45"/>
      <c r="E48" s="45"/>
      <c r="F48" s="45"/>
      <c r="G48" s="49" t="s">
        <v>80</v>
      </c>
      <c r="H48" s="50" t="s">
        <v>34</v>
      </c>
      <c r="I48" s="49">
        <v>5.4</v>
      </c>
      <c r="J48" s="49">
        <v>3104.6400000000003</v>
      </c>
      <c r="K48" s="49">
        <f>(I48*J48)</f>
        <v>16765.056000000004</v>
      </c>
      <c r="L48" s="45"/>
      <c r="M48" s="45"/>
      <c r="N48" s="45"/>
      <c r="O48" s="45"/>
      <c r="P48" s="45"/>
      <c r="Q48" s="45"/>
      <c r="R48" s="45"/>
      <c r="S48" s="45"/>
      <c r="T48" s="45"/>
      <c r="U48" s="44"/>
    </row>
    <row r="49" spans="1:21" ht="15.6" x14ac:dyDescent="0.3">
      <c r="A49" s="45"/>
      <c r="B49" s="45"/>
      <c r="C49" s="45"/>
      <c r="D49" s="45"/>
      <c r="E49" s="45"/>
      <c r="F49" s="45"/>
      <c r="G49" s="49" t="s">
        <v>81</v>
      </c>
      <c r="H49" s="50" t="s">
        <v>82</v>
      </c>
      <c r="I49" s="49">
        <v>2.5</v>
      </c>
      <c r="J49" s="49">
        <v>310</v>
      </c>
      <c r="K49" s="49">
        <f>(I49*J49)</f>
        <v>775</v>
      </c>
      <c r="L49" s="45"/>
      <c r="M49" s="45"/>
      <c r="N49" s="45"/>
      <c r="O49" s="45"/>
      <c r="P49" s="45"/>
      <c r="Q49" s="45"/>
      <c r="R49" s="45"/>
      <c r="S49" s="45"/>
      <c r="T49" s="45"/>
      <c r="U49" s="44"/>
    </row>
    <row r="50" spans="1:21" ht="15.6" x14ac:dyDescent="0.3">
      <c r="A50" s="126" t="s">
        <v>58</v>
      </c>
      <c r="B50" s="126"/>
      <c r="C50" s="126"/>
      <c r="D50" s="126"/>
      <c r="E50" s="126"/>
      <c r="F50" s="53">
        <f>SUM(F44:F49)</f>
        <v>30600</v>
      </c>
      <c r="G50" s="126" t="s">
        <v>59</v>
      </c>
      <c r="H50" s="126"/>
      <c r="I50" s="126"/>
      <c r="J50" s="126"/>
      <c r="K50" s="53">
        <f>SUM(K44:K49)</f>
        <v>137739.842</v>
      </c>
      <c r="L50" s="126" t="s">
        <v>60</v>
      </c>
      <c r="M50" s="126"/>
      <c r="N50" s="126"/>
      <c r="O50" s="126"/>
      <c r="P50" s="53">
        <f>SUM(P44:P49)</f>
        <v>6804</v>
      </c>
      <c r="Q50" s="126" t="s">
        <v>61</v>
      </c>
      <c r="R50" s="126"/>
      <c r="S50" s="126"/>
      <c r="T50" s="126"/>
      <c r="U50" s="54">
        <f>SUM(U44:U49)</f>
        <v>7005.7536799999998</v>
      </c>
    </row>
    <row r="51" spans="1:21" ht="15.6" x14ac:dyDescent="0.3">
      <c r="A51" s="126" t="s">
        <v>62</v>
      </c>
      <c r="B51" s="126"/>
      <c r="C51" s="126"/>
      <c r="D51" s="126"/>
      <c r="E51" s="126"/>
      <c r="F51" s="53">
        <f>SUM(F50+K50+P50)</f>
        <v>175143.842</v>
      </c>
      <c r="G51" s="126" t="s">
        <v>63</v>
      </c>
      <c r="H51" s="126"/>
      <c r="I51" s="126"/>
      <c r="J51" s="126"/>
      <c r="K51" s="53">
        <f>SUM(F50+K50+P50+U50)</f>
        <v>182149.59568</v>
      </c>
      <c r="L51" s="126" t="s">
        <v>64</v>
      </c>
      <c r="M51" s="126"/>
      <c r="N51" s="126"/>
      <c r="O51" s="126"/>
      <c r="P51" s="53">
        <f>SUM(K51*0.15)</f>
        <v>27322.439351999998</v>
      </c>
      <c r="Q51" s="126" t="s">
        <v>65</v>
      </c>
      <c r="R51" s="126"/>
      <c r="S51" s="126"/>
      <c r="T51" s="126"/>
      <c r="U51" s="54">
        <f>SUM(K51+P51)</f>
        <v>209472.03503199999</v>
      </c>
    </row>
    <row r="52" spans="1:21" ht="15.6" x14ac:dyDescent="0.3">
      <c r="A52" s="45"/>
      <c r="B52" s="45"/>
      <c r="C52" s="45"/>
      <c r="D52" s="45"/>
      <c r="E52" s="45"/>
      <c r="F52" s="45"/>
      <c r="G52" s="45"/>
      <c r="H52" s="46"/>
      <c r="I52" s="45"/>
      <c r="J52" s="45"/>
      <c r="K52" s="45"/>
      <c r="L52" s="45"/>
      <c r="M52" s="45"/>
      <c r="N52" s="45"/>
      <c r="O52" s="45"/>
      <c r="P52" s="45"/>
      <c r="Q52" s="126" t="s">
        <v>66</v>
      </c>
      <c r="R52" s="126"/>
      <c r="S52" s="126"/>
      <c r="T52" s="126"/>
      <c r="U52" s="55">
        <f>ROUND((U51/15),2)</f>
        <v>13964.8</v>
      </c>
    </row>
    <row r="54" spans="1:21" x14ac:dyDescent="0.3">
      <c r="A54" s="131" t="s">
        <v>43</v>
      </c>
      <c r="B54" s="131"/>
      <c r="C54" s="132" t="s">
        <v>39</v>
      </c>
      <c r="D54" s="132"/>
      <c r="E54" s="132"/>
      <c r="F54" s="132"/>
      <c r="G54" s="132"/>
      <c r="H54" s="132"/>
      <c r="I54" s="132"/>
      <c r="J54" s="132"/>
      <c r="K54" s="132"/>
      <c r="L54" s="132"/>
      <c r="M54" s="132"/>
      <c r="N54" s="132"/>
      <c r="O54" s="132"/>
      <c r="P54" s="132"/>
      <c r="Q54" s="132"/>
      <c r="R54" s="132"/>
      <c r="S54" s="132"/>
      <c r="T54" s="132"/>
      <c r="U54" s="127" t="s">
        <v>85</v>
      </c>
    </row>
    <row r="55" spans="1:21" x14ac:dyDescent="0.3">
      <c r="A55" s="131"/>
      <c r="B55" s="131"/>
      <c r="C55" s="132"/>
      <c r="D55" s="132"/>
      <c r="E55" s="132"/>
      <c r="F55" s="132"/>
      <c r="G55" s="132"/>
      <c r="H55" s="132"/>
      <c r="I55" s="132"/>
      <c r="J55" s="132"/>
      <c r="K55" s="132"/>
      <c r="L55" s="132"/>
      <c r="M55" s="132"/>
      <c r="N55" s="132"/>
      <c r="O55" s="132"/>
      <c r="P55" s="132"/>
      <c r="Q55" s="132"/>
      <c r="R55" s="132"/>
      <c r="S55" s="132"/>
      <c r="T55" s="132"/>
      <c r="U55" s="127"/>
    </row>
    <row r="56" spans="1:21" ht="15.6" x14ac:dyDescent="0.3">
      <c r="A56" s="128" t="s">
        <v>86</v>
      </c>
      <c r="B56" s="128"/>
      <c r="C56" s="132"/>
      <c r="D56" s="132"/>
      <c r="E56" s="132"/>
      <c r="F56" s="132"/>
      <c r="G56" s="132"/>
      <c r="H56" s="132"/>
      <c r="I56" s="132"/>
      <c r="J56" s="132"/>
      <c r="K56" s="132"/>
      <c r="L56" s="132"/>
      <c r="M56" s="132"/>
      <c r="N56" s="132"/>
      <c r="O56" s="132"/>
      <c r="P56" s="132"/>
      <c r="Q56" s="132"/>
      <c r="R56" s="132"/>
      <c r="S56" s="132"/>
      <c r="T56" s="132"/>
      <c r="U56" s="127"/>
    </row>
    <row r="57" spans="1:21" ht="15.6" x14ac:dyDescent="0.3">
      <c r="A57" s="129" t="s">
        <v>46</v>
      </c>
      <c r="B57" s="130" t="s">
        <v>47</v>
      </c>
      <c r="C57" s="130"/>
      <c r="D57" s="130"/>
      <c r="E57" s="130"/>
      <c r="F57" s="130"/>
      <c r="G57" s="130" t="s">
        <v>48</v>
      </c>
      <c r="H57" s="130"/>
      <c r="I57" s="130"/>
      <c r="J57" s="130"/>
      <c r="K57" s="130"/>
      <c r="L57" s="130" t="s">
        <v>49</v>
      </c>
      <c r="M57" s="130"/>
      <c r="N57" s="130"/>
      <c r="O57" s="130"/>
      <c r="P57" s="130"/>
      <c r="Q57" s="130" t="s">
        <v>50</v>
      </c>
      <c r="R57" s="130"/>
      <c r="S57" s="130"/>
      <c r="T57" s="130"/>
      <c r="U57" s="130"/>
    </row>
    <row r="58" spans="1:21" ht="15.6" x14ac:dyDescent="0.3">
      <c r="A58" s="129"/>
      <c r="B58" s="49" t="s">
        <v>51</v>
      </c>
      <c r="C58" s="49" t="s">
        <v>12</v>
      </c>
      <c r="D58" s="49" t="s">
        <v>11</v>
      </c>
      <c r="E58" s="49" t="s">
        <v>13</v>
      </c>
      <c r="F58" s="49" t="s">
        <v>14</v>
      </c>
      <c r="G58" s="49" t="s">
        <v>51</v>
      </c>
      <c r="H58" s="50" t="s">
        <v>12</v>
      </c>
      <c r="I58" s="49" t="s">
        <v>11</v>
      </c>
      <c r="J58" s="49" t="s">
        <v>13</v>
      </c>
      <c r="K58" s="49" t="s">
        <v>14</v>
      </c>
      <c r="L58" s="49" t="s">
        <v>51</v>
      </c>
      <c r="M58" s="49" t="s">
        <v>12</v>
      </c>
      <c r="N58" s="49" t="s">
        <v>11</v>
      </c>
      <c r="O58" s="49" t="s">
        <v>13</v>
      </c>
      <c r="P58" s="49" t="s">
        <v>14</v>
      </c>
      <c r="Q58" s="49" t="s">
        <v>51</v>
      </c>
      <c r="R58" s="49" t="s">
        <v>12</v>
      </c>
      <c r="S58" s="49" t="s">
        <v>11</v>
      </c>
      <c r="T58" s="49" t="s">
        <v>13</v>
      </c>
      <c r="U58" s="51" t="s">
        <v>14</v>
      </c>
    </row>
    <row r="59" spans="1:21" ht="46.8" x14ac:dyDescent="0.3">
      <c r="A59" s="52" t="s">
        <v>87</v>
      </c>
      <c r="B59" s="49" t="s">
        <v>88</v>
      </c>
      <c r="C59" s="49" t="s">
        <v>54</v>
      </c>
      <c r="D59" s="49">
        <v>4</v>
      </c>
      <c r="E59" s="49">
        <v>1200</v>
      </c>
      <c r="F59" s="53">
        <f>(D59*E59)</f>
        <v>4800</v>
      </c>
      <c r="G59" s="49" t="s">
        <v>89</v>
      </c>
      <c r="H59" s="50" t="s">
        <v>40</v>
      </c>
      <c r="I59" s="49">
        <v>1.1000000000000001</v>
      </c>
      <c r="J59" s="49">
        <v>99000</v>
      </c>
      <c r="K59" s="49">
        <f>(I59*J59)</f>
        <v>108900.00000000001</v>
      </c>
      <c r="L59" s="45"/>
      <c r="M59" s="45"/>
      <c r="N59" s="45"/>
      <c r="O59" s="45"/>
      <c r="P59" s="45"/>
      <c r="Q59" s="45"/>
      <c r="R59" s="45"/>
      <c r="S59" s="45"/>
      <c r="T59" s="45"/>
      <c r="U59" s="44"/>
    </row>
    <row r="60" spans="1:21" ht="31.2" x14ac:dyDescent="0.3">
      <c r="A60" s="45"/>
      <c r="B60" s="49" t="s">
        <v>57</v>
      </c>
      <c r="C60" s="49" t="s">
        <v>54</v>
      </c>
      <c r="D60" s="49">
        <v>9</v>
      </c>
      <c r="E60" s="49">
        <v>900</v>
      </c>
      <c r="F60" s="53">
        <f>(D60*E60)</f>
        <v>8100</v>
      </c>
      <c r="G60" s="49" t="s">
        <v>90</v>
      </c>
      <c r="H60" s="50" t="s">
        <v>91</v>
      </c>
      <c r="I60" s="49">
        <v>8</v>
      </c>
      <c r="J60" s="49">
        <v>106</v>
      </c>
      <c r="K60" s="49">
        <f>(I60*J60)</f>
        <v>848</v>
      </c>
      <c r="L60" s="45"/>
      <c r="M60" s="45"/>
      <c r="N60" s="45"/>
      <c r="O60" s="45"/>
      <c r="P60" s="45"/>
      <c r="Q60" s="45"/>
      <c r="R60" s="45"/>
      <c r="S60" s="45"/>
      <c r="T60" s="45"/>
      <c r="U60" s="44"/>
    </row>
    <row r="61" spans="1:21" ht="15.6" x14ac:dyDescent="0.3">
      <c r="A61" s="126" t="s">
        <v>58</v>
      </c>
      <c r="B61" s="126"/>
      <c r="C61" s="126"/>
      <c r="D61" s="126"/>
      <c r="E61" s="126"/>
      <c r="F61" s="53">
        <f>SUM(F58:F60)</f>
        <v>12900</v>
      </c>
      <c r="G61" s="126" t="s">
        <v>59</v>
      </c>
      <c r="H61" s="126"/>
      <c r="I61" s="126"/>
      <c r="J61" s="126"/>
      <c r="K61" s="53">
        <f>SUM(K58:K60)</f>
        <v>109748.00000000001</v>
      </c>
      <c r="L61" s="126" t="s">
        <v>60</v>
      </c>
      <c r="M61" s="126"/>
      <c r="N61" s="126"/>
      <c r="O61" s="126"/>
      <c r="P61" s="53">
        <f>SUM(P58:P60)</f>
        <v>0</v>
      </c>
      <c r="Q61" s="126" t="s">
        <v>61</v>
      </c>
      <c r="R61" s="126"/>
      <c r="S61" s="126"/>
      <c r="T61" s="126"/>
      <c r="U61" s="54">
        <f>SUM(U58:U60)</f>
        <v>0</v>
      </c>
    </row>
    <row r="62" spans="1:21" ht="15.6" x14ac:dyDescent="0.3">
      <c r="A62" s="126" t="s">
        <v>62</v>
      </c>
      <c r="B62" s="126"/>
      <c r="C62" s="126"/>
      <c r="D62" s="126"/>
      <c r="E62" s="126"/>
      <c r="F62" s="53">
        <f>SUM(F61+K61+P61)</f>
        <v>122648.00000000001</v>
      </c>
      <c r="G62" s="126" t="s">
        <v>63</v>
      </c>
      <c r="H62" s="126"/>
      <c r="I62" s="126"/>
      <c r="J62" s="126"/>
      <c r="K62" s="53">
        <f>SUM(F61+K61+P61+U61)</f>
        <v>122648.00000000001</v>
      </c>
      <c r="L62" s="126" t="s">
        <v>64</v>
      </c>
      <c r="M62" s="126"/>
      <c r="N62" s="126"/>
      <c r="O62" s="126"/>
      <c r="P62" s="53">
        <f>SUM(K62*0.15)</f>
        <v>18397.2</v>
      </c>
      <c r="Q62" s="126" t="s">
        <v>65</v>
      </c>
      <c r="R62" s="126"/>
      <c r="S62" s="126"/>
      <c r="T62" s="126"/>
      <c r="U62" s="54">
        <f>SUM(K62+P62)</f>
        <v>141045.20000000001</v>
      </c>
    </row>
    <row r="63" spans="1:21" ht="15.6" x14ac:dyDescent="0.3">
      <c r="A63" s="45"/>
      <c r="B63" s="45"/>
      <c r="C63" s="45"/>
      <c r="D63" s="45"/>
      <c r="E63" s="45"/>
      <c r="F63" s="45"/>
      <c r="G63" s="45"/>
      <c r="H63" s="46"/>
      <c r="I63" s="45"/>
      <c r="J63" s="45"/>
      <c r="K63" s="45"/>
      <c r="L63" s="45"/>
      <c r="M63" s="45"/>
      <c r="N63" s="45"/>
      <c r="O63" s="45"/>
      <c r="P63" s="45"/>
      <c r="Q63" s="126" t="s">
        <v>66</v>
      </c>
      <c r="R63" s="126"/>
      <c r="S63" s="126"/>
      <c r="T63" s="126"/>
      <c r="U63" s="55">
        <f>ROUND((U62/1),2)</f>
        <v>141045.20000000001</v>
      </c>
    </row>
  </sheetData>
  <mergeCells count="92">
    <mergeCell ref="A1:B2"/>
    <mergeCell ref="C1:T3"/>
    <mergeCell ref="U1:U3"/>
    <mergeCell ref="A3:B3"/>
    <mergeCell ref="A4:A5"/>
    <mergeCell ref="B4:F4"/>
    <mergeCell ref="G4:K4"/>
    <mergeCell ref="L4:P4"/>
    <mergeCell ref="Q4:U4"/>
    <mergeCell ref="A8:E8"/>
    <mergeCell ref="G8:J8"/>
    <mergeCell ref="L8:O8"/>
    <mergeCell ref="Q8:T8"/>
    <mergeCell ref="A9:E9"/>
    <mergeCell ref="G9:J9"/>
    <mergeCell ref="L9:O9"/>
    <mergeCell ref="Q9:T9"/>
    <mergeCell ref="A19:E19"/>
    <mergeCell ref="G19:J19"/>
    <mergeCell ref="L19:O19"/>
    <mergeCell ref="Q19:T19"/>
    <mergeCell ref="Q10:T10"/>
    <mergeCell ref="A11:U11"/>
    <mergeCell ref="A12:B13"/>
    <mergeCell ref="C12:T14"/>
    <mergeCell ref="U12:U14"/>
    <mergeCell ref="A14:B14"/>
    <mergeCell ref="A15:A16"/>
    <mergeCell ref="B15:F15"/>
    <mergeCell ref="G15:K15"/>
    <mergeCell ref="L15:P15"/>
    <mergeCell ref="Q15:U15"/>
    <mergeCell ref="A20:E20"/>
    <mergeCell ref="G20:J20"/>
    <mergeCell ref="L20:O20"/>
    <mergeCell ref="Q20:T20"/>
    <mergeCell ref="Q21:T21"/>
    <mergeCell ref="U24:U26"/>
    <mergeCell ref="A26:B26"/>
    <mergeCell ref="A27:A28"/>
    <mergeCell ref="B27:F27"/>
    <mergeCell ref="G27:K27"/>
    <mergeCell ref="L27:P27"/>
    <mergeCell ref="Q27:U27"/>
    <mergeCell ref="A24:B25"/>
    <mergeCell ref="C24:T26"/>
    <mergeCell ref="A35:E35"/>
    <mergeCell ref="G35:J35"/>
    <mergeCell ref="L35:O35"/>
    <mergeCell ref="Q35:T35"/>
    <mergeCell ref="A36:E36"/>
    <mergeCell ref="G36:J36"/>
    <mergeCell ref="L36:O36"/>
    <mergeCell ref="Q36:T36"/>
    <mergeCell ref="A50:E50"/>
    <mergeCell ref="G50:J50"/>
    <mergeCell ref="L50:O50"/>
    <mergeCell ref="Q50:T50"/>
    <mergeCell ref="Q37:T37"/>
    <mergeCell ref="A38:U38"/>
    <mergeCell ref="A40:B41"/>
    <mergeCell ref="C40:T42"/>
    <mergeCell ref="U40:U42"/>
    <mergeCell ref="A42:B42"/>
    <mergeCell ref="A43:A44"/>
    <mergeCell ref="B43:F43"/>
    <mergeCell ref="G43:K43"/>
    <mergeCell ref="L43:P43"/>
    <mergeCell ref="Q43:U43"/>
    <mergeCell ref="A51:E51"/>
    <mergeCell ref="G51:J51"/>
    <mergeCell ref="L51:O51"/>
    <mergeCell ref="Q51:T51"/>
    <mergeCell ref="Q52:T52"/>
    <mergeCell ref="U54:U56"/>
    <mergeCell ref="A56:B56"/>
    <mergeCell ref="A57:A58"/>
    <mergeCell ref="B57:F57"/>
    <mergeCell ref="G57:K57"/>
    <mergeCell ref="L57:P57"/>
    <mergeCell ref="Q57:U57"/>
    <mergeCell ref="A54:B55"/>
    <mergeCell ref="C54:T56"/>
    <mergeCell ref="Q63:T63"/>
    <mergeCell ref="A61:E61"/>
    <mergeCell ref="G61:J61"/>
    <mergeCell ref="L61:O61"/>
    <mergeCell ref="Q61:T61"/>
    <mergeCell ref="A62:E62"/>
    <mergeCell ref="G62:J62"/>
    <mergeCell ref="L62:O62"/>
    <mergeCell ref="Q62:T62"/>
  </mergeCells>
  <conditionalFormatting sqref="A54:U63">
    <cfRule type="containsBlanks" dxfId="4" priority="1">
      <formula>LEN(TRIM(A54))=0</formula>
    </cfRule>
  </conditionalFormatting>
  <conditionalFormatting sqref="A1:U10">
    <cfRule type="containsBlanks" dxfId="3" priority="5">
      <formula>LEN(TRIM(A1))=0</formula>
    </cfRule>
  </conditionalFormatting>
  <conditionalFormatting sqref="A12:U22">
    <cfRule type="containsBlanks" dxfId="2" priority="4">
      <formula>LEN(TRIM(A12))=0</formula>
    </cfRule>
  </conditionalFormatting>
  <conditionalFormatting sqref="A24:U37">
    <cfRule type="containsBlanks" dxfId="1" priority="3">
      <formula>LEN(TRIM(A24))=0</formula>
    </cfRule>
  </conditionalFormatting>
  <conditionalFormatting sqref="A40:U52">
    <cfRule type="containsBlanks" dxfId="0" priority="2">
      <formula>LEN(TRIM(A40))=0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new</vt:lpstr>
      <vt:lpstr>WCR</vt:lpstr>
      <vt:lpstr>Sheet1</vt:lpstr>
      <vt:lpstr>new!Print_Area</vt:lpstr>
      <vt:lpstr>WCR!Print_Area</vt:lpstr>
      <vt:lpstr>new!Print_Titles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2024-06-30T09:07:17Z</cp:lastPrinted>
  <dcterms:created xsi:type="dcterms:W3CDTF">2015-06-05T18:17:20Z</dcterms:created>
  <dcterms:modified xsi:type="dcterms:W3CDTF">2024-09-28T16:02:40Z</dcterms:modified>
</cp:coreProperties>
</file>