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firstSheet="2" activeTab="3"/>
  </bookViews>
  <sheets>
    <sheet name="re-estimate" sheetId="18" state="hidden" r:id="rId1"/>
    <sheet name="grill item changed" sheetId="19" state="hidden" r:id="rId2"/>
    <sheet name="callapsible gate added" sheetId="20" r:id="rId3"/>
    <sheet name="WCR" sheetId="6" r:id="rId4"/>
    <sheet name="V" sheetId="22" r:id="rId5"/>
    <sheet name="Sheet2" sheetId="23" r:id="rId6"/>
    <sheet name="after valuated created for rees" sheetId="24" r:id="rId7"/>
    <sheet name="Sheet1" sheetId="21" state="hidden" r:id="rId8"/>
  </sheets>
  <externalReferences>
    <externalReference r:id="rId9"/>
    <externalReference r:id="rId10"/>
    <externalReference r:id="rId11"/>
    <externalReference r:id="rId12"/>
    <externalReference r:id="rId13"/>
  </externalReferences>
  <definedNames>
    <definedName name="description_103">[1]Abstract!$B$16</definedName>
    <definedName name="description_124" localSheetId="6">#REF!</definedName>
    <definedName name="description_124" localSheetId="2">#REF!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6">'after valuated created for rees'!$A$1:$K$202</definedName>
    <definedName name="_xlnm.Print_Area" localSheetId="2">'callapsible gate added'!$A$1:$K$143</definedName>
    <definedName name="_xlnm.Print_Area" localSheetId="1">'grill item changed'!$A$1:$K$113</definedName>
    <definedName name="_xlnm.Print_Area" localSheetId="0">'re-estimate'!$A$1:$K$113</definedName>
    <definedName name="_xlnm.Print_Area" localSheetId="4">V!$A$1:$K$257</definedName>
    <definedName name="_xlnm.Print_Titles" localSheetId="6">'after valuated created for rees'!$1:$8</definedName>
    <definedName name="_xlnm.Print_Titles" localSheetId="2">'callapsible gate added'!$1:$8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67" i="22" l="1"/>
  <c r="G68" i="22" s="1"/>
  <c r="D67" i="22"/>
  <c r="F31" i="20" l="1"/>
  <c r="D123" i="20"/>
  <c r="G123" i="20"/>
  <c r="G124" i="20" s="1"/>
  <c r="D59" i="6" s="1"/>
  <c r="D117" i="20"/>
  <c r="F229" i="22"/>
  <c r="F95" i="20"/>
  <c r="F32" i="20"/>
  <c r="I63" i="6"/>
  <c r="H62" i="6"/>
  <c r="G62" i="6"/>
  <c r="E62" i="6"/>
  <c r="C62" i="6"/>
  <c r="B63" i="6"/>
  <c r="B62" i="6"/>
  <c r="A62" i="6"/>
  <c r="I60" i="6"/>
  <c r="H59" i="6"/>
  <c r="G59" i="6"/>
  <c r="E59" i="6"/>
  <c r="C59" i="6"/>
  <c r="B60" i="6"/>
  <c r="B59" i="6"/>
  <c r="A59" i="6"/>
  <c r="G242" i="22"/>
  <c r="G243" i="22" s="1"/>
  <c r="J243" i="22" s="1"/>
  <c r="J244" i="22" s="1"/>
  <c r="D237" i="22"/>
  <c r="G237" i="22" s="1"/>
  <c r="G238" i="22" s="1"/>
  <c r="G96" i="20"/>
  <c r="G128" i="20"/>
  <c r="G129" i="20" s="1"/>
  <c r="J129" i="20" s="1"/>
  <c r="J130" i="20" s="1"/>
  <c r="F63" i="6" s="1"/>
  <c r="M63" i="6" s="1"/>
  <c r="D62" i="6" l="1"/>
  <c r="F62" i="6" s="1"/>
  <c r="M62" i="6" s="1"/>
  <c r="I62" i="6"/>
  <c r="J63" i="6"/>
  <c r="I59" i="6"/>
  <c r="F59" i="6"/>
  <c r="M59" i="6" s="1"/>
  <c r="J239" i="22"/>
  <c r="J238" i="22"/>
  <c r="J124" i="20"/>
  <c r="J125" i="20"/>
  <c r="F60" i="6" s="1"/>
  <c r="M60" i="6" s="1"/>
  <c r="J62" i="6" l="1"/>
  <c r="J60" i="6"/>
  <c r="J59" i="6"/>
  <c r="F61" i="22" l="1"/>
  <c r="F62" i="22"/>
  <c r="F63" i="22"/>
  <c r="F64" i="22"/>
  <c r="F65" i="22"/>
  <c r="F66" i="22"/>
  <c r="F60" i="22"/>
  <c r="F59" i="20"/>
  <c r="F60" i="20"/>
  <c r="F61" i="20"/>
  <c r="F62" i="20"/>
  <c r="F63" i="20"/>
  <c r="F64" i="20"/>
  <c r="F58" i="20"/>
  <c r="D166" i="22" l="1"/>
  <c r="G119" i="20" l="1"/>
  <c r="G113" i="20"/>
  <c r="G86" i="20"/>
  <c r="G52" i="20"/>
  <c r="G45" i="20"/>
  <c r="G39" i="20"/>
  <c r="G27" i="20"/>
  <c r="G22" i="20"/>
  <c r="G17" i="20"/>
  <c r="G13" i="20"/>
  <c r="D43" i="20"/>
  <c r="D90" i="20"/>
  <c r="N217" i="22"/>
  <c r="D217" i="22" s="1"/>
  <c r="G217" i="22" s="1"/>
  <c r="F217" i="22"/>
  <c r="N216" i="22"/>
  <c r="D216" i="22" s="1"/>
  <c r="G216" i="22" s="1"/>
  <c r="F216" i="22"/>
  <c r="F215" i="22"/>
  <c r="D215" i="22"/>
  <c r="G215" i="22" s="1"/>
  <c r="O214" i="22"/>
  <c r="F214" i="22" s="1"/>
  <c r="D214" i="22"/>
  <c r="N213" i="22"/>
  <c r="F213" i="22"/>
  <c r="D213" i="22"/>
  <c r="G213" i="22" s="1"/>
  <c r="O212" i="22"/>
  <c r="F212" i="22" s="1"/>
  <c r="D212" i="22"/>
  <c r="N211" i="22"/>
  <c r="D211" i="22" s="1"/>
  <c r="F211" i="22"/>
  <c r="O210" i="22"/>
  <c r="F210" i="22" s="1"/>
  <c r="G210" i="22" s="1"/>
  <c r="D210" i="22"/>
  <c r="N209" i="22"/>
  <c r="D209" i="22" s="1"/>
  <c r="F209" i="22"/>
  <c r="F208" i="22"/>
  <c r="D208" i="22"/>
  <c r="N207" i="22"/>
  <c r="F207" i="22"/>
  <c r="D207" i="22"/>
  <c r="G207" i="22" s="1"/>
  <c r="F206" i="22"/>
  <c r="D206" i="22"/>
  <c r="G206" i="22" s="1"/>
  <c r="N205" i="22"/>
  <c r="D205" i="22" s="1"/>
  <c r="G205" i="22" s="1"/>
  <c r="F205" i="22"/>
  <c r="F204" i="22"/>
  <c r="D204" i="22"/>
  <c r="F203" i="22"/>
  <c r="D203" i="22"/>
  <c r="N202" i="22"/>
  <c r="D202" i="22" s="1"/>
  <c r="F202" i="22"/>
  <c r="N201" i="22"/>
  <c r="D201" i="22" s="1"/>
  <c r="G201" i="22" s="1"/>
  <c r="F201" i="22"/>
  <c r="F200" i="22"/>
  <c r="D200" i="22"/>
  <c r="F199" i="22"/>
  <c r="D199" i="22"/>
  <c r="G199" i="22" s="1"/>
  <c r="F197" i="22"/>
  <c r="D197" i="22"/>
  <c r="F196" i="22"/>
  <c r="D196" i="22"/>
  <c r="G196" i="22" s="1"/>
  <c r="D195" i="22"/>
  <c r="G195" i="22" s="1"/>
  <c r="F194" i="22"/>
  <c r="D194" i="22"/>
  <c r="G194" i="22" s="1"/>
  <c r="F193" i="22"/>
  <c r="D193" i="22"/>
  <c r="F192" i="22"/>
  <c r="D192" i="22"/>
  <c r="F191" i="22"/>
  <c r="D191" i="22"/>
  <c r="G191" i="22" s="1"/>
  <c r="F190" i="22"/>
  <c r="D190" i="22"/>
  <c r="F189" i="22"/>
  <c r="D189" i="22"/>
  <c r="F188" i="22"/>
  <c r="D188" i="22"/>
  <c r="F186" i="22"/>
  <c r="D186" i="22"/>
  <c r="G186" i="22" s="1"/>
  <c r="N185" i="22"/>
  <c r="F185" i="22"/>
  <c r="D185" i="22"/>
  <c r="O184" i="22"/>
  <c r="F184" i="22" s="1"/>
  <c r="D184" i="22"/>
  <c r="N183" i="22"/>
  <c r="F183" i="22"/>
  <c r="D183" i="22"/>
  <c r="G183" i="22" s="1"/>
  <c r="O182" i="22"/>
  <c r="F182" i="22" s="1"/>
  <c r="D182" i="22"/>
  <c r="N181" i="22"/>
  <c r="D181" i="22" s="1"/>
  <c r="F181" i="22"/>
  <c r="O180" i="22"/>
  <c r="F180" i="22" s="1"/>
  <c r="D180" i="22"/>
  <c r="N179" i="22"/>
  <c r="D179" i="22" s="1"/>
  <c r="F179" i="22"/>
  <c r="F178" i="22"/>
  <c r="D178" i="22"/>
  <c r="N177" i="22"/>
  <c r="D177" i="22" s="1"/>
  <c r="F177" i="22"/>
  <c r="O176" i="22"/>
  <c r="F176" i="22" s="1"/>
  <c r="D176" i="22"/>
  <c r="N175" i="22"/>
  <c r="D175" i="22" s="1"/>
  <c r="F175" i="22"/>
  <c r="F174" i="22"/>
  <c r="D174" i="22"/>
  <c r="G174" i="22" s="1"/>
  <c r="F173" i="22"/>
  <c r="D173" i="22"/>
  <c r="G173" i="22" s="1"/>
  <c r="H53" i="6"/>
  <c r="G223" i="22"/>
  <c r="G222" i="22"/>
  <c r="G224" i="22" s="1"/>
  <c r="G53" i="6" s="1"/>
  <c r="F54" i="6"/>
  <c r="M54" i="6" s="1"/>
  <c r="E53" i="6"/>
  <c r="D53" i="6"/>
  <c r="C53" i="6"/>
  <c r="B54" i="6"/>
  <c r="B53" i="6"/>
  <c r="A53" i="6"/>
  <c r="J114" i="20"/>
  <c r="G112" i="20"/>
  <c r="G111" i="20"/>
  <c r="C26" i="23"/>
  <c r="F26" i="23" s="1"/>
  <c r="G29" i="23" s="1"/>
  <c r="E49" i="20"/>
  <c r="D50" i="20"/>
  <c r="C50" i="20"/>
  <c r="C49" i="20"/>
  <c r="C25" i="23"/>
  <c r="F25" i="23"/>
  <c r="C38" i="6"/>
  <c r="B39" i="6"/>
  <c r="B38" i="6"/>
  <c r="A38" i="6"/>
  <c r="B36" i="6"/>
  <c r="E35" i="6"/>
  <c r="C35" i="6"/>
  <c r="G177" i="22" l="1"/>
  <c r="G181" i="22"/>
  <c r="G189" i="22"/>
  <c r="G192" i="22"/>
  <c r="G176" i="22"/>
  <c r="G184" i="22"/>
  <c r="G179" i="22"/>
  <c r="G214" i="22"/>
  <c r="G190" i="22"/>
  <c r="G211" i="22"/>
  <c r="G175" i="22"/>
  <c r="G208" i="22"/>
  <c r="G197" i="22"/>
  <c r="G209" i="22"/>
  <c r="G193" i="22"/>
  <c r="G202" i="22"/>
  <c r="G180" i="22"/>
  <c r="G188" i="22"/>
  <c r="G200" i="22"/>
  <c r="G203" i="22"/>
  <c r="G212" i="22"/>
  <c r="G178" i="22"/>
  <c r="G185" i="22"/>
  <c r="G204" i="22"/>
  <c r="G182" i="22"/>
  <c r="J225" i="22"/>
  <c r="I54" i="6" s="1"/>
  <c r="J54" i="6" s="1"/>
  <c r="J224" i="22"/>
  <c r="I53" i="6"/>
  <c r="F53" i="6"/>
  <c r="M53" i="6" s="1"/>
  <c r="J113" i="20"/>
  <c r="J53" i="6" l="1"/>
  <c r="D64" i="20" l="1"/>
  <c r="E63" i="20"/>
  <c r="D63" i="20"/>
  <c r="D62" i="20"/>
  <c r="E61" i="20"/>
  <c r="D61" i="20"/>
  <c r="D60" i="20"/>
  <c r="E59" i="20"/>
  <c r="D59" i="20"/>
  <c r="D58" i="20"/>
  <c r="G58" i="20" s="1"/>
  <c r="F57" i="20"/>
  <c r="G57" i="20" s="1"/>
  <c r="F56" i="20"/>
  <c r="D56" i="20"/>
  <c r="F59" i="22"/>
  <c r="F58" i="22"/>
  <c r="G78" i="20"/>
  <c r="G79" i="20"/>
  <c r="G80" i="20"/>
  <c r="G81" i="20"/>
  <c r="G82" i="20"/>
  <c r="G83" i="20"/>
  <c r="G84" i="20"/>
  <c r="G61" i="20" l="1"/>
  <c r="G62" i="20"/>
  <c r="G56" i="20"/>
  <c r="G64" i="20"/>
  <c r="G59" i="20"/>
  <c r="G60" i="20"/>
  <c r="G63" i="20"/>
  <c r="G85" i="20"/>
  <c r="G77" i="20"/>
  <c r="G76" i="20"/>
  <c r="G75" i="20"/>
  <c r="G74" i="20"/>
  <c r="G73" i="20"/>
  <c r="E72" i="20"/>
  <c r="D72" i="20"/>
  <c r="G72" i="20" s="1"/>
  <c r="E71" i="20"/>
  <c r="G71" i="20" s="1"/>
  <c r="E70" i="20"/>
  <c r="D70" i="20"/>
  <c r="M69" i="20"/>
  <c r="D69" i="20"/>
  <c r="G69" i="20" s="1"/>
  <c r="O68" i="20"/>
  <c r="F231" i="22"/>
  <c r="G231" i="22" s="1"/>
  <c r="G229" i="22"/>
  <c r="F232" i="22"/>
  <c r="G232" i="22" s="1"/>
  <c r="G65" i="20" l="1"/>
  <c r="G70" i="20"/>
  <c r="D38" i="6" s="1"/>
  <c r="C202" i="24"/>
  <c r="C201" i="24"/>
  <c r="G193" i="24"/>
  <c r="J193" i="24" s="1"/>
  <c r="G191" i="24"/>
  <c r="J191" i="24" s="1"/>
  <c r="G187" i="24"/>
  <c r="G188" i="24" s="1"/>
  <c r="J188" i="24" s="1"/>
  <c r="J189" i="24" s="1"/>
  <c r="F182" i="24"/>
  <c r="G182" i="24" s="1"/>
  <c r="G181" i="24"/>
  <c r="M180" i="24"/>
  <c r="D180" i="24"/>
  <c r="C180" i="24"/>
  <c r="B175" i="24"/>
  <c r="D170" i="24"/>
  <c r="G170" i="24" s="1"/>
  <c r="G171" i="24" s="1"/>
  <c r="J172" i="24" s="1"/>
  <c r="D165" i="24"/>
  <c r="G165" i="24" s="1"/>
  <c r="G166" i="24" s="1"/>
  <c r="M161" i="24"/>
  <c r="G160" i="24"/>
  <c r="G161" i="24" s="1"/>
  <c r="F160" i="24"/>
  <c r="G155" i="24"/>
  <c r="O154" i="24"/>
  <c r="F154" i="24" s="1"/>
  <c r="D154" i="24"/>
  <c r="N153" i="24"/>
  <c r="D153" i="24" s="1"/>
  <c r="F153" i="24"/>
  <c r="N152" i="24"/>
  <c r="D152" i="24" s="1"/>
  <c r="F152" i="24"/>
  <c r="F151" i="24"/>
  <c r="D151" i="24"/>
  <c r="N150" i="24"/>
  <c r="D150" i="24" s="1"/>
  <c r="F150" i="24"/>
  <c r="F149" i="24"/>
  <c r="D149" i="24"/>
  <c r="N148" i="24"/>
  <c r="D148" i="24" s="1"/>
  <c r="F148" i="24"/>
  <c r="F147" i="24"/>
  <c r="D147" i="24"/>
  <c r="N146" i="24"/>
  <c r="D146" i="24" s="1"/>
  <c r="F146" i="24"/>
  <c r="N144" i="24"/>
  <c r="D144" i="24" s="1"/>
  <c r="F144" i="24"/>
  <c r="N143" i="24"/>
  <c r="D143" i="24" s="1"/>
  <c r="F143" i="24"/>
  <c r="F142" i="24"/>
  <c r="D142" i="24"/>
  <c r="O141" i="24"/>
  <c r="F141" i="24" s="1"/>
  <c r="D141" i="24"/>
  <c r="N140" i="24"/>
  <c r="D140" i="24" s="1"/>
  <c r="F140" i="24"/>
  <c r="O139" i="24"/>
  <c r="F139" i="24" s="1"/>
  <c r="D139" i="24"/>
  <c r="N138" i="24"/>
  <c r="D138" i="24" s="1"/>
  <c r="F138" i="24"/>
  <c r="O137" i="24"/>
  <c r="F137" i="24" s="1"/>
  <c r="D137" i="24"/>
  <c r="N136" i="24"/>
  <c r="D136" i="24" s="1"/>
  <c r="F136" i="24"/>
  <c r="F135" i="24"/>
  <c r="D135" i="24"/>
  <c r="N134" i="24"/>
  <c r="D134" i="24" s="1"/>
  <c r="F134" i="24"/>
  <c r="F133" i="24"/>
  <c r="D133" i="24"/>
  <c r="N132" i="24"/>
  <c r="D132" i="24" s="1"/>
  <c r="F132" i="24"/>
  <c r="F131" i="24"/>
  <c r="D131" i="24"/>
  <c r="F130" i="24"/>
  <c r="D130" i="24"/>
  <c r="G130" i="24" s="1"/>
  <c r="N129" i="24"/>
  <c r="D129" i="24" s="1"/>
  <c r="F129" i="24"/>
  <c r="N128" i="24"/>
  <c r="D128" i="24" s="1"/>
  <c r="F128" i="24"/>
  <c r="F127" i="24"/>
  <c r="D127" i="24"/>
  <c r="F126" i="24"/>
  <c r="D126" i="24"/>
  <c r="F124" i="24"/>
  <c r="D124" i="24"/>
  <c r="G124" i="24" s="1"/>
  <c r="F123" i="24"/>
  <c r="D123" i="24"/>
  <c r="D122" i="24"/>
  <c r="G122" i="24" s="1"/>
  <c r="F121" i="24"/>
  <c r="D121" i="24"/>
  <c r="G121" i="24" s="1"/>
  <c r="F120" i="24"/>
  <c r="D120" i="24"/>
  <c r="F119" i="24"/>
  <c r="D119" i="24"/>
  <c r="F118" i="24"/>
  <c r="D118" i="24"/>
  <c r="F117" i="24"/>
  <c r="D117" i="24"/>
  <c r="F116" i="24"/>
  <c r="D116" i="24"/>
  <c r="G116" i="24" s="1"/>
  <c r="F115" i="24"/>
  <c r="D115" i="24"/>
  <c r="F113" i="24"/>
  <c r="D113" i="24"/>
  <c r="N112" i="24"/>
  <c r="D112" i="24" s="1"/>
  <c r="F112" i="24"/>
  <c r="O111" i="24"/>
  <c r="F111" i="24" s="1"/>
  <c r="D111" i="24"/>
  <c r="N110" i="24"/>
  <c r="D110" i="24" s="1"/>
  <c r="F110" i="24"/>
  <c r="O109" i="24"/>
  <c r="F109" i="24" s="1"/>
  <c r="D109" i="24"/>
  <c r="N108" i="24"/>
  <c r="D108" i="24" s="1"/>
  <c r="F108" i="24"/>
  <c r="O107" i="24"/>
  <c r="F107" i="24" s="1"/>
  <c r="D107" i="24"/>
  <c r="N106" i="24"/>
  <c r="D106" i="24" s="1"/>
  <c r="F106" i="24"/>
  <c r="F105" i="24"/>
  <c r="D105" i="24"/>
  <c r="G105" i="24" s="1"/>
  <c r="N104" i="24"/>
  <c r="D104" i="24" s="1"/>
  <c r="F104" i="24"/>
  <c r="O103" i="24"/>
  <c r="F103" i="24" s="1"/>
  <c r="D103" i="24"/>
  <c r="N102" i="24"/>
  <c r="D102" i="24" s="1"/>
  <c r="F102" i="24"/>
  <c r="F101" i="24"/>
  <c r="D101" i="24"/>
  <c r="F100" i="24"/>
  <c r="D100" i="24"/>
  <c r="F98" i="24"/>
  <c r="D98" i="24"/>
  <c r="F97" i="24"/>
  <c r="D97" i="24"/>
  <c r="F96" i="24"/>
  <c r="D96" i="24"/>
  <c r="F95" i="24"/>
  <c r="D95" i="24"/>
  <c r="F94" i="24"/>
  <c r="D94" i="24"/>
  <c r="F93" i="24"/>
  <c r="D93" i="24"/>
  <c r="F92" i="24"/>
  <c r="D92" i="24"/>
  <c r="G92" i="24" s="1"/>
  <c r="D91" i="24"/>
  <c r="C91" i="24"/>
  <c r="G86" i="24"/>
  <c r="G85" i="24"/>
  <c r="G84" i="24"/>
  <c r="G83" i="24"/>
  <c r="G82" i="24"/>
  <c r="G81" i="24"/>
  <c r="G80" i="24"/>
  <c r="G79" i="24"/>
  <c r="G78" i="24"/>
  <c r="G77" i="24"/>
  <c r="G76" i="24"/>
  <c r="G75" i="24"/>
  <c r="G74" i="24"/>
  <c r="E73" i="24"/>
  <c r="D73" i="24"/>
  <c r="E72" i="24"/>
  <c r="G72" i="24" s="1"/>
  <c r="E71" i="24"/>
  <c r="D71" i="24"/>
  <c r="M70" i="24"/>
  <c r="D70" i="24"/>
  <c r="G70" i="24" s="1"/>
  <c r="O69" i="24"/>
  <c r="F65" i="24"/>
  <c r="D65" i="24"/>
  <c r="F64" i="24"/>
  <c r="E64" i="24"/>
  <c r="D64" i="24"/>
  <c r="F63" i="24"/>
  <c r="D63" i="24"/>
  <c r="F62" i="24"/>
  <c r="E62" i="24"/>
  <c r="D62" i="24"/>
  <c r="F61" i="24"/>
  <c r="D61" i="24"/>
  <c r="G61" i="24" s="1"/>
  <c r="F60" i="24"/>
  <c r="E60" i="24"/>
  <c r="D60" i="24"/>
  <c r="F59" i="24"/>
  <c r="D59" i="24"/>
  <c r="G58" i="24"/>
  <c r="D57" i="24"/>
  <c r="G57" i="24" s="1"/>
  <c r="O56" i="24"/>
  <c r="E52" i="24"/>
  <c r="D52" i="24"/>
  <c r="C52" i="24"/>
  <c r="E51" i="24"/>
  <c r="D51" i="24"/>
  <c r="C51" i="24"/>
  <c r="E50" i="24"/>
  <c r="C50" i="24"/>
  <c r="D45" i="24"/>
  <c r="D44" i="24"/>
  <c r="G44" i="24" s="1"/>
  <c r="F39" i="24"/>
  <c r="G39" i="24" s="1"/>
  <c r="G38" i="24"/>
  <c r="G40" i="24" s="1"/>
  <c r="D33" i="24"/>
  <c r="G33" i="24" s="1"/>
  <c r="E32" i="24"/>
  <c r="D32" i="24"/>
  <c r="C32" i="24"/>
  <c r="D31" i="24"/>
  <c r="C31" i="24"/>
  <c r="G31" i="24" s="1"/>
  <c r="E26" i="24"/>
  <c r="D26" i="24"/>
  <c r="C26" i="24"/>
  <c r="D25" i="24"/>
  <c r="C25" i="24"/>
  <c r="F21" i="24"/>
  <c r="G21" i="24" s="1"/>
  <c r="G22" i="24" s="1"/>
  <c r="J22" i="24" s="1"/>
  <c r="D16" i="24"/>
  <c r="D12" i="24"/>
  <c r="G12" i="24" s="1"/>
  <c r="F11" i="24"/>
  <c r="E11" i="24"/>
  <c r="D11" i="24"/>
  <c r="F10" i="24"/>
  <c r="D10" i="24"/>
  <c r="J66" i="20" l="1"/>
  <c r="F36" i="6" s="1"/>
  <c r="M36" i="6" s="1"/>
  <c r="D35" i="6"/>
  <c r="J65" i="20"/>
  <c r="G25" i="24"/>
  <c r="G119" i="24"/>
  <c r="G129" i="24"/>
  <c r="F50" i="24"/>
  <c r="G50" i="24" s="1"/>
  <c r="G134" i="24"/>
  <c r="G153" i="24"/>
  <c r="G154" i="24"/>
  <c r="G106" i="24"/>
  <c r="G108" i="24"/>
  <c r="G110" i="24"/>
  <c r="G141" i="24"/>
  <c r="G143" i="24"/>
  <c r="G146" i="24"/>
  <c r="G148" i="24"/>
  <c r="G150" i="24"/>
  <c r="G103" i="24"/>
  <c r="G109" i="24"/>
  <c r="G113" i="24"/>
  <c r="G142" i="24"/>
  <c r="G147" i="24"/>
  <c r="C199" i="24"/>
  <c r="G62" i="24"/>
  <c r="G65" i="24"/>
  <c r="G73" i="24"/>
  <c r="G97" i="24"/>
  <c r="G10" i="24"/>
  <c r="G26" i="24"/>
  <c r="G95" i="24"/>
  <c r="G102" i="24"/>
  <c r="G104" i="24"/>
  <c r="G117" i="24"/>
  <c r="G128" i="24"/>
  <c r="G137" i="24"/>
  <c r="G138" i="24"/>
  <c r="G152" i="24"/>
  <c r="G32" i="24"/>
  <c r="G34" i="24" s="1"/>
  <c r="F52" i="24"/>
  <c r="G52" i="24" s="1"/>
  <c r="G96" i="24"/>
  <c r="G98" i="24"/>
  <c r="G101" i="24"/>
  <c r="G118" i="24"/>
  <c r="G120" i="24"/>
  <c r="G139" i="24"/>
  <c r="F51" i="24"/>
  <c r="G51" i="24" s="1"/>
  <c r="G63" i="24"/>
  <c r="G91" i="24"/>
  <c r="G115" i="24"/>
  <c r="G123" i="24"/>
  <c r="G131" i="24"/>
  <c r="J167" i="24"/>
  <c r="J166" i="24"/>
  <c r="G16" i="24"/>
  <c r="G17" i="24" s="1"/>
  <c r="J18" i="24" s="1"/>
  <c r="G59" i="24"/>
  <c r="G93" i="24"/>
  <c r="G126" i="24"/>
  <c r="G144" i="24"/>
  <c r="G60" i="24"/>
  <c r="G64" i="24"/>
  <c r="G66" i="24" s="1"/>
  <c r="G71" i="24"/>
  <c r="G100" i="24"/>
  <c r="G133" i="24"/>
  <c r="G136" i="24"/>
  <c r="G140" i="24"/>
  <c r="G149" i="24"/>
  <c r="G11" i="24"/>
  <c r="G94" i="24"/>
  <c r="G107" i="24"/>
  <c r="G112" i="24"/>
  <c r="G127" i="24"/>
  <c r="G132" i="24"/>
  <c r="G135" i="24"/>
  <c r="G151" i="24"/>
  <c r="J162" i="24"/>
  <c r="F180" i="24"/>
  <c r="G180" i="24" s="1"/>
  <c r="G183" i="24" s="1"/>
  <c r="J184" i="24" s="1"/>
  <c r="J161" i="24"/>
  <c r="G111" i="24"/>
  <c r="J17" i="24"/>
  <c r="F45" i="24"/>
  <c r="G45" i="24" s="1"/>
  <c r="G46" i="24" s="1"/>
  <c r="J171" i="24"/>
  <c r="G87" i="24" l="1"/>
  <c r="G27" i="24"/>
  <c r="J28" i="24" s="1"/>
  <c r="J34" i="24"/>
  <c r="J35" i="24"/>
  <c r="G156" i="24"/>
  <c r="J157" i="24" s="1"/>
  <c r="G13" i="24"/>
  <c r="J13" i="24" s="1"/>
  <c r="G53" i="24"/>
  <c r="J54" i="24" s="1"/>
  <c r="J27" i="24"/>
  <c r="J53" i="24"/>
  <c r="J67" i="24"/>
  <c r="J183" i="24"/>
  <c r="J66" i="24"/>
  <c r="J46" i="24"/>
  <c r="J47" i="24"/>
  <c r="J88" i="24"/>
  <c r="J87" i="24"/>
  <c r="J41" i="24"/>
  <c r="J40" i="24"/>
  <c r="J156" i="24" l="1"/>
  <c r="D175" i="24"/>
  <c r="G175" i="24" s="1"/>
  <c r="G176" i="24" s="1"/>
  <c r="J176" i="24" s="1"/>
  <c r="J177" i="24" l="1"/>
  <c r="J195" i="24" s="1"/>
  <c r="C197" i="24" s="1"/>
  <c r="C200" i="24" l="1"/>
  <c r="E199" i="24"/>
  <c r="E200" i="24" s="1"/>
  <c r="F230" i="22" l="1"/>
  <c r="G230" i="22" s="1"/>
  <c r="M162" i="22"/>
  <c r="C53" i="22" l="1"/>
  <c r="D52" i="22"/>
  <c r="C52" i="22"/>
  <c r="C51" i="22"/>
  <c r="E51" i="22"/>
  <c r="F40" i="22"/>
  <c r="F46" i="22" s="1"/>
  <c r="D16" i="22"/>
  <c r="D12" i="22"/>
  <c r="G12" i="22" s="1"/>
  <c r="F21" i="22"/>
  <c r="G21" i="22" s="1"/>
  <c r="E27" i="22"/>
  <c r="D27" i="22"/>
  <c r="C27" i="22"/>
  <c r="D26" i="22"/>
  <c r="C26" i="22"/>
  <c r="D34" i="22"/>
  <c r="G34" i="22" s="1"/>
  <c r="C33" i="22"/>
  <c r="E33" i="22"/>
  <c r="D33" i="22"/>
  <c r="D32" i="22"/>
  <c r="D66" i="22"/>
  <c r="D62" i="22"/>
  <c r="D63" i="22"/>
  <c r="E63" i="22"/>
  <c r="D64" i="22"/>
  <c r="D65" i="22"/>
  <c r="E65" i="22"/>
  <c r="E61" i="22"/>
  <c r="D61" i="22"/>
  <c r="D60" i="22"/>
  <c r="G87" i="22"/>
  <c r="G86" i="22"/>
  <c r="G85" i="22"/>
  <c r="G84" i="22"/>
  <c r="G83" i="22"/>
  <c r="G82" i="22"/>
  <c r="G81" i="22"/>
  <c r="G76" i="22"/>
  <c r="G77" i="22"/>
  <c r="G78" i="22"/>
  <c r="G79" i="22"/>
  <c r="G80" i="22"/>
  <c r="E75" i="22"/>
  <c r="E73" i="22"/>
  <c r="D75" i="22"/>
  <c r="E74" i="22"/>
  <c r="G74" i="22" s="1"/>
  <c r="M72" i="22"/>
  <c r="D73" i="22"/>
  <c r="D72" i="22"/>
  <c r="G72" i="22" s="1"/>
  <c r="O71" i="22"/>
  <c r="G59" i="22"/>
  <c r="D58" i="22"/>
  <c r="G58" i="22" s="1"/>
  <c r="G88" i="22"/>
  <c r="F27" i="23"/>
  <c r="F28" i="23"/>
  <c r="F29" i="23"/>
  <c r="F22" i="23"/>
  <c r="G24" i="23" s="1"/>
  <c r="J87" i="20"/>
  <c r="F39" i="6" s="1"/>
  <c r="F24" i="23"/>
  <c r="G30" i="23" s="1"/>
  <c r="F23" i="23"/>
  <c r="G14" i="23"/>
  <c r="F9" i="23"/>
  <c r="F10" i="23"/>
  <c r="G15" i="23" s="1"/>
  <c r="F8" i="23"/>
  <c r="G26" i="22" l="1"/>
  <c r="G62" i="22"/>
  <c r="G27" i="22"/>
  <c r="G33" i="22"/>
  <c r="G32" i="22"/>
  <c r="G60" i="22"/>
  <c r="G75" i="22"/>
  <c r="G61" i="22"/>
  <c r="G65" i="22"/>
  <c r="G66" i="22"/>
  <c r="G64" i="22"/>
  <c r="G63" i="22"/>
  <c r="G73" i="22"/>
  <c r="G31" i="23"/>
  <c r="G10" i="23"/>
  <c r="G16" i="23" s="1"/>
  <c r="G17" i="23" s="1"/>
  <c r="I86" i="20" l="1"/>
  <c r="I89" i="22"/>
  <c r="H38" i="6" s="1"/>
  <c r="G35" i="22"/>
  <c r="G18" i="23"/>
  <c r="B18" i="23" s="1"/>
  <c r="G89" i="22"/>
  <c r="J90" i="22" s="1"/>
  <c r="G32" i="23"/>
  <c r="G33" i="23" s="1"/>
  <c r="B33" i="23" s="1"/>
  <c r="I39" i="6" l="1"/>
  <c r="G38" i="6"/>
  <c r="E38" i="6"/>
  <c r="J86" i="20"/>
  <c r="G156" i="22"/>
  <c r="F150" i="22"/>
  <c r="D148" i="22"/>
  <c r="F148" i="22"/>
  <c r="F149" i="22"/>
  <c r="D150" i="22"/>
  <c r="F151" i="22"/>
  <c r="D152" i="22"/>
  <c r="F152" i="22"/>
  <c r="F153" i="22"/>
  <c r="F154" i="22"/>
  <c r="D155" i="22"/>
  <c r="F147" i="22"/>
  <c r="D128" i="22"/>
  <c r="F128" i="22"/>
  <c r="F129" i="22"/>
  <c r="F130" i="22"/>
  <c r="D131" i="22"/>
  <c r="F131" i="22"/>
  <c r="D132" i="22"/>
  <c r="F132" i="22"/>
  <c r="F133" i="22"/>
  <c r="D134" i="22"/>
  <c r="F134" i="22"/>
  <c r="F135" i="22"/>
  <c r="D136" i="22"/>
  <c r="F136" i="22"/>
  <c r="F137" i="22"/>
  <c r="D138" i="22"/>
  <c r="F139" i="22"/>
  <c r="D140" i="22"/>
  <c r="F141" i="22"/>
  <c r="D142" i="22"/>
  <c r="D143" i="22"/>
  <c r="F143" i="22"/>
  <c r="F144" i="22"/>
  <c r="F145" i="22"/>
  <c r="F127" i="22"/>
  <c r="D127" i="22"/>
  <c r="D123" i="22"/>
  <c r="G123" i="22" s="1"/>
  <c r="F125" i="22"/>
  <c r="D125" i="22"/>
  <c r="F124" i="22"/>
  <c r="D124" i="22"/>
  <c r="F122" i="22"/>
  <c r="F121" i="22"/>
  <c r="F117" i="22"/>
  <c r="F118" i="22"/>
  <c r="F119" i="22"/>
  <c r="F120" i="22"/>
  <c r="D117" i="22"/>
  <c r="D118" i="22"/>
  <c r="D119" i="22"/>
  <c r="D120" i="22"/>
  <c r="D121" i="22"/>
  <c r="D122" i="22"/>
  <c r="F116" i="22"/>
  <c r="D116" i="22"/>
  <c r="D102" i="22"/>
  <c r="F102" i="22"/>
  <c r="F103" i="22"/>
  <c r="D104" i="22"/>
  <c r="F105" i="22"/>
  <c r="D106" i="22"/>
  <c r="F106" i="22"/>
  <c r="F107" i="22"/>
  <c r="D108" i="22"/>
  <c r="F109" i="22"/>
  <c r="D110" i="22"/>
  <c r="F111" i="22"/>
  <c r="D112" i="22"/>
  <c r="F113" i="22"/>
  <c r="D114" i="22"/>
  <c r="F114" i="22"/>
  <c r="F101" i="22"/>
  <c r="D101" i="22"/>
  <c r="F94" i="22"/>
  <c r="F95" i="22"/>
  <c r="F96" i="22"/>
  <c r="F97" i="22"/>
  <c r="F98" i="22"/>
  <c r="F99" i="22"/>
  <c r="D94" i="22"/>
  <c r="D95" i="22"/>
  <c r="D96" i="22"/>
  <c r="D97" i="22"/>
  <c r="D98" i="22"/>
  <c r="D99" i="22"/>
  <c r="F93" i="22"/>
  <c r="D93" i="22"/>
  <c r="O155" i="22"/>
  <c r="F155" i="22" s="1"/>
  <c r="N154" i="22"/>
  <c r="D154" i="22" s="1"/>
  <c r="N153" i="22"/>
  <c r="D153" i="22" s="1"/>
  <c r="N151" i="22"/>
  <c r="D151" i="22" s="1"/>
  <c r="N149" i="22"/>
  <c r="D149" i="22" s="1"/>
  <c r="N147" i="22"/>
  <c r="D147" i="22" s="1"/>
  <c r="N145" i="22"/>
  <c r="D145" i="22" s="1"/>
  <c r="N144" i="22"/>
  <c r="D144" i="22" s="1"/>
  <c r="O142" i="22"/>
  <c r="F142" i="22" s="1"/>
  <c r="N141" i="22"/>
  <c r="D141" i="22" s="1"/>
  <c r="O140" i="22"/>
  <c r="F140" i="22" s="1"/>
  <c r="N139" i="22"/>
  <c r="D139" i="22" s="1"/>
  <c r="G139" i="22" s="1"/>
  <c r="O138" i="22"/>
  <c r="F138" i="22" s="1"/>
  <c r="N137" i="22"/>
  <c r="D137" i="22" s="1"/>
  <c r="N135" i="22"/>
  <c r="D135" i="22" s="1"/>
  <c r="G135" i="22" s="1"/>
  <c r="N133" i="22"/>
  <c r="D133" i="22" s="1"/>
  <c r="N130" i="22"/>
  <c r="D130" i="22" s="1"/>
  <c r="N129" i="22"/>
  <c r="D129" i="22" s="1"/>
  <c r="N113" i="22"/>
  <c r="D113" i="22" s="1"/>
  <c r="O112" i="22"/>
  <c r="F112" i="22" s="1"/>
  <c r="N111" i="22"/>
  <c r="D111" i="22" s="1"/>
  <c r="O110" i="22"/>
  <c r="F110" i="22" s="1"/>
  <c r="N109" i="22"/>
  <c r="D109" i="22" s="1"/>
  <c r="O108" i="22"/>
  <c r="F108" i="22" s="1"/>
  <c r="N107" i="22"/>
  <c r="D107" i="22" s="1"/>
  <c r="N105" i="22"/>
  <c r="D105" i="22" s="1"/>
  <c r="O104" i="22"/>
  <c r="F104" i="22" s="1"/>
  <c r="N103" i="22"/>
  <c r="D103" i="22" s="1"/>
  <c r="G144" i="22" l="1"/>
  <c r="G108" i="22"/>
  <c r="G154" i="22"/>
  <c r="G147" i="22"/>
  <c r="G151" i="22"/>
  <c r="G145" i="22"/>
  <c r="G111" i="22"/>
  <c r="G121" i="22"/>
  <c r="G127" i="22"/>
  <c r="G105" i="22"/>
  <c r="G99" i="22"/>
  <c r="G137" i="22"/>
  <c r="G102" i="22"/>
  <c r="G109" i="22"/>
  <c r="G122" i="22"/>
  <c r="G149" i="22"/>
  <c r="G98" i="22"/>
  <c r="G103" i="22"/>
  <c r="G142" i="22"/>
  <c r="G130" i="22"/>
  <c r="G143" i="22"/>
  <c r="G101" i="22"/>
  <c r="G116" i="22"/>
  <c r="G97" i="22"/>
  <c r="G125" i="22"/>
  <c r="G153" i="22"/>
  <c r="G96" i="22"/>
  <c r="G93" i="22"/>
  <c r="G148" i="22"/>
  <c r="G114" i="22"/>
  <c r="G113" i="22"/>
  <c r="G134" i="22"/>
  <c r="G141" i="22"/>
  <c r="G95" i="22"/>
  <c r="G129" i="22"/>
  <c r="G138" i="22"/>
  <c r="G117" i="22"/>
  <c r="G120" i="22"/>
  <c r="G119" i="22"/>
  <c r="G128" i="22"/>
  <c r="G94" i="22"/>
  <c r="G112" i="22"/>
  <c r="G106" i="22"/>
  <c r="G132" i="22"/>
  <c r="G152" i="22"/>
  <c r="G133" i="22"/>
  <c r="G136" i="22"/>
  <c r="G131" i="22"/>
  <c r="G110" i="22"/>
  <c r="G150" i="22"/>
  <c r="G118" i="22"/>
  <c r="G124" i="22"/>
  <c r="G107" i="22"/>
  <c r="G104" i="22"/>
  <c r="G155" i="22"/>
  <c r="G140" i="22"/>
  <c r="A9" i="6"/>
  <c r="A8" i="6"/>
  <c r="H67" i="6"/>
  <c r="E67" i="6"/>
  <c r="C67" i="6"/>
  <c r="B67" i="6"/>
  <c r="A67" i="6"/>
  <c r="H65" i="6"/>
  <c r="E65" i="6"/>
  <c r="C65" i="6"/>
  <c r="B65" i="6"/>
  <c r="A65" i="6"/>
  <c r="H56" i="6"/>
  <c r="E56" i="6"/>
  <c r="C56" i="6"/>
  <c r="B57" i="6"/>
  <c r="B56" i="6"/>
  <c r="A56" i="6"/>
  <c r="H50" i="6"/>
  <c r="E50" i="6"/>
  <c r="C50" i="6"/>
  <c r="B51" i="6"/>
  <c r="B50" i="6"/>
  <c r="A50" i="6"/>
  <c r="H47" i="6"/>
  <c r="E47" i="6"/>
  <c r="C47" i="6"/>
  <c r="B48" i="6"/>
  <c r="B47" i="6"/>
  <c r="A47" i="6"/>
  <c r="H44" i="6"/>
  <c r="E44" i="6"/>
  <c r="C44" i="6"/>
  <c r="B45" i="6"/>
  <c r="B44" i="6"/>
  <c r="A44" i="6"/>
  <c r="H41" i="6"/>
  <c r="E41" i="6"/>
  <c r="C41" i="6"/>
  <c r="B42" i="6"/>
  <c r="B41" i="6"/>
  <c r="A41" i="6"/>
  <c r="H35" i="6"/>
  <c r="B35" i="6"/>
  <c r="A35" i="6"/>
  <c r="H32" i="6"/>
  <c r="E32" i="6"/>
  <c r="C32" i="6"/>
  <c r="B33" i="6"/>
  <c r="B32" i="6"/>
  <c r="A32" i="6"/>
  <c r="H29" i="6"/>
  <c r="E29" i="6"/>
  <c r="C29" i="6"/>
  <c r="B30" i="6"/>
  <c r="B29" i="6"/>
  <c r="A29" i="6"/>
  <c r="H26" i="6"/>
  <c r="E26" i="6"/>
  <c r="C26" i="6"/>
  <c r="B27" i="6"/>
  <c r="B26" i="6"/>
  <c r="A26" i="6"/>
  <c r="H23" i="6"/>
  <c r="E23" i="6"/>
  <c r="C23" i="6"/>
  <c r="B24" i="6"/>
  <c r="B23" i="6"/>
  <c r="A23" i="6"/>
  <c r="H20" i="6"/>
  <c r="E20" i="6"/>
  <c r="C20" i="6"/>
  <c r="B21" i="6"/>
  <c r="B20" i="6"/>
  <c r="A20" i="6"/>
  <c r="H18" i="6"/>
  <c r="E18" i="6"/>
  <c r="C18" i="6"/>
  <c r="B18" i="6"/>
  <c r="A18" i="6"/>
  <c r="H15" i="6"/>
  <c r="H13" i="6"/>
  <c r="C257" i="22"/>
  <c r="C256" i="22"/>
  <c r="G248" i="22"/>
  <c r="J248" i="22" s="1"/>
  <c r="G246" i="22"/>
  <c r="J246" i="22" s="1"/>
  <c r="G228" i="22"/>
  <c r="G233" i="22" s="1"/>
  <c r="B171" i="22"/>
  <c r="G166" i="22"/>
  <c r="G167" i="22" s="1"/>
  <c r="G47" i="6" s="1"/>
  <c r="F161" i="22"/>
  <c r="O57" i="22"/>
  <c r="E53" i="22"/>
  <c r="D53" i="22"/>
  <c r="E52" i="22"/>
  <c r="F51" i="22"/>
  <c r="G51" i="22" s="1"/>
  <c r="D46" i="22"/>
  <c r="G40" i="22"/>
  <c r="E25" i="22"/>
  <c r="G22" i="22"/>
  <c r="G16" i="22"/>
  <c r="G17" i="22" s="1"/>
  <c r="G15" i="6" s="1"/>
  <c r="F11" i="22"/>
  <c r="E11" i="22"/>
  <c r="D11" i="22"/>
  <c r="F10" i="22"/>
  <c r="D10" i="22"/>
  <c r="E15" i="6"/>
  <c r="C15" i="6"/>
  <c r="B16" i="6"/>
  <c r="B15" i="6"/>
  <c r="A15" i="6"/>
  <c r="E13" i="6"/>
  <c r="C13" i="6"/>
  <c r="B13" i="6"/>
  <c r="A13" i="6"/>
  <c r="G157" i="22" l="1"/>
  <c r="G56" i="6"/>
  <c r="I56" i="6" s="1"/>
  <c r="J22" i="22"/>
  <c r="G10" i="22"/>
  <c r="G46" i="22"/>
  <c r="G11" i="22"/>
  <c r="C254" i="22"/>
  <c r="G65" i="6"/>
  <c r="I65" i="6" s="1"/>
  <c r="F52" i="22"/>
  <c r="G52" i="22" s="1"/>
  <c r="G161" i="22"/>
  <c r="G162" i="22" s="1"/>
  <c r="G44" i="6" s="1"/>
  <c r="I44" i="6" s="1"/>
  <c r="F53" i="22"/>
  <c r="G53" i="22" s="1"/>
  <c r="G18" i="6"/>
  <c r="I18" i="6" s="1"/>
  <c r="G67" i="6"/>
  <c r="G45" i="22"/>
  <c r="I38" i="6"/>
  <c r="I47" i="6"/>
  <c r="I15" i="6"/>
  <c r="J17" i="22"/>
  <c r="J18" i="22"/>
  <c r="I16" i="6" s="1"/>
  <c r="J168" i="22"/>
  <c r="I48" i="6" s="1"/>
  <c r="J167" i="22"/>
  <c r="G39" i="22"/>
  <c r="G41" i="22" s="1"/>
  <c r="D25" i="22"/>
  <c r="G54" i="22" l="1"/>
  <c r="G47" i="22"/>
  <c r="G29" i="6" s="1"/>
  <c r="I29" i="6" s="1"/>
  <c r="G13" i="22"/>
  <c r="G13" i="6" s="1"/>
  <c r="J233" i="22"/>
  <c r="J234" i="22"/>
  <c r="I57" i="6" s="1"/>
  <c r="J163" i="22"/>
  <c r="I45" i="6" s="1"/>
  <c r="J162" i="22"/>
  <c r="G25" i="22"/>
  <c r="G28" i="22" s="1"/>
  <c r="G20" i="6" s="1"/>
  <c r="I20" i="6" s="1"/>
  <c r="G41" i="6" l="1"/>
  <c r="I41" i="6" s="1"/>
  <c r="D171" i="22"/>
  <c r="G171" i="22" s="1"/>
  <c r="G218" i="22" s="1"/>
  <c r="J13" i="22"/>
  <c r="G35" i="6"/>
  <c r="I35" i="6" s="1"/>
  <c r="J157" i="22"/>
  <c r="J158" i="22"/>
  <c r="I42" i="6" s="1"/>
  <c r="J48" i="22"/>
  <c r="I30" i="6" s="1"/>
  <c r="J47" i="22"/>
  <c r="G23" i="6"/>
  <c r="I23" i="6" s="1"/>
  <c r="J29" i="22"/>
  <c r="I21" i="6" s="1"/>
  <c r="J28" i="22"/>
  <c r="G26" i="6"/>
  <c r="I26" i="6" s="1"/>
  <c r="G32" i="6"/>
  <c r="I32" i="6" s="1"/>
  <c r="C143" i="20"/>
  <c r="C142" i="20"/>
  <c r="G134" i="20"/>
  <c r="G132" i="20"/>
  <c r="D118" i="20"/>
  <c r="F118" i="20" s="1"/>
  <c r="G118" i="20" s="1"/>
  <c r="F117" i="20"/>
  <c r="G117" i="20" s="1"/>
  <c r="F106" i="20"/>
  <c r="C106" i="20"/>
  <c r="B106" i="20"/>
  <c r="F38" i="6"/>
  <c r="G101" i="20"/>
  <c r="G102" i="20" s="1"/>
  <c r="G90" i="20"/>
  <c r="N55" i="20"/>
  <c r="E51" i="20"/>
  <c r="D51" i="20"/>
  <c r="E50" i="20"/>
  <c r="F49" i="20"/>
  <c r="G49" i="20" s="1"/>
  <c r="F44" i="20"/>
  <c r="D44" i="20"/>
  <c r="C43" i="20"/>
  <c r="F38" i="20"/>
  <c r="G38" i="20" s="1"/>
  <c r="C37" i="20"/>
  <c r="E26" i="20"/>
  <c r="D26" i="20"/>
  <c r="D32" i="20" s="1"/>
  <c r="E25" i="20"/>
  <c r="E31" i="20" s="1"/>
  <c r="G21" i="20"/>
  <c r="D16" i="20"/>
  <c r="D25" i="20" s="1"/>
  <c r="G12" i="20"/>
  <c r="F11" i="20"/>
  <c r="E11" i="20"/>
  <c r="D11" i="20"/>
  <c r="F10" i="20"/>
  <c r="D10" i="20"/>
  <c r="G91" i="20" l="1"/>
  <c r="D41" i="6" s="1"/>
  <c r="F41" i="6" s="1"/>
  <c r="J38" i="6"/>
  <c r="M38" i="6"/>
  <c r="G95" i="20"/>
  <c r="G97" i="20" s="1"/>
  <c r="D44" i="6" s="1"/>
  <c r="F44" i="6" s="1"/>
  <c r="D47" i="6"/>
  <c r="F47" i="6" s="1"/>
  <c r="M102" i="20"/>
  <c r="G43" i="20"/>
  <c r="D56" i="6"/>
  <c r="F56" i="6" s="1"/>
  <c r="F50" i="20"/>
  <c r="G50" i="20" s="1"/>
  <c r="J132" i="20"/>
  <c r="D65" i="6"/>
  <c r="F65" i="6" s="1"/>
  <c r="J134" i="20"/>
  <c r="D67" i="6"/>
  <c r="J22" i="20"/>
  <c r="D18" i="6"/>
  <c r="F18" i="6" s="1"/>
  <c r="G44" i="20"/>
  <c r="G50" i="6"/>
  <c r="I50" i="6" s="1"/>
  <c r="J218" i="22"/>
  <c r="J219" i="22"/>
  <c r="I51" i="6" s="1"/>
  <c r="J69" i="22"/>
  <c r="I36" i="6" s="1"/>
  <c r="J68" i="22"/>
  <c r="J89" i="22"/>
  <c r="J36" i="22"/>
  <c r="I24" i="6" s="1"/>
  <c r="J35" i="22"/>
  <c r="J55" i="22"/>
  <c r="I33" i="6" s="1"/>
  <c r="J54" i="22"/>
  <c r="J42" i="22"/>
  <c r="I27" i="6" s="1"/>
  <c r="J41" i="22"/>
  <c r="G10" i="20"/>
  <c r="G11" i="20"/>
  <c r="G26" i="20"/>
  <c r="G16" i="20"/>
  <c r="F51" i="20"/>
  <c r="G51" i="20" s="1"/>
  <c r="C140" i="20"/>
  <c r="D31" i="20"/>
  <c r="G31" i="20" s="1"/>
  <c r="G25" i="20"/>
  <c r="J103" i="20"/>
  <c r="F48" i="6" s="1"/>
  <c r="J102" i="20"/>
  <c r="E32" i="20"/>
  <c r="G37" i="20" s="1"/>
  <c r="D106" i="20"/>
  <c r="G106" i="20" s="1"/>
  <c r="D98" i="19"/>
  <c r="F98" i="19" s="1"/>
  <c r="G98" i="19" s="1"/>
  <c r="D97" i="19"/>
  <c r="J91" i="20" l="1"/>
  <c r="J92" i="20"/>
  <c r="F42" i="6" s="1"/>
  <c r="M41" i="6"/>
  <c r="J41" i="6"/>
  <c r="G107" i="20"/>
  <c r="D50" i="6" s="1"/>
  <c r="F50" i="6" s="1"/>
  <c r="J44" i="6"/>
  <c r="M44" i="6"/>
  <c r="J47" i="6"/>
  <c r="M47" i="6"/>
  <c r="J56" i="6"/>
  <c r="M56" i="6"/>
  <c r="J42" i="6"/>
  <c r="M42" i="6"/>
  <c r="J65" i="6"/>
  <c r="M65" i="6"/>
  <c r="J18" i="6"/>
  <c r="M18" i="6"/>
  <c r="J48" i="6"/>
  <c r="M48" i="6"/>
  <c r="J39" i="6"/>
  <c r="M39" i="6"/>
  <c r="J97" i="20"/>
  <c r="J98" i="20"/>
  <c r="F45" i="6" s="1"/>
  <c r="J45" i="20"/>
  <c r="D20" i="6"/>
  <c r="F20" i="6" s="1"/>
  <c r="D13" i="6"/>
  <c r="J18" i="20"/>
  <c r="F16" i="6" s="1"/>
  <c r="D15" i="6"/>
  <c r="F15" i="6" s="1"/>
  <c r="J250" i="22"/>
  <c r="C252" i="22" s="1"/>
  <c r="C255" i="22" s="1"/>
  <c r="J17" i="20"/>
  <c r="J107" i="20"/>
  <c r="J120" i="20"/>
  <c r="F57" i="6" s="1"/>
  <c r="J119" i="20"/>
  <c r="G32" i="20"/>
  <c r="G33" i="20" s="1"/>
  <c r="F97" i="19"/>
  <c r="G97" i="19" s="1"/>
  <c r="G99"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D66" i="19"/>
  <c r="G66" i="19" s="1"/>
  <c r="F65" i="19"/>
  <c r="E65" i="19"/>
  <c r="D65" i="19"/>
  <c r="F63" i="19"/>
  <c r="D63" i="19"/>
  <c r="D64" i="19" s="1"/>
  <c r="E62" i="19"/>
  <c r="E64" i="19" s="1"/>
  <c r="D62" i="19"/>
  <c r="F61" i="19"/>
  <c r="G61" i="19" s="1"/>
  <c r="N60" i="19"/>
  <c r="M60" i="19"/>
  <c r="F60" i="19"/>
  <c r="G60" i="19" s="1"/>
  <c r="N59" i="19"/>
  <c r="E55" i="19"/>
  <c r="D55" i="19"/>
  <c r="E54" i="19"/>
  <c r="E53" i="19"/>
  <c r="D53" i="19"/>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J108" i="20" l="1"/>
  <c r="F51" i="6" s="1"/>
  <c r="M51" i="6" s="1"/>
  <c r="M50" i="6"/>
  <c r="J50" i="6"/>
  <c r="J57" i="6"/>
  <c r="M57" i="6"/>
  <c r="J20" i="6"/>
  <c r="M20" i="6"/>
  <c r="J15" i="6"/>
  <c r="M15" i="6"/>
  <c r="J16" i="6"/>
  <c r="M16" i="6"/>
  <c r="J45" i="6"/>
  <c r="M45" i="6"/>
  <c r="J27" i="20"/>
  <c r="J46" i="20"/>
  <c r="F30" i="6" s="1"/>
  <c r="D29" i="6"/>
  <c r="F29" i="6" s="1"/>
  <c r="F35" i="6"/>
  <c r="D23" i="6"/>
  <c r="F23" i="6" s="1"/>
  <c r="M33" i="20"/>
  <c r="J28" i="20"/>
  <c r="F21" i="6" s="1"/>
  <c r="F53" i="19"/>
  <c r="G53" i="19" s="1"/>
  <c r="J13" i="20"/>
  <c r="G67" i="19"/>
  <c r="E254" i="22"/>
  <c r="E255" i="22" s="1"/>
  <c r="J36" i="6"/>
  <c r="D26" i="6"/>
  <c r="F26" i="6" s="1"/>
  <c r="D32" i="6"/>
  <c r="F32" i="6" s="1"/>
  <c r="M32" i="6" s="1"/>
  <c r="J34" i="20"/>
  <c r="F24" i="6" s="1"/>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1" i="6" l="1"/>
  <c r="J29" i="6"/>
  <c r="M29" i="6"/>
  <c r="J30" i="6"/>
  <c r="M30" i="6"/>
  <c r="J24" i="6"/>
  <c r="M24" i="6"/>
  <c r="J21" i="6"/>
  <c r="M21" i="6"/>
  <c r="J35" i="6"/>
  <c r="M35" i="6"/>
  <c r="J32" i="6"/>
  <c r="J26" i="6"/>
  <c r="M26" i="6"/>
  <c r="J23" i="6"/>
  <c r="M23" i="6"/>
  <c r="J53" i="20"/>
  <c r="F33" i="6" s="1"/>
  <c r="J52" i="20"/>
  <c r="J40" i="20"/>
  <c r="F27" i="6" s="1"/>
  <c r="J39" i="20"/>
  <c r="J93" i="19"/>
  <c r="G33" i="19"/>
  <c r="J33" i="19" s="1"/>
  <c r="G13" i="19"/>
  <c r="J13" i="19" s="1"/>
  <c r="G41" i="19"/>
  <c r="J42" i="19" s="1"/>
  <c r="J18" i="19"/>
  <c r="G68" i="19"/>
  <c r="J69" i="19" s="1"/>
  <c r="J99" i="19"/>
  <c r="D54" i="19"/>
  <c r="F54" i="19" s="1"/>
  <c r="G54" i="19" s="1"/>
  <c r="G56" i="19" s="1"/>
  <c r="G27" i="19"/>
  <c r="J48" i="19"/>
  <c r="J47" i="19"/>
  <c r="E55" i="18"/>
  <c r="D55" i="18"/>
  <c r="F55" i="18" s="1"/>
  <c r="G55" i="18" s="1"/>
  <c r="E54" i="18"/>
  <c r="D39" i="18"/>
  <c r="G39" i="18" s="1"/>
  <c r="E62" i="18"/>
  <c r="D62" i="18"/>
  <c r="E53" i="18"/>
  <c r="D53" i="18"/>
  <c r="D52" i="18"/>
  <c r="F52" i="18" s="1"/>
  <c r="G52" i="18" s="1"/>
  <c r="E52" i="18"/>
  <c r="E51" i="18"/>
  <c r="F51" i="18" s="1"/>
  <c r="G51" i="18" s="1"/>
  <c r="D46" i="18"/>
  <c r="D45" i="18"/>
  <c r="F46" i="18"/>
  <c r="C45" i="18"/>
  <c r="F38" i="18"/>
  <c r="G38" i="18" s="1"/>
  <c r="C32" i="18"/>
  <c r="C37" i="18" s="1"/>
  <c r="C31" i="18"/>
  <c r="E26" i="18"/>
  <c r="E32" i="18" s="1"/>
  <c r="E37" i="18" s="1"/>
  <c r="D26" i="18"/>
  <c r="D32" i="18" s="1"/>
  <c r="D37" i="18" s="1"/>
  <c r="E25" i="18"/>
  <c r="E31" i="18" s="1"/>
  <c r="F97" i="18"/>
  <c r="D97" i="18"/>
  <c r="G97" i="18" s="1"/>
  <c r="G98" i="18" s="1"/>
  <c r="J98" i="18" s="1"/>
  <c r="J99" i="18" s="1"/>
  <c r="J27" i="6" l="1"/>
  <c r="M27" i="6"/>
  <c r="J33" i="6"/>
  <c r="M33" i="6"/>
  <c r="J34" i="19"/>
  <c r="G62" i="18"/>
  <c r="G45" i="18"/>
  <c r="J136" i="20"/>
  <c r="C138" i="20" s="1"/>
  <c r="E140" i="20" s="1"/>
  <c r="E141" i="20" s="1"/>
  <c r="J41" i="19"/>
  <c r="J68" i="19"/>
  <c r="J57" i="19"/>
  <c r="J56" i="19"/>
  <c r="J28" i="19"/>
  <c r="J27" i="19"/>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J106" i="19" l="1"/>
  <c r="C108" i="19" s="1"/>
  <c r="C141" i="20"/>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7" i="6" l="1"/>
  <c r="F67" i="6"/>
  <c r="M67" i="6" s="1"/>
  <c r="J67" i="6" l="1"/>
  <c r="I13" i="6"/>
  <c r="I69" i="6" s="1"/>
  <c r="F13" i="6" l="1"/>
  <c r="J13" i="6" l="1"/>
  <c r="M13" i="6"/>
  <c r="F69" i="6"/>
  <c r="J6" i="6" l="1"/>
  <c r="J69"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32" authorId="1" shapeId="0">
      <text>
        <r>
          <rPr>
            <b/>
            <sz val="10"/>
            <color indexed="81"/>
            <rFont val="Tahoma"/>
          </rPr>
          <t>DELL:</t>
        </r>
        <r>
          <rPr>
            <sz val="10"/>
            <color indexed="81"/>
            <rFont val="Tahoma"/>
          </rPr>
          <t xml:space="preserve">
Must be value 2 so instead 1 if required use 2</t>
        </r>
      </text>
    </comment>
  </commentList>
</comments>
</file>

<file path=xl/comments5.xml><?xml version="1.0" encoding="utf-8"?>
<comments xmlns="http://schemas.openxmlformats.org/spreadsheetml/2006/main">
  <authors>
    <author>Windows User</author>
  </authors>
  <commentList>
    <comment ref="C11" authorId="0" shapeId="0">
      <text>
        <r>
          <rPr>
            <b/>
            <sz val="9"/>
            <color indexed="81"/>
            <rFont val="Tahoma"/>
            <family val="2"/>
          </rPr>
          <t>Windows User:</t>
        </r>
        <r>
          <rPr>
            <sz val="9"/>
            <color indexed="81"/>
            <rFont val="Tahoma"/>
            <family val="2"/>
          </rPr>
          <t xml:space="preserve">
white wall</t>
        </r>
      </text>
    </comment>
  </commentList>
</comments>
</file>

<file path=xl/sharedStrings.xml><?xml version="1.0" encoding="utf-8"?>
<sst xmlns="http://schemas.openxmlformats.org/spreadsheetml/2006/main" count="818" uniqueCount="167">
  <si>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</si>
  <si>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</si>
  <si>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</si>
  <si>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</si>
  <si>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</si>
  <si>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</si>
  <si>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</si>
  <si>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</si>
  <si>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</si>
  <si>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</si>
  <si>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</si>
  <si>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</si>
  <si>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</si>
  <si>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</si>
  <si>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</si>
  <si>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</si>
  <si>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</si>
  <si>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</si>
  <si>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</si>
  <si>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</si>
  <si>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</si>
  <si>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</si>
  <si>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</si>
  <si>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</si>
  <si>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</si>
  <si>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</si>
  <si>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</si>
  <si>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</si>
  <si>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</si>
  <si>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</si>
  <si>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</si>
  <si>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</si>
  <si>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</si>
  <si>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</si>
  <si>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</si>
  <si>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</si>
  <si>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</si>
  <si>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</si>
  <si>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</si>
  <si>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</si>
  <si>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</si>
  <si>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</si>
  <si>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</si>
  <si>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</si>
  <si>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</si>
  <si>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</si>
  <si>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</si>
  <si>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</si>
  <si>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</si>
  <si>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</si>
  <si>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</si>
  <si>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</si>
  <si>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</si>
  <si>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</si>
  <si>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</si>
  <si>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</si>
  <si>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</si>
  <si>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</si>
  <si>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</si>
  <si>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</si>
  <si>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</si>
  <si>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</si>
  <si>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</si>
  <si>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</si>
  <si>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</si>
  <si>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</si>
  <si>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</si>
  <si>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</si>
  <si>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</si>
  <si>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</si>
  <si>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</si>
  <si>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</si>
  <si>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</si>
  <si>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</si>
  <si>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</si>
  <si>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</si>
  <si>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</si>
  <si>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</si>
  <si>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</si>
  <si>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</si>
  <si>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</si>
  <si>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</si>
  <si>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</si>
  <si>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</si>
  <si>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</si>
  <si>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</si>
  <si>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</si>
  <si>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</si>
  <si>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</si>
  <si>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</si>
  <si>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</si>
  <si>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</si>
  <si>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</si>
  <si>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</si>
  <si>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</si>
  <si>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</si>
  <si>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</si>
  <si>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</si>
  <si>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</si>
  <si>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</si>
  <si>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</si>
  <si>
    <t>upto inner face to gate</t>
  </si>
  <si>
    <t>outer face of gate side new wall</t>
  </si>
  <si>
    <t>inner face of gate side wall</t>
  </si>
  <si>
    <t>upto gate</t>
  </si>
  <si>
    <t>back compound inner face wall</t>
  </si>
  <si>
    <t>break point of old wall and new wall</t>
  </si>
  <si>
    <t>old wall</t>
  </si>
  <si>
    <t>inner face complete</t>
  </si>
  <si>
    <t>outside face of back compound</t>
  </si>
  <si>
    <t>DPC to top of new wall</t>
  </si>
  <si>
    <t>new wall complete</t>
  </si>
  <si>
    <t>old wall starts</t>
  </si>
  <si>
    <t>baniya gaun baato to gate side</t>
  </si>
  <si>
    <t>-Chautari</t>
  </si>
  <si>
    <t>e'O{tNnfdf lrDgL e§fsf] O{6f pknAw ug]{,</t>
  </si>
  <si>
    <t>l;d]G6 d;nf -!M^_ tof/ u/L uf/f] nufpg]</t>
  </si>
  <si>
    <t xml:space="preserve">sfd #) dL6/;Dd 9'jfgL ;lxt </t>
  </si>
  <si>
    <t>b/ ljZn]if0fsf] nflu ! 3=ld= lnOPsf]</t>
  </si>
  <si>
    <t>;|f]t ;fwg</t>
  </si>
  <si>
    <t>tx÷lsl;d</t>
  </si>
  <si>
    <t>kl/df0f</t>
  </si>
  <si>
    <t>PsfO{</t>
  </si>
  <si>
    <t>b/ k|lt PsfO{</t>
  </si>
  <si>
    <t>/sd</t>
  </si>
  <si>
    <t>k|To]s ;|f]t ;fwgsf] hDdf</t>
  </si>
  <si>
    <t>&gt;lds</t>
  </si>
  <si>
    <t>s_ l;kfn'</t>
  </si>
  <si>
    <t>hjfg</t>
  </si>
  <si>
    <t>v_ HofdL</t>
  </si>
  <si>
    <t>u_ HofdL</t>
  </si>
  <si>
    <t xml:space="preserve">O{6f </t>
  </si>
  <si>
    <t>uf]6f</t>
  </si>
  <si>
    <t>lgdf{0f ;fdu|L</t>
  </si>
  <si>
    <t>l;d]G6</t>
  </si>
  <si>
    <t>d]=6=</t>
  </si>
  <si>
    <t>afn'jf vf]nfsf]</t>
  </si>
  <si>
    <t>3=dL=</t>
  </si>
  <si>
    <t>kfgL</t>
  </si>
  <si>
    <t>nL6/</t>
  </si>
  <si>
    <t>v6sf] ;ffdfg</t>
  </si>
  <si>
    <t>-u_ sf] #Ü n]</t>
  </si>
  <si>
    <t>jf:tljs b//]6</t>
  </si>
  <si>
    <t>b/ k|lt 3=dL=sf]</t>
  </si>
  <si>
    <t>!%Ü 7]s]bf/ cf]e/x]8</t>
  </si>
  <si>
    <t>?=</t>
  </si>
  <si>
    <t>hDdf b/ /]6</t>
  </si>
  <si>
    <t>-window backyard</t>
  </si>
  <si>
    <t>-deduction for column part</t>
  </si>
  <si>
    <t>-front side right part of gate</t>
  </si>
  <si>
    <t>-front side left part of gate</t>
  </si>
  <si>
    <t>-window top cover at backyard</t>
  </si>
  <si>
    <t>-wall at front</t>
  </si>
  <si>
    <t>-at front wall</t>
  </si>
  <si>
    <t>-at backyard wall</t>
  </si>
  <si>
    <t>Area (m2)</t>
  </si>
  <si>
    <t>by actual measurement in digital weighing machine</t>
  </si>
  <si>
    <t>-MS Rectangular Hollow section of 40mm*25mm*2.2mm for window</t>
  </si>
  <si>
    <t>by actual measurement in digital weighing machine at site</t>
  </si>
  <si>
    <t>-metal door with MS sheet 900mm wide or as per required and of 14G including frames</t>
  </si>
  <si>
    <t>-MS equal angle of size 50mm*50mm of thickness 3mm</t>
  </si>
  <si>
    <t>-deduction for MS sheet 900mm wide or as per required and of 14G thick</t>
  </si>
  <si>
    <t xml:space="preserve">k'/fgf] O{6f </t>
  </si>
  <si>
    <t>c:t/ jfx]s Pssf]6 tof/L Ogfd]n k]G6 ug]{ sfd .</t>
  </si>
  <si>
    <t>-gate</t>
  </si>
  <si>
    <t>Area of plaster (m2)</t>
  </si>
  <si>
    <t>-deduction for incomplete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</si>
</sst>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4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
      <b/>
      <sz val="12"/>
      <color rgb="FF00B050"/>
      <name val="Preeti"/>
    </font>
    <font>
      <sz val="11"/>
      <color rgb="FF00B050"/>
      <name val="Times New Roman"/>
      <family val="1"/>
    </font>
    <font>
      <b/>
      <sz val="11"/>
      <color rgb="FF00B050"/>
      <name val="Times New Roman"/>
      <family val="1"/>
    </font>
    <font>
      <sz val="10"/>
      <name val="FONTASY_ HIMALI_ TT"/>
      <family val="5"/>
    </font>
    <font>
      <sz val="11"/>
      <name val="Preeti"/>
    </font>
    <font>
      <sz val="13"/>
      <name val="Preeti"/>
    </font>
    <font>
      <sz val="10"/>
      <name val="Fontasy Himali"/>
      <family val="5"/>
    </font>
    <font>
      <sz val="11"/>
      <color rgb="FF00B050"/>
      <name val="Calibri"/>
      <family val="2"/>
      <scheme val="minor"/>
    </font>
    <font>
      <sz val="10"/>
      <color indexed="81"/>
      <name val="Tahoma"/>
    </font>
    <font>
      <b/>
      <sz val="10"/>
      <color indexed="81"/>
      <name val="Tahoma"/>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15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6" fillId="0" borderId="1" xfId="0" applyFont="1" applyBorder="1" applyAlignment="1">
      <alignment wrapText="1"/>
    </xf>
    <xf numFmtId="2" fontId="12" fillId="0" borderId="1" xfId="0" applyNumberFormat="1" applyFont="1" applyBorder="1"/>
    <xf numFmtId="0" fontId="13" fillId="0" borderId="1" xfId="0" quotePrefix="1" applyFont="1" applyBorder="1" applyAlignment="1">
      <alignment horizontal="right" wrapText="1"/>
    </xf>
    <xf numFmtId="2" fontId="13" fillId="0" borderId="1" xfId="0" applyNumberFormat="1" applyFont="1" applyBorder="1" applyAlignment="1">
      <alignment vertical="center"/>
    </xf>
    <xf numFmtId="0" fontId="31" fillId="0" borderId="1" xfId="0" applyFont="1" applyBorder="1" applyAlignment="1">
      <alignment wrapText="1"/>
    </xf>
    <xf numFmtId="165" fontId="32" fillId="0" borderId="1" xfId="0" applyNumberFormat="1" applyFont="1" applyFill="1" applyBorder="1" applyAlignment="1">
      <alignment vertical="center"/>
    </xf>
    <xf numFmtId="2" fontId="32" fillId="0" borderId="1" xfId="1" applyNumberFormat="1" applyFont="1" applyFill="1" applyBorder="1" applyAlignment="1">
      <alignment vertical="center"/>
    </xf>
    <xf numFmtId="2" fontId="32" fillId="0" borderId="1" xfId="0" applyNumberFormat="1" applyFont="1" applyFill="1" applyBorder="1" applyAlignment="1">
      <alignment vertical="center"/>
    </xf>
    <xf numFmtId="2" fontId="33" fillId="0" borderId="1" xfId="1" applyNumberFormat="1" applyFont="1" applyFill="1" applyBorder="1" applyAlignment="1">
      <alignment vertical="center"/>
    </xf>
    <xf numFmtId="2" fontId="33" fillId="0" borderId="1" xfId="0" applyNumberFormat="1" applyFont="1" applyFill="1" applyBorder="1" applyAlignment="1">
      <alignment vertical="center"/>
    </xf>
    <xf numFmtId="2" fontId="33" fillId="0" borderId="1" xfId="0" applyNumberFormat="1" applyFont="1" applyBorder="1"/>
    <xf numFmtId="0" fontId="32" fillId="0" borderId="1" xfId="0" quotePrefix="1" applyFont="1" applyBorder="1" applyAlignment="1">
      <alignment horizontal="right" wrapText="1"/>
    </xf>
    <xf numFmtId="0" fontId="32" fillId="0" borderId="1" xfId="0" applyFont="1" applyBorder="1"/>
    <xf numFmtId="2" fontId="32" fillId="0" borderId="1" xfId="0" applyNumberFormat="1" applyFont="1" applyBorder="1"/>
    <xf numFmtId="2" fontId="32" fillId="0" borderId="1" xfId="0" applyNumberFormat="1" applyFont="1" applyBorder="1" applyAlignment="1">
      <alignment vertical="center"/>
    </xf>
    <xf numFmtId="0" fontId="33" fillId="0" borderId="1" xfId="0" applyFont="1" applyBorder="1"/>
    <xf numFmtId="0" fontId="36" fillId="0" borderId="1" xfId="0" applyFont="1" applyBorder="1" applyAlignment="1">
      <alignment horizontal="center" vertical="center" wrapText="1"/>
    </xf>
    <xf numFmtId="0" fontId="36" fillId="0" borderId="1" xfId="0" applyFont="1" applyBorder="1" applyAlignment="1">
      <alignment horizontal="center"/>
    </xf>
    <xf numFmtId="2" fontId="34" fillId="0" borderId="1" xfId="0" applyNumberFormat="1" applyFont="1" applyBorder="1" applyAlignment="1">
      <alignment horizontal="center"/>
    </xf>
    <xf numFmtId="2" fontId="37" fillId="0" borderId="1" xfId="0" applyNumberFormat="1" applyFont="1" applyBorder="1" applyAlignment="1">
      <alignment horizontal="center"/>
    </xf>
    <xf numFmtId="2" fontId="34" fillId="0" borderId="1" xfId="0" applyNumberFormat="1" applyFont="1" applyBorder="1" applyAlignment="1">
      <alignment horizontal="center" vertical="center" wrapText="1"/>
    </xf>
    <xf numFmtId="2" fontId="34" fillId="0" borderId="1" xfId="0" applyNumberFormat="1" applyFont="1" applyBorder="1" applyAlignment="1">
      <alignment horizontal="center" vertical="center"/>
    </xf>
    <xf numFmtId="0" fontId="29" fillId="0" borderId="1" xfId="0" applyFont="1" applyBorder="1"/>
    <xf numFmtId="1" fontId="37" fillId="0" borderId="1" xfId="0" applyNumberFormat="1" applyFont="1" applyBorder="1" applyAlignment="1">
      <alignment horizontal="center"/>
    </xf>
    <xf numFmtId="0" fontId="36" fillId="0" borderId="1" xfId="0" applyFont="1" applyBorder="1"/>
    <xf numFmtId="2" fontId="34" fillId="0" borderId="1" xfId="0" applyNumberFormat="1" applyFont="1" applyBorder="1"/>
    <xf numFmtId="0" fontId="29" fillId="0" borderId="1" xfId="0" applyFont="1" applyBorder="1" applyAlignment="1">
      <alignment horizontal="right"/>
    </xf>
    <xf numFmtId="1" fontId="33" fillId="0" borderId="1" xfId="0" applyNumberFormat="1" applyFont="1" applyFill="1" applyBorder="1" applyAlignment="1">
      <alignment vertical="center"/>
    </xf>
    <xf numFmtId="1" fontId="31" fillId="0" borderId="1" xfId="0" applyNumberFormat="1" applyFont="1" applyFill="1" applyBorder="1" applyAlignment="1">
      <alignment vertical="center" wrapText="1"/>
    </xf>
    <xf numFmtId="0" fontId="38" fillId="0" borderId="1" xfId="0" applyFont="1" applyBorder="1"/>
    <xf numFmtId="2" fontId="32" fillId="0" borderId="1" xfId="1" applyNumberFormat="1" applyFont="1" applyFill="1" applyBorder="1" applyAlignment="1">
      <alignment vertical="center" wrapText="1"/>
    </xf>
    <xf numFmtId="2" fontId="32" fillId="0" borderId="1" xfId="0" applyNumberFormat="1" applyFont="1" applyFill="1" applyBorder="1" applyAlignment="1">
      <alignment vertical="center" wrapText="1"/>
    </xf>
    <xf numFmtId="166" fontId="32" fillId="0" borderId="1" xfId="1" applyNumberFormat="1" applyFont="1" applyFill="1" applyBorder="1" applyAlignment="1">
      <alignment vertical="center"/>
    </xf>
    <xf numFmtId="2" fontId="13" fillId="0" borderId="7" xfId="0" applyNumberFormat="1" applyFont="1" applyFill="1" applyBorder="1" applyAlignment="1">
      <alignment vertical="center" wrapText="1"/>
    </xf>
    <xf numFmtId="2" fontId="13" fillId="0" borderId="7" xfId="0" applyNumberFormat="1" applyFont="1" applyFill="1" applyBorder="1" applyAlignment="1">
      <alignment horizontal="center" vertical="center" wrapText="1"/>
    </xf>
    <xf numFmtId="2" fontId="0" fillId="0" borderId="0" xfId="0" applyNumberFormat="1"/>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3" fillId="0" borderId="5"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2" fontId="13" fillId="0" borderId="1" xfId="1" applyNumberFormat="1" applyFont="1" applyFill="1" applyBorder="1" applyAlignment="1">
      <alignment horizontal="center" vertical="center"/>
    </xf>
    <xf numFmtId="2" fontId="13" fillId="0" borderId="6" xfId="0" applyNumberFormat="1" applyFont="1" applyFill="1" applyBorder="1" applyAlignment="1">
      <alignment horizontal="center" vertical="center" wrapText="1"/>
    </xf>
    <xf numFmtId="2" fontId="13" fillId="0" borderId="8" xfId="0" applyNumberFormat="1" applyFont="1" applyFill="1" applyBorder="1" applyAlignment="1">
      <alignment horizontal="center" vertical="center" wrapText="1"/>
    </xf>
    <xf numFmtId="2" fontId="13" fillId="0" borderId="7" xfId="0" applyNumberFormat="1" applyFont="1" applyFill="1" applyBorder="1" applyAlignment="1">
      <alignment horizontal="center" vertical="center" wrapText="1"/>
    </xf>
    <xf numFmtId="0" fontId="36" fillId="0" borderId="1" xfId="0" applyFont="1" applyBorder="1" applyAlignment="1">
      <alignment horizontal="center" vertical="center"/>
    </xf>
    <xf numFmtId="0" fontId="0" fillId="0" borderId="1" xfId="0" applyBorder="1" applyAlignment="1">
      <alignment horizontal="center" vertical="center"/>
    </xf>
    <xf numFmtId="0" fontId="36" fillId="0" borderId="1" xfId="0" quotePrefix="1" applyFont="1" applyBorder="1" applyAlignment="1">
      <alignment horizontal="center" vertical="center"/>
    </xf>
    <xf numFmtId="0" fontId="36" fillId="0" borderId="1" xfId="0" applyFont="1" applyBorder="1" applyAlignment="1">
      <alignment vertical="center"/>
    </xf>
    <xf numFmtId="0" fontId="14" fillId="0" borderId="0" xfId="0" applyFont="1" applyAlignment="1">
      <alignment horizontal="center"/>
    </xf>
    <xf numFmtId="0" fontId="35" fillId="0" borderId="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125" t="s">
        <v>0</v>
      </c>
      <c r="B1" s="125"/>
      <c r="C1" s="125"/>
      <c r="D1" s="125"/>
      <c r="E1" s="125"/>
      <c r="F1" s="125"/>
      <c r="G1" s="125"/>
      <c r="H1" s="125"/>
      <c r="I1" s="125"/>
      <c r="J1" s="125"/>
      <c r="K1" s="125"/>
    </row>
    <row r="2" spans="1:19" s="1" customFormat="1" ht="22.8">
      <c r="A2" s="126" t="s">
        <v>1</v>
      </c>
      <c r="B2" s="126"/>
      <c r="C2" s="126"/>
      <c r="D2" s="126"/>
      <c r="E2" s="126"/>
      <c r="F2" s="126"/>
      <c r="G2" s="126"/>
      <c r="H2" s="126"/>
      <c r="I2" s="126"/>
      <c r="J2" s="126"/>
      <c r="K2" s="126"/>
    </row>
    <row r="3" spans="1:19" s="1" customFormat="1">
      <c r="A3" s="127" t="s">
        <v>2</v>
      </c>
      <c r="B3" s="127"/>
      <c r="C3" s="127"/>
      <c r="D3" s="127"/>
      <c r="E3" s="127"/>
      <c r="F3" s="127"/>
      <c r="G3" s="127"/>
      <c r="H3" s="127"/>
      <c r="I3" s="127"/>
      <c r="J3" s="127"/>
      <c r="K3" s="127"/>
    </row>
    <row r="4" spans="1:19" s="1" customFormat="1">
      <c r="A4" s="127" t="s">
        <v>3</v>
      </c>
      <c r="B4" s="127"/>
      <c r="C4" s="127"/>
      <c r="D4" s="127"/>
      <c r="E4" s="127"/>
      <c r="F4" s="127"/>
      <c r="G4" s="127"/>
      <c r="H4" s="127"/>
      <c r="I4" s="127"/>
      <c r="J4" s="127"/>
      <c r="K4" s="127"/>
    </row>
    <row r="5" spans="1:19" ht="17.399999999999999">
      <c r="A5" s="128" t="s">
        <v>4</v>
      </c>
      <c r="B5" s="128"/>
      <c r="C5" s="128"/>
      <c r="D5" s="128"/>
      <c r="E5" s="128"/>
      <c r="F5" s="128"/>
      <c r="G5" s="128"/>
      <c r="H5" s="128"/>
      <c r="I5" s="128"/>
      <c r="J5" s="128"/>
      <c r="K5" s="128"/>
    </row>
    <row r="6" spans="1:19" ht="15.6">
      <c r="A6" s="123" t="s">
        <v>44</v>
      </c>
      <c r="B6" s="123"/>
      <c r="C6" s="123"/>
      <c r="D6" s="123"/>
      <c r="E6" s="123"/>
      <c r="F6" s="123"/>
      <c r="G6" s="2"/>
      <c r="H6" s="124" t="s">
        <v>43</v>
      </c>
      <c r="I6" s="124"/>
      <c r="J6" s="124"/>
      <c r="K6" s="124"/>
    </row>
    <row r="7" spans="1:19" ht="15.6">
      <c r="A7" s="120" t="s">
        <v>28</v>
      </c>
      <c r="B7" s="120"/>
      <c r="C7" s="120"/>
      <c r="D7" s="120"/>
      <c r="E7" s="120"/>
      <c r="F7" s="120"/>
      <c r="G7" s="3"/>
      <c r="H7" s="121" t="s">
        <v>45</v>
      </c>
      <c r="I7" s="121"/>
      <c r="J7" s="121"/>
      <c r="K7" s="121"/>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7" t="s">
        <v>52</v>
      </c>
      <c r="N11" s="118"/>
      <c r="O11" s="118"/>
      <c r="P11" s="118"/>
      <c r="Q11" s="118"/>
      <c r="R11" s="118"/>
      <c r="S11" s="118"/>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s="1" customFormat="1" ht="45.6">
      <c r="A96" s="18">
        <v>15</v>
      </c>
      <c r="B96" s="61" t="s">
        <v>69</v>
      </c>
      <c r="C96" s="61"/>
      <c r="D96" s="61"/>
      <c r="E96" s="61"/>
      <c r="F96" s="61"/>
      <c r="G96" s="61"/>
      <c r="H96" s="61"/>
      <c r="I96" s="23"/>
      <c r="J96" s="62"/>
      <c r="K96" s="21"/>
    </row>
    <row r="97" spans="1:16">
      <c r="A97" s="18"/>
      <c r="B97" s="63" t="s">
        <v>70</v>
      </c>
      <c r="C97" s="19">
        <v>2</v>
      </c>
      <c r="D97" s="20">
        <f>3.333/3.281</f>
        <v>1.0158488265772629</v>
      </c>
      <c r="E97" s="21"/>
      <c r="F97" s="21">
        <f>8.333/3.281</f>
        <v>2.5397744590064004</v>
      </c>
      <c r="G97" s="64">
        <f>PRODUCT(C97:F97)</f>
        <v>5.1600538079051095</v>
      </c>
      <c r="H97" s="65"/>
      <c r="I97" s="23"/>
      <c r="J97" s="66"/>
      <c r="K97" s="21"/>
    </row>
    <row r="98" spans="1:16">
      <c r="A98" s="18"/>
      <c r="B98" s="24" t="s">
        <v>40</v>
      </c>
      <c r="C98" s="19"/>
      <c r="D98" s="20"/>
      <c r="E98" s="21"/>
      <c r="F98" s="21"/>
      <c r="G98" s="23">
        <f>SUM(G97:G97)</f>
        <v>5.1600538079051095</v>
      </c>
      <c r="H98" s="22" t="s">
        <v>62</v>
      </c>
      <c r="I98" s="33">
        <v>8306.7099999999991</v>
      </c>
      <c r="J98" s="66">
        <f>G98*I98</f>
        <v>42863.070566663446</v>
      </c>
      <c r="K98" s="21"/>
    </row>
    <row r="99" spans="1:16">
      <c r="A99" s="18"/>
      <c r="B99" s="24" t="s">
        <v>71</v>
      </c>
      <c r="C99" s="19"/>
      <c r="D99" s="20"/>
      <c r="E99" s="21"/>
      <c r="F99" s="21"/>
      <c r="G99" s="23"/>
      <c r="H99" s="22"/>
      <c r="I99" s="23"/>
      <c r="J99" s="62">
        <f>0.13*J98</f>
        <v>5572.1991736662485</v>
      </c>
      <c r="K99" s="21"/>
    </row>
    <row r="100" spans="1:16">
      <c r="A100" s="18"/>
      <c r="B100" s="24"/>
      <c r="C100" s="19"/>
      <c r="D100" s="20"/>
      <c r="E100" s="21"/>
      <c r="F100" s="21"/>
      <c r="G100" s="23"/>
      <c r="H100" s="22"/>
      <c r="I100" s="23"/>
      <c r="J100" s="62"/>
      <c r="K100" s="21"/>
    </row>
    <row r="101" spans="1:16" ht="15" customHeight="1">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c r="A102" s="18"/>
      <c r="B102" s="36"/>
      <c r="C102" s="19"/>
      <c r="D102" s="20"/>
      <c r="E102" s="21"/>
      <c r="F102" s="21"/>
      <c r="G102" s="23"/>
      <c r="H102" s="22"/>
      <c r="I102" s="23"/>
      <c r="J102" s="40"/>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532419.58529343281</v>
      </c>
      <c r="K106" s="35"/>
    </row>
    <row r="107" spans="1:16">
      <c r="A107" s="53"/>
      <c r="B107" s="56"/>
      <c r="C107" s="57"/>
      <c r="D107" s="54"/>
      <c r="E107" s="54"/>
      <c r="F107" s="54"/>
      <c r="G107" s="55"/>
      <c r="H107" s="55"/>
      <c r="I107" s="55"/>
      <c r="J107" s="55"/>
      <c r="K107" s="52"/>
    </row>
    <row r="108" spans="1:16" s="1" customFormat="1">
      <c r="A108" s="45"/>
      <c r="B108" s="29" t="s">
        <v>27</v>
      </c>
      <c r="C108" s="119">
        <f>J106</f>
        <v>532419.58529343281</v>
      </c>
      <c r="D108" s="119"/>
      <c r="E108" s="38">
        <v>100</v>
      </c>
      <c r="F108" s="46"/>
      <c r="G108" s="47"/>
      <c r="H108" s="46"/>
      <c r="I108" s="48"/>
      <c r="J108" s="49"/>
      <c r="K108" s="50"/>
    </row>
    <row r="109" spans="1:16">
      <c r="A109" s="51"/>
      <c r="B109" s="29" t="s">
        <v>32</v>
      </c>
      <c r="C109" s="122">
        <v>500000</v>
      </c>
      <c r="D109" s="122"/>
      <c r="E109" s="38"/>
      <c r="F109" s="44"/>
      <c r="G109" s="43"/>
      <c r="H109" s="53"/>
      <c r="I109" s="53"/>
      <c r="J109" s="53"/>
      <c r="K109" s="52"/>
      <c r="L109" s="34"/>
      <c r="M109" s="34"/>
      <c r="N109" s="34"/>
      <c r="O109" s="34"/>
      <c r="P109" s="34"/>
    </row>
    <row r="110" spans="1:16" ht="14.4" customHeight="1">
      <c r="A110" s="51"/>
      <c r="B110" s="29" t="s">
        <v>33</v>
      </c>
      <c r="C110" s="122">
        <f>C109-C112-C113</f>
        <v>475000</v>
      </c>
      <c r="D110" s="122"/>
      <c r="E110" s="38">
        <f>C110/C108*100</f>
        <v>89.215350659614231</v>
      </c>
      <c r="F110" s="44"/>
      <c r="G110" s="43"/>
      <c r="H110" s="53"/>
      <c r="I110" s="25"/>
      <c r="J110" s="25"/>
      <c r="K110" s="25"/>
      <c r="L110" s="25"/>
      <c r="M110" s="25"/>
      <c r="N110" s="25"/>
      <c r="O110" s="25"/>
      <c r="P110" s="34"/>
    </row>
    <row r="111" spans="1:16" ht="14.4" customHeight="1">
      <c r="A111" s="51"/>
      <c r="B111" s="29" t="s">
        <v>34</v>
      </c>
      <c r="C111" s="119">
        <f>C108-C110</f>
        <v>57419.585293432814</v>
      </c>
      <c r="D111" s="119"/>
      <c r="E111" s="38">
        <f>100-E110</f>
        <v>10.784649340385769</v>
      </c>
      <c r="F111" s="44"/>
      <c r="G111" s="43"/>
      <c r="H111" s="53"/>
      <c r="I111" s="25"/>
      <c r="J111" s="25"/>
      <c r="K111" s="25"/>
      <c r="L111" s="25"/>
      <c r="M111" s="25"/>
      <c r="N111" s="25"/>
      <c r="O111" s="25"/>
      <c r="P111" s="34"/>
    </row>
    <row r="112" spans="1:16">
      <c r="A112" s="51"/>
      <c r="B112" s="29" t="s">
        <v>35</v>
      </c>
      <c r="C112" s="119">
        <f>C109*0.03</f>
        <v>15000</v>
      </c>
      <c r="D112" s="119"/>
      <c r="E112" s="38">
        <v>3</v>
      </c>
      <c r="F112" s="44"/>
      <c r="G112" s="43"/>
      <c r="H112" s="53"/>
      <c r="I112" s="53"/>
      <c r="J112" s="53"/>
      <c r="K112" s="52"/>
      <c r="L112" s="34"/>
      <c r="M112" s="34"/>
      <c r="N112" s="34"/>
      <c r="O112" s="34"/>
      <c r="P112" s="34"/>
    </row>
    <row r="113" spans="1:16">
      <c r="A113" s="51"/>
      <c r="B113" s="29" t="s">
        <v>36</v>
      </c>
      <c r="C113" s="119">
        <f>C109*0.02</f>
        <v>10000</v>
      </c>
      <c r="D113" s="119"/>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A6:F6"/>
    <mergeCell ref="H6:K6"/>
    <mergeCell ref="A1:K1"/>
    <mergeCell ref="A2:K2"/>
    <mergeCell ref="A3:K3"/>
    <mergeCell ref="A4:K4"/>
    <mergeCell ref="A5:K5"/>
    <mergeCell ref="M11:S11"/>
    <mergeCell ref="C112:D112"/>
    <mergeCell ref="C113:D113"/>
    <mergeCell ref="A7:F7"/>
    <mergeCell ref="H7:K7"/>
    <mergeCell ref="C108:D108"/>
    <mergeCell ref="C109:D109"/>
    <mergeCell ref="C110:D110"/>
    <mergeCell ref="C111:D111"/>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125" t="s">
        <v>0</v>
      </c>
      <c r="B1" s="125"/>
      <c r="C1" s="125"/>
      <c r="D1" s="125"/>
      <c r="E1" s="125"/>
      <c r="F1" s="125"/>
      <c r="G1" s="125"/>
      <c r="H1" s="125"/>
      <c r="I1" s="125"/>
      <c r="J1" s="125"/>
      <c r="K1" s="125"/>
    </row>
    <row r="2" spans="1:19" s="1" customFormat="1" ht="22.8">
      <c r="A2" s="126" t="s">
        <v>1</v>
      </c>
      <c r="B2" s="126"/>
      <c r="C2" s="126"/>
      <c r="D2" s="126"/>
      <c r="E2" s="126"/>
      <c r="F2" s="126"/>
      <c r="G2" s="126"/>
      <c r="H2" s="126"/>
      <c r="I2" s="126"/>
      <c r="J2" s="126"/>
      <c r="K2" s="126"/>
    </row>
    <row r="3" spans="1:19" s="1" customFormat="1">
      <c r="A3" s="127" t="s">
        <v>2</v>
      </c>
      <c r="B3" s="127"/>
      <c r="C3" s="127"/>
      <c r="D3" s="127"/>
      <c r="E3" s="127"/>
      <c r="F3" s="127"/>
      <c r="G3" s="127"/>
      <c r="H3" s="127"/>
      <c r="I3" s="127"/>
      <c r="J3" s="127"/>
      <c r="K3" s="127"/>
    </row>
    <row r="4" spans="1:19" s="1" customFormat="1">
      <c r="A4" s="127" t="s">
        <v>3</v>
      </c>
      <c r="B4" s="127"/>
      <c r="C4" s="127"/>
      <c r="D4" s="127"/>
      <c r="E4" s="127"/>
      <c r="F4" s="127"/>
      <c r="G4" s="127"/>
      <c r="H4" s="127"/>
      <c r="I4" s="127"/>
      <c r="J4" s="127"/>
      <c r="K4" s="127"/>
    </row>
    <row r="5" spans="1:19" ht="17.399999999999999">
      <c r="A5" s="128" t="s">
        <v>4</v>
      </c>
      <c r="B5" s="128"/>
      <c r="C5" s="128"/>
      <c r="D5" s="128"/>
      <c r="E5" s="128"/>
      <c r="F5" s="128"/>
      <c r="G5" s="128"/>
      <c r="H5" s="128"/>
      <c r="I5" s="128"/>
      <c r="J5" s="128"/>
      <c r="K5" s="128"/>
    </row>
    <row r="6" spans="1:19" ht="15.6">
      <c r="A6" s="123" t="s">
        <v>44</v>
      </c>
      <c r="B6" s="123"/>
      <c r="C6" s="123"/>
      <c r="D6" s="123"/>
      <c r="E6" s="123"/>
      <c r="F6" s="123"/>
      <c r="G6" s="2"/>
      <c r="H6" s="124" t="s">
        <v>43</v>
      </c>
      <c r="I6" s="124"/>
      <c r="J6" s="124"/>
      <c r="K6" s="124"/>
    </row>
    <row r="7" spans="1:19" ht="15.6">
      <c r="A7" s="120" t="s">
        <v>28</v>
      </c>
      <c r="B7" s="120"/>
      <c r="C7" s="120"/>
      <c r="D7" s="120"/>
      <c r="E7" s="120"/>
      <c r="F7" s="120"/>
      <c r="G7" s="3"/>
      <c r="H7" s="121" t="s">
        <v>45</v>
      </c>
      <c r="I7" s="121"/>
      <c r="J7" s="121"/>
      <c r="K7" s="121"/>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7" t="s">
        <v>52</v>
      </c>
      <c r="N11" s="118"/>
      <c r="O11" s="118"/>
      <c r="P11" s="118"/>
      <c r="Q11" s="118"/>
      <c r="R11" s="118"/>
      <c r="S11" s="118"/>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ht="30.6">
      <c r="A96" s="18">
        <v>15</v>
      </c>
      <c r="B96" s="60" t="s">
        <v>88</v>
      </c>
      <c r="C96" s="19" t="s">
        <v>7</v>
      </c>
      <c r="D96" s="67" t="s">
        <v>41</v>
      </c>
      <c r="E96" s="68" t="s">
        <v>77</v>
      </c>
      <c r="F96" s="68" t="s">
        <v>78</v>
      </c>
      <c r="G96" s="68" t="s">
        <v>79</v>
      </c>
      <c r="H96" s="22"/>
      <c r="I96" s="23"/>
      <c r="J96" s="40"/>
      <c r="K96" s="21"/>
    </row>
    <row r="97" spans="1:16" ht="28.2">
      <c r="A97" s="18"/>
      <c r="B97" s="36" t="s">
        <v>89</v>
      </c>
      <c r="C97" s="19">
        <v>4</v>
      </c>
      <c r="D97" s="20">
        <f>(3.333*3+8.333*2)/3.281</f>
        <v>8.1270953977445899</v>
      </c>
      <c r="E97" s="21">
        <v>1.04</v>
      </c>
      <c r="F97" s="21">
        <f>PRODUCT(C97:E97)</f>
        <v>33.808716854617494</v>
      </c>
      <c r="G97" s="69">
        <f>F97</f>
        <v>33.808716854617494</v>
      </c>
      <c r="H97" s="22"/>
      <c r="I97" s="23"/>
      <c r="J97" s="40"/>
      <c r="K97" s="21"/>
    </row>
    <row r="98" spans="1:16" ht="28.2">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c r="A99" s="18"/>
      <c r="B99" s="36" t="s">
        <v>40</v>
      </c>
      <c r="C99" s="19"/>
      <c r="D99" s="20"/>
      <c r="E99" s="21"/>
      <c r="F99" s="21"/>
      <c r="G99" s="23">
        <f>SUM(G97:G98)</f>
        <v>171.62035964644926</v>
      </c>
      <c r="H99" s="22" t="s">
        <v>90</v>
      </c>
      <c r="I99" s="23">
        <v>181.17</v>
      </c>
      <c r="J99" s="40">
        <f>G99*I99</f>
        <v>31092.460557147209</v>
      </c>
      <c r="K99" s="21"/>
    </row>
    <row r="100" spans="1:16" ht="15" customHeight="1">
      <c r="A100" s="18"/>
      <c r="B100" s="36" t="s">
        <v>38</v>
      </c>
      <c r="C100" s="19"/>
      <c r="D100" s="20"/>
      <c r="E100" s="21"/>
      <c r="F100" s="21"/>
      <c r="G100" s="23"/>
      <c r="H100" s="22"/>
      <c r="I100" s="23"/>
      <c r="J100" s="40">
        <f>0.13*G99*1871.42/18.94</f>
        <v>2204.4662380381496</v>
      </c>
      <c r="K100" s="21"/>
    </row>
    <row r="101" spans="1:16" ht="15" customHeight="1">
      <c r="A101" s="18"/>
      <c r="B101" s="36"/>
      <c r="C101" s="19"/>
      <c r="D101" s="20"/>
      <c r="E101" s="21"/>
      <c r="F101" s="21"/>
      <c r="G101" s="23"/>
      <c r="H101" s="22"/>
      <c r="I101" s="23"/>
      <c r="J101" s="40"/>
      <c r="K101" s="21"/>
    </row>
    <row r="102" spans="1:16" ht="15" customHeight="1">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517281.24234828848</v>
      </c>
      <c r="K106" s="35"/>
    </row>
    <row r="107" spans="1:16">
      <c r="A107" s="53"/>
      <c r="B107" s="56"/>
      <c r="C107" s="57"/>
      <c r="D107" s="54"/>
      <c r="E107" s="54"/>
      <c r="F107" s="54"/>
      <c r="G107" s="55"/>
      <c r="H107" s="55"/>
      <c r="I107" s="55"/>
      <c r="J107" s="55"/>
      <c r="K107" s="52"/>
    </row>
    <row r="108" spans="1:16" s="1" customFormat="1">
      <c r="A108" s="45"/>
      <c r="B108" s="29" t="s">
        <v>27</v>
      </c>
      <c r="C108" s="119">
        <f>J106</f>
        <v>517281.24234828848</v>
      </c>
      <c r="D108" s="119"/>
      <c r="E108" s="38">
        <v>100</v>
      </c>
      <c r="F108" s="46"/>
      <c r="G108" s="47"/>
      <c r="H108" s="46"/>
      <c r="I108" s="48"/>
      <c r="J108" s="49"/>
      <c r="K108" s="50"/>
    </row>
    <row r="109" spans="1:16">
      <c r="A109" s="51"/>
      <c r="B109" s="29" t="s">
        <v>32</v>
      </c>
      <c r="C109" s="122">
        <v>500000</v>
      </c>
      <c r="D109" s="122"/>
      <c r="E109" s="38"/>
      <c r="F109" s="44"/>
      <c r="G109" s="43"/>
      <c r="H109" s="53"/>
      <c r="I109" s="53"/>
      <c r="J109" s="53"/>
      <c r="K109" s="52"/>
      <c r="L109" s="34"/>
      <c r="M109" s="34"/>
      <c r="N109" s="34"/>
      <c r="O109" s="34"/>
      <c r="P109" s="34"/>
    </row>
    <row r="110" spans="1:16" ht="14.4" customHeight="1">
      <c r="A110" s="51"/>
      <c r="B110" s="29" t="s">
        <v>33</v>
      </c>
      <c r="C110" s="122">
        <f>C109-C112-C113</f>
        <v>475000</v>
      </c>
      <c r="D110" s="122"/>
      <c r="E110" s="38">
        <f>C110/C108*100</f>
        <v>91.826256417815316</v>
      </c>
      <c r="F110" s="44"/>
      <c r="G110" s="43"/>
      <c r="H110" s="53"/>
      <c r="I110" s="25"/>
      <c r="J110" s="25"/>
      <c r="K110" s="25"/>
      <c r="L110" s="25"/>
      <c r="M110" s="25"/>
      <c r="N110" s="25"/>
      <c r="O110" s="25"/>
      <c r="P110" s="34"/>
    </row>
    <row r="111" spans="1:16" ht="14.4" customHeight="1">
      <c r="A111" s="51"/>
      <c r="B111" s="29" t="s">
        <v>34</v>
      </c>
      <c r="C111" s="119">
        <f>C108-C110</f>
        <v>42281.242348288477</v>
      </c>
      <c r="D111" s="119"/>
      <c r="E111" s="38">
        <f>100-E110</f>
        <v>8.1737435821846844</v>
      </c>
      <c r="F111" s="44"/>
      <c r="G111" s="43"/>
      <c r="H111" s="53"/>
      <c r="I111" s="25"/>
      <c r="J111" s="25"/>
      <c r="K111" s="25"/>
      <c r="L111" s="25"/>
      <c r="M111" s="25"/>
      <c r="N111" s="25"/>
      <c r="O111" s="25"/>
      <c r="P111" s="34"/>
    </row>
    <row r="112" spans="1:16">
      <c r="A112" s="51"/>
      <c r="B112" s="29" t="s">
        <v>35</v>
      </c>
      <c r="C112" s="119">
        <f>C109*0.03</f>
        <v>15000</v>
      </c>
      <c r="D112" s="119"/>
      <c r="E112" s="38">
        <v>3</v>
      </c>
      <c r="F112" s="44"/>
      <c r="G112" s="43"/>
      <c r="H112" s="53"/>
      <c r="I112" s="53"/>
      <c r="J112" s="53"/>
      <c r="K112" s="52"/>
      <c r="L112" s="34"/>
      <c r="M112" s="34"/>
      <c r="N112" s="34"/>
      <c r="O112" s="34"/>
      <c r="P112" s="34"/>
    </row>
    <row r="113" spans="1:16">
      <c r="A113" s="51"/>
      <c r="B113" s="29" t="s">
        <v>36</v>
      </c>
      <c r="C113" s="119">
        <f>C109*0.02</f>
        <v>10000</v>
      </c>
      <c r="D113" s="119"/>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M11:S11"/>
    <mergeCell ref="C108:D108"/>
    <mergeCell ref="C109:D109"/>
    <mergeCell ref="C110:D110"/>
    <mergeCell ref="A1:K1"/>
    <mergeCell ref="A2:K2"/>
    <mergeCell ref="A3:K3"/>
    <mergeCell ref="A4:K4"/>
    <mergeCell ref="A5:K5"/>
    <mergeCell ref="A6:F6"/>
    <mergeCell ref="H6:K6"/>
    <mergeCell ref="C111:D111"/>
    <mergeCell ref="C112:D112"/>
    <mergeCell ref="C113:D113"/>
    <mergeCell ref="A7:F7"/>
    <mergeCell ref="H7:K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0"/>
  <sheetViews>
    <sheetView topLeftCell="A25" zoomScaleNormal="100" workbookViewId="0">
      <selection activeCell="F32" sqref="F32"/>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c r="A1" s="125" t="s">
        <v>0</v>
      </c>
      <c r="B1" s="125"/>
      <c r="C1" s="125"/>
      <c r="D1" s="125"/>
      <c r="E1" s="125"/>
      <c r="F1" s="125"/>
      <c r="G1" s="125"/>
      <c r="H1" s="125"/>
      <c r="I1" s="125"/>
      <c r="J1" s="125"/>
      <c r="K1" s="125"/>
    </row>
    <row r="2" spans="1:19" s="1" customFormat="1" ht="22.8">
      <c r="A2" s="126" t="s">
        <v>1</v>
      </c>
      <c r="B2" s="126"/>
      <c r="C2" s="126"/>
      <c r="D2" s="126"/>
      <c r="E2" s="126"/>
      <c r="F2" s="126"/>
      <c r="G2" s="126"/>
      <c r="H2" s="126"/>
      <c r="I2" s="126"/>
      <c r="J2" s="126"/>
      <c r="K2" s="126"/>
    </row>
    <row r="3" spans="1:19" s="1" customFormat="1">
      <c r="A3" s="127" t="s">
        <v>2</v>
      </c>
      <c r="B3" s="127"/>
      <c r="C3" s="127"/>
      <c r="D3" s="127"/>
      <c r="E3" s="127"/>
      <c r="F3" s="127"/>
      <c r="G3" s="127"/>
      <c r="H3" s="127"/>
      <c r="I3" s="127"/>
      <c r="J3" s="127"/>
      <c r="K3" s="127"/>
    </row>
    <row r="4" spans="1:19" s="1" customFormat="1">
      <c r="A4" s="127" t="s">
        <v>3</v>
      </c>
      <c r="B4" s="127"/>
      <c r="C4" s="127"/>
      <c r="D4" s="127"/>
      <c r="E4" s="127"/>
      <c r="F4" s="127"/>
      <c r="G4" s="127"/>
      <c r="H4" s="127"/>
      <c r="I4" s="127"/>
      <c r="J4" s="127"/>
      <c r="K4" s="127"/>
    </row>
    <row r="5" spans="1:19" ht="17.399999999999999">
      <c r="A5" s="128" t="s">
        <v>4</v>
      </c>
      <c r="B5" s="128"/>
      <c r="C5" s="128"/>
      <c r="D5" s="128"/>
      <c r="E5" s="128"/>
      <c r="F5" s="128"/>
      <c r="G5" s="128"/>
      <c r="H5" s="128"/>
      <c r="I5" s="128"/>
      <c r="J5" s="128"/>
      <c r="K5" s="128"/>
    </row>
    <row r="6" spans="1:19" ht="15.6">
      <c r="A6" s="123" t="s">
        <v>96</v>
      </c>
      <c r="B6" s="123"/>
      <c r="C6" s="123"/>
      <c r="D6" s="123"/>
      <c r="E6" s="123"/>
      <c r="F6" s="123"/>
      <c r="G6" s="2"/>
      <c r="H6" s="124" t="s">
        <v>43</v>
      </c>
      <c r="I6" s="124"/>
      <c r="J6" s="124"/>
      <c r="K6" s="124"/>
    </row>
    <row r="7" spans="1:19" ht="15.6">
      <c r="A7" s="120" t="s">
        <v>28</v>
      </c>
      <c r="B7" s="120"/>
      <c r="C7" s="120"/>
      <c r="D7" s="120"/>
      <c r="E7" s="120"/>
      <c r="F7" s="120"/>
      <c r="G7" s="3"/>
      <c r="H7" s="121" t="s">
        <v>95</v>
      </c>
      <c r="I7" s="121"/>
      <c r="J7" s="121"/>
      <c r="K7" s="121"/>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7" t="s">
        <v>52</v>
      </c>
      <c r="N11" s="118"/>
      <c r="O11" s="118"/>
      <c r="P11" s="118"/>
      <c r="Q11" s="118"/>
      <c r="R11" s="118"/>
      <c r="S11" s="118"/>
    </row>
    <row r="12" spans="1:19" ht="15" customHeight="1">
      <c r="A12" s="18"/>
      <c r="B12" s="36"/>
      <c r="C12" s="35">
        <v>1</v>
      </c>
      <c r="D12" s="37">
        <v>11.5</v>
      </c>
      <c r="E12" s="37">
        <v>0.23</v>
      </c>
      <c r="F12" s="37">
        <v>1.2</v>
      </c>
      <c r="G12" s="38">
        <f>PRODUCT(C12:F12)</f>
        <v>3.1739999999999999</v>
      </c>
      <c r="H12" s="39"/>
      <c r="I12" s="39"/>
      <c r="J12" s="39"/>
      <c r="K12" s="21"/>
    </row>
    <row r="13" spans="1:19" ht="15" customHeight="1">
      <c r="A13" s="18"/>
      <c r="B13" s="36" t="s">
        <v>40</v>
      </c>
      <c r="C13" s="19"/>
      <c r="D13" s="20"/>
      <c r="E13" s="21"/>
      <c r="F13" s="21"/>
      <c r="G13" s="23">
        <f>SUM(G10:G12)</f>
        <v>4.9329629996843565</v>
      </c>
      <c r="H13" s="22" t="s">
        <v>39</v>
      </c>
      <c r="I13" s="23">
        <v>1950</v>
      </c>
      <c r="J13" s="40">
        <f>G13*I13</f>
        <v>9619.2778493844944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0.6</v>
      </c>
      <c r="G16" s="38">
        <f>PRODUCT(C16:F16)</f>
        <v>2.9062800000000002</v>
      </c>
      <c r="H16" s="39"/>
      <c r="I16" s="39"/>
      <c r="J16" s="39"/>
      <c r="K16" s="21"/>
    </row>
    <row r="17" spans="1:11" ht="15" customHeight="1">
      <c r="A17" s="18"/>
      <c r="B17" s="36" t="s">
        <v>40</v>
      </c>
      <c r="C17" s="19"/>
      <c r="D17" s="20"/>
      <c r="E17" s="21"/>
      <c r="F17" s="21"/>
      <c r="G17" s="23">
        <f>SUM(G16:G16)</f>
        <v>2.9062800000000002</v>
      </c>
      <c r="H17" s="22" t="s">
        <v>39</v>
      </c>
      <c r="I17" s="23">
        <v>64.63</v>
      </c>
      <c r="J17" s="40">
        <f>G17*I17</f>
        <v>187.8328764</v>
      </c>
      <c r="K17" s="21"/>
    </row>
    <row r="18" spans="1:11" ht="15" customHeight="1">
      <c r="A18" s="18"/>
      <c r="B18" s="36" t="s">
        <v>38</v>
      </c>
      <c r="C18" s="19"/>
      <c r="D18" s="20"/>
      <c r="E18" s="21"/>
      <c r="F18" s="21"/>
      <c r="G18" s="23"/>
      <c r="H18" s="22"/>
      <c r="I18" s="23"/>
      <c r="J18" s="40">
        <f>0.13*G17*19284/360</f>
        <v>20.238365160000001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2</v>
      </c>
      <c r="D21" s="37">
        <v>0.6</v>
      </c>
      <c r="E21" s="37">
        <v>0.6</v>
      </c>
      <c r="F21" s="37">
        <v>0.9</v>
      </c>
      <c r="G21" s="38">
        <f>PRODUCT(C21:F21)</f>
        <v>0.64800000000000002</v>
      </c>
      <c r="H21" s="39"/>
      <c r="I21" s="39"/>
      <c r="J21" s="39"/>
      <c r="K21" s="21"/>
    </row>
    <row r="22" spans="1:11" ht="15" customHeight="1">
      <c r="A22" s="18"/>
      <c r="B22" s="36" t="s">
        <v>40</v>
      </c>
      <c r="C22" s="19"/>
      <c r="D22" s="20"/>
      <c r="E22" s="21"/>
      <c r="F22" s="21"/>
      <c r="G22" s="23">
        <f>SUM(G21:G21)</f>
        <v>0.64800000000000002</v>
      </c>
      <c r="H22" s="22" t="s">
        <v>39</v>
      </c>
      <c r="I22" s="23">
        <v>663.31</v>
      </c>
      <c r="J22" s="40">
        <f>G22*I22</f>
        <v>429.82487999999995</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v>2</v>
      </c>
      <c r="D31" s="20">
        <f t="shared" ref="D31:E32" si="0">D25</f>
        <v>10.530000000000001</v>
      </c>
      <c r="E31" s="21">
        <f t="shared" si="0"/>
        <v>0.46</v>
      </c>
      <c r="F31" s="21">
        <f>(2/12/3.281)*0.99108</f>
        <v>5.0344407192928979E-2</v>
      </c>
      <c r="G31" s="38">
        <f>PRODUCT(C31:F31)</f>
        <v>0.48771647912221888</v>
      </c>
      <c r="H31" s="22"/>
      <c r="I31" s="23"/>
      <c r="J31" s="40"/>
      <c r="K31" s="21"/>
    </row>
    <row r="32" spans="1:11" ht="15" customHeight="1">
      <c r="A32" s="18"/>
      <c r="B32" s="36"/>
      <c r="C32" s="19">
        <v>2</v>
      </c>
      <c r="D32" s="20">
        <f t="shared" si="0"/>
        <v>0.6</v>
      </c>
      <c r="E32" s="21">
        <f t="shared" si="0"/>
        <v>0.6</v>
      </c>
      <c r="F32" s="21">
        <f>2/12/3.281</f>
        <v>5.0797521080971242E-2</v>
      </c>
      <c r="G32" s="38">
        <f>PRODUCT(C32:F32)</f>
        <v>3.6574215178299292E-2</v>
      </c>
      <c r="H32" s="22"/>
      <c r="I32" s="23"/>
      <c r="J32" s="40"/>
      <c r="K32" s="21"/>
    </row>
    <row r="33" spans="1:13" ht="15" customHeight="1">
      <c r="A33" s="18"/>
      <c r="B33" s="36" t="s">
        <v>40</v>
      </c>
      <c r="C33" s="19"/>
      <c r="D33" s="20"/>
      <c r="E33" s="21"/>
      <c r="F33" s="21"/>
      <c r="G33" s="23">
        <f>SUM(G31:G32)</f>
        <v>0.52429069430051822</v>
      </c>
      <c r="H33" s="22" t="s">
        <v>39</v>
      </c>
      <c r="I33" s="23">
        <v>12983.1</v>
      </c>
      <c r="J33" s="40">
        <f>G33*I33</f>
        <v>6806.9185131730583</v>
      </c>
      <c r="K33" s="21"/>
      <c r="M33">
        <f>1.25*G33</f>
        <v>0.65536336787564775</v>
      </c>
    </row>
    <row r="34" spans="1:13" ht="15" customHeight="1">
      <c r="A34" s="18"/>
      <c r="B34" s="36" t="s">
        <v>38</v>
      </c>
      <c r="C34" s="19"/>
      <c r="D34" s="20"/>
      <c r="E34" s="21"/>
      <c r="F34" s="21"/>
      <c r="G34" s="23"/>
      <c r="H34" s="22"/>
      <c r="I34" s="23"/>
      <c r="J34" s="40">
        <f>0.13*G33*8078.11</f>
        <v>550.58612706967472</v>
      </c>
      <c r="K34" s="21"/>
    </row>
    <row r="35" spans="1:13" ht="15" customHeight="1">
      <c r="A35" s="18"/>
      <c r="B35" s="36"/>
      <c r="C35" s="19"/>
      <c r="D35" s="20"/>
      <c r="E35" s="21"/>
      <c r="F35" s="21"/>
      <c r="G35" s="23"/>
      <c r="H35" s="22"/>
      <c r="I35" s="23"/>
      <c r="J35" s="40"/>
      <c r="K35" s="21"/>
    </row>
    <row r="36" spans="1:13" ht="33.6">
      <c r="A36" s="18">
        <v>6</v>
      </c>
      <c r="B36" s="58" t="s">
        <v>74</v>
      </c>
      <c r="C36" s="19"/>
      <c r="D36" s="20"/>
      <c r="E36" s="21"/>
      <c r="F36" s="21"/>
      <c r="G36" s="23"/>
      <c r="H36" s="22"/>
      <c r="I36" s="23"/>
      <c r="J36" s="40"/>
      <c r="K36" s="21"/>
    </row>
    <row r="37" spans="1:13" ht="15" customHeight="1">
      <c r="A37" s="18"/>
      <c r="B37" s="36" t="s">
        <v>58</v>
      </c>
      <c r="C37" s="19">
        <f>C32</f>
        <v>2</v>
      </c>
      <c r="D37" s="20">
        <v>0.75</v>
      </c>
      <c r="E37" s="21">
        <v>0.75</v>
      </c>
      <c r="F37" s="21">
        <v>0.22500000000000001</v>
      </c>
      <c r="G37" s="38">
        <f>PRODUCT(C37:F37)</f>
        <v>0.25312499999999999</v>
      </c>
      <c r="H37" s="22"/>
      <c r="I37" s="23"/>
      <c r="J37" s="40"/>
      <c r="K37" s="21"/>
    </row>
    <row r="38" spans="1:13" ht="15" customHeight="1">
      <c r="A38" s="18"/>
      <c r="B38" s="36"/>
      <c r="C38" s="19">
        <v>2</v>
      </c>
      <c r="D38" s="20">
        <v>0.23</v>
      </c>
      <c r="E38" s="21">
        <v>0.23</v>
      </c>
      <c r="F38" s="21">
        <f>0.675+1.8</f>
        <v>2.4750000000000001</v>
      </c>
      <c r="G38" s="38">
        <f>PRODUCT(C38:F38)</f>
        <v>0.261855</v>
      </c>
      <c r="H38" s="22"/>
      <c r="I38" s="23"/>
      <c r="J38" s="40"/>
      <c r="K38" s="21"/>
    </row>
    <row r="39" spans="1:13" ht="15" customHeight="1">
      <c r="A39" s="18"/>
      <c r="B39" s="36" t="s">
        <v>40</v>
      </c>
      <c r="C39" s="19"/>
      <c r="D39" s="20"/>
      <c r="E39" s="21"/>
      <c r="F39" s="21"/>
      <c r="G39" s="23">
        <f>SUM(G37:G38)</f>
        <v>0.51497999999999999</v>
      </c>
      <c r="H39" s="22" t="s">
        <v>39</v>
      </c>
      <c r="I39" s="23">
        <v>16512.62</v>
      </c>
      <c r="J39" s="40">
        <f>G39*I39</f>
        <v>8503.6690475999985</v>
      </c>
      <c r="K39" s="21"/>
    </row>
    <row r="40" spans="1:13" ht="15" customHeight="1">
      <c r="A40" s="18"/>
      <c r="B40" s="36" t="s">
        <v>38</v>
      </c>
      <c r="C40" s="19"/>
      <c r="D40" s="20"/>
      <c r="E40" s="21"/>
      <c r="F40" s="21"/>
      <c r="G40" s="23"/>
      <c r="H40" s="22"/>
      <c r="I40" s="23"/>
      <c r="J40" s="40">
        <f>0.13*G39*9092.62</f>
        <v>608.72726818800004</v>
      </c>
      <c r="K40" s="21"/>
    </row>
    <row r="41" spans="1:13" ht="15" customHeight="1">
      <c r="A41" s="18"/>
      <c r="B41" s="36"/>
      <c r="C41" s="19"/>
      <c r="D41" s="20"/>
      <c r="E41" s="21"/>
      <c r="F41" s="21"/>
      <c r="G41" s="23"/>
      <c r="H41" s="22"/>
      <c r="I41" s="23"/>
      <c r="J41" s="40"/>
      <c r="K41" s="21"/>
    </row>
    <row r="42" spans="1:13" ht="30">
      <c r="A42" s="18">
        <v>7</v>
      </c>
      <c r="B42" s="58" t="s">
        <v>75</v>
      </c>
      <c r="C42" s="19"/>
      <c r="D42" s="20"/>
      <c r="E42" s="21"/>
      <c r="F42" s="21"/>
      <c r="G42" s="23"/>
      <c r="H42" s="22"/>
      <c r="I42" s="23"/>
      <c r="J42" s="40"/>
      <c r="K42" s="21"/>
    </row>
    <row r="43" spans="1:13" ht="15" customHeight="1">
      <c r="A43" s="18"/>
      <c r="B43" s="36" t="s">
        <v>58</v>
      </c>
      <c r="C43" s="19">
        <f>C38</f>
        <v>2</v>
      </c>
      <c r="D43" s="20">
        <f>0.75*4</f>
        <v>3</v>
      </c>
      <c r="E43" s="21"/>
      <c r="F43" s="21">
        <v>0.22500000000000001</v>
      </c>
      <c r="G43" s="38">
        <f>PRODUCT(C43:F43)</f>
        <v>1.35</v>
      </c>
      <c r="H43" s="22"/>
      <c r="I43" s="23"/>
      <c r="J43" s="40"/>
      <c r="K43" s="21"/>
    </row>
    <row r="44" spans="1:13" ht="15" customHeight="1">
      <c r="A44" s="18"/>
      <c r="B44" s="36"/>
      <c r="C44" s="19">
        <v>2</v>
      </c>
      <c r="D44" s="20">
        <f>0.23*4</f>
        <v>0.92</v>
      </c>
      <c r="E44" s="21"/>
      <c r="F44" s="21">
        <f>0.675+1.8</f>
        <v>2.4750000000000001</v>
      </c>
      <c r="G44" s="38">
        <f>PRODUCT(C44:F44)</f>
        <v>4.5540000000000003</v>
      </c>
      <c r="H44" s="22"/>
      <c r="I44" s="23"/>
      <c r="J44" s="40"/>
      <c r="K44" s="21"/>
    </row>
    <row r="45" spans="1:13" ht="15" customHeight="1">
      <c r="A45" s="18"/>
      <c r="B45" s="36" t="s">
        <v>40</v>
      </c>
      <c r="C45" s="19"/>
      <c r="D45" s="20"/>
      <c r="E45" s="21"/>
      <c r="F45" s="21"/>
      <c r="G45" s="23">
        <f>SUM(G43:G44)</f>
        <v>5.9039999999999999</v>
      </c>
      <c r="H45" s="22" t="s">
        <v>51</v>
      </c>
      <c r="I45" s="23">
        <v>915.42</v>
      </c>
      <c r="J45" s="40">
        <f>G45*I45</f>
        <v>5404.6396799999993</v>
      </c>
      <c r="K45" s="21"/>
    </row>
    <row r="46" spans="1:13" ht="15" customHeight="1">
      <c r="A46" s="18"/>
      <c r="B46" s="36" t="s">
        <v>38</v>
      </c>
      <c r="C46" s="19"/>
      <c r="D46" s="20"/>
      <c r="E46" s="21"/>
      <c r="F46" s="21"/>
      <c r="G46" s="23"/>
      <c r="H46" s="22"/>
      <c r="I46" s="23"/>
      <c r="J46" s="40">
        <f>0.13*G45*46827.87/100</f>
        <v>359.413267824</v>
      </c>
      <c r="K46" s="21"/>
    </row>
    <row r="47" spans="1:13" ht="15" customHeight="1">
      <c r="A47" s="18"/>
      <c r="B47" s="36"/>
      <c r="C47" s="19"/>
      <c r="D47" s="20"/>
      <c r="E47" s="21"/>
      <c r="F47" s="21"/>
      <c r="G47" s="23"/>
      <c r="H47" s="22"/>
      <c r="I47" s="23"/>
      <c r="J47" s="40"/>
      <c r="K47" s="21"/>
    </row>
    <row r="48" spans="1:13" ht="30">
      <c r="A48" s="18">
        <v>8</v>
      </c>
      <c r="B48" s="58" t="s">
        <v>76</v>
      </c>
      <c r="C48" s="19" t="s">
        <v>7</v>
      </c>
      <c r="D48" s="67" t="s">
        <v>41</v>
      </c>
      <c r="E48" s="68" t="s">
        <v>77</v>
      </c>
      <c r="F48" s="68" t="s">
        <v>78</v>
      </c>
      <c r="G48" s="68" t="s">
        <v>79</v>
      </c>
      <c r="H48" s="22"/>
      <c r="I48" s="23"/>
      <c r="J48" s="40"/>
      <c r="K48" s="21"/>
    </row>
    <row r="49" spans="1:14" ht="15" customHeight="1">
      <c r="A49" s="18"/>
      <c r="B49" s="36" t="s">
        <v>81</v>
      </c>
      <c r="C49" s="19">
        <f>2*2*6</f>
        <v>24</v>
      </c>
      <c r="D49" s="20">
        <v>0.6</v>
      </c>
      <c r="E49" s="21">
        <f>12*12/162</f>
        <v>0.88888888888888884</v>
      </c>
      <c r="F49" s="21">
        <f>PRODUCT(C49:E49)</f>
        <v>12.799999999999997</v>
      </c>
      <c r="G49" s="69">
        <f>F49/1000</f>
        <v>1.2799999999999997E-2</v>
      </c>
      <c r="H49" s="22"/>
      <c r="I49" s="23"/>
      <c r="J49" s="40"/>
      <c r="K49" s="21"/>
    </row>
    <row r="50" spans="1:14" ht="15" customHeight="1">
      <c r="A50" s="18"/>
      <c r="B50" s="36" t="s">
        <v>80</v>
      </c>
      <c r="C50" s="19">
        <f>2*4</f>
        <v>8</v>
      </c>
      <c r="D50" s="87">
        <f>(7.75+0.75+1)/3.281</f>
        <v>2.895458701615361</v>
      </c>
      <c r="E50" s="21">
        <f>12*12/162</f>
        <v>0.88888888888888884</v>
      </c>
      <c r="F50" s="21">
        <f>PRODUCT(C50:E50)</f>
        <v>20.589928544820342</v>
      </c>
      <c r="G50" s="69">
        <f>F50/1000</f>
        <v>2.0589928544820342E-2</v>
      </c>
      <c r="H50" s="22"/>
      <c r="I50" s="23"/>
      <c r="J50" s="40"/>
      <c r="K50" s="21"/>
    </row>
    <row r="51" spans="1:14" ht="15" customHeight="1">
      <c r="A51" s="18"/>
      <c r="B51" s="36" t="s">
        <v>82</v>
      </c>
      <c r="C51" s="19">
        <v>16</v>
      </c>
      <c r="D51" s="20">
        <f>(7/12/3.281)*4</f>
        <v>0.7111652951335975</v>
      </c>
      <c r="E51" s="21">
        <f>8*8/162</f>
        <v>0.39506172839506171</v>
      </c>
      <c r="F51" s="21">
        <f>PRODUCT(C51:E51)</f>
        <v>4.4952670507210115</v>
      </c>
      <c r="G51" s="69">
        <f>F51/1000</f>
        <v>4.4952670507210114E-3</v>
      </c>
      <c r="H51" s="22"/>
      <c r="I51" s="23"/>
      <c r="J51" s="40"/>
      <c r="K51" s="21"/>
    </row>
    <row r="52" spans="1:14" ht="15" customHeight="1">
      <c r="A52" s="18"/>
      <c r="B52" s="36" t="s">
        <v>40</v>
      </c>
      <c r="C52" s="19"/>
      <c r="D52" s="20"/>
      <c r="E52" s="21"/>
      <c r="F52" s="21"/>
      <c r="G52" s="23">
        <f>SUM(G49:G51)</f>
        <v>3.7885195595541349E-2</v>
      </c>
      <c r="H52" s="22" t="s">
        <v>54</v>
      </c>
      <c r="I52" s="23">
        <v>131940</v>
      </c>
      <c r="J52" s="40">
        <f>G52*I52</f>
        <v>4998.572706875726</v>
      </c>
      <c r="K52" s="21"/>
    </row>
    <row r="53" spans="1:14" ht="15" customHeight="1">
      <c r="A53" s="18"/>
      <c r="B53" s="36" t="s">
        <v>38</v>
      </c>
      <c r="C53" s="19"/>
      <c r="D53" s="20"/>
      <c r="E53" s="21"/>
      <c r="F53" s="21"/>
      <c r="G53" s="23"/>
      <c r="H53" s="22"/>
      <c r="I53" s="23"/>
      <c r="J53" s="40">
        <f>0.13*G52*106200</f>
        <v>523.04301039204381</v>
      </c>
      <c r="K53" s="21"/>
    </row>
    <row r="54" spans="1:14" ht="15" customHeight="1">
      <c r="A54" s="18"/>
      <c r="B54" s="36"/>
      <c r="C54" s="19"/>
      <c r="D54" s="20"/>
      <c r="E54" s="21"/>
      <c r="F54" s="21"/>
      <c r="G54" s="23"/>
      <c r="H54" s="22"/>
      <c r="I54" s="23"/>
      <c r="J54" s="40"/>
      <c r="K54" s="21"/>
    </row>
    <row r="55" spans="1:14" ht="30">
      <c r="A55" s="18">
        <v>9</v>
      </c>
      <c r="B55" s="58" t="s">
        <v>48</v>
      </c>
      <c r="C55" s="19"/>
      <c r="D55" s="20"/>
      <c r="E55" s="21"/>
      <c r="F55" s="21"/>
      <c r="G55" s="23"/>
      <c r="H55" s="22"/>
      <c r="I55" s="23"/>
      <c r="J55" s="40"/>
      <c r="K55" s="21"/>
      <c r="N55">
        <f>18.833*2</f>
        <v>37.665999999999997</v>
      </c>
    </row>
    <row r="56" spans="1:14" ht="15" customHeight="1">
      <c r="A56" s="108"/>
      <c r="B56" s="92" t="s">
        <v>56</v>
      </c>
      <c r="C56" s="93">
        <v>1</v>
      </c>
      <c r="D56" s="94">
        <f>3.8+4+3.93</f>
        <v>11.73</v>
      </c>
      <c r="E56" s="94">
        <v>0.23</v>
      </c>
      <c r="F56" s="94">
        <f>1.75-0.1</f>
        <v>1.65</v>
      </c>
      <c r="G56" s="95">
        <f>PRODUCT(C56:F56)</f>
        <v>4.4515349999999998</v>
      </c>
      <c r="H56" s="96"/>
      <c r="I56" s="96"/>
      <c r="J56" s="96"/>
      <c r="K56" s="21"/>
    </row>
    <row r="57" spans="1:14" ht="15" customHeight="1">
      <c r="A57" s="108"/>
      <c r="B57" s="92" t="s">
        <v>148</v>
      </c>
      <c r="C57" s="93">
        <v>-2</v>
      </c>
      <c r="D57" s="94">
        <v>0.23</v>
      </c>
      <c r="E57" s="94">
        <v>0.23</v>
      </c>
      <c r="F57" s="94">
        <f>1.75-0.1</f>
        <v>1.65</v>
      </c>
      <c r="G57" s="95">
        <f>PRODUCT(C57:F57)</f>
        <v>-0.17457</v>
      </c>
      <c r="H57" s="96"/>
      <c r="I57" s="96"/>
      <c r="J57" s="96"/>
      <c r="K57" s="21"/>
    </row>
    <row r="58" spans="1:14" ht="15" customHeight="1">
      <c r="A58" s="108"/>
      <c r="B58" s="92" t="s">
        <v>152</v>
      </c>
      <c r="C58" s="93">
        <v>1</v>
      </c>
      <c r="D58" s="94">
        <f>9.75/3.281</f>
        <v>2.9716549832368178</v>
      </c>
      <c r="E58" s="94">
        <v>0.23</v>
      </c>
      <c r="F58" s="94">
        <f>7/3.2808</f>
        <v>2.1336259448914898</v>
      </c>
      <c r="G58" s="95">
        <f t="shared" ref="G58:G64" si="1">PRODUCT(C58:F58)</f>
        <v>1.4582920394450367</v>
      </c>
      <c r="H58" s="96"/>
      <c r="I58" s="96"/>
      <c r="J58" s="96"/>
      <c r="K58" s="21"/>
    </row>
    <row r="59" spans="1:14" ht="15" customHeight="1">
      <c r="A59" s="108"/>
      <c r="B59" s="92"/>
      <c r="C59" s="93">
        <v>1</v>
      </c>
      <c r="D59" s="94">
        <f>14/12/3.281</f>
        <v>0.35558264756679875</v>
      </c>
      <c r="E59" s="94">
        <f>14/12/3.281</f>
        <v>0.35558264756679875</v>
      </c>
      <c r="F59" s="94">
        <f t="shared" ref="F59:F64" si="2">7/3.2808</f>
        <v>2.1336259448914898</v>
      </c>
      <c r="G59" s="95">
        <f t="shared" si="1"/>
        <v>0.26977357191974499</v>
      </c>
      <c r="H59" s="96"/>
      <c r="I59" s="96"/>
      <c r="J59" s="96"/>
      <c r="K59" s="21"/>
    </row>
    <row r="60" spans="1:14" ht="15" customHeight="1">
      <c r="A60" s="108"/>
      <c r="B60" s="92"/>
      <c r="C60" s="93">
        <v>1</v>
      </c>
      <c r="D60" s="94">
        <f t="shared" ref="D60" si="3">9.75/3.281</f>
        <v>2.9716549832368178</v>
      </c>
      <c r="E60" s="94">
        <v>0.23</v>
      </c>
      <c r="F60" s="94">
        <f t="shared" si="2"/>
        <v>2.1336259448914898</v>
      </c>
      <c r="G60" s="95">
        <f t="shared" si="1"/>
        <v>1.4582920394450367</v>
      </c>
      <c r="H60" s="96"/>
      <c r="I60" s="96"/>
      <c r="J60" s="96"/>
      <c r="K60" s="21"/>
    </row>
    <row r="61" spans="1:14" ht="15" customHeight="1">
      <c r="A61" s="108"/>
      <c r="B61" s="92"/>
      <c r="C61" s="93">
        <v>1</v>
      </c>
      <c r="D61" s="94">
        <f t="shared" ref="D61:E61" si="4">14/12/3.281</f>
        <v>0.35558264756679875</v>
      </c>
      <c r="E61" s="94">
        <f t="shared" si="4"/>
        <v>0.35558264756679875</v>
      </c>
      <c r="F61" s="94">
        <f t="shared" si="2"/>
        <v>2.1336259448914898</v>
      </c>
      <c r="G61" s="95">
        <f t="shared" si="1"/>
        <v>0.26977357191974499</v>
      </c>
      <c r="H61" s="96"/>
      <c r="I61" s="96"/>
      <c r="J61" s="96"/>
      <c r="K61" s="21"/>
    </row>
    <row r="62" spans="1:14" ht="15" customHeight="1">
      <c r="A62" s="108"/>
      <c r="B62" s="92"/>
      <c r="C62" s="93">
        <v>1</v>
      </c>
      <c r="D62" s="94">
        <f t="shared" ref="D62" si="5">9.75/3.281</f>
        <v>2.9716549832368178</v>
      </c>
      <c r="E62" s="94">
        <v>0.23</v>
      </c>
      <c r="F62" s="94">
        <f t="shared" si="2"/>
        <v>2.1336259448914898</v>
      </c>
      <c r="G62" s="95">
        <f t="shared" si="1"/>
        <v>1.4582920394450367</v>
      </c>
      <c r="H62" s="96"/>
      <c r="I62" s="96"/>
      <c r="J62" s="96"/>
      <c r="K62" s="21"/>
    </row>
    <row r="63" spans="1:14" ht="15" customHeight="1">
      <c r="A63" s="108"/>
      <c r="B63" s="92"/>
      <c r="C63" s="93">
        <v>1</v>
      </c>
      <c r="D63" s="94">
        <f t="shared" ref="D63:E63" si="6">14/12/3.281</f>
        <v>0.35558264756679875</v>
      </c>
      <c r="E63" s="94">
        <f t="shared" si="6"/>
        <v>0.35558264756679875</v>
      </c>
      <c r="F63" s="94">
        <f t="shared" si="2"/>
        <v>2.1336259448914898</v>
      </c>
      <c r="G63" s="95">
        <f t="shared" si="1"/>
        <v>0.26977357191974499</v>
      </c>
      <c r="H63" s="96"/>
      <c r="I63" s="96"/>
      <c r="J63" s="96"/>
      <c r="K63" s="21"/>
    </row>
    <row r="64" spans="1:14" ht="15" customHeight="1">
      <c r="A64" s="108"/>
      <c r="B64" s="92"/>
      <c r="C64" s="93">
        <v>1</v>
      </c>
      <c r="D64" s="94">
        <f>17/12/3.281</f>
        <v>0.43177892918825561</v>
      </c>
      <c r="E64" s="94">
        <v>0.1</v>
      </c>
      <c r="F64" s="94">
        <f t="shared" si="2"/>
        <v>2.1336259448914898</v>
      </c>
      <c r="G64" s="95">
        <f t="shared" si="1"/>
        <v>9.2125472577352763E-2</v>
      </c>
      <c r="H64" s="96"/>
      <c r="I64" s="96"/>
      <c r="J64" s="96"/>
      <c r="K64" s="21"/>
    </row>
    <row r="65" spans="1:15" ht="15" customHeight="1">
      <c r="A65" s="108"/>
      <c r="B65" s="92" t="s">
        <v>40</v>
      </c>
      <c r="C65" s="86"/>
      <c r="D65" s="87"/>
      <c r="E65" s="88"/>
      <c r="F65" s="88"/>
      <c r="G65" s="89">
        <f>SUM(G56:G64)</f>
        <v>9.553287306671697</v>
      </c>
      <c r="H65" s="90" t="s">
        <v>39</v>
      </c>
      <c r="I65" s="89">
        <v>14362.76</v>
      </c>
      <c r="J65" s="91">
        <f>G65*I65</f>
        <v>137211.57279677197</v>
      </c>
      <c r="K65" s="21"/>
    </row>
    <row r="66" spans="1:15" ht="15" customHeight="1">
      <c r="A66" s="108"/>
      <c r="B66" s="92" t="s">
        <v>38</v>
      </c>
      <c r="C66" s="86"/>
      <c r="D66" s="87"/>
      <c r="E66" s="88"/>
      <c r="F66" s="88"/>
      <c r="G66" s="89"/>
      <c r="H66" s="90"/>
      <c r="I66" s="89"/>
      <c r="J66" s="91">
        <f>0.13*G65*10311.74</f>
        <v>12806.431930720844</v>
      </c>
      <c r="K66" s="21"/>
    </row>
    <row r="67" spans="1:15" ht="15" customHeight="1">
      <c r="A67" s="108"/>
      <c r="B67" s="92"/>
      <c r="C67" s="86"/>
      <c r="D67" s="87"/>
      <c r="E67" s="88"/>
      <c r="F67" s="88"/>
      <c r="G67" s="89"/>
      <c r="H67" s="90"/>
      <c r="I67" s="89"/>
      <c r="J67" s="91"/>
      <c r="K67" s="21"/>
    </row>
    <row r="68" spans="1:15" ht="30">
      <c r="A68" s="108">
        <v>10</v>
      </c>
      <c r="B68" s="109" t="s">
        <v>48</v>
      </c>
      <c r="C68" s="86"/>
      <c r="D68" s="87"/>
      <c r="E68" s="88"/>
      <c r="F68" s="88"/>
      <c r="G68" s="89"/>
      <c r="H68" s="90"/>
      <c r="I68" s="89"/>
      <c r="J68" s="91"/>
      <c r="K68" s="21"/>
      <c r="O68">
        <f>18.833*2</f>
        <v>37.665999999999997</v>
      </c>
    </row>
    <row r="69" spans="1:15" ht="15" customHeight="1">
      <c r="A69" s="108"/>
      <c r="B69" s="92" t="s">
        <v>151</v>
      </c>
      <c r="C69" s="110">
        <v>1</v>
      </c>
      <c r="D69" s="94">
        <f>6.1+6.4+4.6</f>
        <v>17.100000000000001</v>
      </c>
      <c r="E69" s="94">
        <v>0.23</v>
      </c>
      <c r="F69" s="94">
        <v>0.125</v>
      </c>
      <c r="G69" s="95">
        <f t="shared" ref="G69:G84" si="7">PRODUCT(C69:F69)</f>
        <v>0.49162500000000009</v>
      </c>
      <c r="H69" s="96"/>
      <c r="I69" s="96"/>
      <c r="J69" s="96"/>
      <c r="K69" s="21"/>
      <c r="M69">
        <f>0.37+2.75+0.35+2.69+0.35+0.95+2.73+0.58+0.35+3.02+0.35+3.13+0.35+3.17+0.35</f>
        <v>21.490000000000002</v>
      </c>
    </row>
    <row r="70" spans="1:15" ht="15" customHeight="1">
      <c r="A70" s="108"/>
      <c r="B70" s="92" t="s">
        <v>149</v>
      </c>
      <c r="C70" s="110">
        <v>1</v>
      </c>
      <c r="D70" s="94">
        <f>14/12/3.281</f>
        <v>0.35558264756679875</v>
      </c>
      <c r="E70" s="94">
        <f>14/12/3.281</f>
        <v>0.35558264756679875</v>
      </c>
      <c r="F70" s="94">
        <v>0.12</v>
      </c>
      <c r="G70" s="95">
        <f t="shared" si="7"/>
        <v>1.5172682310073704E-2</v>
      </c>
      <c r="H70" s="96"/>
      <c r="I70" s="96"/>
      <c r="J70" s="96"/>
      <c r="K70" s="21"/>
    </row>
    <row r="71" spans="1:15" ht="15" customHeight="1">
      <c r="A71" s="108"/>
      <c r="B71" s="92"/>
      <c r="C71" s="110">
        <v>1</v>
      </c>
      <c r="D71" s="93">
        <v>2.75</v>
      </c>
      <c r="E71" s="94">
        <f>0.23</f>
        <v>0.23</v>
      </c>
      <c r="F71" s="94">
        <v>0.12</v>
      </c>
      <c r="G71" s="95">
        <f t="shared" si="7"/>
        <v>7.5900000000000009E-2</v>
      </c>
      <c r="H71" s="96"/>
      <c r="I71" s="96"/>
      <c r="J71" s="96"/>
      <c r="K71" s="21"/>
    </row>
    <row r="72" spans="1:15" ht="15" customHeight="1">
      <c r="A72" s="108"/>
      <c r="B72" s="92"/>
      <c r="C72" s="110">
        <v>1</v>
      </c>
      <c r="D72" s="94">
        <f>14/12/3.281</f>
        <v>0.35558264756679875</v>
      </c>
      <c r="E72" s="94">
        <f>14/12/3.281</f>
        <v>0.35558264756679875</v>
      </c>
      <c r="F72" s="94">
        <v>0.12</v>
      </c>
      <c r="G72" s="95">
        <f t="shared" si="7"/>
        <v>1.5172682310073704E-2</v>
      </c>
      <c r="H72" s="96"/>
      <c r="I72" s="96"/>
      <c r="J72" s="96"/>
      <c r="K72" s="21"/>
    </row>
    <row r="73" spans="1:15" ht="15" customHeight="1">
      <c r="A73" s="108"/>
      <c r="B73" s="92"/>
      <c r="C73" s="110">
        <v>1</v>
      </c>
      <c r="D73" s="94">
        <v>2.69</v>
      </c>
      <c r="E73" s="94">
        <v>0.23</v>
      </c>
      <c r="F73" s="94">
        <v>0.12</v>
      </c>
      <c r="G73" s="95">
        <f t="shared" si="7"/>
        <v>7.4244000000000004E-2</v>
      </c>
      <c r="H73" s="96"/>
      <c r="I73" s="96"/>
      <c r="J73" s="96"/>
      <c r="K73" s="21"/>
    </row>
    <row r="74" spans="1:15" ht="15" customHeight="1">
      <c r="A74" s="108"/>
      <c r="B74" s="92"/>
      <c r="C74" s="110">
        <v>1</v>
      </c>
      <c r="D74" s="94">
        <v>0.35560000000000003</v>
      </c>
      <c r="E74" s="94">
        <v>0.35560000000000003</v>
      </c>
      <c r="F74" s="94">
        <v>0.12</v>
      </c>
      <c r="G74" s="95">
        <f t="shared" si="7"/>
        <v>1.51741632E-2</v>
      </c>
      <c r="H74" s="96"/>
      <c r="I74" s="96"/>
      <c r="J74" s="96"/>
      <c r="K74" s="21"/>
    </row>
    <row r="75" spans="1:15" ht="15" customHeight="1">
      <c r="A75" s="108"/>
      <c r="B75" s="92"/>
      <c r="C75" s="110">
        <v>1</v>
      </c>
      <c r="D75" s="94">
        <v>0.95</v>
      </c>
      <c r="E75" s="94">
        <v>0.23</v>
      </c>
      <c r="F75" s="94">
        <v>0.12</v>
      </c>
      <c r="G75" s="95">
        <f t="shared" si="7"/>
        <v>2.622E-2</v>
      </c>
      <c r="H75" s="96"/>
      <c r="I75" s="96"/>
      <c r="J75" s="96"/>
      <c r="K75" s="21"/>
    </row>
    <row r="76" spans="1:15" ht="15" customHeight="1">
      <c r="A76" s="108"/>
      <c r="B76" s="92"/>
      <c r="C76" s="110">
        <v>1</v>
      </c>
      <c r="D76" s="94">
        <v>2.73</v>
      </c>
      <c r="E76" s="94">
        <v>0.23</v>
      </c>
      <c r="F76" s="94">
        <v>0.25</v>
      </c>
      <c r="G76" s="95">
        <f t="shared" si="7"/>
        <v>0.156975</v>
      </c>
      <c r="H76" s="96"/>
      <c r="I76" s="96"/>
      <c r="J76" s="96"/>
      <c r="K76" s="21"/>
    </row>
    <row r="77" spans="1:15" ht="15" customHeight="1">
      <c r="A77" s="108"/>
      <c r="B77" s="92"/>
      <c r="C77" s="110">
        <v>1</v>
      </c>
      <c r="D77" s="94">
        <v>0.57999999999999996</v>
      </c>
      <c r="E77" s="94">
        <v>0.23</v>
      </c>
      <c r="F77" s="94">
        <v>0.6</v>
      </c>
      <c r="G77" s="95">
        <f t="shared" si="7"/>
        <v>8.0039999999999986E-2</v>
      </c>
      <c r="H77" s="96"/>
      <c r="I77" s="96"/>
      <c r="J77" s="96"/>
      <c r="K77" s="21"/>
    </row>
    <row r="78" spans="1:15" ht="15" customHeight="1">
      <c r="A78" s="108"/>
      <c r="B78" s="92" t="s">
        <v>150</v>
      </c>
      <c r="C78" s="110">
        <v>1</v>
      </c>
      <c r="D78" s="94">
        <v>0.35560000000000003</v>
      </c>
      <c r="E78" s="94">
        <v>0.35560000000000003</v>
      </c>
      <c r="F78" s="94">
        <v>0.12</v>
      </c>
      <c r="G78" s="95">
        <f t="shared" si="7"/>
        <v>1.51741632E-2</v>
      </c>
      <c r="H78" s="96"/>
      <c r="I78" s="96"/>
      <c r="J78" s="96"/>
      <c r="K78" s="21"/>
    </row>
    <row r="79" spans="1:15" ht="15" customHeight="1">
      <c r="A79" s="108"/>
      <c r="B79" s="92"/>
      <c r="C79" s="110">
        <v>1</v>
      </c>
      <c r="D79" s="94">
        <v>3.02</v>
      </c>
      <c r="E79" s="94">
        <v>0.23</v>
      </c>
      <c r="F79" s="94">
        <v>0.12</v>
      </c>
      <c r="G79" s="95">
        <f t="shared" si="7"/>
        <v>8.3351999999999996E-2</v>
      </c>
      <c r="H79" s="96"/>
      <c r="I79" s="96"/>
      <c r="J79" s="96"/>
      <c r="K79" s="21"/>
    </row>
    <row r="80" spans="1:15" ht="15" customHeight="1">
      <c r="A80" s="108"/>
      <c r="B80" s="92"/>
      <c r="C80" s="110">
        <v>1</v>
      </c>
      <c r="D80" s="93">
        <v>0.35560000000000003</v>
      </c>
      <c r="E80" s="94">
        <v>0.35560000000000003</v>
      </c>
      <c r="F80" s="94">
        <v>0.12</v>
      </c>
      <c r="G80" s="95">
        <f t="shared" si="7"/>
        <v>1.51741632E-2</v>
      </c>
      <c r="H80" s="96"/>
      <c r="I80" s="96"/>
      <c r="J80" s="96"/>
      <c r="K80" s="21"/>
    </row>
    <row r="81" spans="1:11" ht="15" customHeight="1">
      <c r="A81" s="108"/>
      <c r="B81" s="92"/>
      <c r="C81" s="110">
        <v>1</v>
      </c>
      <c r="D81" s="93">
        <v>3.13</v>
      </c>
      <c r="E81" s="94">
        <v>0.23</v>
      </c>
      <c r="F81" s="94">
        <v>0.12</v>
      </c>
      <c r="G81" s="95">
        <f t="shared" si="7"/>
        <v>8.6387999999999993E-2</v>
      </c>
      <c r="H81" s="96"/>
      <c r="I81" s="96"/>
      <c r="J81" s="96"/>
      <c r="K81" s="21"/>
    </row>
    <row r="82" spans="1:11" ht="15" customHeight="1">
      <c r="A82" s="108"/>
      <c r="B82" s="92"/>
      <c r="C82" s="110">
        <v>1</v>
      </c>
      <c r="D82" s="93">
        <v>0.35560000000000003</v>
      </c>
      <c r="E82" s="94">
        <v>0.35560000000000003</v>
      </c>
      <c r="F82" s="94">
        <v>0.12</v>
      </c>
      <c r="G82" s="95">
        <f t="shared" si="7"/>
        <v>1.51741632E-2</v>
      </c>
      <c r="H82" s="96"/>
      <c r="I82" s="96"/>
      <c r="J82" s="96"/>
      <c r="K82" s="21"/>
    </row>
    <row r="83" spans="1:11" ht="15" customHeight="1">
      <c r="A83" s="108"/>
      <c r="B83" s="92"/>
      <c r="C83" s="110">
        <v>1</v>
      </c>
      <c r="D83" s="93">
        <v>3.17</v>
      </c>
      <c r="E83" s="94">
        <v>0.23</v>
      </c>
      <c r="F83" s="94">
        <v>0.12</v>
      </c>
      <c r="G83" s="95">
        <f t="shared" si="7"/>
        <v>8.7491999999999986E-2</v>
      </c>
      <c r="H83" s="96"/>
      <c r="I83" s="96"/>
      <c r="J83" s="96"/>
      <c r="K83" s="21"/>
    </row>
    <row r="84" spans="1:11" ht="15" customHeight="1">
      <c r="A84" s="108"/>
      <c r="B84" s="92"/>
      <c r="C84" s="110">
        <v>1</v>
      </c>
      <c r="D84" s="93">
        <v>0.35560000000000003</v>
      </c>
      <c r="E84" s="94">
        <v>0.35560000000000003</v>
      </c>
      <c r="F84" s="94">
        <v>0.12</v>
      </c>
      <c r="G84" s="95">
        <f t="shared" si="7"/>
        <v>1.51741632E-2</v>
      </c>
      <c r="H84" s="96"/>
      <c r="I84" s="96"/>
      <c r="J84" s="96"/>
      <c r="K84" s="21"/>
    </row>
    <row r="85" spans="1:11" ht="15" customHeight="1">
      <c r="A85" s="108"/>
      <c r="B85" s="92" t="s">
        <v>147</v>
      </c>
      <c r="C85" s="93">
        <v>12</v>
      </c>
      <c r="D85" s="94">
        <v>0.83</v>
      </c>
      <c r="E85" s="94">
        <v>0.23</v>
      </c>
      <c r="F85" s="94">
        <v>1.2</v>
      </c>
      <c r="G85" s="95">
        <f>PRODUCT(C85:F85)</f>
        <v>2.7489599999999998</v>
      </c>
      <c r="H85" s="96"/>
      <c r="I85" s="96"/>
      <c r="J85" s="96"/>
      <c r="K85" s="21"/>
    </row>
    <row r="86" spans="1:11" ht="15" customHeight="1">
      <c r="A86" s="108"/>
      <c r="B86" s="92" t="s">
        <v>40</v>
      </c>
      <c r="C86" s="86"/>
      <c r="D86" s="87"/>
      <c r="E86" s="88"/>
      <c r="F86" s="88"/>
      <c r="G86" s="89">
        <f>SUM(G69:G85)</f>
        <v>4.0174121806201466</v>
      </c>
      <c r="H86" s="90" t="s">
        <v>39</v>
      </c>
      <c r="I86" s="89">
        <f>Sheet2!G31</f>
        <v>8001.8600000000006</v>
      </c>
      <c r="J86" s="91">
        <f>G86*I86</f>
        <v>32146.76983161713</v>
      </c>
      <c r="K86" s="21"/>
    </row>
    <row r="87" spans="1:11" ht="15" customHeight="1">
      <c r="A87" s="108"/>
      <c r="B87" s="92" t="s">
        <v>38</v>
      </c>
      <c r="C87" s="86"/>
      <c r="D87" s="87"/>
      <c r="E87" s="88"/>
      <c r="F87" s="88"/>
      <c r="G87" s="89"/>
      <c r="H87" s="90"/>
      <c r="I87" s="89"/>
      <c r="J87" s="91">
        <f>0.13*G86*Sheet2!G29</f>
        <v>2063.3798561585691</v>
      </c>
      <c r="K87" s="21"/>
    </row>
    <row r="88" spans="1:11" ht="15" customHeight="1">
      <c r="A88" s="108"/>
      <c r="B88" s="92"/>
      <c r="C88" s="86"/>
      <c r="D88" s="87"/>
      <c r="E88" s="88"/>
      <c r="F88" s="88"/>
      <c r="G88" s="89"/>
      <c r="H88" s="90"/>
      <c r="I88" s="89"/>
      <c r="J88" s="91"/>
      <c r="K88" s="21"/>
    </row>
    <row r="89" spans="1:11" ht="30.6">
      <c r="A89" s="18">
        <v>11</v>
      </c>
      <c r="B89" s="60" t="s">
        <v>50</v>
      </c>
      <c r="C89" s="19"/>
      <c r="D89" s="20"/>
      <c r="E89" s="21"/>
      <c r="F89" s="21"/>
      <c r="G89" s="23"/>
      <c r="H89" s="22"/>
      <c r="I89" s="23"/>
      <c r="J89" s="40"/>
      <c r="K89" s="21"/>
    </row>
    <row r="90" spans="1:11" ht="15" customHeight="1">
      <c r="A90" s="18"/>
      <c r="B90" s="36" t="s">
        <v>49</v>
      </c>
      <c r="C90" s="35">
        <v>2</v>
      </c>
      <c r="D90" s="37">
        <f>128/2</f>
        <v>64</v>
      </c>
      <c r="E90" s="37"/>
      <c r="F90" s="37">
        <v>1.8</v>
      </c>
      <c r="G90" s="38">
        <f t="shared" ref="G90" si="8">PRODUCT(C90:F90)</f>
        <v>230.4</v>
      </c>
      <c r="H90" s="39"/>
      <c r="I90" s="39"/>
      <c r="J90" s="39"/>
      <c r="K90" s="21"/>
    </row>
    <row r="91" spans="1:11" ht="15" customHeight="1">
      <c r="A91" s="18"/>
      <c r="B91" s="36" t="s">
        <v>40</v>
      </c>
      <c r="C91" s="19"/>
      <c r="D91" s="20"/>
      <c r="E91" s="21"/>
      <c r="F91" s="21"/>
      <c r="G91" s="23">
        <f>SUM(G90:G90)</f>
        <v>230.4</v>
      </c>
      <c r="H91" s="22" t="s">
        <v>62</v>
      </c>
      <c r="I91" s="23">
        <v>405.86</v>
      </c>
      <c r="J91" s="40">
        <f>G91*I91</f>
        <v>93510.144</v>
      </c>
      <c r="K91" s="21"/>
    </row>
    <row r="92" spans="1:11" ht="15" customHeight="1">
      <c r="A92" s="18"/>
      <c r="B92" s="36" t="s">
        <v>38</v>
      </c>
      <c r="C92" s="19"/>
      <c r="D92" s="20"/>
      <c r="E92" s="21"/>
      <c r="F92" s="21"/>
      <c r="G92" s="23"/>
      <c r="H92" s="22"/>
      <c r="I92" s="23"/>
      <c r="J92" s="40">
        <f>0.13*G91*11166.2/100</f>
        <v>3344.5002240000003</v>
      </c>
      <c r="K92" s="21"/>
    </row>
    <row r="93" spans="1:11" ht="15" customHeight="1">
      <c r="A93" s="18"/>
      <c r="B93" s="36"/>
      <c r="C93" s="19"/>
      <c r="D93" s="20"/>
      <c r="E93" s="21"/>
      <c r="F93" s="21"/>
      <c r="G93" s="23"/>
      <c r="H93" s="22"/>
      <c r="I93" s="23"/>
      <c r="J93" s="40"/>
      <c r="K93" s="21"/>
    </row>
    <row r="94" spans="1:11" ht="76.8">
      <c r="A94" s="18">
        <v>12</v>
      </c>
      <c r="B94" s="60" t="s">
        <v>60</v>
      </c>
      <c r="C94" s="60"/>
      <c r="D94" s="60"/>
      <c r="E94" s="60"/>
      <c r="F94" s="60"/>
      <c r="G94" s="60"/>
      <c r="H94" s="60"/>
      <c r="I94" s="23"/>
      <c r="J94" s="40"/>
      <c r="K94" s="21"/>
    </row>
    <row r="95" spans="1:11" ht="15" customHeight="1">
      <c r="A95" s="18"/>
      <c r="B95" s="36" t="s">
        <v>61</v>
      </c>
      <c r="C95" s="19">
        <v>6</v>
      </c>
      <c r="D95" s="20">
        <v>1.2</v>
      </c>
      <c r="E95" s="21"/>
      <c r="F95" s="21">
        <f>5.42/3.281</f>
        <v>1.6519353855531849</v>
      </c>
      <c r="G95" s="38">
        <f t="shared" ref="G95:G96" si="9">PRODUCT(C95:F95)</f>
        <v>11.893934775982929</v>
      </c>
      <c r="H95" s="22"/>
      <c r="I95" s="23"/>
      <c r="J95" s="40"/>
      <c r="K95" s="21"/>
    </row>
    <row r="96" spans="1:11" ht="15" customHeight="1">
      <c r="A96" s="18"/>
      <c r="B96" s="36" t="s">
        <v>92</v>
      </c>
      <c r="C96" s="19">
        <v>1</v>
      </c>
      <c r="D96" s="20">
        <v>0.88500000000000001</v>
      </c>
      <c r="E96" s="21"/>
      <c r="F96" s="21">
        <v>2.0499999999999998</v>
      </c>
      <c r="G96" s="38">
        <f t="shared" si="9"/>
        <v>1.8142499999999999</v>
      </c>
      <c r="H96" s="22"/>
      <c r="I96" s="23"/>
      <c r="J96" s="40"/>
      <c r="K96" s="21"/>
    </row>
    <row r="97" spans="1:13" ht="15" customHeight="1">
      <c r="A97" s="18"/>
      <c r="B97" s="36" t="s">
        <v>40</v>
      </c>
      <c r="C97" s="19"/>
      <c r="D97" s="20"/>
      <c r="E97" s="21"/>
      <c r="F97" s="21"/>
      <c r="G97" s="23">
        <f>SUM(G95:G96)</f>
        <v>13.708184775982929</v>
      </c>
      <c r="H97" s="22" t="s">
        <v>62</v>
      </c>
      <c r="I97" s="23">
        <v>2575.34</v>
      </c>
      <c r="J97" s="40">
        <f>G97*I97</f>
        <v>35303.236580979879</v>
      </c>
      <c r="K97" s="21"/>
    </row>
    <row r="98" spans="1:13" ht="15" customHeight="1">
      <c r="A98" s="18"/>
      <c r="B98" s="36" t="s">
        <v>38</v>
      </c>
      <c r="C98" s="19"/>
      <c r="D98" s="20"/>
      <c r="E98" s="21"/>
      <c r="F98" s="21"/>
      <c r="G98" s="23"/>
      <c r="H98" s="22"/>
      <c r="I98" s="23"/>
      <c r="J98" s="40">
        <f>0.13*G97*24343.96/10</f>
        <v>4338.2495241687857</v>
      </c>
      <c r="K98" s="21"/>
    </row>
    <row r="99" spans="1:13" ht="15" customHeight="1">
      <c r="A99" s="18"/>
      <c r="B99" s="36"/>
      <c r="C99" s="19"/>
      <c r="D99" s="20"/>
      <c r="E99" s="21"/>
      <c r="F99" s="21"/>
      <c r="G99" s="23"/>
      <c r="H99" s="22"/>
      <c r="I99" s="23"/>
      <c r="J99" s="40"/>
      <c r="K99" s="21"/>
    </row>
    <row r="100" spans="1:13" ht="30.6">
      <c r="A100" s="18">
        <v>13</v>
      </c>
      <c r="B100" s="60" t="s">
        <v>63</v>
      </c>
      <c r="C100" s="60"/>
      <c r="D100" s="60"/>
      <c r="E100" s="60"/>
      <c r="F100" s="60"/>
      <c r="G100" s="60"/>
      <c r="H100" s="60"/>
      <c r="I100" s="23"/>
      <c r="J100" s="40"/>
      <c r="K100" s="21"/>
    </row>
    <row r="101" spans="1:13" ht="15" customHeight="1">
      <c r="A101" s="18"/>
      <c r="B101" s="36" t="s">
        <v>64</v>
      </c>
      <c r="C101" s="19">
        <v>1</v>
      </c>
      <c r="D101" s="20">
        <v>225</v>
      </c>
      <c r="E101" s="21"/>
      <c r="F101" s="21"/>
      <c r="G101" s="38">
        <f t="shared" ref="G101" si="10">PRODUCT(C101:F101)</f>
        <v>225</v>
      </c>
      <c r="H101" s="22"/>
      <c r="I101" s="23"/>
      <c r="J101" s="40"/>
      <c r="K101" s="21"/>
    </row>
    <row r="102" spans="1:13" ht="15" customHeight="1">
      <c r="A102" s="18"/>
      <c r="B102" s="36" t="s">
        <v>40</v>
      </c>
      <c r="C102" s="19"/>
      <c r="D102" s="20"/>
      <c r="E102" s="21"/>
      <c r="F102" s="21"/>
      <c r="G102" s="23">
        <f>SUM(G101:G101)</f>
        <v>225</v>
      </c>
      <c r="H102" s="22" t="s">
        <v>65</v>
      </c>
      <c r="I102" s="23">
        <v>82.59</v>
      </c>
      <c r="J102" s="40">
        <f>G102*I102</f>
        <v>18582.75</v>
      </c>
      <c r="K102" s="21"/>
      <c r="M102">
        <f>1.25*G102</f>
        <v>281.25</v>
      </c>
    </row>
    <row r="103" spans="1:13" ht="15" customHeight="1">
      <c r="A103" s="18"/>
      <c r="B103" s="36" t="s">
        <v>38</v>
      </c>
      <c r="C103" s="19"/>
      <c r="D103" s="20"/>
      <c r="E103" s="21"/>
      <c r="F103" s="21"/>
      <c r="G103" s="23"/>
      <c r="H103" s="22"/>
      <c r="I103" s="23"/>
      <c r="J103" s="40">
        <f>0.13*G102*1992.14/100</f>
        <v>582.70095000000003</v>
      </c>
      <c r="K103" s="21"/>
    </row>
    <row r="104" spans="1:13" ht="15" customHeight="1">
      <c r="A104" s="18"/>
      <c r="B104" s="36"/>
      <c r="C104" s="19"/>
      <c r="D104" s="20"/>
      <c r="E104" s="21"/>
      <c r="F104" s="21"/>
      <c r="G104" s="23"/>
      <c r="H104" s="22"/>
      <c r="I104" s="23"/>
      <c r="J104" s="40"/>
      <c r="K104" s="21"/>
    </row>
    <row r="105" spans="1:13" ht="30.6">
      <c r="A105" s="18">
        <v>14</v>
      </c>
      <c r="B105" s="60" t="s">
        <v>87</v>
      </c>
      <c r="C105" s="19"/>
      <c r="D105" s="20"/>
      <c r="E105" s="21"/>
      <c r="F105" s="21"/>
      <c r="G105" s="23"/>
      <c r="H105" s="22"/>
      <c r="I105" s="23"/>
      <c r="J105" s="40"/>
      <c r="K105" s="21"/>
    </row>
    <row r="106" spans="1:13" ht="15" customHeight="1">
      <c r="A106" s="18"/>
      <c r="B106" s="36" t="str">
        <f>B90</f>
        <v>-wall</v>
      </c>
      <c r="C106" s="19">
        <f>C90</f>
        <v>2</v>
      </c>
      <c r="D106" s="20">
        <f>D90</f>
        <v>64</v>
      </c>
      <c r="E106" s="21"/>
      <c r="F106" s="21">
        <f>F90</f>
        <v>1.8</v>
      </c>
      <c r="G106" s="38">
        <f t="shared" ref="G106" si="11">PRODUCT(C106:F106)</f>
        <v>230.4</v>
      </c>
      <c r="H106" s="22"/>
      <c r="I106" s="23"/>
      <c r="J106" s="40"/>
      <c r="K106" s="21"/>
    </row>
    <row r="107" spans="1:13" ht="15" customHeight="1">
      <c r="A107" s="18"/>
      <c r="B107" s="36" t="s">
        <v>40</v>
      </c>
      <c r="C107" s="19"/>
      <c r="D107" s="20"/>
      <c r="E107" s="21"/>
      <c r="F107" s="21"/>
      <c r="G107" s="23">
        <f>SUM(G106:G106)</f>
        <v>230.4</v>
      </c>
      <c r="H107" s="22" t="s">
        <v>62</v>
      </c>
      <c r="I107" s="23">
        <v>251.77</v>
      </c>
      <c r="J107" s="40">
        <f>G107*I107</f>
        <v>58007.808000000005</v>
      </c>
      <c r="K107" s="21"/>
    </row>
    <row r="108" spans="1:13" ht="15" customHeight="1">
      <c r="A108" s="18"/>
      <c r="B108" s="36" t="s">
        <v>38</v>
      </c>
      <c r="C108" s="19"/>
      <c r="D108" s="20"/>
      <c r="E108" s="21"/>
      <c r="F108" s="21"/>
      <c r="G108" s="23"/>
      <c r="H108" s="22"/>
      <c r="I108" s="23"/>
      <c r="J108" s="40">
        <f>0.13*G107*12736/100</f>
        <v>3814.6867200000002</v>
      </c>
      <c r="K108" s="21"/>
    </row>
    <row r="109" spans="1:13" ht="15" customHeight="1">
      <c r="A109" s="18"/>
      <c r="B109" s="36"/>
      <c r="C109" s="19"/>
      <c r="D109" s="20"/>
      <c r="E109" s="21"/>
      <c r="F109" s="21"/>
      <c r="G109" s="23"/>
      <c r="H109" s="22"/>
      <c r="I109" s="23"/>
      <c r="J109" s="40"/>
      <c r="K109" s="21"/>
    </row>
    <row r="110" spans="1:13" ht="30.6">
      <c r="A110" s="18">
        <v>15</v>
      </c>
      <c r="B110" s="60" t="s">
        <v>163</v>
      </c>
      <c r="C110" s="19"/>
      <c r="D110" s="20"/>
      <c r="E110" s="21"/>
      <c r="F110" s="21"/>
      <c r="G110" s="23"/>
      <c r="H110" s="22"/>
      <c r="I110" s="23"/>
      <c r="J110" s="40"/>
      <c r="K110" s="21"/>
    </row>
    <row r="111" spans="1:13" ht="15" customHeight="1">
      <c r="A111" s="18"/>
      <c r="B111" s="36" t="s">
        <v>164</v>
      </c>
      <c r="C111" s="19">
        <v>2</v>
      </c>
      <c r="D111" s="20">
        <v>2.2799999999999998</v>
      </c>
      <c r="E111" s="21"/>
      <c r="F111" s="21">
        <v>1.97</v>
      </c>
      <c r="G111" s="38">
        <f t="shared" ref="G111" si="12">PRODUCT(C111:F111)</f>
        <v>8.9831999999999983</v>
      </c>
      <c r="H111" s="22"/>
      <c r="I111" s="23"/>
      <c r="J111" s="40"/>
      <c r="K111" s="21"/>
    </row>
    <row r="112" spans="1:13" ht="15" customHeight="1">
      <c r="A112" s="18"/>
      <c r="B112" s="36"/>
      <c r="C112" s="19">
        <v>1</v>
      </c>
      <c r="D112" s="20">
        <v>0.89</v>
      </c>
      <c r="E112" s="21"/>
      <c r="F112" s="21">
        <v>2.13</v>
      </c>
      <c r="G112" s="38">
        <f t="shared" ref="G112" si="13">PRODUCT(C112:F112)</f>
        <v>1.8956999999999999</v>
      </c>
      <c r="H112" s="22"/>
      <c r="I112" s="23"/>
      <c r="J112" s="40"/>
      <c r="K112" s="21"/>
    </row>
    <row r="113" spans="1:11" ht="15" customHeight="1">
      <c r="A113" s="18"/>
      <c r="B113" s="36" t="s">
        <v>40</v>
      </c>
      <c r="C113" s="19"/>
      <c r="D113" s="20"/>
      <c r="E113" s="21"/>
      <c r="F113" s="21"/>
      <c r="G113" s="23">
        <f>SUM(G111:G112)</f>
        <v>10.878899999999998</v>
      </c>
      <c r="H113" s="22" t="s">
        <v>62</v>
      </c>
      <c r="I113" s="23">
        <v>128.43</v>
      </c>
      <c r="J113" s="40">
        <f>G113*I113</f>
        <v>1397.1771269999999</v>
      </c>
      <c r="K113" s="21"/>
    </row>
    <row r="114" spans="1:11" ht="15" customHeight="1">
      <c r="A114" s="18"/>
      <c r="B114" s="36" t="s">
        <v>38</v>
      </c>
      <c r="C114" s="19"/>
      <c r="D114" s="20"/>
      <c r="E114" s="21"/>
      <c r="F114" s="21"/>
      <c r="G114" s="23"/>
      <c r="H114" s="22"/>
      <c r="I114" s="23"/>
      <c r="J114" s="40">
        <f>0.13*G113*4878/100</f>
        <v>68.98745645999999</v>
      </c>
      <c r="K114" s="21"/>
    </row>
    <row r="115" spans="1:11" ht="15" customHeight="1">
      <c r="A115" s="18"/>
      <c r="B115" s="36"/>
      <c r="C115" s="19"/>
      <c r="D115" s="20"/>
      <c r="E115" s="21"/>
      <c r="F115" s="21"/>
      <c r="G115" s="23"/>
      <c r="H115" s="22"/>
      <c r="I115" s="23"/>
      <c r="J115" s="40"/>
      <c r="K115" s="21"/>
    </row>
    <row r="116" spans="1:11" ht="30.6">
      <c r="A116" s="18">
        <v>16</v>
      </c>
      <c r="B116" s="60" t="s">
        <v>88</v>
      </c>
      <c r="C116" s="19" t="s">
        <v>7</v>
      </c>
      <c r="D116" s="67" t="s">
        <v>41</v>
      </c>
      <c r="E116" s="68" t="s">
        <v>77</v>
      </c>
      <c r="F116" s="68" t="s">
        <v>78</v>
      </c>
      <c r="G116" s="68" t="s">
        <v>97</v>
      </c>
      <c r="H116" s="22"/>
      <c r="I116" s="23"/>
      <c r="J116" s="40"/>
      <c r="K116" s="21"/>
    </row>
    <row r="117" spans="1:11" ht="28.2">
      <c r="A117" s="18"/>
      <c r="B117" s="36" t="s">
        <v>89</v>
      </c>
      <c r="C117" s="19">
        <v>4</v>
      </c>
      <c r="D117" s="20">
        <f>(3.333*3+8.333*2)/3.281</f>
        <v>8.1270953977445899</v>
      </c>
      <c r="E117" s="21">
        <v>1.04</v>
      </c>
      <c r="F117" s="21">
        <f>PRODUCT(C117:E117)</f>
        <v>33.808716854617494</v>
      </c>
      <c r="G117" s="69">
        <f>F117</f>
        <v>33.808716854617494</v>
      </c>
      <c r="H117" s="22"/>
      <c r="I117" s="23"/>
      <c r="J117" s="40"/>
      <c r="K117" s="21"/>
    </row>
    <row r="118" spans="1:11" ht="28.2">
      <c r="A118" s="18"/>
      <c r="B118" s="36" t="s">
        <v>91</v>
      </c>
      <c r="C118" s="19">
        <v>4</v>
      </c>
      <c r="D118" s="20">
        <f>8/3.281</f>
        <v>2.4382810118866196</v>
      </c>
      <c r="E118" s="21">
        <v>14.13</v>
      </c>
      <c r="F118" s="21">
        <f>PRODUCT(C118:E118)</f>
        <v>137.81164279183176</v>
      </c>
      <c r="G118" s="69">
        <f>F118</f>
        <v>137.81164279183176</v>
      </c>
      <c r="H118" s="22"/>
      <c r="I118" s="23"/>
      <c r="J118" s="40"/>
      <c r="K118" s="21"/>
    </row>
    <row r="119" spans="1:11" ht="15" customHeight="1">
      <c r="A119" s="18"/>
      <c r="B119" s="36" t="s">
        <v>40</v>
      </c>
      <c r="C119" s="19"/>
      <c r="D119" s="20"/>
      <c r="E119" s="21"/>
      <c r="F119" s="21"/>
      <c r="G119" s="23">
        <f>SUM(G117:G118)</f>
        <v>171.62035964644926</v>
      </c>
      <c r="H119" s="22" t="s">
        <v>90</v>
      </c>
      <c r="I119" s="23">
        <v>181.17</v>
      </c>
      <c r="J119" s="40">
        <f>G119*I119</f>
        <v>31092.460557147209</v>
      </c>
      <c r="K119" s="21"/>
    </row>
    <row r="120" spans="1:11" ht="15" customHeight="1">
      <c r="A120" s="18"/>
      <c r="B120" s="36" t="s">
        <v>38</v>
      </c>
      <c r="C120" s="19"/>
      <c r="D120" s="20"/>
      <c r="E120" s="21"/>
      <c r="F120" s="21"/>
      <c r="G120" s="23"/>
      <c r="H120" s="22"/>
      <c r="I120" s="23"/>
      <c r="J120" s="40">
        <f>0.13*G119*1871.42/18.94</f>
        <v>2204.4662380381496</v>
      </c>
      <c r="K120" s="21"/>
    </row>
    <row r="121" spans="1:11" ht="15" customHeight="1">
      <c r="A121" s="18"/>
      <c r="B121" s="36"/>
      <c r="C121" s="19"/>
      <c r="D121" s="20"/>
      <c r="E121" s="21"/>
      <c r="F121" s="21"/>
      <c r="G121" s="23"/>
      <c r="H121" s="22"/>
      <c r="I121" s="23"/>
      <c r="J121" s="40"/>
      <c r="K121" s="21"/>
    </row>
    <row r="122" spans="1:11" ht="135.6">
      <c r="A122" s="18">
        <v>17</v>
      </c>
      <c r="B122" s="60" t="s">
        <v>68</v>
      </c>
      <c r="C122" s="60"/>
      <c r="D122" s="60"/>
      <c r="E122" s="60"/>
      <c r="F122" s="60"/>
      <c r="G122" s="60"/>
      <c r="H122" s="60"/>
      <c r="I122" s="23"/>
      <c r="J122" s="40"/>
      <c r="K122" s="21"/>
    </row>
    <row r="123" spans="1:11" ht="15" customHeight="1">
      <c r="A123" s="18"/>
      <c r="B123" s="36" t="s">
        <v>64</v>
      </c>
      <c r="C123" s="19">
        <v>1</v>
      </c>
      <c r="D123" s="20">
        <f>(13.5+12.25)/3.281</f>
        <v>7.8482170070100574</v>
      </c>
      <c r="E123" s="21"/>
      <c r="F123" s="21"/>
      <c r="G123" s="38">
        <f t="shared" ref="G123" si="14">PRODUCT(C123:F123)</f>
        <v>7.8482170070100574</v>
      </c>
      <c r="H123" s="22"/>
      <c r="I123" s="23"/>
      <c r="J123" s="40"/>
      <c r="K123" s="21"/>
    </row>
    <row r="124" spans="1:11" ht="15" customHeight="1">
      <c r="A124" s="18"/>
      <c r="B124" s="36" t="s">
        <v>40</v>
      </c>
      <c r="C124" s="19"/>
      <c r="D124" s="20"/>
      <c r="E124" s="21"/>
      <c r="F124" s="21"/>
      <c r="G124" s="23">
        <f>SUM(G123:G123)</f>
        <v>7.8482170070100574</v>
      </c>
      <c r="H124" s="22" t="s">
        <v>65</v>
      </c>
      <c r="I124" s="23">
        <v>4132.8</v>
      </c>
      <c r="J124" s="40">
        <f>G124*I124</f>
        <v>32435.111246571167</v>
      </c>
      <c r="K124" s="21"/>
    </row>
    <row r="125" spans="1:11" ht="15" customHeight="1">
      <c r="A125" s="18"/>
      <c r="B125" s="36" t="s">
        <v>38</v>
      </c>
      <c r="C125" s="19"/>
      <c r="D125" s="20"/>
      <c r="E125" s="21"/>
      <c r="F125" s="21"/>
      <c r="G125" s="23"/>
      <c r="H125" s="22"/>
      <c r="I125" s="23"/>
      <c r="J125" s="40">
        <f>0.13*G124*4132.8</f>
        <v>4216.5644620542516</v>
      </c>
      <c r="K125" s="21"/>
    </row>
    <row r="126" spans="1:11" ht="15" customHeight="1">
      <c r="A126" s="18"/>
      <c r="B126" s="36"/>
      <c r="C126" s="19"/>
      <c r="D126" s="20"/>
      <c r="E126" s="21"/>
      <c r="F126" s="21"/>
      <c r="G126" s="23"/>
      <c r="H126" s="22"/>
      <c r="I126" s="23"/>
      <c r="J126" s="40"/>
      <c r="K126" s="21"/>
    </row>
    <row r="127" spans="1:11" ht="30.6">
      <c r="A127" s="18">
        <v>18</v>
      </c>
      <c r="B127" s="60" t="s">
        <v>93</v>
      </c>
      <c r="C127" s="19"/>
      <c r="D127" s="20"/>
      <c r="E127" s="21"/>
      <c r="F127" s="21"/>
      <c r="G127" s="23"/>
      <c r="H127" s="22"/>
      <c r="I127" s="23"/>
      <c r="J127" s="40"/>
      <c r="K127" s="21"/>
    </row>
    <row r="128" spans="1:11" ht="15" customHeight="1">
      <c r="A128" s="18"/>
      <c r="B128" s="36" t="s">
        <v>94</v>
      </c>
      <c r="C128" s="19">
        <v>1</v>
      </c>
      <c r="D128" s="20">
        <v>3.23</v>
      </c>
      <c r="E128" s="21"/>
      <c r="F128" s="21">
        <v>2.536</v>
      </c>
      <c r="G128" s="38">
        <f t="shared" ref="G128" si="15">PRODUCT(C128:F128)</f>
        <v>8.1912800000000008</v>
      </c>
      <c r="H128" s="22"/>
      <c r="I128" s="23"/>
      <c r="J128" s="40"/>
      <c r="K128" s="21"/>
    </row>
    <row r="129" spans="1:16" ht="15" customHeight="1">
      <c r="A129" s="18"/>
      <c r="B129" s="36" t="s">
        <v>40</v>
      </c>
      <c r="C129" s="19"/>
      <c r="D129" s="20"/>
      <c r="E129" s="21"/>
      <c r="F129" s="21"/>
      <c r="G129" s="23">
        <f>SUM(G128:G128)</f>
        <v>8.1912800000000008</v>
      </c>
      <c r="H129" s="22" t="s">
        <v>62</v>
      </c>
      <c r="I129" s="23">
        <v>6391.43</v>
      </c>
      <c r="J129" s="40">
        <f>G129*I129</f>
        <v>52353.992730400008</v>
      </c>
      <c r="K129" s="21"/>
      <c r="M129" s="116"/>
    </row>
    <row r="130" spans="1:16" ht="15" customHeight="1">
      <c r="A130" s="18"/>
      <c r="B130" s="36" t="s">
        <v>38</v>
      </c>
      <c r="C130" s="19"/>
      <c r="D130" s="20"/>
      <c r="E130" s="21"/>
      <c r="F130" s="21"/>
      <c r="G130" s="23"/>
      <c r="H130" s="22"/>
      <c r="I130" s="23"/>
      <c r="J130" s="40">
        <f>0.13*J129</f>
        <v>6806.0190549520012</v>
      </c>
      <c r="K130" s="21"/>
    </row>
    <row r="131" spans="1:16" ht="15" customHeight="1">
      <c r="A131" s="18"/>
      <c r="B131" s="36"/>
      <c r="C131" s="19"/>
      <c r="D131" s="20"/>
      <c r="E131" s="21"/>
      <c r="F131" s="21"/>
      <c r="G131" s="23"/>
      <c r="H131" s="22"/>
      <c r="I131" s="23"/>
      <c r="J131" s="40"/>
      <c r="K131" s="21"/>
    </row>
    <row r="132" spans="1:16" ht="15" customHeight="1">
      <c r="A132" s="18">
        <v>19</v>
      </c>
      <c r="B132" s="30" t="s">
        <v>66</v>
      </c>
      <c r="C132" s="19">
        <v>1</v>
      </c>
      <c r="D132" s="20"/>
      <c r="E132" s="21"/>
      <c r="F132" s="21"/>
      <c r="G132" s="33">
        <f t="shared" ref="G132" si="16">PRODUCT(C132:F132)</f>
        <v>1</v>
      </c>
      <c r="H132" s="22" t="s">
        <v>67</v>
      </c>
      <c r="I132" s="23">
        <v>5000</v>
      </c>
      <c r="J132" s="33">
        <f>G132*I132</f>
        <v>5000</v>
      </c>
      <c r="K132" s="21"/>
    </row>
    <row r="133" spans="1:16" ht="15" customHeight="1">
      <c r="A133" s="18"/>
      <c r="B133" s="36"/>
      <c r="C133" s="19"/>
      <c r="D133" s="20"/>
      <c r="E133" s="21"/>
      <c r="F133" s="21"/>
      <c r="G133" s="23"/>
      <c r="H133" s="22"/>
      <c r="I133" s="23"/>
      <c r="J133" s="40"/>
      <c r="K133" s="21"/>
    </row>
    <row r="134" spans="1:16" ht="15" customHeight="1">
      <c r="A134" s="18">
        <v>20</v>
      </c>
      <c r="B134" s="30" t="s">
        <v>30</v>
      </c>
      <c r="C134" s="19">
        <v>1</v>
      </c>
      <c r="D134" s="20"/>
      <c r="E134" s="21"/>
      <c r="F134" s="21"/>
      <c r="G134" s="33">
        <f t="shared" ref="G134" si="17">PRODUCT(C134:F134)</f>
        <v>1</v>
      </c>
      <c r="H134" s="22" t="s">
        <v>31</v>
      </c>
      <c r="I134" s="23">
        <v>500</v>
      </c>
      <c r="J134" s="33">
        <f>G134*I134</f>
        <v>500</v>
      </c>
      <c r="K134" s="21"/>
    </row>
    <row r="135" spans="1:16" ht="15" customHeight="1">
      <c r="A135" s="18"/>
      <c r="B135" s="24"/>
      <c r="C135" s="19"/>
      <c r="D135" s="20"/>
      <c r="E135" s="21"/>
      <c r="F135" s="21"/>
      <c r="G135" s="23"/>
      <c r="H135" s="22"/>
      <c r="I135" s="23"/>
      <c r="J135" s="40"/>
      <c r="K135" s="21"/>
    </row>
    <row r="136" spans="1:16">
      <c r="A136" s="39"/>
      <c r="B136" s="41" t="s">
        <v>17</v>
      </c>
      <c r="C136" s="42"/>
      <c r="D136" s="37"/>
      <c r="E136" s="37"/>
      <c r="F136" s="37"/>
      <c r="G136" s="40"/>
      <c r="H136" s="40"/>
      <c r="I136" s="40"/>
      <c r="J136" s="40">
        <f>SUM(J10:J134)</f>
        <v>581664.40217478701</v>
      </c>
      <c r="K136" s="35"/>
    </row>
    <row r="137" spans="1:16">
      <c r="A137" s="53"/>
      <c r="B137" s="56"/>
      <c r="C137" s="57"/>
      <c r="D137" s="54"/>
      <c r="E137" s="54"/>
      <c r="F137" s="54"/>
      <c r="G137" s="55"/>
      <c r="H137" s="55"/>
      <c r="I137" s="55"/>
      <c r="J137" s="55"/>
      <c r="K137" s="52"/>
    </row>
    <row r="138" spans="1:16" s="1" customFormat="1">
      <c r="A138" s="45"/>
      <c r="B138" s="29" t="s">
        <v>27</v>
      </c>
      <c r="C138" s="119">
        <f>J136</f>
        <v>581664.40217478701</v>
      </c>
      <c r="D138" s="119"/>
      <c r="E138" s="38">
        <v>100</v>
      </c>
      <c r="F138" s="46"/>
      <c r="G138" s="47"/>
      <c r="H138" s="46"/>
      <c r="I138" s="48"/>
      <c r="J138" s="49"/>
      <c r="K138" s="50"/>
    </row>
    <row r="139" spans="1:16">
      <c r="A139" s="51"/>
      <c r="B139" s="29" t="s">
        <v>32</v>
      </c>
      <c r="C139" s="122">
        <v>500000</v>
      </c>
      <c r="D139" s="122"/>
      <c r="E139" s="38"/>
      <c r="F139" s="44"/>
      <c r="G139" s="43"/>
      <c r="H139" s="53"/>
      <c r="I139" s="53"/>
      <c r="J139" s="53"/>
      <c r="K139" s="52"/>
      <c r="L139" s="34"/>
      <c r="M139" s="34"/>
      <c r="N139" s="34"/>
      <c r="O139" s="34"/>
      <c r="P139" s="34"/>
    </row>
    <row r="140" spans="1:16" ht="14.4" customHeight="1">
      <c r="A140" s="51"/>
      <c r="B140" s="29" t="s">
        <v>33</v>
      </c>
      <c r="C140" s="122">
        <f>C139-C142-C143</f>
        <v>475000</v>
      </c>
      <c r="D140" s="122"/>
      <c r="E140" s="38">
        <f>C140/C138*100</f>
        <v>81.662209037379782</v>
      </c>
      <c r="F140" s="44"/>
      <c r="G140" s="43"/>
      <c r="H140" s="53"/>
      <c r="I140" s="25"/>
      <c r="J140" s="25"/>
      <c r="K140" s="25"/>
      <c r="L140" s="25"/>
      <c r="M140" s="25"/>
      <c r="N140" s="25"/>
      <c r="O140" s="25"/>
      <c r="P140" s="34"/>
    </row>
    <row r="141" spans="1:16" ht="14.4" customHeight="1">
      <c r="A141" s="51"/>
      <c r="B141" s="29" t="s">
        <v>34</v>
      </c>
      <c r="C141" s="119">
        <f>C138-C140</f>
        <v>106664.40217478701</v>
      </c>
      <c r="D141" s="119"/>
      <c r="E141" s="38">
        <f>100-E140</f>
        <v>18.337790962620218</v>
      </c>
      <c r="F141" s="44"/>
      <c r="G141" s="43"/>
      <c r="H141" s="53"/>
      <c r="I141" s="25"/>
      <c r="J141" s="25"/>
      <c r="K141" s="25"/>
      <c r="L141" s="25"/>
      <c r="M141" s="25"/>
      <c r="N141" s="25"/>
      <c r="O141" s="25"/>
      <c r="P141" s="34"/>
    </row>
    <row r="142" spans="1:16">
      <c r="A142" s="51"/>
      <c r="B142" s="29" t="s">
        <v>35</v>
      </c>
      <c r="C142" s="119">
        <f>C139*0.03</f>
        <v>15000</v>
      </c>
      <c r="D142" s="119"/>
      <c r="E142" s="38">
        <v>3</v>
      </c>
      <c r="F142" s="44"/>
      <c r="G142" s="43"/>
      <c r="H142" s="53"/>
      <c r="I142" s="53"/>
      <c r="J142" s="53"/>
      <c r="K142" s="52"/>
      <c r="L142" s="34"/>
      <c r="M142" s="34"/>
      <c r="N142" s="34"/>
      <c r="O142" s="34"/>
      <c r="P142" s="34"/>
    </row>
    <row r="143" spans="1:16">
      <c r="A143" s="51"/>
      <c r="B143" s="29" t="s">
        <v>36</v>
      </c>
      <c r="C143" s="119">
        <f>C139*0.02</f>
        <v>10000</v>
      </c>
      <c r="D143" s="119"/>
      <c r="E143" s="38">
        <v>2</v>
      </c>
      <c r="F143" s="44"/>
      <c r="G143" s="43"/>
      <c r="H143" s="53"/>
      <c r="I143" s="53"/>
      <c r="J143" s="53"/>
      <c r="K143" s="52"/>
      <c r="L143" s="34"/>
      <c r="M143" s="34"/>
      <c r="N143" s="34"/>
      <c r="O143" s="34"/>
      <c r="P143" s="34"/>
    </row>
    <row r="144" spans="1:16" s="34" customFormat="1">
      <c r="A144" s="52"/>
      <c r="B144" s="52"/>
      <c r="C144" s="52"/>
      <c r="D144" s="52"/>
      <c r="E144" s="52"/>
      <c r="F144" s="52"/>
      <c r="G144" s="52"/>
      <c r="H144" s="52"/>
      <c r="I144" s="52"/>
      <c r="J144" s="52"/>
      <c r="K144" s="52"/>
    </row>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sheetData>
  <mergeCells count="16">
    <mergeCell ref="C141:D141"/>
    <mergeCell ref="C142:D142"/>
    <mergeCell ref="C143:D143"/>
    <mergeCell ref="A7:F7"/>
    <mergeCell ref="H7:K7"/>
    <mergeCell ref="M11:S11"/>
    <mergeCell ref="C138:D138"/>
    <mergeCell ref="C139:D139"/>
    <mergeCell ref="C140:D140"/>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3"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abSelected="1" topLeftCell="A30" zoomScaleNormal="100" workbookViewId="0">
      <selection activeCell="L67" sqref="L67"/>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c r="A1" s="131" t="s">
        <v>0</v>
      </c>
      <c r="B1" s="131"/>
      <c r="C1" s="131"/>
      <c r="D1" s="131"/>
      <c r="E1" s="131"/>
      <c r="F1" s="131"/>
      <c r="G1" s="131"/>
      <c r="H1" s="131"/>
      <c r="I1" s="131"/>
      <c r="J1" s="131"/>
      <c r="K1" s="131"/>
    </row>
    <row r="2" spans="1:13" ht="24.6">
      <c r="A2" s="132" t="s">
        <v>1</v>
      </c>
      <c r="B2" s="132"/>
      <c r="C2" s="132"/>
      <c r="D2" s="132"/>
      <c r="E2" s="132"/>
      <c r="F2" s="132"/>
      <c r="G2" s="132"/>
      <c r="H2" s="132"/>
      <c r="I2" s="132"/>
      <c r="J2" s="132"/>
      <c r="K2" s="132"/>
    </row>
    <row r="3" spans="1:13" s="1" customFormat="1">
      <c r="A3" s="127" t="s">
        <v>2</v>
      </c>
      <c r="B3" s="127"/>
      <c r="C3" s="127"/>
      <c r="D3" s="127"/>
      <c r="E3" s="127"/>
      <c r="F3" s="127"/>
      <c r="G3" s="127"/>
      <c r="H3" s="127"/>
      <c r="I3" s="127"/>
      <c r="J3" s="127"/>
      <c r="K3" s="127"/>
    </row>
    <row r="4" spans="1:13" s="1" customFormat="1">
      <c r="A4" s="127" t="s">
        <v>3</v>
      </c>
      <c r="B4" s="127"/>
      <c r="C4" s="127"/>
      <c r="D4" s="127"/>
      <c r="E4" s="127"/>
      <c r="F4" s="127"/>
      <c r="G4" s="127"/>
      <c r="H4" s="127"/>
      <c r="I4" s="127"/>
      <c r="J4" s="127"/>
      <c r="K4" s="127"/>
    </row>
    <row r="5" spans="1:13" ht="18">
      <c r="A5" s="133" t="s">
        <v>18</v>
      </c>
      <c r="B5" s="133"/>
      <c r="C5" s="133"/>
      <c r="D5" s="133"/>
      <c r="E5" s="133"/>
      <c r="F5" s="133"/>
      <c r="G5" s="133"/>
      <c r="H5" s="133"/>
      <c r="I5" s="133"/>
      <c r="J5" s="133"/>
      <c r="K5" s="133"/>
    </row>
    <row r="6" spans="1:13" ht="18">
      <c r="A6" s="8" t="s">
        <v>19</v>
      </c>
      <c r="B6" s="8"/>
      <c r="C6" s="129">
        <f>F69</f>
        <v>581664.40217478701</v>
      </c>
      <c r="D6" s="130"/>
      <c r="E6" s="9"/>
      <c r="F6" s="8"/>
      <c r="G6" s="8"/>
      <c r="H6" s="8" t="s">
        <v>20</v>
      </c>
      <c r="I6" s="8"/>
      <c r="J6" s="129">
        <f>I69</f>
        <v>433248.71172694775</v>
      </c>
      <c r="K6" s="130"/>
    </row>
    <row r="7" spans="1:13">
      <c r="A7" s="26" t="s">
        <v>29</v>
      </c>
      <c r="B7" s="10"/>
      <c r="C7" s="10"/>
      <c r="D7" s="10"/>
      <c r="F7" s="136"/>
      <c r="G7" s="136"/>
      <c r="I7" s="137" t="s">
        <v>37</v>
      </c>
      <c r="J7" s="137"/>
      <c r="K7" s="137"/>
    </row>
    <row r="8" spans="1:13" ht="15.6">
      <c r="A8" s="123" t="str">
        <f>'callapsible gate added'!A6:F6</f>
        <v>Project:- राष्ट्रिय मा. बि. वाल निर्माण</v>
      </c>
      <c r="B8" s="123"/>
      <c r="C8" s="123"/>
      <c r="D8" s="123"/>
      <c r="E8" s="123"/>
      <c r="F8" s="123"/>
      <c r="I8" s="138" t="s">
        <v>99</v>
      </c>
      <c r="J8" s="138"/>
      <c r="K8" s="138"/>
    </row>
    <row r="9" spans="1:13">
      <c r="A9" s="139" t="str">
        <f>'callapsible gate added'!A7:F7</f>
        <v>Location:- Shankharapur Municipality 9</v>
      </c>
      <c r="B9" s="139"/>
      <c r="C9" s="139"/>
      <c r="D9" s="139"/>
      <c r="E9" s="139"/>
      <c r="F9" s="139"/>
      <c r="I9" s="138" t="s">
        <v>100</v>
      </c>
      <c r="J9" s="138"/>
      <c r="K9" s="138"/>
    </row>
    <row r="11" spans="1:13">
      <c r="A11" s="134" t="s">
        <v>21</v>
      </c>
      <c r="B11" s="134" t="s">
        <v>22</v>
      </c>
      <c r="C11" s="134" t="s">
        <v>12</v>
      </c>
      <c r="D11" s="140" t="s">
        <v>23</v>
      </c>
      <c r="E11" s="140"/>
      <c r="F11" s="140"/>
      <c r="G11" s="140" t="s">
        <v>24</v>
      </c>
      <c r="H11" s="140"/>
      <c r="I11" s="140"/>
      <c r="J11" s="134" t="s">
        <v>25</v>
      </c>
      <c r="K11" s="135" t="s">
        <v>15</v>
      </c>
    </row>
    <row r="12" spans="1:13">
      <c r="A12" s="134"/>
      <c r="B12" s="134"/>
      <c r="C12" s="134"/>
      <c r="D12" s="11" t="s">
        <v>26</v>
      </c>
      <c r="E12" s="11" t="s">
        <v>13</v>
      </c>
      <c r="F12" s="11" t="s">
        <v>14</v>
      </c>
      <c r="G12" s="11" t="s">
        <v>26</v>
      </c>
      <c r="H12" s="11" t="s">
        <v>13</v>
      </c>
      <c r="I12" s="11" t="s">
        <v>14</v>
      </c>
      <c r="J12" s="134"/>
      <c r="K12" s="135"/>
    </row>
    <row r="13" spans="1:13" s="1" customFormat="1" ht="30">
      <c r="A13" s="27">
        <f>'callapsible gate added'!A9</f>
        <v>1</v>
      </c>
      <c r="B13" s="58" t="str">
        <f>'callapsible gate added'!B9</f>
        <v>l;d]G6 jf jh|df hf]8]sf] uf/f] eTsfO{ To;af6 cfPsf] ;fdfu+|L !) dL= x6fpg] sfd .</v>
      </c>
      <c r="C13" s="12" t="str">
        <f>'callapsible gate added'!H13</f>
        <v>m3</v>
      </c>
      <c r="D13" s="12">
        <f>'callapsible gate added'!G13</f>
        <v>4.9329629996843565</v>
      </c>
      <c r="E13" s="12">
        <f>'callapsible gate added'!I13</f>
        <v>1950</v>
      </c>
      <c r="F13" s="12">
        <f>D13*E13</f>
        <v>9619.2778493844944</v>
      </c>
      <c r="G13" s="12">
        <f>V!G13</f>
        <v>4.8615479996843565</v>
      </c>
      <c r="H13" s="12">
        <f>V!I13</f>
        <v>1950</v>
      </c>
      <c r="I13" s="12">
        <f>G13*H13</f>
        <v>9480.0185993844952</v>
      </c>
      <c r="J13" s="28">
        <f>I13-F13</f>
        <v>-139.25924999999916</v>
      </c>
      <c r="K13" s="14"/>
      <c r="M13" s="1">
        <f>1.25*F13</f>
        <v>12024.097311730618</v>
      </c>
    </row>
    <row r="14" spans="1:13" s="1" customFormat="1" ht="15.6">
      <c r="A14" s="27"/>
      <c r="B14" s="79"/>
      <c r="C14" s="12"/>
      <c r="D14" s="12"/>
      <c r="E14" s="12"/>
      <c r="F14" s="12"/>
      <c r="G14" s="12"/>
      <c r="H14" s="12"/>
      <c r="I14" s="12"/>
      <c r="J14" s="28"/>
      <c r="K14" s="14"/>
    </row>
    <row r="15" spans="1:13" s="1" customFormat="1" ht="140.4">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2.9062800000000002</v>
      </c>
      <c r="E15" s="12">
        <f>'callapsible gate added'!I17</f>
        <v>64.63</v>
      </c>
      <c r="F15" s="12">
        <f>D15*E15</f>
        <v>187.8328764</v>
      </c>
      <c r="G15" s="12">
        <f>V!G17</f>
        <v>2.7910697957939647</v>
      </c>
      <c r="H15" s="12">
        <f>V!I17</f>
        <v>64.63</v>
      </c>
      <c r="I15" s="12">
        <f>G15*H15</f>
        <v>180.38684090216393</v>
      </c>
      <c r="J15" s="28">
        <f>I15-F15</f>
        <v>-7.4460354978360783</v>
      </c>
      <c r="K15" s="14"/>
      <c r="M15" s="1">
        <f>1.25*F15</f>
        <v>234.79109550000001</v>
      </c>
    </row>
    <row r="16" spans="1:13" s="1" customFormat="1" ht="15.6">
      <c r="A16" s="27"/>
      <c r="B16" s="80" t="str">
        <f>'callapsible gate added'!B18</f>
        <v>VAT calculation</v>
      </c>
      <c r="C16" s="12"/>
      <c r="D16" s="12"/>
      <c r="E16" s="12"/>
      <c r="F16" s="12">
        <f>'callapsible gate added'!J18</f>
        <v>20.238365160000001</v>
      </c>
      <c r="G16" s="12"/>
      <c r="H16" s="12"/>
      <c r="I16" s="12">
        <f>V!J18</f>
        <v>19.436079701310575</v>
      </c>
      <c r="J16" s="28">
        <f>I16-F16</f>
        <v>-0.80228545868942547</v>
      </c>
      <c r="K16" s="14"/>
      <c r="M16" s="1">
        <f>1.25*F16</f>
        <v>25.297956450000001</v>
      </c>
    </row>
    <row r="17" spans="1:13" s="1" customFormat="1" ht="15.6">
      <c r="A17" s="27"/>
      <c r="B17" s="32"/>
      <c r="C17" s="12"/>
      <c r="D17" s="12"/>
      <c r="E17" s="12"/>
      <c r="F17" s="12"/>
      <c r="G17" s="12"/>
      <c r="H17" s="12"/>
      <c r="I17" s="12"/>
      <c r="J17" s="28"/>
      <c r="K17" s="14"/>
    </row>
    <row r="18" spans="1:13" s="1" customFormat="1" ht="30">
      <c r="A18" s="27">
        <f>'callapsible gate added'!A20</f>
        <v>3</v>
      </c>
      <c r="B18" s="58" t="str">
        <f>'callapsible gate added'!B20</f>
        <v>g/d k|sf/sf] Sn] / l;N6L df6f]df ;j} lsl;dsf] vGg] sfd</v>
      </c>
      <c r="C18" s="12" t="str">
        <f>'callapsible gate added'!H22</f>
        <v>m3</v>
      </c>
      <c r="D18" s="12">
        <f>'callapsible gate added'!G22</f>
        <v>0.64800000000000002</v>
      </c>
      <c r="E18" s="12">
        <f>'callapsible gate added'!I22</f>
        <v>663.31</v>
      </c>
      <c r="F18" s="12">
        <f>D18*E18</f>
        <v>429.82487999999995</v>
      </c>
      <c r="G18" s="12">
        <f>V!G22</f>
        <v>0.53460000000000008</v>
      </c>
      <c r="H18" s="12">
        <f>V!I22</f>
        <v>663.31</v>
      </c>
      <c r="I18" s="12">
        <f>G18*H18</f>
        <v>354.605526</v>
      </c>
      <c r="J18" s="28">
        <f>I18-F18</f>
        <v>-75.219353999999953</v>
      </c>
      <c r="K18" s="14"/>
      <c r="M18" s="1">
        <f>1.25*F18</f>
        <v>537.28109999999992</v>
      </c>
    </row>
    <row r="19" spans="1:13" s="1" customFormat="1" ht="15.6">
      <c r="A19" s="27"/>
      <c r="B19" s="32"/>
      <c r="C19" s="12"/>
      <c r="D19" s="12"/>
      <c r="E19" s="12"/>
      <c r="F19" s="12"/>
      <c r="G19" s="12"/>
      <c r="H19" s="12"/>
      <c r="I19" s="12"/>
      <c r="J19" s="28"/>
      <c r="K19" s="14"/>
    </row>
    <row r="20" spans="1:13" s="1" customFormat="1" ht="15">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V!G28</f>
        <v>5.0347694400998453</v>
      </c>
      <c r="H20" s="12">
        <f>V!I28</f>
        <v>1014.97</v>
      </c>
      <c r="I20" s="12">
        <f>G20*H20</f>
        <v>5110.1399386181401</v>
      </c>
      <c r="J20" s="28">
        <f>I20-F20</f>
        <v>-171.5609473818613</v>
      </c>
      <c r="K20" s="14"/>
      <c r="M20" s="1">
        <f>1.25*F20</f>
        <v>6602.126107500002</v>
      </c>
    </row>
    <row r="21" spans="1:13" s="1" customFormat="1" ht="15.6">
      <c r="A21" s="27"/>
      <c r="B21" s="80" t="str">
        <f>'callapsible gate added'!B28</f>
        <v>VAT calculation</v>
      </c>
      <c r="C21" s="12"/>
      <c r="D21" s="12"/>
      <c r="E21" s="12"/>
      <c r="F21" s="12">
        <f>'callapsible gate added'!J28</f>
        <v>582.94840968000017</v>
      </c>
      <c r="G21" s="12"/>
      <c r="H21" s="12"/>
      <c r="I21" s="12">
        <f>V!J29</f>
        <v>564.01299784996911</v>
      </c>
      <c r="J21" s="28">
        <f>I21-F21</f>
        <v>-18.935411830031057</v>
      </c>
      <c r="K21" s="14"/>
      <c r="M21" s="1">
        <f>1.25*F21</f>
        <v>728.68551210000021</v>
      </c>
    </row>
    <row r="22" spans="1:13" s="1" customFormat="1" ht="15.6">
      <c r="A22" s="27"/>
      <c r="B22" s="32"/>
      <c r="C22" s="12"/>
      <c r="D22" s="12"/>
      <c r="E22" s="12"/>
      <c r="F22" s="12"/>
      <c r="G22" s="12"/>
      <c r="H22" s="12"/>
      <c r="I22" s="12"/>
      <c r="J22" s="28"/>
      <c r="K22" s="14"/>
    </row>
    <row r="23" spans="1:13" s="1" customFormat="1" ht="30">
      <c r="A23" s="27">
        <f>'callapsible gate added'!A30</f>
        <v>5</v>
      </c>
      <c r="B23" s="58" t="str">
        <f>'callapsible gate added'!B30</f>
        <v>hu leQf kvf{ndf l;d]G6 s+lqm6 ug]{ sfd -lk=;L=;L= !M@M$_</v>
      </c>
      <c r="C23" s="12" t="str">
        <f>'callapsible gate added'!H33</f>
        <v>m3</v>
      </c>
      <c r="D23" s="12">
        <f>'callapsible gate added'!G33</f>
        <v>0.52429069430051822</v>
      </c>
      <c r="E23" s="12">
        <f>'callapsible gate added'!I33</f>
        <v>12983.1</v>
      </c>
      <c r="F23" s="12">
        <f>D23*E23</f>
        <v>6806.9185131730583</v>
      </c>
      <c r="G23" s="12">
        <f>V!G35</f>
        <v>0.38663347200499232</v>
      </c>
      <c r="H23" s="12">
        <f>V!I35</f>
        <v>12983.1</v>
      </c>
      <c r="I23" s="12">
        <f>G23*H23</f>
        <v>5019.7010303880161</v>
      </c>
      <c r="J23" s="28">
        <f>I23-F23</f>
        <v>-1787.2174827850422</v>
      </c>
      <c r="K23" s="14"/>
      <c r="M23" s="1">
        <f>1.25*F23</f>
        <v>8508.6481414663231</v>
      </c>
    </row>
    <row r="24" spans="1:13" s="1" customFormat="1" ht="15.6">
      <c r="A24" s="27"/>
      <c r="B24" s="80" t="str">
        <f>'callapsible gate added'!B34</f>
        <v>VAT calculation</v>
      </c>
      <c r="C24" s="12"/>
      <c r="D24" s="12"/>
      <c r="E24" s="12"/>
      <c r="F24" s="12">
        <f>'callapsible gate added'!J34</f>
        <v>550.58612706967472</v>
      </c>
      <c r="G24" s="12"/>
      <c r="H24" s="12"/>
      <c r="I24" s="12">
        <f>V!J36</f>
        <v>406.02480314997229</v>
      </c>
      <c r="J24" s="28">
        <f>I24-F24</f>
        <v>-144.56132391970243</v>
      </c>
      <c r="K24" s="14"/>
      <c r="M24" s="1">
        <f>1.25*F24</f>
        <v>688.23265883709337</v>
      </c>
    </row>
    <row r="25" spans="1:13" s="1" customFormat="1" ht="15.6">
      <c r="A25" s="27"/>
      <c r="B25" s="32"/>
      <c r="C25" s="12"/>
      <c r="D25" s="12"/>
      <c r="E25" s="12"/>
      <c r="F25" s="12"/>
      <c r="G25" s="12"/>
      <c r="H25" s="12"/>
      <c r="I25" s="12"/>
      <c r="J25" s="28"/>
      <c r="K25" s="14"/>
    </row>
    <row r="26" spans="1:13" s="1" customFormat="1" ht="30">
      <c r="A26" s="27">
        <f>'callapsible gate added'!A36</f>
        <v>6</v>
      </c>
      <c r="B26" s="58" t="str">
        <f>'callapsible gate added'!B36</f>
        <v>;'k/ :6«Sr/, 8]s :n]a ljdx?df l;d]G6 s+lqm6 ug]{ sfd -!M!.%M#_</v>
      </c>
      <c r="C26" s="12" t="str">
        <f>'callapsible gate added'!H39</f>
        <v>m3</v>
      </c>
      <c r="D26" s="12">
        <f>'callapsible gate added'!G39</f>
        <v>0.51497999999999999</v>
      </c>
      <c r="E26" s="12">
        <f>'callapsible gate added'!I39</f>
        <v>16512.62</v>
      </c>
      <c r="F26" s="12">
        <f>D26*E26</f>
        <v>8503.6690475999985</v>
      </c>
      <c r="G26" s="12">
        <f>V!G41</f>
        <v>0.49290856446205422</v>
      </c>
      <c r="H26" s="12">
        <f>V!I41</f>
        <v>16512.62</v>
      </c>
      <c r="I26" s="12">
        <f>G26*H26</f>
        <v>8139.2118197074051</v>
      </c>
      <c r="J26" s="28">
        <f>I26-F26</f>
        <v>-364.45722789259344</v>
      </c>
      <c r="K26" s="14"/>
      <c r="M26" s="1">
        <f>1.25*F26</f>
        <v>10629.586309499999</v>
      </c>
    </row>
    <row r="27" spans="1:13" s="1" customFormat="1" ht="15.6">
      <c r="A27" s="27"/>
      <c r="B27" s="80" t="str">
        <f>'callapsible gate added'!B40</f>
        <v>VAT calculation</v>
      </c>
      <c r="C27" s="12"/>
      <c r="D27" s="12"/>
      <c r="E27" s="12"/>
      <c r="F27" s="12">
        <f>'callapsible gate added'!J40</f>
        <v>608.72726818800004</v>
      </c>
      <c r="G27" s="12"/>
      <c r="H27" s="12"/>
      <c r="I27" s="12">
        <f>V!J42</f>
        <v>582.63793528186534</v>
      </c>
      <c r="J27" s="28">
        <f>I27-F27</f>
        <v>-26.0893329061347</v>
      </c>
      <c r="K27" s="14"/>
      <c r="M27" s="1">
        <f>1.25*F27</f>
        <v>760.90908523500002</v>
      </c>
    </row>
    <row r="28" spans="1:13" s="1" customFormat="1" ht="15.6">
      <c r="A28" s="27"/>
      <c r="B28" s="32"/>
      <c r="C28" s="12"/>
      <c r="D28" s="12"/>
      <c r="E28" s="12"/>
      <c r="F28" s="12"/>
      <c r="G28" s="12"/>
      <c r="H28" s="12"/>
      <c r="I28" s="12"/>
      <c r="J28" s="28"/>
      <c r="K28" s="14"/>
    </row>
    <row r="29" spans="1:13" s="1" customFormat="1" ht="30">
      <c r="A29" s="27">
        <f>'callapsible gate added'!A42</f>
        <v>7</v>
      </c>
      <c r="B29" s="58" t="str">
        <f>'callapsible gate added'!B42</f>
        <v xml:space="preserve">kmnfd]sf] kfOk / KnfOaf]8{af6 kmdf{ agfpg] sfd </v>
      </c>
      <c r="C29" s="12" t="str">
        <f>'callapsible gate added'!H45</f>
        <v>m2</v>
      </c>
      <c r="D29" s="12">
        <f>'callapsible gate added'!G45</f>
        <v>5.9039999999999999</v>
      </c>
      <c r="E29" s="12">
        <f>'callapsible gate added'!I45</f>
        <v>915.42</v>
      </c>
      <c r="F29" s="12">
        <f>D29*E29</f>
        <v>5404.6396799999993</v>
      </c>
      <c r="G29" s="12">
        <f>V!G47</f>
        <v>4.6162359036878993</v>
      </c>
      <c r="H29" s="12">
        <f>V!I47</f>
        <v>915.42</v>
      </c>
      <c r="I29" s="12">
        <f>G29*H29</f>
        <v>4225.7946709539765</v>
      </c>
      <c r="J29" s="28">
        <f>I29-F29</f>
        <v>-1178.8450090460228</v>
      </c>
      <c r="K29" s="14"/>
      <c r="M29" s="1">
        <f>1.25*F29</f>
        <v>6755.7995999999994</v>
      </c>
    </row>
    <row r="30" spans="1:13" s="1" customFormat="1" ht="15.6">
      <c r="A30" s="27"/>
      <c r="B30" s="80" t="str">
        <f>'callapsible gate added'!B46</f>
        <v>VAT calculation</v>
      </c>
      <c r="C30" s="12"/>
      <c r="D30" s="12"/>
      <c r="E30" s="12"/>
      <c r="F30" s="12">
        <f>'callapsible gate added'!J46</f>
        <v>359.413267824</v>
      </c>
      <c r="G30" s="12"/>
      <c r="H30" s="12"/>
      <c r="I30" s="12">
        <f>V!J48</f>
        <v>281.01904322339828</v>
      </c>
      <c r="J30" s="28">
        <f>I30-F30</f>
        <v>-78.394224600601717</v>
      </c>
      <c r="K30" s="14"/>
      <c r="M30" s="1">
        <f>1.25*F30</f>
        <v>449.26658478000002</v>
      </c>
    </row>
    <row r="31" spans="1:13" s="1" customFormat="1" ht="15.6">
      <c r="A31" s="27"/>
      <c r="B31" s="32"/>
      <c r="C31" s="12"/>
      <c r="D31" s="12"/>
      <c r="E31" s="12"/>
      <c r="F31" s="12"/>
      <c r="G31" s="12"/>
      <c r="H31" s="12"/>
      <c r="I31" s="12"/>
      <c r="J31" s="28"/>
      <c r="K31" s="14"/>
    </row>
    <row r="32" spans="1:13" s="1" customFormat="1" ht="30">
      <c r="A32" s="27">
        <f>'callapsible gate added'!A48</f>
        <v>8</v>
      </c>
      <c r="B32" s="58" t="str">
        <f>'callapsible gate added'!B48</f>
        <v>cf/=;L=;L= nflu kmnfd] 808L sf6\g], df]8\g] #) dL6/ ;Dd</v>
      </c>
      <c r="C32" s="12" t="str">
        <f>'callapsible gate added'!H52</f>
        <v>MT</v>
      </c>
      <c r="D32" s="12">
        <f>'callapsible gate added'!G52</f>
        <v>3.7885195595541349E-2</v>
      </c>
      <c r="E32" s="12">
        <f>'callapsible gate added'!I52</f>
        <v>131940</v>
      </c>
      <c r="F32" s="12">
        <f>D32*E32</f>
        <v>4998.572706875726</v>
      </c>
      <c r="G32" s="12">
        <f>V!G54</f>
        <v>3.6818528928874689E-2</v>
      </c>
      <c r="H32" s="12">
        <f>V!I54</f>
        <v>131940</v>
      </c>
      <c r="I32" s="12">
        <f>G32*H32</f>
        <v>4857.8367068757261</v>
      </c>
      <c r="J32" s="28">
        <f>I32-F32</f>
        <v>-140.73599999999988</v>
      </c>
      <c r="K32" s="14"/>
      <c r="M32" s="1">
        <f>1.25*F32</f>
        <v>6248.2158835946575</v>
      </c>
    </row>
    <row r="33" spans="1:13" s="1" customFormat="1" ht="15.6">
      <c r="A33" s="27"/>
      <c r="B33" s="80" t="str">
        <f>'callapsible gate added'!B53</f>
        <v>VAT calculation</v>
      </c>
      <c r="C33" s="12"/>
      <c r="D33" s="12"/>
      <c r="E33" s="12"/>
      <c r="F33" s="12">
        <f>'callapsible gate added'!J53</f>
        <v>523.04301039204381</v>
      </c>
      <c r="G33" s="12"/>
      <c r="H33" s="12"/>
      <c r="I33" s="12">
        <f>V!J55</f>
        <v>508.31661039204397</v>
      </c>
      <c r="J33" s="28">
        <f>I33-F33</f>
        <v>-14.726399999999842</v>
      </c>
      <c r="K33" s="14"/>
      <c r="M33" s="1">
        <f>1.25*F33</f>
        <v>653.80376299005479</v>
      </c>
    </row>
    <row r="34" spans="1:13" s="1" customFormat="1" ht="15.6">
      <c r="A34" s="27"/>
      <c r="B34" s="32"/>
      <c r="C34" s="12"/>
      <c r="D34" s="12"/>
      <c r="E34" s="12"/>
      <c r="F34" s="12"/>
      <c r="G34" s="12"/>
      <c r="H34" s="12"/>
      <c r="I34" s="12"/>
      <c r="J34" s="28"/>
      <c r="K34" s="14"/>
    </row>
    <row r="35" spans="1:13" s="1" customFormat="1" ht="30">
      <c r="A35" s="27">
        <f>'callapsible gate added'!A55</f>
        <v>9</v>
      </c>
      <c r="B35" s="58" t="str">
        <f>'callapsible gate added'!B55</f>
        <v xml:space="preserve">e'O{+tNnfdf lrDgL e§fsf] O{+6fsf] uf/f] l;d]G6 d;nf -!M^_ df </v>
      </c>
      <c r="C35" s="12" t="str">
        <f>'callapsible gate added'!H65</f>
        <v>m3</v>
      </c>
      <c r="D35" s="12">
        <f>'callapsible gate added'!G65</f>
        <v>9.553287306671697</v>
      </c>
      <c r="E35" s="12">
        <f>'callapsible gate added'!I65</f>
        <v>14362.76</v>
      </c>
      <c r="F35" s="12">
        <f>D35*E35</f>
        <v>137211.57279677197</v>
      </c>
      <c r="G35" s="12">
        <f>V!G68</f>
        <v>10.631083710207204</v>
      </c>
      <c r="H35" s="12">
        <f>V!I68</f>
        <v>14362.76</v>
      </c>
      <c r="I35" s="12">
        <f>G35*H35</f>
        <v>152691.70386961562</v>
      </c>
      <c r="J35" s="28">
        <f>I35-F35</f>
        <v>15480.131072843651</v>
      </c>
      <c r="K35" s="14"/>
      <c r="M35" s="1">
        <f>1.25*F35</f>
        <v>171514.46599596497</v>
      </c>
    </row>
    <row r="36" spans="1:13" s="1" customFormat="1" ht="15.6">
      <c r="A36" s="27"/>
      <c r="B36" s="80" t="str">
        <f>'callapsible gate added'!B66</f>
        <v>VAT calculation</v>
      </c>
      <c r="C36" s="12"/>
      <c r="D36" s="12"/>
      <c r="E36" s="12"/>
      <c r="F36" s="12">
        <f>'callapsible gate added'!J66</f>
        <v>12806.431930720844</v>
      </c>
      <c r="G36" s="12"/>
      <c r="H36" s="12"/>
      <c r="I36" s="12">
        <f>V!J69</f>
        <v>14251.246247925965</v>
      </c>
      <c r="J36" s="28">
        <f>I36-F36</f>
        <v>1444.8143172051205</v>
      </c>
      <c r="K36" s="14"/>
      <c r="M36" s="1">
        <f>1.25*F36</f>
        <v>16008.039913401055</v>
      </c>
    </row>
    <row r="37" spans="1:13" s="1" customFormat="1" ht="15.6">
      <c r="A37" s="27"/>
      <c r="B37" s="32"/>
      <c r="C37" s="12"/>
      <c r="D37" s="12"/>
      <c r="E37" s="12"/>
      <c r="F37" s="12"/>
      <c r="G37" s="12"/>
      <c r="H37" s="12"/>
      <c r="I37" s="12"/>
      <c r="J37" s="28"/>
      <c r="K37" s="14"/>
    </row>
    <row r="38" spans="1:13" s="1" customFormat="1" ht="30">
      <c r="A38" s="27">
        <f>'callapsible gate added'!A68</f>
        <v>10</v>
      </c>
      <c r="B38" s="58" t="str">
        <f>'callapsible gate added'!B68</f>
        <v xml:space="preserve">e'O{+tNnfdf lrDgL e§fsf] O{+6fsf] uf/f] l;d]G6 d;nf -!M^_ df </v>
      </c>
      <c r="C38" s="12" t="str">
        <f>'callapsible gate added'!H86</f>
        <v>m3</v>
      </c>
      <c r="D38" s="12">
        <f>'callapsible gate added'!G86</f>
        <v>4.0174121806201466</v>
      </c>
      <c r="E38" s="12">
        <f>'callapsible gate added'!I86</f>
        <v>8001.8600000000006</v>
      </c>
      <c r="F38" s="12">
        <f>D38*E38</f>
        <v>32146.76983161713</v>
      </c>
      <c r="G38" s="12">
        <f>V!G89</f>
        <v>4.0174121806201466</v>
      </c>
      <c r="H38" s="12">
        <f>V!I89</f>
        <v>8001.8600000000006</v>
      </c>
      <c r="I38" s="12">
        <f>G38*H38</f>
        <v>32146.76983161713</v>
      </c>
      <c r="J38" s="28">
        <f>I38-F38</f>
        <v>0</v>
      </c>
      <c r="K38" s="14"/>
      <c r="M38" s="1">
        <f>1.25*F38</f>
        <v>40183.462289521412</v>
      </c>
    </row>
    <row r="39" spans="1:13" s="1" customFormat="1" ht="15.6">
      <c r="A39" s="27"/>
      <c r="B39" s="80" t="str">
        <f>'callapsible gate added'!B87</f>
        <v>VAT calculation</v>
      </c>
      <c r="C39" s="12"/>
      <c r="D39" s="12"/>
      <c r="E39" s="12"/>
      <c r="F39" s="12">
        <f>'callapsible gate added'!J87</f>
        <v>2063.3798561585691</v>
      </c>
      <c r="G39" s="12"/>
      <c r="H39" s="12"/>
      <c r="I39" s="12">
        <f>V!J90</f>
        <v>2063.3798561585691</v>
      </c>
      <c r="J39" s="28">
        <f>I39-F39</f>
        <v>0</v>
      </c>
      <c r="K39" s="14"/>
      <c r="M39" s="1">
        <f>1.25*F39</f>
        <v>2579.2248201982111</v>
      </c>
    </row>
    <row r="40" spans="1:13" s="1" customFormat="1">
      <c r="A40" s="29"/>
      <c r="B40" s="29"/>
      <c r="C40" s="12"/>
      <c r="D40" s="12"/>
      <c r="E40" s="12"/>
      <c r="F40" s="12"/>
      <c r="G40" s="12"/>
      <c r="H40" s="12"/>
      <c r="I40" s="12"/>
      <c r="J40" s="28"/>
      <c r="K40" s="14"/>
    </row>
    <row r="41" spans="1:13" s="1" customFormat="1" ht="15">
      <c r="A41" s="27">
        <f>'callapsible gate added'!A89</f>
        <v>11</v>
      </c>
      <c r="B41" s="58" t="str">
        <f>'callapsible gate added'!B89</f>
        <v>!@=% dL=dL= l;d]G6 afn'jf -!M$_ Knfi6/</v>
      </c>
      <c r="C41" s="12" t="str">
        <f>'callapsible gate added'!H91</f>
        <v>sqm</v>
      </c>
      <c r="D41" s="12">
        <f>'callapsible gate added'!G91</f>
        <v>230.4</v>
      </c>
      <c r="E41" s="12">
        <f>'callapsible gate added'!I91</f>
        <v>405.86</v>
      </c>
      <c r="F41" s="12">
        <f>D41*E41</f>
        <v>93510.144</v>
      </c>
      <c r="G41" s="12">
        <f>V!G157</f>
        <v>219.30700583663517</v>
      </c>
      <c r="H41" s="12">
        <f>V!I157</f>
        <v>405.86</v>
      </c>
      <c r="I41" s="12">
        <f>G41*H41</f>
        <v>89007.941388856751</v>
      </c>
      <c r="J41" s="28">
        <f>I41-F41</f>
        <v>-4502.2026111432497</v>
      </c>
      <c r="K41" s="14"/>
      <c r="M41" s="1">
        <f>1.25*F41</f>
        <v>116887.67999999999</v>
      </c>
    </row>
    <row r="42" spans="1:13" s="1" customFormat="1" ht="15.6">
      <c r="A42" s="27"/>
      <c r="B42" s="80" t="str">
        <f>'callapsible gate added'!B92</f>
        <v>VAT calculation</v>
      </c>
      <c r="C42" s="12"/>
      <c r="D42" s="12"/>
      <c r="E42" s="12"/>
      <c r="F42" s="12">
        <f>'callapsible gate added'!J92</f>
        <v>3344.5002240000003</v>
      </c>
      <c r="G42" s="12"/>
      <c r="H42" s="12"/>
      <c r="I42" s="12">
        <f>V!J158</f>
        <v>3183.4736551449464</v>
      </c>
      <c r="J42" s="28">
        <f>I42-F42</f>
        <v>-161.02656885505394</v>
      </c>
      <c r="K42" s="14"/>
      <c r="M42" s="1">
        <f>1.25*F42</f>
        <v>4180.6252800000002</v>
      </c>
    </row>
    <row r="43" spans="1:13" s="1" customFormat="1" ht="15.6">
      <c r="A43" s="27"/>
      <c r="B43" s="32"/>
      <c r="C43" s="12"/>
      <c r="D43" s="12"/>
      <c r="E43" s="12"/>
      <c r="F43" s="12"/>
      <c r="G43" s="12"/>
      <c r="H43" s="12"/>
      <c r="I43" s="12"/>
      <c r="J43" s="28"/>
      <c r="K43" s="14"/>
    </row>
    <row r="44" spans="1:13" s="1" customFormat="1" ht="60">
      <c r="A44" s="27">
        <f>'callapsible gate added'!A94</f>
        <v>12</v>
      </c>
      <c r="B44" s="58" t="str">
        <f>'callapsible gate added'!B94</f>
        <v>$=% X @) dL=dL= kmnfd] kftfsf] k|m]ddf !@ x !@ dL=dL=;f]ln8 sf]/ :Sjfo/ /8sf] lu|n agfO{ vfS;L nufO{ /]8cS;fO8 tyf cNd'lgod k]G6 ;d]t u/L hf]8\g]</v>
      </c>
      <c r="C44" s="12" t="str">
        <f>'callapsible gate added'!H97</f>
        <v>sqm</v>
      </c>
      <c r="D44" s="12">
        <f>'callapsible gate added'!G97</f>
        <v>13.708184775982929</v>
      </c>
      <c r="E44" s="12">
        <f>'callapsible gate added'!I97</f>
        <v>2575.34</v>
      </c>
      <c r="F44" s="12">
        <f>D44*E44</f>
        <v>35303.236580979879</v>
      </c>
      <c r="G44" s="12">
        <f>V!G162</f>
        <v>11.893934775982929</v>
      </c>
      <c r="H44" s="12">
        <f>V!I162</f>
        <v>2575.34</v>
      </c>
      <c r="I44" s="12">
        <f>G44*H44</f>
        <v>30630.92598597988</v>
      </c>
      <c r="J44" s="28">
        <f>I44-F44</f>
        <v>-4672.310594999999</v>
      </c>
      <c r="K44" s="14"/>
      <c r="M44" s="1">
        <f>1.25*F44</f>
        <v>44129.045726224853</v>
      </c>
    </row>
    <row r="45" spans="1:13" s="1" customFormat="1" ht="15.6">
      <c r="A45" s="27"/>
      <c r="B45" s="80" t="str">
        <f>'callapsible gate added'!B98</f>
        <v>VAT calculation</v>
      </c>
      <c r="C45" s="12"/>
      <c r="D45" s="12"/>
      <c r="E45" s="12"/>
      <c r="F45" s="12">
        <f>'callapsible gate added'!J98</f>
        <v>4338.2495241687857</v>
      </c>
      <c r="G45" s="12"/>
      <c r="H45" s="12"/>
      <c r="I45" s="12">
        <f>V!J163</f>
        <v>3764.0911415787864</v>
      </c>
      <c r="J45" s="28">
        <f>I45-F45</f>
        <v>-574.15838258999929</v>
      </c>
      <c r="K45" s="14"/>
      <c r="M45" s="1">
        <f>1.25*F45</f>
        <v>5422.8119052109823</v>
      </c>
    </row>
    <row r="46" spans="1:13" s="1" customFormat="1" ht="15.6">
      <c r="A46" s="27"/>
      <c r="B46" s="32"/>
      <c r="C46" s="12"/>
      <c r="D46" s="12"/>
      <c r="E46" s="12"/>
      <c r="F46" s="12"/>
      <c r="G46" s="12"/>
      <c r="H46" s="12"/>
      <c r="I46" s="12"/>
      <c r="J46" s="28"/>
      <c r="K46" s="14"/>
    </row>
    <row r="47" spans="1:13" s="1" customFormat="1" ht="15">
      <c r="A47" s="27">
        <f>'callapsible gate added'!A100</f>
        <v>13</v>
      </c>
      <c r="B47" s="58" t="str">
        <f>'callapsible gate added'!B100</f>
        <v>lh=cfO{=sf9]tf/ -jf/ j]8 jfo/_ nufpg] .</v>
      </c>
      <c r="C47" s="12" t="str">
        <f>'callapsible gate added'!H102</f>
        <v>rm</v>
      </c>
      <c r="D47" s="12">
        <f>'callapsible gate added'!G102</f>
        <v>225</v>
      </c>
      <c r="E47" s="12">
        <f>'callapsible gate added'!I102</f>
        <v>82.59</v>
      </c>
      <c r="F47" s="12">
        <f>D47*E47</f>
        <v>18582.75</v>
      </c>
      <c r="G47" s="12">
        <f>V!G167</f>
        <v>270</v>
      </c>
      <c r="H47" s="12">
        <f>V!I167</f>
        <v>82.59</v>
      </c>
      <c r="I47" s="12">
        <f>G47*H47</f>
        <v>22299.3</v>
      </c>
      <c r="J47" s="28">
        <f>I47-F47</f>
        <v>3716.5499999999993</v>
      </c>
      <c r="K47" s="14"/>
      <c r="M47" s="1">
        <f>1.25*F47</f>
        <v>23228.4375</v>
      </c>
    </row>
    <row r="48" spans="1:13" s="1" customFormat="1" ht="15.6">
      <c r="A48" s="27"/>
      <c r="B48" s="80" t="str">
        <f>'callapsible gate added'!B103</f>
        <v>VAT calculation</v>
      </c>
      <c r="C48" s="12"/>
      <c r="D48" s="12"/>
      <c r="E48" s="12"/>
      <c r="F48" s="12">
        <f>'callapsible gate added'!J103</f>
        <v>582.70095000000003</v>
      </c>
      <c r="G48" s="12"/>
      <c r="H48" s="12"/>
      <c r="I48" s="12">
        <f>V!J168</f>
        <v>699.24113999999997</v>
      </c>
      <c r="J48" s="28">
        <f>I48-F48</f>
        <v>116.54018999999994</v>
      </c>
      <c r="K48" s="14"/>
      <c r="M48" s="1">
        <f>1.25*F48</f>
        <v>728.37618750000001</v>
      </c>
    </row>
    <row r="49" spans="1:13" s="1" customFormat="1">
      <c r="A49" s="29"/>
      <c r="B49" s="29"/>
      <c r="C49" s="12"/>
      <c r="D49" s="12"/>
      <c r="E49" s="12"/>
      <c r="F49" s="12"/>
      <c r="G49" s="12"/>
      <c r="H49" s="12"/>
      <c r="I49" s="12"/>
      <c r="J49" s="28"/>
      <c r="K49" s="14"/>
    </row>
    <row r="50" spans="1:13" s="1" customFormat="1" ht="30">
      <c r="A50" s="27">
        <f>'callapsible gate added'!A105</f>
        <v>14</v>
      </c>
      <c r="B50" s="58" t="str">
        <f>'callapsible gate added'!B105</f>
        <v xml:space="preserve"> Ps sf]6 k|fO{d/ ;lxt b'O{ sf]6 j]b/sf]6 k]G6 ug]{ sfd</v>
      </c>
      <c r="C50" s="12" t="str">
        <f>'callapsible gate added'!H107</f>
        <v>sqm</v>
      </c>
      <c r="D50" s="12">
        <f>'callapsible gate added'!G107</f>
        <v>230.4</v>
      </c>
      <c r="E50" s="12">
        <f>'callapsible gate added'!I107</f>
        <v>251.77</v>
      </c>
      <c r="F50" s="12">
        <f>D50*E50</f>
        <v>58007.808000000005</v>
      </c>
      <c r="G50" s="12">
        <f>V!G218</f>
        <v>59.438096662602824</v>
      </c>
      <c r="H50" s="12">
        <f>V!I218</f>
        <v>251.77</v>
      </c>
      <c r="I50" s="12">
        <f>G50*H50</f>
        <v>14964.729596743513</v>
      </c>
      <c r="J50" s="28">
        <f>I50-F50</f>
        <v>-43043.078403256492</v>
      </c>
      <c r="K50" s="14"/>
      <c r="M50" s="1">
        <f>1.25*F50</f>
        <v>72509.760000000009</v>
      </c>
    </row>
    <row r="51" spans="1:13" s="1" customFormat="1" ht="15.6">
      <c r="A51" s="27"/>
      <c r="B51" s="80" t="str">
        <f>'callapsible gate added'!B108</f>
        <v>VAT calculation</v>
      </c>
      <c r="C51" s="12"/>
      <c r="D51" s="12"/>
      <c r="E51" s="12"/>
      <c r="F51" s="12">
        <f>'callapsible gate added'!J108</f>
        <v>3814.6867200000002</v>
      </c>
      <c r="G51" s="12"/>
      <c r="H51" s="12"/>
      <c r="I51" s="12">
        <f>V!J219</f>
        <v>984.10467882338241</v>
      </c>
      <c r="J51" s="28">
        <f>I51-F51</f>
        <v>-2830.5820411766176</v>
      </c>
      <c r="K51" s="14"/>
      <c r="M51" s="1">
        <f>1.25*F51</f>
        <v>4768.3584000000001</v>
      </c>
    </row>
    <row r="52" spans="1:13" s="1" customFormat="1">
      <c r="A52" s="29"/>
      <c r="B52" s="29"/>
      <c r="C52" s="12"/>
      <c r="D52" s="12"/>
      <c r="E52" s="12"/>
      <c r="F52" s="12"/>
      <c r="G52" s="12"/>
      <c r="H52" s="12"/>
      <c r="I52" s="12"/>
      <c r="J52" s="28"/>
      <c r="K52" s="14"/>
    </row>
    <row r="53" spans="1:13" s="1" customFormat="1" ht="30">
      <c r="A53" s="27">
        <f>'callapsible gate added'!A110</f>
        <v>15</v>
      </c>
      <c r="B53" s="58" t="str">
        <f>'callapsible gate added'!B110</f>
        <v>c:t/ jfx]s Pssf]6 tof/L Ogfd]n k]G6 ug]{ sfd .</v>
      </c>
      <c r="C53" s="12" t="str">
        <f>'callapsible gate added'!H113</f>
        <v>sqm</v>
      </c>
      <c r="D53" s="12">
        <f>'callapsible gate added'!G113</f>
        <v>10.878899999999998</v>
      </c>
      <c r="E53" s="12">
        <f>'callapsible gate added'!I113</f>
        <v>128.43</v>
      </c>
      <c r="F53" s="12">
        <f>D53*E53</f>
        <v>1397.1771269999999</v>
      </c>
      <c r="G53" s="12">
        <f>V!G224</f>
        <v>10.878899999999998</v>
      </c>
      <c r="H53" s="12">
        <f>V!I224</f>
        <v>128.43</v>
      </c>
      <c r="I53" s="12">
        <f>G53*H53</f>
        <v>1397.1771269999999</v>
      </c>
      <c r="J53" s="28">
        <f>I53-F53</f>
        <v>0</v>
      </c>
      <c r="K53" s="14"/>
      <c r="M53" s="1">
        <f>1.25*F53</f>
        <v>1746.4714087499999</v>
      </c>
    </row>
    <row r="54" spans="1:13" s="1" customFormat="1" ht="15.6">
      <c r="A54" s="27"/>
      <c r="B54" s="80" t="str">
        <f>'callapsible gate added'!B114</f>
        <v>VAT calculation</v>
      </c>
      <c r="C54" s="12"/>
      <c r="D54" s="12"/>
      <c r="E54" s="12"/>
      <c r="F54" s="12">
        <f>'callapsible gate added'!J114</f>
        <v>68.98745645999999</v>
      </c>
      <c r="G54" s="12"/>
      <c r="H54" s="12"/>
      <c r="I54" s="12">
        <f>V!J225</f>
        <v>68.98745645999999</v>
      </c>
      <c r="J54" s="28">
        <f>I54-F54</f>
        <v>0</v>
      </c>
      <c r="K54" s="14"/>
      <c r="M54" s="1">
        <f>1.25*F54</f>
        <v>86.234320574999984</v>
      </c>
    </row>
    <row r="55" spans="1:13" s="1" customFormat="1">
      <c r="A55" s="29"/>
      <c r="B55" s="29"/>
      <c r="C55" s="12"/>
      <c r="D55" s="12"/>
      <c r="E55" s="12"/>
      <c r="F55" s="12"/>
      <c r="G55" s="12"/>
      <c r="H55" s="12"/>
      <c r="I55" s="12"/>
      <c r="J55" s="28"/>
      <c r="K55" s="14"/>
    </row>
    <row r="56" spans="1:13" s="1" customFormat="1" ht="30">
      <c r="A56" s="27">
        <f>'callapsible gate added'!A116</f>
        <v>16</v>
      </c>
      <c r="B56" s="58" t="str">
        <f>'callapsible gate added'!B116</f>
        <v>ljleGg ;fO{hsf] kmnfd] PËn km]lj|s]zg u/L k|fOd/ k]G6 ;lxt ug]{</v>
      </c>
      <c r="C56" s="12" t="str">
        <f>'callapsible gate added'!H119</f>
        <v>Kg</v>
      </c>
      <c r="D56" s="12">
        <f>'callapsible gate added'!G119</f>
        <v>171.62035964644926</v>
      </c>
      <c r="E56" s="12">
        <f>'callapsible gate added'!I119</f>
        <v>181.17</v>
      </c>
      <c r="F56" s="12">
        <f>D56*E56</f>
        <v>31092.460557147209</v>
      </c>
      <c r="G56" s="12">
        <f>V!G233</f>
        <v>128.1679</v>
      </c>
      <c r="H56" s="12">
        <f>V!I233</f>
        <v>181.17</v>
      </c>
      <c r="I56" s="12">
        <f>G56*H56</f>
        <v>23220.178443000001</v>
      </c>
      <c r="J56" s="28">
        <f>I56-F56</f>
        <v>-7872.2821141472086</v>
      </c>
      <c r="K56" s="14"/>
      <c r="M56" s="1">
        <f>1.25*F56</f>
        <v>38865.575696434011</v>
      </c>
    </row>
    <row r="57" spans="1:13" s="1" customFormat="1" ht="15.6">
      <c r="A57" s="27"/>
      <c r="B57" s="80" t="str">
        <f>'callapsible gate added'!B120</f>
        <v>VAT calculation</v>
      </c>
      <c r="C57" s="12"/>
      <c r="D57" s="12"/>
      <c r="E57" s="12"/>
      <c r="F57" s="12">
        <f>'callapsible gate added'!J120</f>
        <v>2204.4662380381496</v>
      </c>
      <c r="G57" s="12"/>
      <c r="H57" s="12"/>
      <c r="I57" s="12">
        <f>V!J234</f>
        <v>1646.3187056145725</v>
      </c>
      <c r="J57" s="28">
        <f>I57-F57</f>
        <v>-558.1475324235771</v>
      </c>
      <c r="K57" s="14"/>
      <c r="M57" s="1">
        <f>1.25*F57</f>
        <v>2755.5827975476868</v>
      </c>
    </row>
    <row r="58" spans="1:13" s="1" customFormat="1">
      <c r="A58" s="29"/>
      <c r="B58" s="29"/>
      <c r="C58" s="12"/>
      <c r="D58" s="12"/>
      <c r="E58" s="12"/>
      <c r="F58" s="12"/>
      <c r="G58" s="12"/>
      <c r="H58" s="12"/>
      <c r="I58" s="12"/>
      <c r="J58" s="28"/>
      <c r="K58" s="14"/>
    </row>
    <row r="59" spans="1:13" s="1" customFormat="1" ht="105">
      <c r="A59" s="27">
        <f>'callapsible gate added'!A122</f>
        <v>17</v>
      </c>
      <c r="B59" s="58" t="str">
        <f>'callapsible gate added'!B122</f>
        <v>%) dL=dL=Aof;sf] :6]Gn];l:6nsf] x\of08/]ndf @ ld6/sf] b"/Ldf %) dL=dL=Aof;sf] :6]Gn];l:6ns} 7f8f] kf]i6 /fvL x\of08/]n / e"O+sf] aLrdf tLg tx t];f]{ @% dL=dL=Aof;sf] :6]Gn];l:6nsf] d]Da/ /fvL @Ú–^Æ b]lv #Ú–)Æ ;Dd prfO{ ePsf] /]lnË pknAw u/fO{ h8fg u/L /+u ;d]t nufpg] sfd .</v>
      </c>
      <c r="C59" s="12" t="str">
        <f>'callapsible gate added'!H124</f>
        <v>rm</v>
      </c>
      <c r="D59" s="12">
        <f>'callapsible gate added'!G124</f>
        <v>7.8482170070100574</v>
      </c>
      <c r="E59" s="12">
        <f>'callapsible gate added'!I124</f>
        <v>4132.8</v>
      </c>
      <c r="F59" s="12">
        <f>D59*E59</f>
        <v>32435.111246571167</v>
      </c>
      <c r="G59" s="12">
        <f>V!G238</f>
        <v>0</v>
      </c>
      <c r="H59" s="12">
        <f>V!I238</f>
        <v>4132.8</v>
      </c>
      <c r="I59" s="12">
        <f>G59*H59</f>
        <v>0</v>
      </c>
      <c r="J59" s="28">
        <f>I59-F59</f>
        <v>-32435.111246571167</v>
      </c>
      <c r="K59" s="14"/>
      <c r="M59" s="1">
        <f>1.25*F59</f>
        <v>40543.889058213957</v>
      </c>
    </row>
    <row r="60" spans="1:13" s="1" customFormat="1" ht="15.6">
      <c r="A60" s="27"/>
      <c r="B60" s="80" t="str">
        <f>'callapsible gate added'!B125</f>
        <v>VAT calculation</v>
      </c>
      <c r="C60" s="12"/>
      <c r="D60" s="12"/>
      <c r="E60" s="12"/>
      <c r="F60" s="12">
        <f>'callapsible gate added'!J125</f>
        <v>4216.5644620542516</v>
      </c>
      <c r="G60" s="12"/>
      <c r="H60" s="12"/>
      <c r="I60" s="12">
        <f>V!J239</f>
        <v>0</v>
      </c>
      <c r="J60" s="28">
        <f>I60-F60</f>
        <v>-4216.5644620542516</v>
      </c>
      <c r="K60" s="14"/>
      <c r="M60" s="1">
        <f>1.25*F60</f>
        <v>5270.7055775678145</v>
      </c>
    </row>
    <row r="61" spans="1:13" s="1" customFormat="1">
      <c r="A61" s="29"/>
      <c r="B61" s="29"/>
      <c r="C61" s="12"/>
      <c r="D61" s="12"/>
      <c r="E61" s="12"/>
      <c r="F61" s="12"/>
      <c r="G61" s="12"/>
      <c r="H61" s="12"/>
      <c r="I61" s="12"/>
      <c r="J61" s="28"/>
      <c r="K61" s="14"/>
    </row>
    <row r="62" spans="1:13" s="1" customFormat="1" ht="30">
      <c r="A62" s="27">
        <f>'callapsible gate added'!A127</f>
        <v>18</v>
      </c>
      <c r="B62" s="58" t="str">
        <f>'callapsible gate added'!B127</f>
        <v>kmnfd] sf]nfK;Lan u]6 k]lG6Ë / h8fg ;d]t ug]{</v>
      </c>
      <c r="C62" s="12" t="str">
        <f>'callapsible gate added'!H129</f>
        <v>sqm</v>
      </c>
      <c r="D62" s="12">
        <f>'callapsible gate added'!G129</f>
        <v>8.1912800000000008</v>
      </c>
      <c r="E62" s="12">
        <f>'callapsible gate added'!I129</f>
        <v>6391.43</v>
      </c>
      <c r="F62" s="12">
        <f>D62*E62</f>
        <v>52353.992730400008</v>
      </c>
      <c r="G62" s="12">
        <f>V!G243</f>
        <v>0</v>
      </c>
      <c r="H62" s="12">
        <f>V!I243</f>
        <v>6391.43</v>
      </c>
      <c r="I62" s="12">
        <f>G62*H62</f>
        <v>0</v>
      </c>
      <c r="J62" s="28">
        <f>I62-F62</f>
        <v>-52353.992730400008</v>
      </c>
      <c r="K62" s="14"/>
      <c r="M62" s="1">
        <f>1.25*F62</f>
        <v>65442.490913000009</v>
      </c>
    </row>
    <row r="63" spans="1:13" s="1" customFormat="1" ht="15.6">
      <c r="A63" s="27"/>
      <c r="B63" s="80" t="str">
        <f>'callapsible gate added'!B130</f>
        <v>VAT calculation</v>
      </c>
      <c r="C63" s="12"/>
      <c r="D63" s="12"/>
      <c r="E63" s="12"/>
      <c r="F63" s="12">
        <f>'callapsible gate added'!J130</f>
        <v>6806.0190549520012</v>
      </c>
      <c r="G63" s="12"/>
      <c r="H63" s="12"/>
      <c r="I63" s="12">
        <f>V!J244</f>
        <v>0</v>
      </c>
      <c r="J63" s="28">
        <f>I63-F63</f>
        <v>-6806.0190549520012</v>
      </c>
      <c r="K63" s="14"/>
      <c r="M63" s="1">
        <f>1.25*F63</f>
        <v>8507.5238186900024</v>
      </c>
    </row>
    <row r="64" spans="1:13" s="1" customFormat="1">
      <c r="A64" s="29"/>
      <c r="B64" s="29"/>
      <c r="C64" s="12"/>
      <c r="D64" s="12"/>
      <c r="E64" s="12"/>
      <c r="F64" s="12"/>
      <c r="G64" s="12"/>
      <c r="H64" s="12"/>
      <c r="I64" s="12"/>
      <c r="J64" s="28"/>
      <c r="K64" s="14"/>
    </row>
    <row r="65" spans="1:13" s="1" customFormat="1" ht="15.6">
      <c r="A65" s="27">
        <f>'callapsible gate added'!A132</f>
        <v>19</v>
      </c>
      <c r="B65" s="32" t="str">
        <f>'callapsible gate added'!B132</f>
        <v>Provisional sum for unforseen works</v>
      </c>
      <c r="C65" s="12" t="str">
        <f>'callapsible gate added'!H132</f>
        <v>PS</v>
      </c>
      <c r="D65" s="12">
        <f>'callapsible gate added'!G132</f>
        <v>1</v>
      </c>
      <c r="E65" s="12">
        <f>'callapsible gate added'!I132</f>
        <v>5000</v>
      </c>
      <c r="F65" s="12">
        <f>D65*E65</f>
        <v>5000</v>
      </c>
      <c r="G65" s="12">
        <f>V!G246</f>
        <v>0</v>
      </c>
      <c r="H65" s="12">
        <f>V!I246</f>
        <v>5000</v>
      </c>
      <c r="I65" s="12">
        <f>G65*H65</f>
        <v>0</v>
      </c>
      <c r="J65" s="28">
        <f>I65-F65</f>
        <v>-5000</v>
      </c>
      <c r="K65" s="14"/>
      <c r="M65" s="1">
        <f>1.25*F65</f>
        <v>6250</v>
      </c>
    </row>
    <row r="66" spans="1:13" s="1" customFormat="1">
      <c r="A66" s="29"/>
      <c r="B66" s="29"/>
      <c r="C66" s="12"/>
      <c r="D66" s="12"/>
      <c r="E66" s="12"/>
      <c r="F66" s="12"/>
      <c r="G66" s="12"/>
      <c r="H66" s="12"/>
      <c r="I66" s="12"/>
      <c r="J66" s="28"/>
      <c r="K66" s="14"/>
    </row>
    <row r="67" spans="1:13" s="1" customFormat="1">
      <c r="A67" s="27">
        <f>'callapsible gate added'!A134</f>
        <v>20</v>
      </c>
      <c r="B67" s="31" t="str">
        <f>'callapsible gate added'!B134</f>
        <v>Information board (सुचना पाटि)</v>
      </c>
      <c r="C67" s="12" t="str">
        <f>'callapsible gate added'!H134</f>
        <v>no.</v>
      </c>
      <c r="D67" s="12">
        <f>'callapsible gate added'!G134</f>
        <v>1</v>
      </c>
      <c r="E67" s="12">
        <f>'callapsible gate added'!I134</f>
        <v>500</v>
      </c>
      <c r="F67" s="12">
        <f>D67*E67</f>
        <v>500</v>
      </c>
      <c r="G67" s="12">
        <f>V!G248</f>
        <v>1</v>
      </c>
      <c r="H67" s="12">
        <f>V!I248</f>
        <v>500</v>
      </c>
      <c r="I67" s="12">
        <f>G67*H67</f>
        <v>500</v>
      </c>
      <c r="J67" s="28">
        <f>I67-F67</f>
        <v>0</v>
      </c>
      <c r="K67" s="14"/>
      <c r="M67" s="1">
        <f>1.25*F67</f>
        <v>625</v>
      </c>
    </row>
    <row r="68" spans="1:13" s="1" customFormat="1">
      <c r="A68" s="29"/>
      <c r="B68" s="29"/>
      <c r="C68" s="12"/>
      <c r="D68" s="12"/>
      <c r="E68" s="12"/>
      <c r="F68" s="12"/>
      <c r="G68" s="12"/>
      <c r="H68" s="12"/>
      <c r="I68" s="12"/>
      <c r="J68" s="28"/>
      <c r="K68" s="14"/>
    </row>
    <row r="69" spans="1:13">
      <c r="A69" s="5"/>
      <c r="B69" s="6" t="s">
        <v>16</v>
      </c>
      <c r="C69" s="6"/>
      <c r="D69" s="7"/>
      <c r="E69" s="7"/>
      <c r="F69" s="7">
        <f>SUM(F13:F67)</f>
        <v>581664.40217478701</v>
      </c>
      <c r="G69" s="7"/>
      <c r="H69" s="7"/>
      <c r="I69" s="7">
        <f>SUM(I13:I67)</f>
        <v>433248.71172694775</v>
      </c>
      <c r="J69" s="13">
        <f>I69-F69</f>
        <v>-148415.69044783927</v>
      </c>
      <c r="K6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14"/>
  <sheetViews>
    <sheetView topLeftCell="A55" zoomScaleNormal="100" workbookViewId="0">
      <selection activeCell="I65" sqref="I65"/>
    </sheetView>
  </sheetViews>
  <sheetFormatPr defaultRowHeight="14.4"/>
  <cols>
    <col min="1" max="1" width="4.6640625" customWidth="1"/>
    <col min="2" max="2" width="31.33203125" customWidth="1"/>
    <col min="3" max="3" width="5.5546875" bestFit="1" customWidth="1"/>
    <col min="4" max="4" width="7.777343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 min="13" max="13" width="27.44140625" bestFit="1" customWidth="1"/>
    <col min="16" max="16" width="26.44140625" bestFit="1" customWidth="1"/>
  </cols>
  <sheetData>
    <row r="1" spans="1:20" s="1" customFormat="1">
      <c r="A1" s="125" t="s">
        <v>0</v>
      </c>
      <c r="B1" s="125"/>
      <c r="C1" s="125"/>
      <c r="D1" s="125"/>
      <c r="E1" s="125"/>
      <c r="F1" s="125"/>
      <c r="G1" s="125"/>
      <c r="H1" s="125"/>
      <c r="I1" s="125"/>
      <c r="J1" s="125"/>
      <c r="K1" s="125"/>
    </row>
    <row r="2" spans="1:20" s="1" customFormat="1" ht="22.8">
      <c r="A2" s="126" t="s">
        <v>1</v>
      </c>
      <c r="B2" s="126"/>
      <c r="C2" s="126"/>
      <c r="D2" s="126"/>
      <c r="E2" s="126"/>
      <c r="F2" s="126"/>
      <c r="G2" s="126"/>
      <c r="H2" s="126"/>
      <c r="I2" s="126"/>
      <c r="J2" s="126"/>
      <c r="K2" s="126"/>
    </row>
    <row r="3" spans="1:20" s="1" customFormat="1">
      <c r="A3" s="127" t="s">
        <v>2</v>
      </c>
      <c r="B3" s="127"/>
      <c r="C3" s="127"/>
      <c r="D3" s="127"/>
      <c r="E3" s="127"/>
      <c r="F3" s="127"/>
      <c r="G3" s="127"/>
      <c r="H3" s="127"/>
      <c r="I3" s="127"/>
      <c r="J3" s="127"/>
      <c r="K3" s="127"/>
    </row>
    <row r="4" spans="1:20" s="1" customFormat="1">
      <c r="A4" s="127" t="s">
        <v>3</v>
      </c>
      <c r="B4" s="127"/>
      <c r="C4" s="127"/>
      <c r="D4" s="127"/>
      <c r="E4" s="127"/>
      <c r="F4" s="127"/>
      <c r="G4" s="127"/>
      <c r="H4" s="127"/>
      <c r="I4" s="127"/>
      <c r="J4" s="127"/>
      <c r="K4" s="127"/>
    </row>
    <row r="5" spans="1:20" ht="17.399999999999999">
      <c r="A5" s="128" t="s">
        <v>4</v>
      </c>
      <c r="B5" s="128"/>
      <c r="C5" s="128"/>
      <c r="D5" s="128"/>
      <c r="E5" s="128"/>
      <c r="F5" s="128"/>
      <c r="G5" s="128"/>
      <c r="H5" s="128"/>
      <c r="I5" s="128"/>
      <c r="J5" s="128"/>
      <c r="K5" s="128"/>
    </row>
    <row r="6" spans="1:20" ht="15.6">
      <c r="A6" s="123" t="s">
        <v>96</v>
      </c>
      <c r="B6" s="123"/>
      <c r="C6" s="123"/>
      <c r="D6" s="123"/>
      <c r="E6" s="123"/>
      <c r="F6" s="123"/>
      <c r="G6" s="2"/>
      <c r="H6" s="124" t="s">
        <v>43</v>
      </c>
      <c r="I6" s="124"/>
      <c r="J6" s="124"/>
      <c r="K6" s="124"/>
    </row>
    <row r="7" spans="1:20" ht="15.6">
      <c r="A7" s="120" t="s">
        <v>28</v>
      </c>
      <c r="B7" s="120"/>
      <c r="C7" s="120"/>
      <c r="D7" s="120"/>
      <c r="E7" s="120"/>
      <c r="F7" s="120"/>
      <c r="G7" s="3"/>
      <c r="H7" s="121" t="s">
        <v>95</v>
      </c>
      <c r="I7" s="121"/>
      <c r="J7" s="121"/>
      <c r="K7" s="121"/>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17" t="s">
        <v>52</v>
      </c>
      <c r="O11" s="118"/>
      <c r="P11" s="118"/>
      <c r="Q11" s="118"/>
      <c r="R11" s="118"/>
      <c r="S11" s="118"/>
      <c r="T11" s="118"/>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24.2">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0</v>
      </c>
      <c r="D25" s="20">
        <f>D16</f>
        <v>10.337295539977648</v>
      </c>
      <c r="E25" s="21">
        <f>E16</f>
        <v>0.45</v>
      </c>
      <c r="F25" s="21"/>
      <c r="G25" s="38">
        <f>PRODUCT(C25:F25)</f>
        <v>0</v>
      </c>
      <c r="H25" s="22"/>
      <c r="I25" s="23"/>
      <c r="J25" s="40"/>
      <c r="K25" s="21"/>
    </row>
    <row r="26" spans="1:11" ht="15" customHeight="1">
      <c r="A26" s="18"/>
      <c r="B26" s="92" t="s">
        <v>153</v>
      </c>
      <c r="C26" s="86">
        <f>2*1</f>
        <v>2</v>
      </c>
      <c r="D26" s="87">
        <f>(9.75*3+15/12)/3.281</f>
        <v>9.2959463578177388</v>
      </c>
      <c r="E26" s="88">
        <v>0.23</v>
      </c>
      <c r="F26" s="88"/>
      <c r="G26" s="95">
        <f>PRODUCT(C26:F26)</f>
        <v>4.2761353245961597</v>
      </c>
      <c r="H26" s="22"/>
      <c r="I26" s="23"/>
      <c r="J26" s="40"/>
      <c r="K26" s="21"/>
    </row>
    <row r="27" spans="1:11" ht="15" customHeight="1">
      <c r="A27" s="18"/>
      <c r="B27" s="92"/>
      <c r="C27" s="86">
        <f>2*3</f>
        <v>6</v>
      </c>
      <c r="D27" s="87">
        <f>14/12/3.281</f>
        <v>0.35558264756679875</v>
      </c>
      <c r="E27" s="87">
        <f>14/12/3.281</f>
        <v>0.35558264756679875</v>
      </c>
      <c r="F27" s="88"/>
      <c r="G27" s="95">
        <f>PRODUCT(C27:F27)</f>
        <v>0.75863411550368531</v>
      </c>
      <c r="H27" s="22"/>
      <c r="I27" s="23"/>
      <c r="J27" s="40"/>
      <c r="K27" s="21"/>
    </row>
    <row r="28" spans="1:11" ht="15" customHeight="1">
      <c r="A28" s="18"/>
      <c r="B28" s="36" t="s">
        <v>40</v>
      </c>
      <c r="C28" s="19"/>
      <c r="D28" s="20"/>
      <c r="E28" s="21"/>
      <c r="F28" s="21"/>
      <c r="G28" s="23">
        <f>SUM(G25:G27)</f>
        <v>5.0347694400998453</v>
      </c>
      <c r="H28" s="22" t="s">
        <v>62</v>
      </c>
      <c r="I28" s="23">
        <v>1014.97</v>
      </c>
      <c r="J28" s="40">
        <f>G28*I28</f>
        <v>5110.1399386181401</v>
      </c>
      <c r="K28" s="21"/>
    </row>
    <row r="29" spans="1:11" ht="15" customHeight="1">
      <c r="A29" s="18"/>
      <c r="B29" s="36" t="s">
        <v>38</v>
      </c>
      <c r="C29" s="19"/>
      <c r="D29" s="20"/>
      <c r="E29" s="21"/>
      <c r="F29" s="21"/>
      <c r="G29" s="23"/>
      <c r="H29" s="22"/>
      <c r="I29" s="23"/>
      <c r="J29" s="40">
        <f>0.13*G28*8617.2/10</f>
        <v>564.01299784996911</v>
      </c>
      <c r="K29" s="21"/>
    </row>
    <row r="30" spans="1:11" ht="15" customHeight="1">
      <c r="A30" s="18"/>
      <c r="B30" s="36"/>
      <c r="C30" s="19"/>
      <c r="D30" s="20"/>
      <c r="E30" s="21"/>
      <c r="F30" s="21"/>
      <c r="G30" s="23"/>
      <c r="H30" s="22"/>
      <c r="I30" s="23"/>
      <c r="J30" s="40"/>
      <c r="K30" s="21"/>
    </row>
    <row r="31" spans="1:11" ht="30">
      <c r="A31" s="18">
        <v>5</v>
      </c>
      <c r="B31" s="58" t="s">
        <v>73</v>
      </c>
      <c r="C31" s="19"/>
      <c r="D31" s="20"/>
      <c r="E31" s="21"/>
      <c r="F31" s="21"/>
      <c r="G31" s="23"/>
      <c r="H31" s="22"/>
      <c r="I31" s="23"/>
      <c r="J31" s="40"/>
      <c r="K31" s="21"/>
    </row>
    <row r="32" spans="1:11" ht="15" customHeight="1">
      <c r="A32" s="18"/>
      <c r="B32" s="36" t="s">
        <v>153</v>
      </c>
      <c r="C32" s="19">
        <v>2</v>
      </c>
      <c r="D32" s="20">
        <f>(9.75*3+15/12)/3.281</f>
        <v>9.2959463578177388</v>
      </c>
      <c r="E32" s="21">
        <v>0.23</v>
      </c>
      <c r="F32" s="21">
        <v>0.05</v>
      </c>
      <c r="G32" s="38">
        <f>PRODUCT(C32:F32)</f>
        <v>0.21380676622980799</v>
      </c>
      <c r="H32" s="22"/>
      <c r="I32" s="23"/>
      <c r="J32" s="40"/>
      <c r="K32" s="21"/>
    </row>
    <row r="33" spans="1:11" ht="15" customHeight="1">
      <c r="A33" s="18"/>
      <c r="B33" s="36"/>
      <c r="C33" s="19">
        <f>2*3</f>
        <v>6</v>
      </c>
      <c r="D33" s="20">
        <f>14/12/3.281</f>
        <v>0.35558264756679875</v>
      </c>
      <c r="E33" s="20">
        <f>14/12/3.281</f>
        <v>0.35558264756679875</v>
      </c>
      <c r="F33" s="21">
        <v>0.05</v>
      </c>
      <c r="G33" s="38">
        <f>PRODUCT(C33:F33)</f>
        <v>3.7931705775184267E-2</v>
      </c>
      <c r="H33" s="22"/>
      <c r="I33" s="23"/>
      <c r="J33" s="40"/>
      <c r="K33" s="21"/>
    </row>
    <row r="34" spans="1:11" ht="15" customHeight="1">
      <c r="A34" s="18"/>
      <c r="B34" s="36" t="s">
        <v>154</v>
      </c>
      <c r="C34" s="19">
        <v>1</v>
      </c>
      <c r="D34" s="20">
        <f>3.8+4+3.93</f>
        <v>11.73</v>
      </c>
      <c r="E34" s="20">
        <v>0.23</v>
      </c>
      <c r="F34" s="21">
        <v>0.05</v>
      </c>
      <c r="G34" s="38">
        <f>PRODUCT(C34:F34)</f>
        <v>0.13489500000000001</v>
      </c>
      <c r="H34" s="22"/>
      <c r="I34" s="23"/>
      <c r="J34" s="40"/>
      <c r="K34" s="21"/>
    </row>
    <row r="35" spans="1:11" ht="15" customHeight="1">
      <c r="A35" s="18"/>
      <c r="B35" s="36" t="s">
        <v>40</v>
      </c>
      <c r="C35" s="19"/>
      <c r="D35" s="20"/>
      <c r="E35" s="21"/>
      <c r="F35" s="21"/>
      <c r="G35" s="23">
        <f>SUM(G32:G34)</f>
        <v>0.38663347200499232</v>
      </c>
      <c r="H35" s="22" t="s">
        <v>39</v>
      </c>
      <c r="I35" s="23">
        <v>12983.1</v>
      </c>
      <c r="J35" s="40">
        <f>G35*I35</f>
        <v>5019.7010303880161</v>
      </c>
      <c r="K35" s="21"/>
    </row>
    <row r="36" spans="1:11" ht="15" customHeight="1">
      <c r="A36" s="18"/>
      <c r="B36" s="36" t="s">
        <v>38</v>
      </c>
      <c r="C36" s="19"/>
      <c r="D36" s="20"/>
      <c r="E36" s="21"/>
      <c r="F36" s="21"/>
      <c r="G36" s="23"/>
      <c r="H36" s="22"/>
      <c r="I36" s="23"/>
      <c r="J36" s="40">
        <f>0.13*G35*8078.11</f>
        <v>406.02480314997229</v>
      </c>
      <c r="K36" s="21"/>
    </row>
    <row r="37" spans="1:11" ht="15" customHeight="1">
      <c r="A37" s="18"/>
      <c r="B37" s="36"/>
      <c r="C37" s="19"/>
      <c r="D37" s="20"/>
      <c r="E37" s="21"/>
      <c r="F37" s="21"/>
      <c r="G37" s="23"/>
      <c r="H37" s="22"/>
      <c r="I37" s="23"/>
      <c r="J37" s="40"/>
      <c r="K37" s="21"/>
    </row>
    <row r="38" spans="1:11" ht="33.6">
      <c r="A38" s="18">
        <v>6</v>
      </c>
      <c r="B38" s="58" t="s">
        <v>74</v>
      </c>
      <c r="C38" s="19"/>
      <c r="D38" s="20"/>
      <c r="E38" s="21"/>
      <c r="F38" s="21"/>
      <c r="G38" s="23"/>
      <c r="H38" s="22"/>
      <c r="I38" s="23"/>
      <c r="J38" s="40"/>
      <c r="K38" s="21"/>
    </row>
    <row r="39" spans="1:11" ht="15" customHeight="1">
      <c r="A39" s="18"/>
      <c r="B39" s="36" t="s">
        <v>58</v>
      </c>
      <c r="C39" s="19">
        <v>2</v>
      </c>
      <c r="D39" s="20">
        <v>0.9</v>
      </c>
      <c r="E39" s="21">
        <v>0.9</v>
      </c>
      <c r="F39" s="21">
        <v>0.15</v>
      </c>
      <c r="G39" s="38">
        <f>PRODUCT(C39:F39)</f>
        <v>0.24299999999999999</v>
      </c>
      <c r="H39" s="22"/>
      <c r="I39" s="23"/>
      <c r="J39" s="40"/>
      <c r="K39" s="21"/>
    </row>
    <row r="40" spans="1:11" ht="15" customHeight="1">
      <c r="A40" s="18"/>
      <c r="B40" s="36"/>
      <c r="C40" s="19">
        <v>2</v>
      </c>
      <c r="D40" s="20">
        <v>0.23</v>
      </c>
      <c r="E40" s="21">
        <v>0.23</v>
      </c>
      <c r="F40" s="21">
        <f>7.75/3.281</f>
        <v>2.3620847302651629</v>
      </c>
      <c r="G40" s="38">
        <f>PRODUCT(C40:F40)</f>
        <v>0.24990856446205426</v>
      </c>
      <c r="H40" s="22"/>
      <c r="I40" s="23"/>
      <c r="J40" s="40"/>
      <c r="K40" s="21"/>
    </row>
    <row r="41" spans="1:11" ht="15" customHeight="1">
      <c r="A41" s="18"/>
      <c r="B41" s="36" t="s">
        <v>40</v>
      </c>
      <c r="C41" s="19"/>
      <c r="D41" s="20"/>
      <c r="E41" s="21"/>
      <c r="F41" s="21"/>
      <c r="G41" s="23">
        <f>SUM(G39:G40)</f>
        <v>0.49290856446205422</v>
      </c>
      <c r="H41" s="22" t="s">
        <v>39</v>
      </c>
      <c r="I41" s="23">
        <v>16512.62</v>
      </c>
      <c r="J41" s="40">
        <f>G41*I41</f>
        <v>8139.2118197074051</v>
      </c>
      <c r="K41" s="21"/>
    </row>
    <row r="42" spans="1:11" ht="15" customHeight="1">
      <c r="A42" s="18"/>
      <c r="B42" s="36" t="s">
        <v>38</v>
      </c>
      <c r="C42" s="19"/>
      <c r="D42" s="20"/>
      <c r="E42" s="21"/>
      <c r="F42" s="21"/>
      <c r="G42" s="23"/>
      <c r="H42" s="22"/>
      <c r="I42" s="23"/>
      <c r="J42" s="40">
        <f>0.13*G41*9092.62</f>
        <v>582.63793528186534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v>2</v>
      </c>
      <c r="D45" s="20">
        <v>0.9</v>
      </c>
      <c r="E45" s="21"/>
      <c r="F45" s="21">
        <v>0.15</v>
      </c>
      <c r="G45" s="38">
        <f>PRODUCT(C45:F45)</f>
        <v>0.27</v>
      </c>
      <c r="H45" s="22"/>
      <c r="I45" s="23"/>
      <c r="J45" s="40"/>
      <c r="K45" s="21"/>
    </row>
    <row r="46" spans="1:11" ht="15" customHeight="1">
      <c r="A46" s="18"/>
      <c r="B46" s="36"/>
      <c r="C46" s="19">
        <v>2</v>
      </c>
      <c r="D46" s="20">
        <f>0.23*4</f>
        <v>0.92</v>
      </c>
      <c r="E46" s="21"/>
      <c r="F46" s="21">
        <f>F40</f>
        <v>2.3620847302651629</v>
      </c>
      <c r="G46" s="38">
        <f>PRODUCT(C46:F46)</f>
        <v>4.3462359036878997</v>
      </c>
      <c r="H46" s="22"/>
      <c r="I46" s="23"/>
      <c r="J46" s="40"/>
      <c r="K46" s="21"/>
    </row>
    <row r="47" spans="1:11" ht="15" customHeight="1">
      <c r="A47" s="18"/>
      <c r="B47" s="36" t="s">
        <v>40</v>
      </c>
      <c r="C47" s="19"/>
      <c r="D47" s="20"/>
      <c r="E47" s="21"/>
      <c r="F47" s="21"/>
      <c r="G47" s="23">
        <f>SUM(G45:G46)</f>
        <v>4.6162359036878993</v>
      </c>
      <c r="H47" s="22" t="s">
        <v>51</v>
      </c>
      <c r="I47" s="23">
        <v>915.42</v>
      </c>
      <c r="J47" s="40">
        <f>G47*I47</f>
        <v>4225.7946709539765</v>
      </c>
      <c r="K47" s="21"/>
    </row>
    <row r="48" spans="1:11" ht="15" customHeight="1">
      <c r="A48" s="18"/>
      <c r="B48" s="36" t="s">
        <v>38</v>
      </c>
      <c r="C48" s="19"/>
      <c r="D48" s="20"/>
      <c r="E48" s="21"/>
      <c r="F48" s="21"/>
      <c r="G48" s="23"/>
      <c r="H48" s="22"/>
      <c r="I48" s="23"/>
      <c r="J48" s="40">
        <f>0.13*G47*46827.87/100</f>
        <v>281.01904322339828</v>
      </c>
      <c r="K48" s="21"/>
    </row>
    <row r="49" spans="1:15" ht="15" customHeight="1">
      <c r="A49" s="18"/>
      <c r="B49" s="36"/>
      <c r="C49" s="19"/>
      <c r="D49" s="20"/>
      <c r="E49" s="21"/>
      <c r="F49" s="21"/>
      <c r="G49" s="23"/>
      <c r="H49" s="22"/>
      <c r="I49" s="23"/>
      <c r="J49" s="40"/>
      <c r="K49" s="21"/>
    </row>
    <row r="50" spans="1:15" ht="30">
      <c r="A50" s="18">
        <v>8</v>
      </c>
      <c r="B50" s="109" t="s">
        <v>76</v>
      </c>
      <c r="C50" s="86" t="s">
        <v>7</v>
      </c>
      <c r="D50" s="111" t="s">
        <v>41</v>
      </c>
      <c r="E50" s="112" t="s">
        <v>77</v>
      </c>
      <c r="F50" s="112" t="s">
        <v>78</v>
      </c>
      <c r="G50" s="112" t="s">
        <v>79</v>
      </c>
      <c r="H50" s="90"/>
      <c r="I50" s="89"/>
      <c r="J50" s="91"/>
      <c r="K50" s="21"/>
    </row>
    <row r="51" spans="1:15" ht="15" customHeight="1">
      <c r="A51" s="18"/>
      <c r="B51" s="92" t="s">
        <v>81</v>
      </c>
      <c r="C51" s="86">
        <f>2*5*2+2</f>
        <v>22</v>
      </c>
      <c r="D51" s="87">
        <v>0.6</v>
      </c>
      <c r="E51" s="88">
        <f>12*12/162</f>
        <v>0.88888888888888884</v>
      </c>
      <c r="F51" s="88">
        <f>PRODUCT(C51:E51)</f>
        <v>11.733333333333333</v>
      </c>
      <c r="G51" s="113">
        <f>F51/1000</f>
        <v>1.1733333333333332E-2</v>
      </c>
      <c r="H51" s="90"/>
      <c r="I51" s="89"/>
      <c r="J51" s="91"/>
      <c r="K51" s="21"/>
    </row>
    <row r="52" spans="1:15" ht="15" customHeight="1">
      <c r="A52" s="18"/>
      <c r="B52" s="92" t="s">
        <v>80</v>
      </c>
      <c r="C52" s="86">
        <f>2*4</f>
        <v>8</v>
      </c>
      <c r="D52" s="87">
        <f>(7.75+0.75+1)/3.281</f>
        <v>2.895458701615361</v>
      </c>
      <c r="E52" s="88">
        <f>12*12/162</f>
        <v>0.88888888888888884</v>
      </c>
      <c r="F52" s="88">
        <f>PRODUCT(C52:E52)</f>
        <v>20.589928544820342</v>
      </c>
      <c r="G52" s="113">
        <f>F52/1000</f>
        <v>2.0589928544820342E-2</v>
      </c>
      <c r="H52" s="90"/>
      <c r="I52" s="89"/>
      <c r="J52" s="91"/>
      <c r="K52" s="21"/>
    </row>
    <row r="53" spans="1:15" ht="15" customHeight="1">
      <c r="A53" s="18"/>
      <c r="B53" s="92" t="s">
        <v>82</v>
      </c>
      <c r="C53" s="86">
        <f>TRUNC((7.75/0.5),0)+1</f>
        <v>16</v>
      </c>
      <c r="D53" s="87">
        <f>(7/12/3.281)*4</f>
        <v>0.7111652951335975</v>
      </c>
      <c r="E53" s="88">
        <f>8*8/162</f>
        <v>0.39506172839506171</v>
      </c>
      <c r="F53" s="88">
        <f>PRODUCT(C53:E53)</f>
        <v>4.4952670507210115</v>
      </c>
      <c r="G53" s="113">
        <f>F53/1000</f>
        <v>4.4952670507210114E-3</v>
      </c>
      <c r="H53" s="90"/>
      <c r="I53" s="89"/>
      <c r="J53" s="91"/>
      <c r="K53" s="21"/>
    </row>
    <row r="54" spans="1:15" ht="15" customHeight="1">
      <c r="A54" s="18"/>
      <c r="B54" s="92" t="s">
        <v>40</v>
      </c>
      <c r="C54" s="86"/>
      <c r="D54" s="87"/>
      <c r="E54" s="88"/>
      <c r="F54" s="88"/>
      <c r="G54" s="89">
        <f>SUM(G51:G53)</f>
        <v>3.6818528928874689E-2</v>
      </c>
      <c r="H54" s="90" t="s">
        <v>54</v>
      </c>
      <c r="I54" s="89">
        <v>131940</v>
      </c>
      <c r="J54" s="91">
        <f>G54*I54</f>
        <v>4857.8367068757261</v>
      </c>
      <c r="K54" s="21"/>
    </row>
    <row r="55" spans="1:15" ht="15" customHeight="1">
      <c r="A55" s="18"/>
      <c r="B55" s="92" t="s">
        <v>38</v>
      </c>
      <c r="C55" s="86"/>
      <c r="D55" s="87"/>
      <c r="E55" s="88"/>
      <c r="F55" s="88"/>
      <c r="G55" s="89"/>
      <c r="H55" s="90"/>
      <c r="I55" s="89"/>
      <c r="J55" s="91">
        <f>0.13*G54*106200</f>
        <v>508.31661039204397</v>
      </c>
      <c r="K55" s="21"/>
    </row>
    <row r="56" spans="1:15" ht="15" customHeight="1">
      <c r="A56" s="18"/>
      <c r="B56" s="36"/>
      <c r="C56" s="19"/>
      <c r="D56" s="20"/>
      <c r="E56" s="21"/>
      <c r="F56" s="21"/>
      <c r="G56" s="23"/>
      <c r="H56" s="22"/>
      <c r="I56" s="23"/>
      <c r="J56" s="40"/>
      <c r="K56" s="21"/>
    </row>
    <row r="57" spans="1:15" ht="30">
      <c r="A57" s="108">
        <v>9</v>
      </c>
      <c r="B57" s="109" t="s">
        <v>48</v>
      </c>
      <c r="C57" s="86"/>
      <c r="D57" s="87"/>
      <c r="E57" s="88"/>
      <c r="F57" s="88"/>
      <c r="G57" s="89"/>
      <c r="H57" s="90"/>
      <c r="I57" s="89"/>
      <c r="J57" s="91"/>
      <c r="K57" s="21"/>
      <c r="O57">
        <f>18.833*2</f>
        <v>37.665999999999997</v>
      </c>
    </row>
    <row r="58" spans="1:15" ht="15" customHeight="1">
      <c r="A58" s="108"/>
      <c r="B58" s="92" t="s">
        <v>56</v>
      </c>
      <c r="C58" s="93">
        <v>1</v>
      </c>
      <c r="D58" s="94">
        <f>3.8+4+3.93</f>
        <v>11.73</v>
      </c>
      <c r="E58" s="94">
        <v>0.23</v>
      </c>
      <c r="F58" s="94">
        <f>1.75-0.1</f>
        <v>1.65</v>
      </c>
      <c r="G58" s="95">
        <f>PRODUCT(C58:F58)</f>
        <v>4.4515349999999998</v>
      </c>
      <c r="H58" s="96"/>
      <c r="I58" s="96"/>
      <c r="J58" s="96"/>
      <c r="K58" s="21"/>
    </row>
    <row r="59" spans="1:15" ht="15" customHeight="1">
      <c r="A59" s="108"/>
      <c r="B59" s="92" t="s">
        <v>148</v>
      </c>
      <c r="C59" s="93">
        <v>-2</v>
      </c>
      <c r="D59" s="94">
        <v>0.23</v>
      </c>
      <c r="E59" s="94">
        <v>0.23</v>
      </c>
      <c r="F59" s="94">
        <f>1.75-0.1</f>
        <v>1.65</v>
      </c>
      <c r="G59" s="95">
        <f>PRODUCT(C59:F59)</f>
        <v>-0.17457</v>
      </c>
      <c r="H59" s="96"/>
      <c r="I59" s="96"/>
      <c r="J59" s="96"/>
      <c r="K59" s="21"/>
    </row>
    <row r="60" spans="1:15" ht="15" customHeight="1">
      <c r="A60" s="108"/>
      <c r="B60" s="92" t="s">
        <v>152</v>
      </c>
      <c r="C60" s="93">
        <v>1</v>
      </c>
      <c r="D60" s="94">
        <f>9.75/3.281</f>
        <v>2.9716549832368178</v>
      </c>
      <c r="E60" s="94">
        <v>0.23</v>
      </c>
      <c r="F60" s="94">
        <f>7/3.2808</f>
        <v>2.1336259448914898</v>
      </c>
      <c r="G60" s="95">
        <f t="shared" ref="G60:G67" si="0">PRODUCT(C60:F60)</f>
        <v>1.4582920394450367</v>
      </c>
      <c r="H60" s="96"/>
      <c r="I60" s="96"/>
      <c r="J60" s="96"/>
      <c r="K60" s="21"/>
    </row>
    <row r="61" spans="1:15" ht="15" customHeight="1">
      <c r="A61" s="108"/>
      <c r="B61" s="92"/>
      <c r="C61" s="93">
        <v>1</v>
      </c>
      <c r="D61" s="94">
        <f>14/12/3.281</f>
        <v>0.35558264756679875</v>
      </c>
      <c r="E61" s="94">
        <f>14/12/3.281</f>
        <v>0.35558264756679875</v>
      </c>
      <c r="F61" s="94">
        <f t="shared" ref="F61:F66" si="1">7/3.2808</f>
        <v>2.1336259448914898</v>
      </c>
      <c r="G61" s="95">
        <f t="shared" si="0"/>
        <v>0.26977357191974499</v>
      </c>
      <c r="H61" s="96"/>
      <c r="I61" s="96"/>
      <c r="J61" s="96"/>
      <c r="K61" s="21"/>
    </row>
    <row r="62" spans="1:15" ht="15" customHeight="1">
      <c r="A62" s="108"/>
      <c r="B62" s="92"/>
      <c r="C62" s="93">
        <v>1</v>
      </c>
      <c r="D62" s="94">
        <f t="shared" ref="D62" si="2">9.75/3.281</f>
        <v>2.9716549832368178</v>
      </c>
      <c r="E62" s="94">
        <v>0.23</v>
      </c>
      <c r="F62" s="94">
        <f t="shared" si="1"/>
        <v>2.1336259448914898</v>
      </c>
      <c r="G62" s="95">
        <f t="shared" si="0"/>
        <v>1.4582920394450367</v>
      </c>
      <c r="H62" s="96"/>
      <c r="I62" s="96"/>
      <c r="J62" s="96"/>
      <c r="K62" s="21"/>
    </row>
    <row r="63" spans="1:15" ht="15" customHeight="1">
      <c r="A63" s="108"/>
      <c r="B63" s="92"/>
      <c r="C63" s="93">
        <v>1</v>
      </c>
      <c r="D63" s="94">
        <f t="shared" ref="D63:E63" si="3">14/12/3.281</f>
        <v>0.35558264756679875</v>
      </c>
      <c r="E63" s="94">
        <f t="shared" si="3"/>
        <v>0.35558264756679875</v>
      </c>
      <c r="F63" s="94">
        <f t="shared" si="1"/>
        <v>2.1336259448914898</v>
      </c>
      <c r="G63" s="95">
        <f t="shared" si="0"/>
        <v>0.26977357191974499</v>
      </c>
      <c r="H63" s="96"/>
      <c r="I63" s="96"/>
      <c r="J63" s="96"/>
      <c r="K63" s="21"/>
    </row>
    <row r="64" spans="1:15" ht="15" customHeight="1">
      <c r="A64" s="108"/>
      <c r="B64" s="92"/>
      <c r="C64" s="93">
        <v>1</v>
      </c>
      <c r="D64" s="94">
        <f t="shared" ref="D64" si="4">9.75/3.281</f>
        <v>2.9716549832368178</v>
      </c>
      <c r="E64" s="94">
        <v>0.23</v>
      </c>
      <c r="F64" s="94">
        <f t="shared" si="1"/>
        <v>2.1336259448914898</v>
      </c>
      <c r="G64" s="95">
        <f t="shared" si="0"/>
        <v>1.4582920394450367</v>
      </c>
      <c r="H64" s="96"/>
      <c r="I64" s="96"/>
      <c r="J64" s="96"/>
      <c r="K64" s="21"/>
    </row>
    <row r="65" spans="1:15" ht="15" customHeight="1">
      <c r="A65" s="108"/>
      <c r="B65" s="92"/>
      <c r="C65" s="93">
        <v>1</v>
      </c>
      <c r="D65" s="94">
        <f t="shared" ref="D65:E65" si="5">14/12/3.281</f>
        <v>0.35558264756679875</v>
      </c>
      <c r="E65" s="94">
        <f t="shared" si="5"/>
        <v>0.35558264756679875</v>
      </c>
      <c r="F65" s="94">
        <f t="shared" si="1"/>
        <v>2.1336259448914898</v>
      </c>
      <c r="G65" s="95">
        <f t="shared" si="0"/>
        <v>0.26977357191974499</v>
      </c>
      <c r="H65" s="96"/>
      <c r="I65" s="96"/>
      <c r="J65" s="96"/>
      <c r="K65" s="21"/>
    </row>
    <row r="66" spans="1:15" ht="15" customHeight="1">
      <c r="A66" s="108"/>
      <c r="B66" s="92"/>
      <c r="C66" s="93">
        <v>1</v>
      </c>
      <c r="D66" s="94">
        <f>17/12/3.281</f>
        <v>0.43177892918825561</v>
      </c>
      <c r="E66" s="94">
        <v>0.1</v>
      </c>
      <c r="F66" s="94">
        <f t="shared" si="1"/>
        <v>2.1336259448914898</v>
      </c>
      <c r="G66" s="95">
        <f t="shared" si="0"/>
        <v>9.2125472577352763E-2</v>
      </c>
      <c r="H66" s="96"/>
      <c r="I66" s="96"/>
      <c r="J66" s="96"/>
      <c r="K66" s="21"/>
    </row>
    <row r="67" spans="1:15" ht="15" customHeight="1">
      <c r="A67" s="108"/>
      <c r="B67" s="92"/>
      <c r="C67" s="93">
        <v>1</v>
      </c>
      <c r="D67" s="94">
        <f>SUM(D60:D66)</f>
        <v>10.413491821599104</v>
      </c>
      <c r="E67" s="94">
        <v>0.45</v>
      </c>
      <c r="F67" s="94">
        <v>0.23</v>
      </c>
      <c r="G67" s="95">
        <f t="shared" si="0"/>
        <v>1.0777964035355072</v>
      </c>
      <c r="H67" s="96"/>
      <c r="I67" s="96"/>
      <c r="J67" s="96"/>
      <c r="K67" s="21"/>
    </row>
    <row r="68" spans="1:15" ht="15" customHeight="1">
      <c r="A68" s="108"/>
      <c r="B68" s="92" t="s">
        <v>40</v>
      </c>
      <c r="C68" s="86"/>
      <c r="D68" s="87"/>
      <c r="E68" s="88"/>
      <c r="F68" s="88"/>
      <c r="G68" s="89">
        <f>SUM(G58:G67)</f>
        <v>10.631083710207204</v>
      </c>
      <c r="H68" s="90" t="s">
        <v>39</v>
      </c>
      <c r="I68" s="89">
        <v>14362.76</v>
      </c>
      <c r="J68" s="91">
        <f>G68*I68</f>
        <v>152691.70386961562</v>
      </c>
      <c r="K68" s="21"/>
    </row>
    <row r="69" spans="1:15" ht="15" customHeight="1">
      <c r="A69" s="108"/>
      <c r="B69" s="92" t="s">
        <v>38</v>
      </c>
      <c r="C69" s="86"/>
      <c r="D69" s="87"/>
      <c r="E69" s="88"/>
      <c r="F69" s="88"/>
      <c r="G69" s="89"/>
      <c r="H69" s="90"/>
      <c r="I69" s="89"/>
      <c r="J69" s="91">
        <f>0.13*G68*10311.74</f>
        <v>14251.246247925965</v>
      </c>
      <c r="K69" s="21"/>
    </row>
    <row r="70" spans="1:15" ht="15" customHeight="1">
      <c r="A70" s="18"/>
      <c r="B70" s="36"/>
      <c r="C70" s="35"/>
      <c r="D70" s="37"/>
      <c r="E70" s="37"/>
      <c r="F70" s="37"/>
      <c r="G70" s="38"/>
      <c r="H70" s="39"/>
      <c r="I70" s="39"/>
      <c r="J70" s="39"/>
      <c r="K70" s="21"/>
    </row>
    <row r="71" spans="1:15" ht="30">
      <c r="A71" s="108">
        <v>10</v>
      </c>
      <c r="B71" s="109" t="s">
        <v>48</v>
      </c>
      <c r="C71" s="86"/>
      <c r="D71" s="87"/>
      <c r="E71" s="88"/>
      <c r="F71" s="88"/>
      <c r="G71" s="89"/>
      <c r="H71" s="90"/>
      <c r="I71" s="89"/>
      <c r="J71" s="91"/>
      <c r="K71" s="21"/>
      <c r="O71">
        <f>18.833*2</f>
        <v>37.665999999999997</v>
      </c>
    </row>
    <row r="72" spans="1:15" ht="15" customHeight="1">
      <c r="A72" s="108"/>
      <c r="B72" s="92" t="s">
        <v>151</v>
      </c>
      <c r="C72" s="110">
        <v>1</v>
      </c>
      <c r="D72" s="94">
        <f>6.1+6.4+4.6</f>
        <v>17.100000000000001</v>
      </c>
      <c r="E72" s="94">
        <v>0.23</v>
      </c>
      <c r="F72" s="94">
        <v>0.125</v>
      </c>
      <c r="G72" s="95">
        <f t="shared" ref="G72:G87" si="6">PRODUCT(C72:F72)</f>
        <v>0.49162500000000009</v>
      </c>
      <c r="H72" s="96"/>
      <c r="I72" s="96"/>
      <c r="J72" s="96"/>
      <c r="K72" s="21"/>
      <c r="M72">
        <f>0.37+2.75+0.35+2.69+0.35+0.95+2.73+0.58+0.35+3.02+0.35+3.13+0.35+3.17+0.35</f>
        <v>21.490000000000002</v>
      </c>
    </row>
    <row r="73" spans="1:15" ht="15" customHeight="1">
      <c r="A73" s="108"/>
      <c r="B73" s="92" t="s">
        <v>149</v>
      </c>
      <c r="C73" s="110">
        <v>1</v>
      </c>
      <c r="D73" s="94">
        <f>14/12/3.281</f>
        <v>0.35558264756679875</v>
      </c>
      <c r="E73" s="94">
        <f>14/12/3.281</f>
        <v>0.35558264756679875</v>
      </c>
      <c r="F73" s="94">
        <v>0.12</v>
      </c>
      <c r="G73" s="95">
        <f t="shared" si="6"/>
        <v>1.5172682310073704E-2</v>
      </c>
      <c r="H73" s="96"/>
      <c r="I73" s="96"/>
      <c r="J73" s="96"/>
      <c r="K73" s="21"/>
    </row>
    <row r="74" spans="1:15" ht="15" customHeight="1">
      <c r="A74" s="108"/>
      <c r="B74" s="92"/>
      <c r="C74" s="110">
        <v>1</v>
      </c>
      <c r="D74" s="93">
        <v>2.75</v>
      </c>
      <c r="E74" s="94">
        <f>0.23</f>
        <v>0.23</v>
      </c>
      <c r="F74" s="94">
        <v>0.12</v>
      </c>
      <c r="G74" s="95">
        <f t="shared" si="6"/>
        <v>7.5900000000000009E-2</v>
      </c>
      <c r="H74" s="96"/>
      <c r="I74" s="96"/>
      <c r="J74" s="96"/>
      <c r="K74" s="21"/>
    </row>
    <row r="75" spans="1:15" ht="15" customHeight="1">
      <c r="A75" s="108"/>
      <c r="B75" s="92"/>
      <c r="C75" s="110">
        <v>1</v>
      </c>
      <c r="D75" s="94">
        <f>14/12/3.281</f>
        <v>0.35558264756679875</v>
      </c>
      <c r="E75" s="94">
        <f>14/12/3.281</f>
        <v>0.35558264756679875</v>
      </c>
      <c r="F75" s="94">
        <v>0.12</v>
      </c>
      <c r="G75" s="95">
        <f t="shared" si="6"/>
        <v>1.5172682310073704E-2</v>
      </c>
      <c r="H75" s="96"/>
      <c r="I75" s="96"/>
      <c r="J75" s="96"/>
      <c r="K75" s="21"/>
    </row>
    <row r="76" spans="1:15" ht="15" customHeight="1">
      <c r="A76" s="108"/>
      <c r="B76" s="92"/>
      <c r="C76" s="110">
        <v>1</v>
      </c>
      <c r="D76" s="94">
        <v>2.69</v>
      </c>
      <c r="E76" s="94">
        <v>0.23</v>
      </c>
      <c r="F76" s="94">
        <v>0.12</v>
      </c>
      <c r="G76" s="95">
        <f t="shared" si="6"/>
        <v>7.4244000000000004E-2</v>
      </c>
      <c r="H76" s="96"/>
      <c r="I76" s="96"/>
      <c r="J76" s="96"/>
      <c r="K76" s="21"/>
    </row>
    <row r="77" spans="1:15" ht="15" customHeight="1">
      <c r="A77" s="108"/>
      <c r="B77" s="92"/>
      <c r="C77" s="110">
        <v>1</v>
      </c>
      <c r="D77" s="94">
        <v>0.35560000000000003</v>
      </c>
      <c r="E77" s="94">
        <v>0.35560000000000003</v>
      </c>
      <c r="F77" s="94">
        <v>0.12</v>
      </c>
      <c r="G77" s="95">
        <f t="shared" si="6"/>
        <v>1.51741632E-2</v>
      </c>
      <c r="H77" s="96"/>
      <c r="I77" s="96"/>
      <c r="J77" s="96"/>
      <c r="K77" s="21"/>
    </row>
    <row r="78" spans="1:15" ht="15" customHeight="1">
      <c r="A78" s="108"/>
      <c r="B78" s="92"/>
      <c r="C78" s="110">
        <v>1</v>
      </c>
      <c r="D78" s="94">
        <v>0.95</v>
      </c>
      <c r="E78" s="94">
        <v>0.23</v>
      </c>
      <c r="F78" s="94">
        <v>0.12</v>
      </c>
      <c r="G78" s="95">
        <f t="shared" si="6"/>
        <v>2.622E-2</v>
      </c>
      <c r="H78" s="96"/>
      <c r="I78" s="96"/>
      <c r="J78" s="96"/>
      <c r="K78" s="21"/>
    </row>
    <row r="79" spans="1:15" ht="15" customHeight="1">
      <c r="A79" s="108"/>
      <c r="B79" s="92"/>
      <c r="C79" s="110">
        <v>1</v>
      </c>
      <c r="D79" s="94">
        <v>2.73</v>
      </c>
      <c r="E79" s="94">
        <v>0.23</v>
      </c>
      <c r="F79" s="94">
        <v>0.25</v>
      </c>
      <c r="G79" s="95">
        <f t="shared" si="6"/>
        <v>0.156975</v>
      </c>
      <c r="H79" s="96"/>
      <c r="I79" s="96"/>
      <c r="J79" s="96"/>
      <c r="K79" s="21"/>
    </row>
    <row r="80" spans="1:15" ht="15" customHeight="1">
      <c r="A80" s="108"/>
      <c r="B80" s="92"/>
      <c r="C80" s="110">
        <v>1</v>
      </c>
      <c r="D80" s="94">
        <v>0.57999999999999996</v>
      </c>
      <c r="E80" s="94">
        <v>0.23</v>
      </c>
      <c r="F80" s="94">
        <v>0.6</v>
      </c>
      <c r="G80" s="95">
        <f t="shared" si="6"/>
        <v>8.0039999999999986E-2</v>
      </c>
      <c r="H80" s="96"/>
      <c r="I80" s="96"/>
      <c r="J80" s="96"/>
      <c r="K80" s="21"/>
    </row>
    <row r="81" spans="1:15" ht="15" customHeight="1">
      <c r="A81" s="108"/>
      <c r="B81" s="92" t="s">
        <v>150</v>
      </c>
      <c r="C81" s="110">
        <v>1</v>
      </c>
      <c r="D81" s="94">
        <v>0.35560000000000003</v>
      </c>
      <c r="E81" s="94">
        <v>0.35560000000000003</v>
      </c>
      <c r="F81" s="94">
        <v>0.12</v>
      </c>
      <c r="G81" s="95">
        <f t="shared" si="6"/>
        <v>1.51741632E-2</v>
      </c>
      <c r="H81" s="96"/>
      <c r="I81" s="96"/>
      <c r="J81" s="96"/>
      <c r="K81" s="21"/>
    </row>
    <row r="82" spans="1:15" ht="15" customHeight="1">
      <c r="A82" s="108"/>
      <c r="B82" s="92"/>
      <c r="C82" s="110">
        <v>1</v>
      </c>
      <c r="D82" s="94">
        <v>3.02</v>
      </c>
      <c r="E82" s="94">
        <v>0.23</v>
      </c>
      <c r="F82" s="94">
        <v>0.12</v>
      </c>
      <c r="G82" s="95">
        <f t="shared" si="6"/>
        <v>8.3351999999999996E-2</v>
      </c>
      <c r="H82" s="96"/>
      <c r="I82" s="96"/>
      <c r="J82" s="96"/>
      <c r="K82" s="21"/>
    </row>
    <row r="83" spans="1:15" ht="15" customHeight="1">
      <c r="A83" s="108"/>
      <c r="B83" s="92"/>
      <c r="C83" s="110">
        <v>1</v>
      </c>
      <c r="D83" s="93">
        <v>0.35560000000000003</v>
      </c>
      <c r="E83" s="94">
        <v>0.35560000000000003</v>
      </c>
      <c r="F83" s="94">
        <v>0.12</v>
      </c>
      <c r="G83" s="95">
        <f t="shared" si="6"/>
        <v>1.51741632E-2</v>
      </c>
      <c r="H83" s="96"/>
      <c r="I83" s="96"/>
      <c r="J83" s="96"/>
      <c r="K83" s="21"/>
    </row>
    <row r="84" spans="1:15" ht="15" customHeight="1">
      <c r="A84" s="108"/>
      <c r="B84" s="92"/>
      <c r="C84" s="110">
        <v>1</v>
      </c>
      <c r="D84" s="93">
        <v>3.13</v>
      </c>
      <c r="E84" s="94">
        <v>0.23</v>
      </c>
      <c r="F84" s="94">
        <v>0.12</v>
      </c>
      <c r="G84" s="95">
        <f t="shared" si="6"/>
        <v>8.6387999999999993E-2</v>
      </c>
      <c r="H84" s="96"/>
      <c r="I84" s="96"/>
      <c r="J84" s="96"/>
      <c r="K84" s="21"/>
    </row>
    <row r="85" spans="1:15" ht="15" customHeight="1">
      <c r="A85" s="108"/>
      <c r="B85" s="92"/>
      <c r="C85" s="110">
        <v>1</v>
      </c>
      <c r="D85" s="93">
        <v>0.35560000000000003</v>
      </c>
      <c r="E85" s="94">
        <v>0.35560000000000003</v>
      </c>
      <c r="F85" s="94">
        <v>0.12</v>
      </c>
      <c r="G85" s="95">
        <f t="shared" si="6"/>
        <v>1.51741632E-2</v>
      </c>
      <c r="H85" s="96"/>
      <c r="I85" s="96"/>
      <c r="J85" s="96"/>
      <c r="K85" s="21"/>
    </row>
    <row r="86" spans="1:15" ht="15" customHeight="1">
      <c r="A86" s="108"/>
      <c r="B86" s="92"/>
      <c r="C86" s="110">
        <v>1</v>
      </c>
      <c r="D86" s="93">
        <v>3.17</v>
      </c>
      <c r="E86" s="94">
        <v>0.23</v>
      </c>
      <c r="F86" s="94">
        <v>0.12</v>
      </c>
      <c r="G86" s="95">
        <f t="shared" si="6"/>
        <v>8.7491999999999986E-2</v>
      </c>
      <c r="H86" s="96"/>
      <c r="I86" s="96"/>
      <c r="J86" s="96"/>
      <c r="K86" s="21"/>
    </row>
    <row r="87" spans="1:15" ht="15" customHeight="1">
      <c r="A87" s="108"/>
      <c r="B87" s="92"/>
      <c r="C87" s="110">
        <v>1</v>
      </c>
      <c r="D87" s="93">
        <v>0.35560000000000003</v>
      </c>
      <c r="E87" s="94">
        <v>0.35560000000000003</v>
      </c>
      <c r="F87" s="94">
        <v>0.12</v>
      </c>
      <c r="G87" s="95">
        <f t="shared" si="6"/>
        <v>1.51741632E-2</v>
      </c>
      <c r="H87" s="96"/>
      <c r="I87" s="96"/>
      <c r="J87" s="96"/>
      <c r="K87" s="21"/>
    </row>
    <row r="88" spans="1:15" ht="15" customHeight="1">
      <c r="A88" s="108"/>
      <c r="B88" s="92" t="s">
        <v>147</v>
      </c>
      <c r="C88" s="93">
        <v>12</v>
      </c>
      <c r="D88" s="94">
        <v>0.83</v>
      </c>
      <c r="E88" s="94">
        <v>0.23</v>
      </c>
      <c r="F88" s="94">
        <v>1.2</v>
      </c>
      <c r="G88" s="95">
        <f>PRODUCT(C88:F88)</f>
        <v>2.7489599999999998</v>
      </c>
      <c r="H88" s="96"/>
      <c r="I88" s="96"/>
      <c r="J88" s="96"/>
      <c r="K88" s="21"/>
    </row>
    <row r="89" spans="1:15" ht="15" customHeight="1">
      <c r="A89" s="108"/>
      <c r="B89" s="92" t="s">
        <v>40</v>
      </c>
      <c r="C89" s="86"/>
      <c r="D89" s="87"/>
      <c r="E89" s="88"/>
      <c r="F89" s="88"/>
      <c r="G89" s="89">
        <f>SUM(G72:G88)</f>
        <v>4.0174121806201466</v>
      </c>
      <c r="H89" s="90" t="s">
        <v>39</v>
      </c>
      <c r="I89" s="89">
        <f>Sheet2!G31</f>
        <v>8001.8600000000006</v>
      </c>
      <c r="J89" s="91">
        <f>G89*I89</f>
        <v>32146.76983161713</v>
      </c>
      <c r="K89" s="21"/>
    </row>
    <row r="90" spans="1:15" ht="15" customHeight="1">
      <c r="A90" s="108"/>
      <c r="B90" s="92" t="s">
        <v>38</v>
      </c>
      <c r="C90" s="86"/>
      <c r="D90" s="87"/>
      <c r="E90" s="88"/>
      <c r="F90" s="88"/>
      <c r="G90" s="89"/>
      <c r="H90" s="90"/>
      <c r="I90" s="89"/>
      <c r="J90" s="91">
        <f>0.13*G89*Sheet2!G29</f>
        <v>2063.3798561585691</v>
      </c>
      <c r="K90" s="21"/>
    </row>
    <row r="91" spans="1:15" ht="15" customHeight="1">
      <c r="A91" s="108"/>
      <c r="B91" s="92"/>
      <c r="C91" s="86"/>
      <c r="D91" s="87"/>
      <c r="E91" s="88"/>
      <c r="F91" s="88"/>
      <c r="G91" s="89"/>
      <c r="H91" s="90"/>
      <c r="I91" s="89"/>
      <c r="J91" s="91"/>
      <c r="K91" s="21"/>
    </row>
    <row r="92" spans="1:15" ht="30.6">
      <c r="A92" s="18">
        <v>11</v>
      </c>
      <c r="B92" s="85" t="s">
        <v>50</v>
      </c>
      <c r="C92" s="86"/>
      <c r="D92" s="87"/>
      <c r="E92" s="88"/>
      <c r="F92" s="88"/>
      <c r="G92" s="89"/>
      <c r="H92" s="90"/>
      <c r="I92" s="89"/>
      <c r="J92" s="91"/>
      <c r="K92" s="21"/>
      <c r="M92" t="s">
        <v>103</v>
      </c>
      <c r="N92">
        <v>0</v>
      </c>
      <c r="O92">
        <v>1.3</v>
      </c>
    </row>
    <row r="93" spans="1:15" ht="15" customHeight="1">
      <c r="A93" s="18"/>
      <c r="B93" s="92" t="s">
        <v>49</v>
      </c>
      <c r="C93" s="93">
        <v>1</v>
      </c>
      <c r="D93" s="94">
        <f>N93</f>
        <v>3</v>
      </c>
      <c r="E93" s="94"/>
      <c r="F93" s="94">
        <f>(O92+O93)/2</f>
        <v>1.37</v>
      </c>
      <c r="G93" s="95">
        <f t="shared" ref="G93:G156" si="7">PRODUCT(C93:F93)</f>
        <v>4.1100000000000003</v>
      </c>
      <c r="H93" s="96"/>
      <c r="I93" s="96"/>
      <c r="J93" s="96"/>
      <c r="K93" s="21"/>
      <c r="N93">
        <v>3</v>
      </c>
      <c r="O93">
        <v>1.44</v>
      </c>
    </row>
    <row r="94" spans="1:15" ht="15" customHeight="1">
      <c r="A94" s="18"/>
      <c r="B94" s="92"/>
      <c r="C94" s="93">
        <v>1</v>
      </c>
      <c r="D94" s="94">
        <f t="shared" ref="D94:D99" si="8">N94</f>
        <v>3</v>
      </c>
      <c r="E94" s="94"/>
      <c r="F94" s="94">
        <f t="shared" ref="F94:F99" si="9">(O93+O94)/2</f>
        <v>1.41</v>
      </c>
      <c r="G94" s="95">
        <f t="shared" si="7"/>
        <v>4.2299999999999995</v>
      </c>
      <c r="H94" s="96"/>
      <c r="I94" s="96"/>
      <c r="J94" s="96"/>
      <c r="K94" s="21"/>
      <c r="N94">
        <v>3</v>
      </c>
      <c r="O94">
        <v>1.38</v>
      </c>
    </row>
    <row r="95" spans="1:15" ht="15" customHeight="1">
      <c r="A95" s="18"/>
      <c r="B95" s="92"/>
      <c r="C95" s="93">
        <v>1</v>
      </c>
      <c r="D95" s="94">
        <f t="shared" si="8"/>
        <v>3</v>
      </c>
      <c r="E95" s="94"/>
      <c r="F95" s="94">
        <f t="shared" si="9"/>
        <v>1.415</v>
      </c>
      <c r="G95" s="95">
        <f t="shared" si="7"/>
        <v>4.2450000000000001</v>
      </c>
      <c r="H95" s="96"/>
      <c r="I95" s="96"/>
      <c r="J95" s="96"/>
      <c r="K95" s="21"/>
      <c r="N95">
        <v>3</v>
      </c>
      <c r="O95">
        <v>1.45</v>
      </c>
    </row>
    <row r="96" spans="1:15" ht="15" customHeight="1">
      <c r="A96" s="18"/>
      <c r="B96" s="92"/>
      <c r="C96" s="93">
        <v>1</v>
      </c>
      <c r="D96" s="94">
        <f t="shared" si="8"/>
        <v>3</v>
      </c>
      <c r="E96" s="94"/>
      <c r="F96" s="94">
        <f t="shared" si="9"/>
        <v>1.4550000000000001</v>
      </c>
      <c r="G96" s="95">
        <f t="shared" si="7"/>
        <v>4.3650000000000002</v>
      </c>
      <c r="H96" s="96"/>
      <c r="I96" s="96"/>
      <c r="J96" s="96"/>
      <c r="K96" s="21"/>
      <c r="N96">
        <v>3</v>
      </c>
      <c r="O96">
        <v>1.46</v>
      </c>
    </row>
    <row r="97" spans="1:15" ht="15" customHeight="1">
      <c r="A97" s="18"/>
      <c r="B97" s="92"/>
      <c r="C97" s="93">
        <v>1</v>
      </c>
      <c r="D97" s="94">
        <f t="shared" si="8"/>
        <v>3</v>
      </c>
      <c r="E97" s="94"/>
      <c r="F97" s="94">
        <f t="shared" si="9"/>
        <v>1.5049999999999999</v>
      </c>
      <c r="G97" s="95">
        <f t="shared" si="7"/>
        <v>4.5149999999999997</v>
      </c>
      <c r="H97" s="96"/>
      <c r="I97" s="96"/>
      <c r="J97" s="96"/>
      <c r="K97" s="21"/>
      <c r="N97">
        <v>3</v>
      </c>
      <c r="O97">
        <v>1.55</v>
      </c>
    </row>
    <row r="98" spans="1:15" ht="15" customHeight="1">
      <c r="A98" s="18"/>
      <c r="B98" s="92"/>
      <c r="C98" s="93">
        <v>1</v>
      </c>
      <c r="D98" s="94">
        <f t="shared" si="8"/>
        <v>3</v>
      </c>
      <c r="E98" s="94"/>
      <c r="F98" s="94">
        <f t="shared" si="9"/>
        <v>1.4849999999999999</v>
      </c>
      <c r="G98" s="95">
        <f t="shared" si="7"/>
        <v>4.4550000000000001</v>
      </c>
      <c r="H98" s="96"/>
      <c r="I98" s="96"/>
      <c r="J98" s="96"/>
      <c r="K98" s="21"/>
      <c r="N98">
        <v>3</v>
      </c>
      <c r="O98">
        <v>1.42</v>
      </c>
    </row>
    <row r="99" spans="1:15" ht="15" customHeight="1">
      <c r="A99" s="18"/>
      <c r="B99" s="92"/>
      <c r="C99" s="93">
        <v>1</v>
      </c>
      <c r="D99" s="94">
        <f t="shared" si="8"/>
        <v>3.42</v>
      </c>
      <c r="E99" s="94"/>
      <c r="F99" s="94">
        <f t="shared" si="9"/>
        <v>1.47</v>
      </c>
      <c r="G99" s="95">
        <f t="shared" si="7"/>
        <v>5.0274000000000001</v>
      </c>
      <c r="H99" s="96"/>
      <c r="I99" s="96"/>
      <c r="J99" s="96"/>
      <c r="K99" s="21"/>
      <c r="M99" t="s">
        <v>101</v>
      </c>
      <c r="N99">
        <v>3.42</v>
      </c>
      <c r="O99">
        <v>1.52</v>
      </c>
    </row>
    <row r="100" spans="1:15" ht="15" customHeight="1">
      <c r="A100" s="18"/>
      <c r="B100" s="92"/>
      <c r="C100" s="93"/>
      <c r="D100" s="94"/>
      <c r="E100" s="94"/>
      <c r="F100" s="94"/>
      <c r="G100" s="95"/>
      <c r="H100" s="96"/>
      <c r="I100" s="96"/>
      <c r="J100" s="96"/>
      <c r="K100" s="21"/>
      <c r="M100" t="s">
        <v>102</v>
      </c>
      <c r="N100">
        <v>0</v>
      </c>
      <c r="O100">
        <v>1.7</v>
      </c>
    </row>
    <row r="101" spans="1:15" ht="15" customHeight="1">
      <c r="A101" s="18"/>
      <c r="B101" s="92"/>
      <c r="C101" s="93">
        <v>1</v>
      </c>
      <c r="D101" s="94">
        <f>N101</f>
        <v>0.14000000000000001</v>
      </c>
      <c r="E101" s="94"/>
      <c r="F101" s="94">
        <f>O101</f>
        <v>1.7</v>
      </c>
      <c r="G101" s="95">
        <f t="shared" si="7"/>
        <v>0.23800000000000002</v>
      </c>
      <c r="H101" s="96"/>
      <c r="I101" s="96"/>
      <c r="J101" s="96"/>
      <c r="K101" s="21"/>
      <c r="N101">
        <v>0.14000000000000001</v>
      </c>
      <c r="O101">
        <v>1.7</v>
      </c>
    </row>
    <row r="102" spans="1:15" ht="15" customHeight="1">
      <c r="A102" s="18"/>
      <c r="B102" s="92"/>
      <c r="C102" s="93">
        <v>1</v>
      </c>
      <c r="D102" s="94">
        <f t="shared" ref="D102:D114" si="10">N102</f>
        <v>3.01</v>
      </c>
      <c r="E102" s="94"/>
      <c r="F102" s="94">
        <f t="shared" ref="F102:F114" si="11">O102</f>
        <v>1.6</v>
      </c>
      <c r="G102" s="95">
        <f t="shared" si="7"/>
        <v>4.8159999999999998</v>
      </c>
      <c r="H102" s="96"/>
      <c r="I102" s="96"/>
      <c r="J102" s="96"/>
      <c r="K102" s="21"/>
      <c r="N102">
        <v>3.01</v>
      </c>
      <c r="O102">
        <v>1.6</v>
      </c>
    </row>
    <row r="103" spans="1:15" ht="15" customHeight="1">
      <c r="A103" s="18"/>
      <c r="B103" s="92"/>
      <c r="C103" s="93">
        <v>1</v>
      </c>
      <c r="D103" s="94">
        <f t="shared" si="10"/>
        <v>0.58000000000000007</v>
      </c>
      <c r="E103" s="94"/>
      <c r="F103" s="94">
        <f t="shared" si="11"/>
        <v>1.7</v>
      </c>
      <c r="G103" s="95">
        <f t="shared" si="7"/>
        <v>0.9860000000000001</v>
      </c>
      <c r="H103" s="96"/>
      <c r="I103" s="96"/>
      <c r="J103" s="96"/>
      <c r="K103" s="21"/>
      <c r="N103">
        <f>(0.1+0.11+0.37)</f>
        <v>0.58000000000000007</v>
      </c>
      <c r="O103">
        <v>1.7</v>
      </c>
    </row>
    <row r="104" spans="1:15" ht="15" customHeight="1">
      <c r="A104" s="18"/>
      <c r="B104" s="92"/>
      <c r="C104" s="93">
        <v>1</v>
      </c>
      <c r="D104" s="94">
        <f t="shared" si="10"/>
        <v>3.12</v>
      </c>
      <c r="E104" s="94"/>
      <c r="F104" s="94">
        <f t="shared" si="11"/>
        <v>1.6400000000000001</v>
      </c>
      <c r="G104" s="95">
        <f t="shared" si="7"/>
        <v>5.1168000000000005</v>
      </c>
      <c r="H104" s="96"/>
      <c r="I104" s="96"/>
      <c r="J104" s="96"/>
      <c r="K104" s="21"/>
      <c r="N104">
        <v>3.12</v>
      </c>
      <c r="O104">
        <f>(1.6+1.68)/2</f>
        <v>1.6400000000000001</v>
      </c>
    </row>
    <row r="105" spans="1:15" ht="15" customHeight="1">
      <c r="A105" s="18"/>
      <c r="B105" s="92"/>
      <c r="C105" s="93">
        <v>1</v>
      </c>
      <c r="D105" s="94">
        <f t="shared" si="10"/>
        <v>0.6</v>
      </c>
      <c r="E105" s="94"/>
      <c r="F105" s="94">
        <f t="shared" si="11"/>
        <v>1.65</v>
      </c>
      <c r="G105" s="95">
        <f t="shared" si="7"/>
        <v>0.98999999999999988</v>
      </c>
      <c r="H105" s="96"/>
      <c r="I105" s="96"/>
      <c r="J105" s="96"/>
      <c r="K105" s="21"/>
      <c r="N105">
        <f>(0.12+0.11+0.37)</f>
        <v>0.6</v>
      </c>
      <c r="O105">
        <v>1.65</v>
      </c>
    </row>
    <row r="106" spans="1:15" ht="15" customHeight="1">
      <c r="A106" s="18"/>
      <c r="B106" s="92"/>
      <c r="C106" s="93">
        <v>1</v>
      </c>
      <c r="D106" s="94">
        <f t="shared" si="10"/>
        <v>3.16</v>
      </c>
      <c r="E106" s="94"/>
      <c r="F106" s="94">
        <f t="shared" si="11"/>
        <v>1.65</v>
      </c>
      <c r="G106" s="95">
        <f t="shared" si="7"/>
        <v>5.2139999999999995</v>
      </c>
      <c r="H106" s="96"/>
      <c r="I106" s="96"/>
      <c r="J106" s="96"/>
      <c r="K106" s="21"/>
      <c r="N106">
        <v>3.16</v>
      </c>
      <c r="O106">
        <v>1.65</v>
      </c>
    </row>
    <row r="107" spans="1:15" ht="15" customHeight="1">
      <c r="A107" s="18"/>
      <c r="B107" s="92"/>
      <c r="C107" s="93">
        <v>1</v>
      </c>
      <c r="D107" s="94">
        <f t="shared" si="10"/>
        <v>0.66</v>
      </c>
      <c r="E107" s="94"/>
      <c r="F107" s="94">
        <f t="shared" si="11"/>
        <v>1.65</v>
      </c>
      <c r="G107" s="95">
        <f t="shared" si="7"/>
        <v>1.089</v>
      </c>
      <c r="H107" s="96"/>
      <c r="I107" s="96"/>
      <c r="J107" s="96"/>
      <c r="K107" s="21"/>
      <c r="N107">
        <f>0.28+0.38</f>
        <v>0.66</v>
      </c>
      <c r="O107">
        <v>1.65</v>
      </c>
    </row>
    <row r="108" spans="1:15" ht="15" customHeight="1">
      <c r="A108" s="18"/>
      <c r="B108" s="92"/>
      <c r="C108" s="93">
        <v>1</v>
      </c>
      <c r="D108" s="94">
        <f t="shared" si="10"/>
        <v>2.96</v>
      </c>
      <c r="E108" s="94"/>
      <c r="F108" s="94">
        <f t="shared" si="11"/>
        <v>1.71</v>
      </c>
      <c r="G108" s="95">
        <f t="shared" si="7"/>
        <v>5.0615999999999994</v>
      </c>
      <c r="H108" s="96"/>
      <c r="I108" s="96"/>
      <c r="J108" s="96"/>
      <c r="K108" s="21"/>
      <c r="N108">
        <v>2.96</v>
      </c>
      <c r="O108">
        <f>(1.67+1.75)/2</f>
        <v>1.71</v>
      </c>
    </row>
    <row r="109" spans="1:15" ht="15" customHeight="1">
      <c r="A109" s="18"/>
      <c r="B109" s="92"/>
      <c r="C109" s="93">
        <v>1</v>
      </c>
      <c r="D109" s="94">
        <f t="shared" si="10"/>
        <v>0.62</v>
      </c>
      <c r="E109" s="94"/>
      <c r="F109" s="94">
        <f t="shared" si="11"/>
        <v>1.72</v>
      </c>
      <c r="G109" s="95">
        <f t="shared" si="7"/>
        <v>1.0664</v>
      </c>
      <c r="H109" s="96"/>
      <c r="I109" s="96"/>
      <c r="J109" s="96"/>
      <c r="K109" s="21"/>
      <c r="N109">
        <f>0.12+0.11+0.39</f>
        <v>0.62</v>
      </c>
      <c r="O109">
        <v>1.72</v>
      </c>
    </row>
    <row r="110" spans="1:15" ht="15" customHeight="1">
      <c r="A110" s="18"/>
      <c r="B110" s="92"/>
      <c r="C110" s="93">
        <v>1</v>
      </c>
      <c r="D110" s="94">
        <f t="shared" si="10"/>
        <v>2.96</v>
      </c>
      <c r="E110" s="94"/>
      <c r="F110" s="94">
        <f t="shared" si="11"/>
        <v>1.7349999999999999</v>
      </c>
      <c r="G110" s="95">
        <f t="shared" si="7"/>
        <v>5.1355999999999993</v>
      </c>
      <c r="H110" s="96"/>
      <c r="I110" s="96"/>
      <c r="J110" s="96"/>
      <c r="K110" s="21"/>
      <c r="N110">
        <v>2.96</v>
      </c>
      <c r="O110">
        <f>(1.72+1.75)/2</f>
        <v>1.7349999999999999</v>
      </c>
    </row>
    <row r="111" spans="1:15" ht="15" customHeight="1">
      <c r="A111" s="18"/>
      <c r="B111" s="92"/>
      <c r="C111" s="93">
        <v>1</v>
      </c>
      <c r="D111" s="94">
        <f t="shared" si="10"/>
        <v>0.63</v>
      </c>
      <c r="E111" s="94"/>
      <c r="F111" s="94">
        <f t="shared" si="11"/>
        <v>1.7</v>
      </c>
      <c r="G111" s="95">
        <f t="shared" si="7"/>
        <v>1.071</v>
      </c>
      <c r="H111" s="96"/>
      <c r="I111" s="96"/>
      <c r="J111" s="96"/>
      <c r="K111" s="21"/>
      <c r="N111">
        <f>0.12+0.13+0.38</f>
        <v>0.63</v>
      </c>
      <c r="O111">
        <v>1.7</v>
      </c>
    </row>
    <row r="112" spans="1:15" ht="15" customHeight="1">
      <c r="A112" s="18"/>
      <c r="B112" s="92"/>
      <c r="C112" s="93">
        <v>1</v>
      </c>
      <c r="D112" s="94">
        <f t="shared" si="10"/>
        <v>2.92</v>
      </c>
      <c r="E112" s="94"/>
      <c r="F112" s="94">
        <f t="shared" si="11"/>
        <v>1.635</v>
      </c>
      <c r="G112" s="95">
        <f t="shared" si="7"/>
        <v>4.7741999999999996</v>
      </c>
      <c r="H112" s="96"/>
      <c r="I112" s="96"/>
      <c r="J112" s="96"/>
      <c r="K112" s="21"/>
      <c r="N112">
        <v>2.92</v>
      </c>
      <c r="O112">
        <f>(1.65+1.62)/2</f>
        <v>1.635</v>
      </c>
    </row>
    <row r="113" spans="1:16" ht="15" customHeight="1">
      <c r="A113" s="18"/>
      <c r="B113" s="92"/>
      <c r="C113" s="93">
        <v>1</v>
      </c>
      <c r="D113" s="94">
        <f t="shared" si="10"/>
        <v>0.61</v>
      </c>
      <c r="E113" s="94"/>
      <c r="F113" s="94">
        <f t="shared" si="11"/>
        <v>1.6</v>
      </c>
      <c r="G113" s="95">
        <f t="shared" si="7"/>
        <v>0.97599999999999998</v>
      </c>
      <c r="H113" s="96"/>
      <c r="I113" s="96"/>
      <c r="J113" s="96"/>
      <c r="K113" s="21"/>
      <c r="N113">
        <f>0.13+0.1+0.38</f>
        <v>0.61</v>
      </c>
      <c r="O113">
        <v>1.6</v>
      </c>
    </row>
    <row r="114" spans="1:16" ht="15" customHeight="1">
      <c r="A114" s="18"/>
      <c r="B114" s="92"/>
      <c r="C114" s="93">
        <v>1</v>
      </c>
      <c r="D114" s="94">
        <f t="shared" si="10"/>
        <v>0.44</v>
      </c>
      <c r="E114" s="94"/>
      <c r="F114" s="94">
        <f t="shared" si="11"/>
        <v>1.55</v>
      </c>
      <c r="G114" s="95">
        <f t="shared" si="7"/>
        <v>0.68200000000000005</v>
      </c>
      <c r="H114" s="96"/>
      <c r="I114" s="96"/>
      <c r="J114" s="96"/>
      <c r="K114" s="21"/>
      <c r="M114" t="s">
        <v>104</v>
      </c>
      <c r="N114">
        <v>0.44</v>
      </c>
      <c r="O114">
        <v>1.55</v>
      </c>
    </row>
    <row r="115" spans="1:16" ht="15" customHeight="1">
      <c r="A115" s="18"/>
      <c r="B115" s="92"/>
      <c r="C115" s="93"/>
      <c r="D115" s="94"/>
      <c r="E115" s="94"/>
      <c r="F115" s="94"/>
      <c r="G115" s="95"/>
      <c r="H115" s="96"/>
      <c r="I115" s="96"/>
      <c r="J115" s="96"/>
      <c r="K115" s="21"/>
      <c r="M115" t="s">
        <v>105</v>
      </c>
      <c r="N115">
        <v>0</v>
      </c>
      <c r="O115">
        <v>1.5</v>
      </c>
    </row>
    <row r="116" spans="1:16" ht="15" customHeight="1">
      <c r="A116" s="18"/>
      <c r="B116" s="92"/>
      <c r="C116" s="93">
        <v>1</v>
      </c>
      <c r="D116" s="94">
        <f>N116</f>
        <v>3</v>
      </c>
      <c r="E116" s="94"/>
      <c r="F116" s="94">
        <f>(O115+O116)/2</f>
        <v>1.5</v>
      </c>
      <c r="G116" s="95">
        <f t="shared" si="7"/>
        <v>4.5</v>
      </c>
      <c r="H116" s="96"/>
      <c r="I116" s="96"/>
      <c r="J116" s="96"/>
      <c r="K116" s="21"/>
      <c r="N116">
        <v>3</v>
      </c>
      <c r="O116">
        <v>1.5</v>
      </c>
    </row>
    <row r="117" spans="1:16" ht="15" customHeight="1">
      <c r="A117" s="18"/>
      <c r="B117" s="92"/>
      <c r="C117" s="93">
        <v>1</v>
      </c>
      <c r="D117" s="94">
        <f t="shared" ref="D117:D122" si="12">N117</f>
        <v>3</v>
      </c>
      <c r="E117" s="94"/>
      <c r="F117" s="94">
        <f t="shared" ref="F117:F120" si="13">(O116+O117)/2</f>
        <v>1.5249999999999999</v>
      </c>
      <c r="G117" s="95">
        <f t="shared" si="7"/>
        <v>4.5749999999999993</v>
      </c>
      <c r="H117" s="96"/>
      <c r="I117" s="96"/>
      <c r="J117" s="96"/>
      <c r="K117" s="21"/>
      <c r="N117">
        <v>3</v>
      </c>
      <c r="O117">
        <v>1.55</v>
      </c>
    </row>
    <row r="118" spans="1:16" ht="15" customHeight="1">
      <c r="A118" s="18"/>
      <c r="B118" s="92"/>
      <c r="C118" s="93">
        <v>1</v>
      </c>
      <c r="D118" s="94">
        <f t="shared" si="12"/>
        <v>3</v>
      </c>
      <c r="E118" s="94"/>
      <c r="F118" s="94">
        <f t="shared" si="13"/>
        <v>1.55</v>
      </c>
      <c r="G118" s="95">
        <f t="shared" si="7"/>
        <v>4.6500000000000004</v>
      </c>
      <c r="H118" s="96"/>
      <c r="I118" s="96"/>
      <c r="J118" s="96"/>
      <c r="K118" s="21"/>
      <c r="N118">
        <v>3</v>
      </c>
      <c r="O118">
        <v>1.55</v>
      </c>
    </row>
    <row r="119" spans="1:16" ht="15" customHeight="1">
      <c r="A119" s="18"/>
      <c r="B119" s="92"/>
      <c r="C119" s="93">
        <v>1</v>
      </c>
      <c r="D119" s="94">
        <f t="shared" si="12"/>
        <v>3</v>
      </c>
      <c r="E119" s="94"/>
      <c r="F119" s="94">
        <f t="shared" si="13"/>
        <v>1.55</v>
      </c>
      <c r="G119" s="95">
        <f t="shared" si="7"/>
        <v>4.6500000000000004</v>
      </c>
      <c r="H119" s="96"/>
      <c r="I119" s="96"/>
      <c r="J119" s="96"/>
      <c r="K119" s="21"/>
      <c r="N119">
        <v>3</v>
      </c>
      <c r="O119">
        <v>1.55</v>
      </c>
    </row>
    <row r="120" spans="1:16" ht="15" customHeight="1">
      <c r="A120" s="18"/>
      <c r="B120" s="92"/>
      <c r="C120" s="93">
        <v>1</v>
      </c>
      <c r="D120" s="94">
        <f t="shared" si="12"/>
        <v>3</v>
      </c>
      <c r="E120" s="94"/>
      <c r="F120" s="94">
        <f t="shared" si="13"/>
        <v>1.635</v>
      </c>
      <c r="G120" s="95">
        <f t="shared" si="7"/>
        <v>4.9050000000000002</v>
      </c>
      <c r="H120" s="96"/>
      <c r="I120" s="96"/>
      <c r="J120" s="96"/>
      <c r="K120" s="21"/>
      <c r="N120">
        <v>3</v>
      </c>
      <c r="O120">
        <v>1.72</v>
      </c>
    </row>
    <row r="121" spans="1:16" ht="15" customHeight="1">
      <c r="A121" s="18"/>
      <c r="B121" s="92"/>
      <c r="C121" s="93">
        <v>1</v>
      </c>
      <c r="D121" s="94">
        <f t="shared" si="12"/>
        <v>3.06</v>
      </c>
      <c r="E121" s="94"/>
      <c r="F121" s="94">
        <f>O121</f>
        <v>1.65</v>
      </c>
      <c r="G121" s="95">
        <f t="shared" si="7"/>
        <v>5.0489999999999995</v>
      </c>
      <c r="H121" s="96"/>
      <c r="I121" s="96"/>
      <c r="J121" s="96"/>
      <c r="K121" s="21"/>
      <c r="N121">
        <v>3.06</v>
      </c>
      <c r="O121">
        <v>1.65</v>
      </c>
    </row>
    <row r="122" spans="1:16" ht="15" customHeight="1">
      <c r="A122" s="18"/>
      <c r="B122" s="92"/>
      <c r="C122" s="93">
        <v>1</v>
      </c>
      <c r="D122" s="94">
        <f t="shared" si="12"/>
        <v>0.16</v>
      </c>
      <c r="E122" s="94"/>
      <c r="F122" s="94">
        <f>O122</f>
        <v>1.61</v>
      </c>
      <c r="G122" s="95">
        <f t="shared" si="7"/>
        <v>0.2576</v>
      </c>
      <c r="H122" s="96"/>
      <c r="I122" s="96"/>
      <c r="J122" s="96"/>
      <c r="K122" s="21"/>
      <c r="M122" t="s">
        <v>106</v>
      </c>
      <c r="N122">
        <v>0.16</v>
      </c>
      <c r="O122">
        <v>1.61</v>
      </c>
    </row>
    <row r="123" spans="1:16" ht="15" customHeight="1">
      <c r="A123" s="18"/>
      <c r="B123" s="92" t="s">
        <v>61</v>
      </c>
      <c r="C123" s="93">
        <v>10</v>
      </c>
      <c r="D123" s="94">
        <f>2.75/3.281</f>
        <v>0.8381590978360256</v>
      </c>
      <c r="E123" s="94"/>
      <c r="F123" s="94">
        <v>1.2</v>
      </c>
      <c r="G123" s="95">
        <f t="shared" si="7"/>
        <v>10.057909174032307</v>
      </c>
      <c r="H123" s="96"/>
      <c r="I123" s="96"/>
      <c r="J123" s="96"/>
      <c r="K123" s="21"/>
      <c r="M123" t="s">
        <v>107</v>
      </c>
      <c r="N123">
        <v>0</v>
      </c>
      <c r="O123">
        <v>1.6</v>
      </c>
    </row>
    <row r="124" spans="1:16" ht="15" customHeight="1">
      <c r="A124" s="18"/>
      <c r="B124" s="92"/>
      <c r="C124" s="93">
        <v>1</v>
      </c>
      <c r="D124" s="94">
        <f>N124</f>
        <v>0.6</v>
      </c>
      <c r="E124" s="94"/>
      <c r="F124" s="94">
        <f>(O123+O124)/2</f>
        <v>1.6</v>
      </c>
      <c r="G124" s="95">
        <f t="shared" si="7"/>
        <v>0.96</v>
      </c>
      <c r="H124" s="96"/>
      <c r="I124" s="96"/>
      <c r="J124" s="96"/>
      <c r="K124" s="21"/>
      <c r="N124">
        <v>0.6</v>
      </c>
      <c r="O124">
        <v>1.6</v>
      </c>
    </row>
    <row r="125" spans="1:16" ht="15" customHeight="1">
      <c r="A125" s="18"/>
      <c r="B125" s="92"/>
      <c r="C125" s="93">
        <v>1</v>
      </c>
      <c r="D125" s="94">
        <f>N125</f>
        <v>15</v>
      </c>
      <c r="E125" s="94"/>
      <c r="F125" s="94">
        <f>O125</f>
        <v>0.2</v>
      </c>
      <c r="G125" s="95">
        <f t="shared" si="7"/>
        <v>3</v>
      </c>
      <c r="H125" s="96"/>
      <c r="I125" s="96"/>
      <c r="J125" s="96"/>
      <c r="K125" s="21"/>
      <c r="M125" t="s">
        <v>108</v>
      </c>
      <c r="N125">
        <v>15</v>
      </c>
      <c r="O125">
        <v>0.2</v>
      </c>
    </row>
    <row r="126" spans="1:16" ht="15" customHeight="1">
      <c r="A126" s="18"/>
      <c r="B126" s="92"/>
      <c r="C126" s="93"/>
      <c r="D126" s="94"/>
      <c r="E126" s="94"/>
      <c r="F126" s="94"/>
      <c r="G126" s="95"/>
      <c r="H126" s="96"/>
      <c r="I126" s="96"/>
      <c r="J126" s="96"/>
      <c r="K126" s="21"/>
      <c r="M126" t="s">
        <v>109</v>
      </c>
      <c r="N126">
        <v>0</v>
      </c>
      <c r="O126">
        <v>1.75</v>
      </c>
      <c r="P126" t="s">
        <v>110</v>
      </c>
    </row>
    <row r="127" spans="1:16" ht="15" customHeight="1">
      <c r="A127" s="18"/>
      <c r="B127" s="92"/>
      <c r="C127" s="93">
        <v>1</v>
      </c>
      <c r="D127" s="94">
        <f>N127</f>
        <v>4</v>
      </c>
      <c r="E127" s="94"/>
      <c r="F127" s="94">
        <f>O127</f>
        <v>1.75</v>
      </c>
      <c r="G127" s="95">
        <f t="shared" si="7"/>
        <v>7</v>
      </c>
      <c r="H127" s="96"/>
      <c r="I127" s="96"/>
      <c r="J127" s="96"/>
      <c r="K127" s="21"/>
      <c r="N127">
        <v>4</v>
      </c>
      <c r="O127">
        <v>1.75</v>
      </c>
    </row>
    <row r="128" spans="1:16" ht="15" customHeight="1">
      <c r="A128" s="18"/>
      <c r="B128" s="92"/>
      <c r="C128" s="93">
        <v>1</v>
      </c>
      <c r="D128" s="94">
        <f t="shared" ref="D128:D145" si="14">N128</f>
        <v>4</v>
      </c>
      <c r="E128" s="94"/>
      <c r="F128" s="94">
        <f t="shared" ref="F128:F145" si="15">O128</f>
        <v>1.75</v>
      </c>
      <c r="G128" s="95">
        <f t="shared" si="7"/>
        <v>7</v>
      </c>
      <c r="H128" s="96"/>
      <c r="I128" s="96"/>
      <c r="J128" s="96"/>
      <c r="K128" s="21"/>
      <c r="N128">
        <v>4</v>
      </c>
      <c r="O128">
        <v>1.75</v>
      </c>
    </row>
    <row r="129" spans="1:16" ht="15" customHeight="1">
      <c r="A129" s="18"/>
      <c r="B129" s="92"/>
      <c r="C129" s="93">
        <v>1</v>
      </c>
      <c r="D129" s="94">
        <f t="shared" si="14"/>
        <v>4.21</v>
      </c>
      <c r="E129" s="94"/>
      <c r="F129" s="94">
        <f t="shared" si="15"/>
        <v>1.75</v>
      </c>
      <c r="G129" s="95">
        <f t="shared" si="7"/>
        <v>7.3674999999999997</v>
      </c>
      <c r="H129" s="96"/>
      <c r="I129" s="96"/>
      <c r="J129" s="96"/>
      <c r="K129" s="21"/>
      <c r="N129">
        <f>(4.59-0.38)</f>
        <v>4.21</v>
      </c>
      <c r="O129">
        <v>1.75</v>
      </c>
      <c r="P129" t="s">
        <v>111</v>
      </c>
    </row>
    <row r="130" spans="1:16" ht="15" customHeight="1">
      <c r="A130" s="18"/>
      <c r="B130" s="92"/>
      <c r="C130" s="93">
        <v>1</v>
      </c>
      <c r="D130" s="94">
        <f t="shared" si="14"/>
        <v>0.49</v>
      </c>
      <c r="E130" s="94"/>
      <c r="F130" s="94">
        <f t="shared" si="15"/>
        <v>2.1</v>
      </c>
      <c r="G130" s="95">
        <f t="shared" si="7"/>
        <v>1.0289999999999999</v>
      </c>
      <c r="H130" s="96"/>
      <c r="I130" s="96"/>
      <c r="J130" s="96"/>
      <c r="K130" s="21"/>
      <c r="N130">
        <f>0.38+0.11</f>
        <v>0.49</v>
      </c>
      <c r="O130">
        <v>2.1</v>
      </c>
      <c r="P130" t="s">
        <v>112</v>
      </c>
    </row>
    <row r="131" spans="1:16" ht="15" customHeight="1">
      <c r="A131" s="18"/>
      <c r="B131" s="92"/>
      <c r="C131" s="93">
        <v>1</v>
      </c>
      <c r="D131" s="94">
        <f t="shared" si="14"/>
        <v>0</v>
      </c>
      <c r="E131" s="94"/>
      <c r="F131" s="94">
        <f t="shared" si="15"/>
        <v>2.1</v>
      </c>
      <c r="G131" s="95">
        <f t="shared" si="7"/>
        <v>0</v>
      </c>
      <c r="H131" s="96"/>
      <c r="I131" s="96"/>
      <c r="J131" s="96"/>
      <c r="K131" s="21"/>
      <c r="N131">
        <v>0</v>
      </c>
      <c r="O131">
        <v>2.1</v>
      </c>
    </row>
    <row r="132" spans="1:16" ht="15" customHeight="1">
      <c r="A132" s="18"/>
      <c r="B132" s="92"/>
      <c r="C132" s="93">
        <v>1</v>
      </c>
      <c r="D132" s="94">
        <f t="shared" si="14"/>
        <v>3.17</v>
      </c>
      <c r="E132" s="94"/>
      <c r="F132" s="94">
        <f t="shared" si="15"/>
        <v>2.1</v>
      </c>
      <c r="G132" s="95">
        <f t="shared" si="7"/>
        <v>6.657</v>
      </c>
      <c r="H132" s="96"/>
      <c r="I132" s="96"/>
      <c r="J132" s="96"/>
      <c r="K132" s="21"/>
      <c r="N132">
        <v>3.17</v>
      </c>
      <c r="O132">
        <v>2.1</v>
      </c>
    </row>
    <row r="133" spans="1:16" ht="15" customHeight="1">
      <c r="A133" s="18"/>
      <c r="B133" s="92"/>
      <c r="C133" s="93">
        <v>1</v>
      </c>
      <c r="D133" s="94">
        <f t="shared" si="14"/>
        <v>0.48</v>
      </c>
      <c r="E133" s="94"/>
      <c r="F133" s="94">
        <f t="shared" si="15"/>
        <v>2.1</v>
      </c>
      <c r="G133" s="95">
        <f t="shared" si="7"/>
        <v>1.008</v>
      </c>
      <c r="H133" s="96"/>
      <c r="I133" s="96"/>
      <c r="J133" s="96"/>
      <c r="K133" s="21"/>
      <c r="N133">
        <f>0.1+0.28+0.1</f>
        <v>0.48</v>
      </c>
      <c r="O133">
        <v>2.1</v>
      </c>
    </row>
    <row r="134" spans="1:16" ht="15" customHeight="1">
      <c r="A134" s="18"/>
      <c r="B134" s="92"/>
      <c r="C134" s="93">
        <v>1</v>
      </c>
      <c r="D134" s="94">
        <f t="shared" si="14"/>
        <v>3.11</v>
      </c>
      <c r="E134" s="94"/>
      <c r="F134" s="94">
        <f t="shared" si="15"/>
        <v>2.1</v>
      </c>
      <c r="G134" s="95">
        <f t="shared" si="7"/>
        <v>6.5309999999999997</v>
      </c>
      <c r="H134" s="96"/>
      <c r="I134" s="96"/>
      <c r="J134" s="96"/>
      <c r="K134" s="21"/>
      <c r="N134">
        <v>3.11</v>
      </c>
      <c r="O134">
        <v>2.1</v>
      </c>
    </row>
    <row r="135" spans="1:16" ht="15" customHeight="1">
      <c r="A135" s="18"/>
      <c r="B135" s="92"/>
      <c r="C135" s="93">
        <v>1</v>
      </c>
      <c r="D135" s="94">
        <f t="shared" si="14"/>
        <v>0.6</v>
      </c>
      <c r="E135" s="94"/>
      <c r="F135" s="94">
        <f t="shared" si="15"/>
        <v>2.1</v>
      </c>
      <c r="G135" s="95">
        <f t="shared" si="7"/>
        <v>1.26</v>
      </c>
      <c r="H135" s="96"/>
      <c r="I135" s="96"/>
      <c r="J135" s="96"/>
      <c r="K135" s="21"/>
      <c r="N135">
        <f>0.11+0.38+0.11</f>
        <v>0.6</v>
      </c>
      <c r="O135">
        <v>2.1</v>
      </c>
    </row>
    <row r="136" spans="1:16" ht="15" customHeight="1">
      <c r="A136" s="18"/>
      <c r="B136" s="92"/>
      <c r="C136" s="93">
        <v>1</v>
      </c>
      <c r="D136" s="94">
        <f t="shared" si="14"/>
        <v>3.1</v>
      </c>
      <c r="E136" s="94"/>
      <c r="F136" s="94">
        <f t="shared" si="15"/>
        <v>2.1</v>
      </c>
      <c r="G136" s="95">
        <f t="shared" si="7"/>
        <v>6.5100000000000007</v>
      </c>
      <c r="H136" s="96"/>
      <c r="I136" s="96"/>
      <c r="J136" s="96"/>
      <c r="K136" s="21"/>
      <c r="N136">
        <v>3.1</v>
      </c>
      <c r="O136">
        <v>2.1</v>
      </c>
    </row>
    <row r="137" spans="1:16" ht="15" customHeight="1">
      <c r="A137" s="18"/>
      <c r="B137" s="92"/>
      <c r="C137" s="93">
        <v>1</v>
      </c>
      <c r="D137" s="94">
        <f t="shared" si="14"/>
        <v>0.6</v>
      </c>
      <c r="E137" s="94"/>
      <c r="F137" s="94">
        <f t="shared" si="15"/>
        <v>2.1</v>
      </c>
      <c r="G137" s="95">
        <f t="shared" si="7"/>
        <v>1.26</v>
      </c>
      <c r="H137" s="96"/>
      <c r="I137" s="96"/>
      <c r="J137" s="96"/>
      <c r="K137" s="21"/>
      <c r="N137">
        <f>0.11+0.38+0.11</f>
        <v>0.6</v>
      </c>
      <c r="O137">
        <v>2.1</v>
      </c>
    </row>
    <row r="138" spans="1:16" ht="15" customHeight="1">
      <c r="A138" s="18"/>
      <c r="B138" s="92"/>
      <c r="C138" s="93">
        <v>1</v>
      </c>
      <c r="D138" s="94">
        <f t="shared" si="14"/>
        <v>3.11</v>
      </c>
      <c r="E138" s="94"/>
      <c r="F138" s="94">
        <f t="shared" si="15"/>
        <v>2.1550000000000002</v>
      </c>
      <c r="G138" s="95">
        <f t="shared" si="7"/>
        <v>6.7020500000000007</v>
      </c>
      <c r="H138" s="96"/>
      <c r="I138" s="96"/>
      <c r="J138" s="96"/>
      <c r="K138" s="21"/>
      <c r="N138">
        <v>3.11</v>
      </c>
      <c r="O138">
        <f>(2.1+2.21)/2</f>
        <v>2.1550000000000002</v>
      </c>
    </row>
    <row r="139" spans="1:16" ht="15" customHeight="1">
      <c r="A139" s="18"/>
      <c r="B139" s="92"/>
      <c r="C139" s="93">
        <v>1</v>
      </c>
      <c r="D139" s="94">
        <f t="shared" si="14"/>
        <v>0.6</v>
      </c>
      <c r="E139" s="94"/>
      <c r="F139" s="94">
        <f t="shared" si="15"/>
        <v>2.2000000000000002</v>
      </c>
      <c r="G139" s="95">
        <f t="shared" si="7"/>
        <v>1.32</v>
      </c>
      <c r="H139" s="96"/>
      <c r="I139" s="96"/>
      <c r="J139" s="96"/>
      <c r="K139" s="21"/>
      <c r="N139">
        <f>0.11+0.39+0.1</f>
        <v>0.6</v>
      </c>
      <c r="O139">
        <v>2.2000000000000002</v>
      </c>
    </row>
    <row r="140" spans="1:16" ht="15" customHeight="1">
      <c r="A140" s="18"/>
      <c r="B140" s="92"/>
      <c r="C140" s="93">
        <v>1</v>
      </c>
      <c r="D140" s="94">
        <f t="shared" si="14"/>
        <v>3.1</v>
      </c>
      <c r="E140" s="94"/>
      <c r="F140" s="94">
        <f t="shared" si="15"/>
        <v>2.2400000000000002</v>
      </c>
      <c r="G140" s="95">
        <f t="shared" si="7"/>
        <v>6.9440000000000008</v>
      </c>
      <c r="H140" s="96"/>
      <c r="I140" s="96"/>
      <c r="J140" s="96"/>
      <c r="K140" s="21"/>
      <c r="N140">
        <v>3.1</v>
      </c>
      <c r="O140">
        <f>(2.2+2.28)/2</f>
        <v>2.2400000000000002</v>
      </c>
    </row>
    <row r="141" spans="1:16" ht="15" customHeight="1">
      <c r="A141" s="18"/>
      <c r="B141" s="92"/>
      <c r="C141" s="93">
        <v>1</v>
      </c>
      <c r="D141" s="94">
        <f t="shared" si="14"/>
        <v>0.57999999999999996</v>
      </c>
      <c r="E141" s="94"/>
      <c r="F141" s="94">
        <f t="shared" si="15"/>
        <v>2.2000000000000002</v>
      </c>
      <c r="G141" s="95">
        <f t="shared" si="7"/>
        <v>1.276</v>
      </c>
      <c r="H141" s="96"/>
      <c r="I141" s="96"/>
      <c r="J141" s="96"/>
      <c r="K141" s="21"/>
      <c r="N141">
        <f>0.1+0.38+0.1</f>
        <v>0.57999999999999996</v>
      </c>
      <c r="O141">
        <v>2.2000000000000002</v>
      </c>
    </row>
    <row r="142" spans="1:16" ht="15" customHeight="1">
      <c r="A142" s="18"/>
      <c r="B142" s="92"/>
      <c r="C142" s="93">
        <v>1</v>
      </c>
      <c r="D142" s="94">
        <f t="shared" si="14"/>
        <v>3.15</v>
      </c>
      <c r="E142" s="94"/>
      <c r="F142" s="94">
        <f t="shared" si="15"/>
        <v>2.2749999999999999</v>
      </c>
      <c r="G142" s="95">
        <f t="shared" si="7"/>
        <v>7.1662499999999998</v>
      </c>
      <c r="H142" s="96"/>
      <c r="I142" s="96"/>
      <c r="J142" s="96"/>
      <c r="K142" s="21"/>
      <c r="N142">
        <v>3.15</v>
      </c>
      <c r="O142">
        <f>(2.3+2.25)/2</f>
        <v>2.2749999999999999</v>
      </c>
    </row>
    <row r="143" spans="1:16" ht="15" customHeight="1">
      <c r="A143" s="18"/>
      <c r="B143" s="92"/>
      <c r="C143" s="93">
        <v>1</v>
      </c>
      <c r="D143" s="94">
        <f t="shared" si="14"/>
        <v>3.25</v>
      </c>
      <c r="E143" s="94"/>
      <c r="F143" s="94">
        <f t="shared" si="15"/>
        <v>2.2999999999999998</v>
      </c>
      <c r="G143" s="95">
        <f t="shared" si="7"/>
        <v>7.4749999999999996</v>
      </c>
      <c r="H143" s="96"/>
      <c r="I143" s="96"/>
      <c r="J143" s="96"/>
      <c r="K143" s="21"/>
      <c r="N143">
        <v>3.25</v>
      </c>
      <c r="O143">
        <v>2.2999999999999998</v>
      </c>
    </row>
    <row r="144" spans="1:16" ht="15" customHeight="1">
      <c r="A144" s="18"/>
      <c r="B144" s="92"/>
      <c r="C144" s="93">
        <v>1</v>
      </c>
      <c r="D144" s="94">
        <f t="shared" si="14"/>
        <v>0.56999999999999995</v>
      </c>
      <c r="E144" s="94"/>
      <c r="F144" s="94">
        <f t="shared" si="15"/>
        <v>2.2999999999999998</v>
      </c>
      <c r="G144" s="95">
        <f t="shared" si="7"/>
        <v>1.3109999999999997</v>
      </c>
      <c r="H144" s="96"/>
      <c r="I144" s="96"/>
      <c r="J144" s="96"/>
      <c r="K144" s="21"/>
      <c r="N144">
        <f>0.11+0.36+0.1</f>
        <v>0.56999999999999995</v>
      </c>
      <c r="O144">
        <v>2.2999999999999998</v>
      </c>
    </row>
    <row r="145" spans="1:15" ht="15" customHeight="1">
      <c r="A145" s="18"/>
      <c r="B145" s="92"/>
      <c r="C145" s="93">
        <v>1</v>
      </c>
      <c r="D145" s="94">
        <f t="shared" si="14"/>
        <v>0.97</v>
      </c>
      <c r="E145" s="94"/>
      <c r="F145" s="94">
        <f t="shared" si="15"/>
        <v>2.2999999999999998</v>
      </c>
      <c r="G145" s="95">
        <f t="shared" si="7"/>
        <v>2.2309999999999999</v>
      </c>
      <c r="H145" s="96"/>
      <c r="I145" s="96"/>
      <c r="J145" s="96"/>
      <c r="K145" s="21"/>
      <c r="N145">
        <f>0.11+0.38+0.38+0.1</f>
        <v>0.97</v>
      </c>
      <c r="O145">
        <v>2.2999999999999998</v>
      </c>
    </row>
    <row r="146" spans="1:15" ht="15" customHeight="1">
      <c r="A146" s="18"/>
      <c r="B146" s="92"/>
      <c r="C146" s="93"/>
      <c r="D146" s="94"/>
      <c r="E146" s="94"/>
      <c r="F146" s="94"/>
      <c r="G146" s="95"/>
      <c r="H146" s="96"/>
      <c r="I146" s="96"/>
      <c r="J146" s="96"/>
      <c r="K146" s="21"/>
      <c r="M146" t="s">
        <v>113</v>
      </c>
      <c r="N146">
        <v>0</v>
      </c>
      <c r="O146">
        <v>1.76</v>
      </c>
    </row>
    <row r="147" spans="1:15" ht="15" customHeight="1">
      <c r="A147" s="18"/>
      <c r="B147" s="92"/>
      <c r="C147" s="93">
        <v>1</v>
      </c>
      <c r="D147" s="94">
        <f>N147</f>
        <v>0.48</v>
      </c>
      <c r="E147" s="94"/>
      <c r="F147" s="94">
        <f>O147</f>
        <v>1.75</v>
      </c>
      <c r="G147" s="95">
        <f t="shared" si="7"/>
        <v>0.84</v>
      </c>
      <c r="H147" s="96"/>
      <c r="I147" s="96"/>
      <c r="J147" s="96"/>
      <c r="K147" s="21"/>
      <c r="N147">
        <f>0.38+0.1</f>
        <v>0.48</v>
      </c>
      <c r="O147">
        <v>1.75</v>
      </c>
    </row>
    <row r="148" spans="1:15" ht="15" customHeight="1">
      <c r="A148" s="18"/>
      <c r="B148" s="92"/>
      <c r="C148" s="93">
        <v>1</v>
      </c>
      <c r="D148" s="94">
        <f t="shared" ref="D148:D155" si="16">N148</f>
        <v>2.75</v>
      </c>
      <c r="E148" s="94"/>
      <c r="F148" s="94">
        <f t="shared" ref="F148:F155" si="17">O148</f>
        <v>1.75</v>
      </c>
      <c r="G148" s="95">
        <f t="shared" si="7"/>
        <v>4.8125</v>
      </c>
      <c r="H148" s="96"/>
      <c r="I148" s="96"/>
      <c r="J148" s="96"/>
      <c r="K148" s="21"/>
      <c r="N148">
        <v>2.75</v>
      </c>
      <c r="O148">
        <v>1.75</v>
      </c>
    </row>
    <row r="149" spans="1:15" ht="15" customHeight="1">
      <c r="A149" s="18"/>
      <c r="B149" s="92"/>
      <c r="C149" s="93">
        <v>1</v>
      </c>
      <c r="D149" s="94">
        <f t="shared" si="16"/>
        <v>0.56999999999999995</v>
      </c>
      <c r="E149" s="94"/>
      <c r="F149" s="94">
        <f t="shared" si="17"/>
        <v>1.75</v>
      </c>
      <c r="G149" s="95">
        <f t="shared" si="7"/>
        <v>0.99749999999999994</v>
      </c>
      <c r="H149" s="96"/>
      <c r="I149" s="96"/>
      <c r="J149" s="96"/>
      <c r="K149" s="21"/>
      <c r="N149">
        <f>0.36+0.1+0.11</f>
        <v>0.56999999999999995</v>
      </c>
      <c r="O149">
        <v>1.75</v>
      </c>
    </row>
    <row r="150" spans="1:15" ht="15" customHeight="1">
      <c r="A150" s="18"/>
      <c r="B150" s="92"/>
      <c r="C150" s="93">
        <v>1</v>
      </c>
      <c r="D150" s="94">
        <f t="shared" si="16"/>
        <v>2.65</v>
      </c>
      <c r="E150" s="94"/>
      <c r="F150" s="94">
        <f>(O149+O150)/2</f>
        <v>1.7749999999999999</v>
      </c>
      <c r="G150" s="95">
        <f t="shared" si="7"/>
        <v>4.7037499999999994</v>
      </c>
      <c r="H150" s="96"/>
      <c r="I150" s="96"/>
      <c r="J150" s="96"/>
      <c r="K150" s="21"/>
      <c r="N150">
        <v>2.65</v>
      </c>
      <c r="O150">
        <v>1.8</v>
      </c>
    </row>
    <row r="151" spans="1:15" ht="15" customHeight="1">
      <c r="A151" s="18"/>
      <c r="B151" s="92"/>
      <c r="C151" s="93">
        <v>1</v>
      </c>
      <c r="D151" s="94">
        <f t="shared" si="16"/>
        <v>0.57999999999999996</v>
      </c>
      <c r="E151" s="94"/>
      <c r="F151" s="94">
        <f t="shared" si="17"/>
        <v>1.8</v>
      </c>
      <c r="G151" s="95">
        <f t="shared" si="7"/>
        <v>1.044</v>
      </c>
      <c r="H151" s="96"/>
      <c r="I151" s="96"/>
      <c r="J151" s="96"/>
      <c r="K151" s="21"/>
      <c r="N151">
        <f>0.36+0.11+0.11</f>
        <v>0.57999999999999996</v>
      </c>
      <c r="O151">
        <v>1.8</v>
      </c>
    </row>
    <row r="152" spans="1:15" ht="15" customHeight="1">
      <c r="A152" s="18"/>
      <c r="B152" s="92"/>
      <c r="C152" s="93">
        <v>1</v>
      </c>
      <c r="D152" s="94">
        <f t="shared" si="16"/>
        <v>1.1599999999999999</v>
      </c>
      <c r="E152" s="94"/>
      <c r="F152" s="94">
        <f t="shared" si="17"/>
        <v>1.8</v>
      </c>
      <c r="G152" s="95">
        <f t="shared" si="7"/>
        <v>2.0880000000000001</v>
      </c>
      <c r="H152" s="96"/>
      <c r="I152" s="96"/>
      <c r="J152" s="96"/>
      <c r="K152" s="21"/>
      <c r="N152">
        <v>1.1599999999999999</v>
      </c>
      <c r="O152">
        <v>1.8</v>
      </c>
    </row>
    <row r="153" spans="1:15" ht="15" customHeight="1">
      <c r="A153" s="18"/>
      <c r="B153" s="92"/>
      <c r="C153" s="93">
        <v>1</v>
      </c>
      <c r="D153" s="94">
        <f t="shared" si="16"/>
        <v>0.6</v>
      </c>
      <c r="E153" s="94"/>
      <c r="F153" s="94">
        <f t="shared" si="17"/>
        <v>1.8</v>
      </c>
      <c r="G153" s="95">
        <f t="shared" si="7"/>
        <v>1.08</v>
      </c>
      <c r="H153" s="96"/>
      <c r="I153" s="96"/>
      <c r="J153" s="96"/>
      <c r="K153" s="21"/>
      <c r="N153">
        <f>0.37+0.11+0.12</f>
        <v>0.6</v>
      </c>
      <c r="O153">
        <v>1.8</v>
      </c>
    </row>
    <row r="154" spans="1:15" ht="15" customHeight="1">
      <c r="A154" s="18"/>
      <c r="B154" s="92"/>
      <c r="C154" s="93">
        <v>1</v>
      </c>
      <c r="D154" s="94">
        <f t="shared" si="16"/>
        <v>2.7430661383724475</v>
      </c>
      <c r="E154" s="94"/>
      <c r="F154" s="94">
        <f t="shared" si="17"/>
        <v>1.8</v>
      </c>
      <c r="G154" s="95">
        <f t="shared" si="7"/>
        <v>4.9375190490704055</v>
      </c>
      <c r="H154" s="96"/>
      <c r="I154" s="96"/>
      <c r="J154" s="96"/>
      <c r="K154" s="21"/>
      <c r="N154">
        <f>9/3.281</f>
        <v>2.7430661383724475</v>
      </c>
      <c r="O154">
        <v>1.8</v>
      </c>
    </row>
    <row r="155" spans="1:15" ht="15" customHeight="1">
      <c r="A155" s="18"/>
      <c r="B155" s="92"/>
      <c r="C155" s="93">
        <v>1</v>
      </c>
      <c r="D155" s="94">
        <f t="shared" si="16"/>
        <v>0.57999999999999996</v>
      </c>
      <c r="E155" s="94"/>
      <c r="F155" s="94">
        <f t="shared" si="17"/>
        <v>2.1334958854007922</v>
      </c>
      <c r="G155" s="95">
        <f t="shared" si="7"/>
        <v>1.2374276135324593</v>
      </c>
      <c r="H155" s="96"/>
      <c r="I155" s="96"/>
      <c r="J155" s="96"/>
      <c r="K155" s="21"/>
      <c r="N155">
        <v>0.57999999999999996</v>
      </c>
      <c r="O155">
        <f>7/3.281</f>
        <v>2.1334958854007922</v>
      </c>
    </row>
    <row r="156" spans="1:15" ht="15" customHeight="1">
      <c r="A156" s="18"/>
      <c r="B156" s="92" t="s">
        <v>114</v>
      </c>
      <c r="C156" s="93">
        <v>1</v>
      </c>
      <c r="D156" s="94">
        <v>15</v>
      </c>
      <c r="E156" s="94"/>
      <c r="F156" s="94">
        <v>0.45</v>
      </c>
      <c r="G156" s="95">
        <f t="shared" si="7"/>
        <v>6.75</v>
      </c>
      <c r="H156" s="96"/>
      <c r="I156" s="96"/>
      <c r="J156" s="96"/>
      <c r="K156" s="21"/>
    </row>
    <row r="157" spans="1:15" ht="15" customHeight="1">
      <c r="A157" s="18"/>
      <c r="B157" s="92" t="s">
        <v>40</v>
      </c>
      <c r="C157" s="86"/>
      <c r="D157" s="87"/>
      <c r="E157" s="88"/>
      <c r="F157" s="88"/>
      <c r="G157" s="89">
        <f>SUM(G93:G156)</f>
        <v>219.30700583663517</v>
      </c>
      <c r="H157" s="90" t="s">
        <v>62</v>
      </c>
      <c r="I157" s="89">
        <v>405.86</v>
      </c>
      <c r="J157" s="91">
        <f>G157*I157</f>
        <v>89007.941388856751</v>
      </c>
      <c r="K157" s="21"/>
    </row>
    <row r="158" spans="1:15" ht="15" customHeight="1">
      <c r="A158" s="18"/>
      <c r="B158" s="92" t="s">
        <v>38</v>
      </c>
      <c r="C158" s="86"/>
      <c r="D158" s="87"/>
      <c r="E158" s="88"/>
      <c r="F158" s="88"/>
      <c r="G158" s="89"/>
      <c r="H158" s="90"/>
      <c r="I158" s="89"/>
      <c r="J158" s="91">
        <f>0.13*G157*11166.2/100</f>
        <v>3183.4736551449464</v>
      </c>
      <c r="K158" s="21"/>
    </row>
    <row r="159" spans="1:15" ht="15" customHeight="1">
      <c r="A159" s="18"/>
      <c r="B159" s="92"/>
      <c r="C159" s="86"/>
      <c r="D159" s="87"/>
      <c r="E159" s="88"/>
      <c r="F159" s="88"/>
      <c r="G159" s="89"/>
      <c r="H159" s="90"/>
      <c r="I159" s="89"/>
      <c r="J159" s="91"/>
      <c r="K159" s="21"/>
    </row>
    <row r="160" spans="1:15" ht="76.8">
      <c r="A160" s="18">
        <v>12</v>
      </c>
      <c r="B160" s="81" t="s">
        <v>60</v>
      </c>
      <c r="C160" s="81"/>
      <c r="D160" s="81"/>
      <c r="E160" s="81"/>
      <c r="F160" s="81"/>
      <c r="G160" s="81"/>
      <c r="H160" s="81"/>
      <c r="I160" s="23"/>
      <c r="J160" s="82"/>
      <c r="K160" s="21"/>
    </row>
    <row r="161" spans="1:15" ht="15" customHeight="1">
      <c r="A161" s="18"/>
      <c r="B161" s="83" t="s">
        <v>61</v>
      </c>
      <c r="C161" s="19">
        <v>6</v>
      </c>
      <c r="D161" s="20">
        <v>1.2</v>
      </c>
      <c r="E161" s="21"/>
      <c r="F161" s="21">
        <f>5.42/3.281</f>
        <v>1.6519353855531849</v>
      </c>
      <c r="G161" s="84">
        <f t="shared" ref="G161" si="18">PRODUCT(C161:F161)</f>
        <v>11.893934775982929</v>
      </c>
      <c r="H161" s="22"/>
      <c r="I161" s="23"/>
      <c r="J161" s="82"/>
      <c r="K161" s="21"/>
    </row>
    <row r="162" spans="1:15" ht="15" customHeight="1">
      <c r="A162" s="18"/>
      <c r="B162" s="83" t="s">
        <v>40</v>
      </c>
      <c r="C162" s="19"/>
      <c r="D162" s="20"/>
      <c r="E162" s="21"/>
      <c r="F162" s="21"/>
      <c r="G162" s="23">
        <f>SUM(G161:G161)</f>
        <v>11.893934775982929</v>
      </c>
      <c r="H162" s="22" t="s">
        <v>62</v>
      </c>
      <c r="I162" s="23">
        <v>2575.34</v>
      </c>
      <c r="J162" s="82">
        <f>G162*I162</f>
        <v>30630.92598597988</v>
      </c>
      <c r="K162" s="21"/>
      <c r="M162">
        <f>26*6*181.17</f>
        <v>28262.519999999997</v>
      </c>
    </row>
    <row r="163" spans="1:15" ht="15" customHeight="1">
      <c r="A163" s="18"/>
      <c r="B163" s="83" t="s">
        <v>38</v>
      </c>
      <c r="C163" s="19"/>
      <c r="D163" s="20"/>
      <c r="E163" s="21"/>
      <c r="F163" s="21"/>
      <c r="G163" s="23"/>
      <c r="H163" s="22"/>
      <c r="I163" s="23"/>
      <c r="J163" s="82">
        <f>0.13*G162*24343.96/10</f>
        <v>3764.0911415787864</v>
      </c>
      <c r="K163" s="21"/>
    </row>
    <row r="164" spans="1:15" ht="15" customHeight="1">
      <c r="A164" s="18"/>
      <c r="B164" s="83"/>
      <c r="C164" s="19"/>
      <c r="D164" s="20"/>
      <c r="E164" s="21"/>
      <c r="F164" s="21"/>
      <c r="G164" s="23"/>
      <c r="H164" s="22"/>
      <c r="I164" s="23"/>
      <c r="J164" s="82"/>
      <c r="K164" s="21"/>
    </row>
    <row r="165" spans="1:15" ht="30.6">
      <c r="A165" s="18">
        <v>13</v>
      </c>
      <c r="B165" s="60" t="s">
        <v>63</v>
      </c>
      <c r="C165" s="60"/>
      <c r="D165" s="60"/>
      <c r="E165" s="60"/>
      <c r="F165" s="60"/>
      <c r="G165" s="60"/>
      <c r="H165" s="60"/>
      <c r="I165" s="23"/>
      <c r="J165" s="40"/>
      <c r="K165" s="21"/>
    </row>
    <row r="166" spans="1:15" ht="15" customHeight="1">
      <c r="A166" s="18"/>
      <c r="B166" s="36" t="s">
        <v>64</v>
      </c>
      <c r="C166" s="19">
        <v>3</v>
      </c>
      <c r="D166" s="20">
        <f>21.3+10.95+3.1+15.5+36+3.4-0.25</f>
        <v>90</v>
      </c>
      <c r="E166" s="21"/>
      <c r="F166" s="21"/>
      <c r="G166" s="38">
        <f t="shared" ref="G166" si="19">PRODUCT(C166:F166)</f>
        <v>270</v>
      </c>
      <c r="H166" s="22"/>
      <c r="I166" s="23"/>
      <c r="J166" s="40"/>
      <c r="K166" s="21"/>
    </row>
    <row r="167" spans="1:15" ht="15" customHeight="1">
      <c r="A167" s="18"/>
      <c r="B167" s="36" t="s">
        <v>40</v>
      </c>
      <c r="C167" s="19"/>
      <c r="D167" s="20"/>
      <c r="E167" s="21"/>
      <c r="F167" s="21"/>
      <c r="G167" s="23">
        <f>SUM(G166:G166)</f>
        <v>270</v>
      </c>
      <c r="H167" s="22" t="s">
        <v>65</v>
      </c>
      <c r="I167" s="23">
        <v>82.59</v>
      </c>
      <c r="J167" s="40">
        <f>G167*I167</f>
        <v>22299.3</v>
      </c>
      <c r="K167" s="21"/>
    </row>
    <row r="168" spans="1:15" ht="15" customHeight="1">
      <c r="A168" s="18"/>
      <c r="B168" s="36" t="s">
        <v>38</v>
      </c>
      <c r="C168" s="19"/>
      <c r="D168" s="20"/>
      <c r="E168" s="21"/>
      <c r="F168" s="21"/>
      <c r="G168" s="23"/>
      <c r="H168" s="22"/>
      <c r="I168" s="23"/>
      <c r="J168" s="40">
        <f>0.13*G167*1992.14/100</f>
        <v>699.24113999999997</v>
      </c>
      <c r="K168" s="21"/>
    </row>
    <row r="169" spans="1:15" ht="15" customHeight="1">
      <c r="A169" s="18"/>
      <c r="B169" s="36"/>
      <c r="C169" s="19"/>
      <c r="D169" s="20"/>
      <c r="E169" s="21"/>
      <c r="F169" s="21"/>
      <c r="G169" s="23"/>
      <c r="H169" s="22"/>
      <c r="I169" s="23"/>
      <c r="J169" s="40"/>
      <c r="K169" s="21"/>
    </row>
    <row r="170" spans="1:15" ht="30.6">
      <c r="A170" s="18">
        <v>14</v>
      </c>
      <c r="B170" s="60" t="s">
        <v>87</v>
      </c>
      <c r="C170" s="19"/>
      <c r="D170" s="141" t="s">
        <v>165</v>
      </c>
      <c r="E170" s="142"/>
      <c r="F170" s="21"/>
      <c r="G170" s="23"/>
      <c r="H170" s="22"/>
      <c r="I170" s="23"/>
      <c r="J170" s="40"/>
      <c r="K170" s="21"/>
    </row>
    <row r="171" spans="1:15" ht="15" customHeight="1">
      <c r="A171" s="18"/>
      <c r="B171" s="36" t="str">
        <f>B93</f>
        <v>-wall</v>
      </c>
      <c r="C171" s="19">
        <v>1</v>
      </c>
      <c r="D171" s="143">
        <f>G157</f>
        <v>219.30700583663517</v>
      </c>
      <c r="E171" s="143"/>
      <c r="F171" s="21"/>
      <c r="G171" s="38">
        <f t="shared" ref="G171" si="20">PRODUCT(C171:F171)</f>
        <v>219.30700583663517</v>
      </c>
      <c r="H171" s="22"/>
      <c r="I171" s="23"/>
      <c r="J171" s="40"/>
      <c r="K171" s="21"/>
    </row>
    <row r="172" spans="1:15" ht="15" customHeight="1">
      <c r="A172" s="18"/>
      <c r="B172" s="92" t="s">
        <v>166</v>
      </c>
      <c r="C172" s="93"/>
      <c r="D172" s="94"/>
      <c r="E172" s="94"/>
      <c r="F172" s="94"/>
      <c r="G172" s="95"/>
      <c r="H172" s="96"/>
      <c r="I172" s="96"/>
      <c r="J172" s="96"/>
      <c r="K172" s="21"/>
      <c r="M172" t="s">
        <v>102</v>
      </c>
      <c r="N172">
        <v>0</v>
      </c>
      <c r="O172">
        <v>1.7</v>
      </c>
    </row>
    <row r="173" spans="1:15" ht="15" customHeight="1">
      <c r="A173" s="18"/>
      <c r="B173" s="92"/>
      <c r="C173" s="93">
        <v>-1</v>
      </c>
      <c r="D173" s="94">
        <f>N173</f>
        <v>0.14000000000000001</v>
      </c>
      <c r="E173" s="94"/>
      <c r="F173" s="94">
        <f>O173</f>
        <v>1.7</v>
      </c>
      <c r="G173" s="95">
        <f t="shared" ref="G173:G186" si="21">PRODUCT(C173:F173)</f>
        <v>-0.23800000000000002</v>
      </c>
      <c r="H173" s="96"/>
      <c r="I173" s="96"/>
      <c r="J173" s="96"/>
      <c r="K173" s="21"/>
      <c r="N173">
        <v>0.14000000000000001</v>
      </c>
      <c r="O173">
        <v>1.7</v>
      </c>
    </row>
    <row r="174" spans="1:15" ht="15" customHeight="1">
      <c r="A174" s="18"/>
      <c r="B174" s="92"/>
      <c r="C174" s="93">
        <v>-1</v>
      </c>
      <c r="D174" s="94">
        <f t="shared" ref="D174:D186" si="22">N174</f>
        <v>3.01</v>
      </c>
      <c r="E174" s="94"/>
      <c r="F174" s="94">
        <f t="shared" ref="F174:F186" si="23">O174</f>
        <v>1.6</v>
      </c>
      <c r="G174" s="95">
        <f t="shared" si="21"/>
        <v>-4.8159999999999998</v>
      </c>
      <c r="H174" s="96"/>
      <c r="I174" s="96"/>
      <c r="J174" s="96"/>
      <c r="K174" s="21"/>
      <c r="N174">
        <v>3.01</v>
      </c>
      <c r="O174">
        <v>1.6</v>
      </c>
    </row>
    <row r="175" spans="1:15" ht="15" customHeight="1">
      <c r="A175" s="18"/>
      <c r="B175" s="92"/>
      <c r="C175" s="93">
        <v>-1</v>
      </c>
      <c r="D175" s="94">
        <f t="shared" si="22"/>
        <v>0.58000000000000007</v>
      </c>
      <c r="E175" s="94"/>
      <c r="F175" s="94">
        <f t="shared" si="23"/>
        <v>1.7</v>
      </c>
      <c r="G175" s="95">
        <f t="shared" si="21"/>
        <v>-0.9860000000000001</v>
      </c>
      <c r="H175" s="96"/>
      <c r="I175" s="96"/>
      <c r="J175" s="96"/>
      <c r="K175" s="21"/>
      <c r="N175">
        <f>(0.1+0.11+0.37)</f>
        <v>0.58000000000000007</v>
      </c>
      <c r="O175">
        <v>1.7</v>
      </c>
    </row>
    <row r="176" spans="1:15" ht="15" customHeight="1">
      <c r="A176" s="18"/>
      <c r="B176" s="92"/>
      <c r="C176" s="93">
        <v>-1</v>
      </c>
      <c r="D176" s="94">
        <f t="shared" si="22"/>
        <v>3.12</v>
      </c>
      <c r="E176" s="94"/>
      <c r="F176" s="94">
        <f t="shared" si="23"/>
        <v>1.6400000000000001</v>
      </c>
      <c r="G176" s="95">
        <f t="shared" si="21"/>
        <v>-5.1168000000000005</v>
      </c>
      <c r="H176" s="96"/>
      <c r="I176" s="96"/>
      <c r="J176" s="96"/>
      <c r="K176" s="21"/>
      <c r="N176">
        <v>3.12</v>
      </c>
      <c r="O176">
        <f>(1.6+1.68)/2</f>
        <v>1.6400000000000001</v>
      </c>
    </row>
    <row r="177" spans="1:15" ht="15" customHeight="1">
      <c r="A177" s="18"/>
      <c r="B177" s="92"/>
      <c r="C177" s="93">
        <v>-1</v>
      </c>
      <c r="D177" s="94">
        <f t="shared" si="22"/>
        <v>0.6</v>
      </c>
      <c r="E177" s="94"/>
      <c r="F177" s="94">
        <f t="shared" si="23"/>
        <v>1.65</v>
      </c>
      <c r="G177" s="95">
        <f t="shared" si="21"/>
        <v>-0.98999999999999988</v>
      </c>
      <c r="H177" s="96"/>
      <c r="I177" s="96"/>
      <c r="J177" s="96"/>
      <c r="K177" s="21"/>
      <c r="N177">
        <f>(0.12+0.11+0.37)</f>
        <v>0.6</v>
      </c>
      <c r="O177">
        <v>1.65</v>
      </c>
    </row>
    <row r="178" spans="1:15" ht="15" customHeight="1">
      <c r="A178" s="18"/>
      <c r="B178" s="92"/>
      <c r="C178" s="93">
        <v>-1</v>
      </c>
      <c r="D178" s="94">
        <f t="shared" si="22"/>
        <v>3.16</v>
      </c>
      <c r="E178" s="94"/>
      <c r="F178" s="94">
        <f t="shared" si="23"/>
        <v>1.65</v>
      </c>
      <c r="G178" s="95">
        <f t="shared" si="21"/>
        <v>-5.2139999999999995</v>
      </c>
      <c r="H178" s="96"/>
      <c r="I178" s="96"/>
      <c r="J178" s="96"/>
      <c r="K178" s="21"/>
      <c r="N178">
        <v>3.16</v>
      </c>
      <c r="O178">
        <v>1.65</v>
      </c>
    </row>
    <row r="179" spans="1:15" ht="15" customHeight="1">
      <c r="A179" s="18"/>
      <c r="B179" s="92"/>
      <c r="C179" s="93">
        <v>-1</v>
      </c>
      <c r="D179" s="94">
        <f t="shared" si="22"/>
        <v>0.66</v>
      </c>
      <c r="E179" s="94"/>
      <c r="F179" s="94">
        <f t="shared" si="23"/>
        <v>1.65</v>
      </c>
      <c r="G179" s="95">
        <f t="shared" si="21"/>
        <v>-1.089</v>
      </c>
      <c r="H179" s="96"/>
      <c r="I179" s="96"/>
      <c r="J179" s="96"/>
      <c r="K179" s="21"/>
      <c r="N179">
        <f>0.28+0.38</f>
        <v>0.66</v>
      </c>
      <c r="O179">
        <v>1.65</v>
      </c>
    </row>
    <row r="180" spans="1:15" ht="15" customHeight="1">
      <c r="A180" s="18"/>
      <c r="B180" s="92"/>
      <c r="C180" s="93">
        <v>-1</v>
      </c>
      <c r="D180" s="94">
        <f t="shared" si="22"/>
        <v>2.96</v>
      </c>
      <c r="E180" s="94"/>
      <c r="F180" s="94">
        <f t="shared" si="23"/>
        <v>1.71</v>
      </c>
      <c r="G180" s="95">
        <f t="shared" si="21"/>
        <v>-5.0615999999999994</v>
      </c>
      <c r="H180" s="96"/>
      <c r="I180" s="96"/>
      <c r="J180" s="96"/>
      <c r="K180" s="21"/>
      <c r="N180">
        <v>2.96</v>
      </c>
      <c r="O180">
        <f>(1.67+1.75)/2</f>
        <v>1.71</v>
      </c>
    </row>
    <row r="181" spans="1:15" ht="15" customHeight="1">
      <c r="A181" s="18"/>
      <c r="B181" s="92"/>
      <c r="C181" s="93">
        <v>-1</v>
      </c>
      <c r="D181" s="94">
        <f t="shared" si="22"/>
        <v>0.62</v>
      </c>
      <c r="E181" s="94"/>
      <c r="F181" s="94">
        <f t="shared" si="23"/>
        <v>1.72</v>
      </c>
      <c r="G181" s="95">
        <f t="shared" si="21"/>
        <v>-1.0664</v>
      </c>
      <c r="H181" s="96"/>
      <c r="I181" s="96"/>
      <c r="J181" s="96"/>
      <c r="K181" s="21"/>
      <c r="N181">
        <f>0.12+0.11+0.39</f>
        <v>0.62</v>
      </c>
      <c r="O181">
        <v>1.72</v>
      </c>
    </row>
    <row r="182" spans="1:15" ht="15" customHeight="1">
      <c r="A182" s="18"/>
      <c r="B182" s="92"/>
      <c r="C182" s="93">
        <v>-1</v>
      </c>
      <c r="D182" s="94">
        <f t="shared" si="22"/>
        <v>2.96</v>
      </c>
      <c r="E182" s="94"/>
      <c r="F182" s="94">
        <f t="shared" si="23"/>
        <v>1.7349999999999999</v>
      </c>
      <c r="G182" s="95">
        <f t="shared" si="21"/>
        <v>-5.1355999999999993</v>
      </c>
      <c r="H182" s="96"/>
      <c r="I182" s="96"/>
      <c r="J182" s="96"/>
      <c r="K182" s="21"/>
      <c r="N182">
        <v>2.96</v>
      </c>
      <c r="O182">
        <f>(1.72+1.75)/2</f>
        <v>1.7349999999999999</v>
      </c>
    </row>
    <row r="183" spans="1:15" ht="15" customHeight="1">
      <c r="A183" s="18"/>
      <c r="B183" s="92"/>
      <c r="C183" s="93">
        <v>-1</v>
      </c>
      <c r="D183" s="94">
        <f t="shared" si="22"/>
        <v>0.63</v>
      </c>
      <c r="E183" s="94"/>
      <c r="F183" s="94">
        <f t="shared" si="23"/>
        <v>1.7</v>
      </c>
      <c r="G183" s="95">
        <f t="shared" si="21"/>
        <v>-1.071</v>
      </c>
      <c r="H183" s="96"/>
      <c r="I183" s="96"/>
      <c r="J183" s="96"/>
      <c r="K183" s="21"/>
      <c r="N183">
        <f>0.12+0.13+0.38</f>
        <v>0.63</v>
      </c>
      <c r="O183">
        <v>1.7</v>
      </c>
    </row>
    <row r="184" spans="1:15" ht="15" customHeight="1">
      <c r="A184" s="18"/>
      <c r="B184" s="92"/>
      <c r="C184" s="93">
        <v>-1</v>
      </c>
      <c r="D184" s="94">
        <f t="shared" si="22"/>
        <v>2.92</v>
      </c>
      <c r="E184" s="94"/>
      <c r="F184" s="94">
        <f t="shared" si="23"/>
        <v>1.635</v>
      </c>
      <c r="G184" s="95">
        <f t="shared" si="21"/>
        <v>-4.7741999999999996</v>
      </c>
      <c r="H184" s="96"/>
      <c r="I184" s="96"/>
      <c r="J184" s="96"/>
      <c r="K184" s="21"/>
      <c r="N184">
        <v>2.92</v>
      </c>
      <c r="O184">
        <f>(1.65+1.62)/2</f>
        <v>1.635</v>
      </c>
    </row>
    <row r="185" spans="1:15" ht="15" customHeight="1">
      <c r="A185" s="18"/>
      <c r="B185" s="92"/>
      <c r="C185" s="93">
        <v>-1</v>
      </c>
      <c r="D185" s="94">
        <f t="shared" si="22"/>
        <v>0.61</v>
      </c>
      <c r="E185" s="94"/>
      <c r="F185" s="94">
        <f t="shared" si="23"/>
        <v>1.6</v>
      </c>
      <c r="G185" s="95">
        <f t="shared" si="21"/>
        <v>-0.97599999999999998</v>
      </c>
      <c r="H185" s="96"/>
      <c r="I185" s="96"/>
      <c r="J185" s="96"/>
      <c r="K185" s="21"/>
      <c r="N185">
        <f>0.13+0.1+0.38</f>
        <v>0.61</v>
      </c>
      <c r="O185">
        <v>1.6</v>
      </c>
    </row>
    <row r="186" spans="1:15" ht="15" customHeight="1">
      <c r="A186" s="18"/>
      <c r="B186" s="92"/>
      <c r="C186" s="93">
        <v>-1</v>
      </c>
      <c r="D186" s="94">
        <f t="shared" si="22"/>
        <v>0.44</v>
      </c>
      <c r="E186" s="94"/>
      <c r="F186" s="94">
        <f t="shared" si="23"/>
        <v>1.55</v>
      </c>
      <c r="G186" s="95">
        <f t="shared" si="21"/>
        <v>-0.68200000000000005</v>
      </c>
      <c r="H186" s="96"/>
      <c r="I186" s="96"/>
      <c r="J186" s="96"/>
      <c r="K186" s="21"/>
      <c r="M186" t="s">
        <v>104</v>
      </c>
      <c r="N186">
        <v>0.44</v>
      </c>
      <c r="O186">
        <v>1.55</v>
      </c>
    </row>
    <row r="187" spans="1:15" ht="15" customHeight="1">
      <c r="A187" s="18"/>
      <c r="B187" s="92"/>
      <c r="C187" s="93"/>
      <c r="D187" s="94"/>
      <c r="E187" s="94"/>
      <c r="F187" s="94"/>
      <c r="G187" s="95"/>
      <c r="H187" s="96"/>
      <c r="I187" s="96"/>
      <c r="J187" s="96"/>
      <c r="K187" s="21"/>
      <c r="M187" t="s">
        <v>105</v>
      </c>
      <c r="N187">
        <v>0</v>
      </c>
      <c r="O187">
        <v>1.5</v>
      </c>
    </row>
    <row r="188" spans="1:15" ht="15" customHeight="1">
      <c r="A188" s="18"/>
      <c r="B188" s="92"/>
      <c r="C188" s="93">
        <v>-1</v>
      </c>
      <c r="D188" s="94">
        <f>N188</f>
        <v>3</v>
      </c>
      <c r="E188" s="94"/>
      <c r="F188" s="94">
        <f>(O187+O188)/2</f>
        <v>1.5</v>
      </c>
      <c r="G188" s="95">
        <f t="shared" ref="G188:G197" si="24">PRODUCT(C188:F188)</f>
        <v>-4.5</v>
      </c>
      <c r="H188" s="96"/>
      <c r="I188" s="96"/>
      <c r="J188" s="96"/>
      <c r="K188" s="21"/>
      <c r="N188">
        <v>3</v>
      </c>
      <c r="O188">
        <v>1.5</v>
      </c>
    </row>
    <row r="189" spans="1:15" ht="15" customHeight="1">
      <c r="A189" s="18"/>
      <c r="B189" s="92"/>
      <c r="C189" s="93">
        <v>-1</v>
      </c>
      <c r="D189" s="94">
        <f t="shared" ref="D189:D194" si="25">N189</f>
        <v>3</v>
      </c>
      <c r="E189" s="94"/>
      <c r="F189" s="94">
        <f t="shared" ref="F189:F192" si="26">(O188+O189)/2</f>
        <v>1.5249999999999999</v>
      </c>
      <c r="G189" s="95">
        <f t="shared" si="24"/>
        <v>-4.5749999999999993</v>
      </c>
      <c r="H189" s="96"/>
      <c r="I189" s="96"/>
      <c r="J189" s="96"/>
      <c r="K189" s="21"/>
      <c r="N189">
        <v>3</v>
      </c>
      <c r="O189">
        <v>1.55</v>
      </c>
    </row>
    <row r="190" spans="1:15" ht="15" customHeight="1">
      <c r="A190" s="18"/>
      <c r="B190" s="92"/>
      <c r="C190" s="93">
        <v>-1</v>
      </c>
      <c r="D190" s="94">
        <f t="shared" si="25"/>
        <v>3</v>
      </c>
      <c r="E190" s="94"/>
      <c r="F190" s="94">
        <f t="shared" si="26"/>
        <v>1.55</v>
      </c>
      <c r="G190" s="95">
        <f t="shared" si="24"/>
        <v>-4.6500000000000004</v>
      </c>
      <c r="H190" s="96"/>
      <c r="I190" s="96"/>
      <c r="J190" s="96"/>
      <c r="K190" s="21"/>
      <c r="N190">
        <v>3</v>
      </c>
      <c r="O190">
        <v>1.55</v>
      </c>
    </row>
    <row r="191" spans="1:15" ht="15" customHeight="1">
      <c r="A191" s="18"/>
      <c r="B191" s="92"/>
      <c r="C191" s="93">
        <v>-1</v>
      </c>
      <c r="D191" s="94">
        <f t="shared" si="25"/>
        <v>3</v>
      </c>
      <c r="E191" s="94"/>
      <c r="F191" s="94">
        <f t="shared" si="26"/>
        <v>1.55</v>
      </c>
      <c r="G191" s="95">
        <f t="shared" si="24"/>
        <v>-4.6500000000000004</v>
      </c>
      <c r="H191" s="96"/>
      <c r="I191" s="96"/>
      <c r="J191" s="96"/>
      <c r="K191" s="21"/>
      <c r="N191">
        <v>3</v>
      </c>
      <c r="O191">
        <v>1.55</v>
      </c>
    </row>
    <row r="192" spans="1:15" ht="15" customHeight="1">
      <c r="A192" s="18"/>
      <c r="B192" s="92"/>
      <c r="C192" s="93">
        <v>-1</v>
      </c>
      <c r="D192" s="94">
        <f t="shared" si="25"/>
        <v>3</v>
      </c>
      <c r="E192" s="94"/>
      <c r="F192" s="94">
        <f t="shared" si="26"/>
        <v>1.635</v>
      </c>
      <c r="G192" s="95">
        <f t="shared" si="24"/>
        <v>-4.9050000000000002</v>
      </c>
      <c r="H192" s="96"/>
      <c r="I192" s="96"/>
      <c r="J192" s="96"/>
      <c r="K192" s="21"/>
      <c r="N192">
        <v>3</v>
      </c>
      <c r="O192">
        <v>1.72</v>
      </c>
    </row>
    <row r="193" spans="1:16" ht="15" customHeight="1">
      <c r="A193" s="18"/>
      <c r="B193" s="92"/>
      <c r="C193" s="93">
        <v>-1</v>
      </c>
      <c r="D193" s="94">
        <f t="shared" si="25"/>
        <v>3.06</v>
      </c>
      <c r="E193" s="94"/>
      <c r="F193" s="94">
        <f>O193</f>
        <v>1.65</v>
      </c>
      <c r="G193" s="95">
        <f t="shared" si="24"/>
        <v>-5.0489999999999995</v>
      </c>
      <c r="H193" s="96"/>
      <c r="I193" s="96"/>
      <c r="J193" s="96"/>
      <c r="K193" s="21"/>
      <c r="N193">
        <v>3.06</v>
      </c>
      <c r="O193">
        <v>1.65</v>
      </c>
    </row>
    <row r="194" spans="1:16" ht="15" customHeight="1">
      <c r="A194" s="18"/>
      <c r="B194" s="92"/>
      <c r="C194" s="93">
        <v>-1</v>
      </c>
      <c r="D194" s="94">
        <f t="shared" si="25"/>
        <v>0.16</v>
      </c>
      <c r="E194" s="94"/>
      <c r="F194" s="94">
        <f>O194</f>
        <v>1.61</v>
      </c>
      <c r="G194" s="95">
        <f t="shared" si="24"/>
        <v>-0.2576</v>
      </c>
      <c r="H194" s="96"/>
      <c r="I194" s="96"/>
      <c r="J194" s="96"/>
      <c r="K194" s="21"/>
      <c r="M194" t="s">
        <v>106</v>
      </c>
      <c r="N194">
        <v>0.16</v>
      </c>
      <c r="O194">
        <v>1.61</v>
      </c>
    </row>
    <row r="195" spans="1:16" ht="15" customHeight="1">
      <c r="A195" s="18"/>
      <c r="B195" s="92" t="s">
        <v>61</v>
      </c>
      <c r="C195" s="93">
        <v>-10</v>
      </c>
      <c r="D195" s="94">
        <f>2.75/3.281</f>
        <v>0.8381590978360256</v>
      </c>
      <c r="E195" s="94"/>
      <c r="F195" s="94">
        <v>1.2</v>
      </c>
      <c r="G195" s="95">
        <f t="shared" si="24"/>
        <v>-10.057909174032307</v>
      </c>
      <c r="H195" s="96"/>
      <c r="I195" s="96"/>
      <c r="J195" s="96"/>
      <c r="K195" s="21"/>
      <c r="M195" t="s">
        <v>107</v>
      </c>
      <c r="N195">
        <v>0</v>
      </c>
      <c r="O195">
        <v>1.6</v>
      </c>
    </row>
    <row r="196" spans="1:16" ht="15" customHeight="1">
      <c r="A196" s="18"/>
      <c r="B196" s="92"/>
      <c r="C196" s="93">
        <v>-1</v>
      </c>
      <c r="D196" s="94">
        <f>N196</f>
        <v>0.6</v>
      </c>
      <c r="E196" s="94"/>
      <c r="F196" s="94">
        <f>(O195+O196)/2</f>
        <v>1.6</v>
      </c>
      <c r="G196" s="95">
        <f t="shared" si="24"/>
        <v>-0.96</v>
      </c>
      <c r="H196" s="96"/>
      <c r="I196" s="96"/>
      <c r="J196" s="96"/>
      <c r="K196" s="21"/>
      <c r="N196">
        <v>0.6</v>
      </c>
      <c r="O196">
        <v>1.6</v>
      </c>
    </row>
    <row r="197" spans="1:16" ht="15" customHeight="1">
      <c r="A197" s="18"/>
      <c r="B197" s="92"/>
      <c r="C197" s="93">
        <v>-1</v>
      </c>
      <c r="D197" s="94">
        <f>N197</f>
        <v>15</v>
      </c>
      <c r="E197" s="94"/>
      <c r="F197" s="94">
        <f>O197</f>
        <v>0.2</v>
      </c>
      <c r="G197" s="95">
        <f t="shared" si="24"/>
        <v>-3</v>
      </c>
      <c r="H197" s="96"/>
      <c r="I197" s="96"/>
      <c r="J197" s="96"/>
      <c r="K197" s="21"/>
      <c r="M197" t="s">
        <v>108</v>
      </c>
      <c r="N197">
        <v>15</v>
      </c>
      <c r="O197">
        <v>0.2</v>
      </c>
    </row>
    <row r="198" spans="1:16" ht="15" customHeight="1">
      <c r="A198" s="18"/>
      <c r="B198" s="92"/>
      <c r="C198" s="93"/>
      <c r="D198" s="94"/>
      <c r="E198" s="94"/>
      <c r="F198" s="94"/>
      <c r="G198" s="95"/>
      <c r="H198" s="96"/>
      <c r="I198" s="96"/>
      <c r="J198" s="96"/>
      <c r="K198" s="21"/>
      <c r="M198" t="s">
        <v>109</v>
      </c>
      <c r="N198">
        <v>0</v>
      </c>
      <c r="O198">
        <v>1.75</v>
      </c>
      <c r="P198" t="s">
        <v>110</v>
      </c>
    </row>
    <row r="199" spans="1:16" ht="15" customHeight="1">
      <c r="A199" s="18"/>
      <c r="B199" s="92"/>
      <c r="C199" s="93">
        <v>-1</v>
      </c>
      <c r="D199" s="94">
        <f>N199</f>
        <v>4</v>
      </c>
      <c r="E199" s="94"/>
      <c r="F199" s="94">
        <f>O199</f>
        <v>1.75</v>
      </c>
      <c r="G199" s="95">
        <f t="shared" ref="G199:G217" si="27">PRODUCT(C199:F199)</f>
        <v>-7</v>
      </c>
      <c r="H199" s="96"/>
      <c r="I199" s="96"/>
      <c r="J199" s="96"/>
      <c r="K199" s="21"/>
      <c r="N199">
        <v>4</v>
      </c>
      <c r="O199">
        <v>1.75</v>
      </c>
    </row>
    <row r="200" spans="1:16" ht="15" customHeight="1">
      <c r="A200" s="18"/>
      <c r="B200" s="92"/>
      <c r="C200" s="93">
        <v>-1</v>
      </c>
      <c r="D200" s="94">
        <f t="shared" ref="D200:D217" si="28">N200</f>
        <v>4</v>
      </c>
      <c r="E200" s="94"/>
      <c r="F200" s="94">
        <f t="shared" ref="F200:F217" si="29">O200</f>
        <v>1.75</v>
      </c>
      <c r="G200" s="95">
        <f t="shared" si="27"/>
        <v>-7</v>
      </c>
      <c r="H200" s="96"/>
      <c r="I200" s="96"/>
      <c r="J200" s="96"/>
      <c r="K200" s="21"/>
      <c r="N200">
        <v>4</v>
      </c>
      <c r="O200">
        <v>1.75</v>
      </c>
    </row>
    <row r="201" spans="1:16" ht="15" customHeight="1">
      <c r="A201" s="18"/>
      <c r="B201" s="92"/>
      <c r="C201" s="93">
        <v>-1</v>
      </c>
      <c r="D201" s="94">
        <f t="shared" si="28"/>
        <v>4.21</v>
      </c>
      <c r="E201" s="94"/>
      <c r="F201" s="94">
        <f t="shared" si="29"/>
        <v>1.75</v>
      </c>
      <c r="G201" s="95">
        <f t="shared" si="27"/>
        <v>-7.3674999999999997</v>
      </c>
      <c r="H201" s="96"/>
      <c r="I201" s="96"/>
      <c r="J201" s="96"/>
      <c r="K201" s="21"/>
      <c r="N201">
        <f>(4.59-0.38)</f>
        <v>4.21</v>
      </c>
      <c r="O201">
        <v>1.75</v>
      </c>
      <c r="P201" t="s">
        <v>111</v>
      </c>
    </row>
    <row r="202" spans="1:16" ht="15" customHeight="1">
      <c r="A202" s="18"/>
      <c r="B202" s="92"/>
      <c r="C202" s="93">
        <v>-1</v>
      </c>
      <c r="D202" s="94">
        <f t="shared" si="28"/>
        <v>0.49</v>
      </c>
      <c r="E202" s="94"/>
      <c r="F202" s="94">
        <f t="shared" si="29"/>
        <v>2.1</v>
      </c>
      <c r="G202" s="95">
        <f t="shared" si="27"/>
        <v>-1.0289999999999999</v>
      </c>
      <c r="H202" s="96"/>
      <c r="I202" s="96"/>
      <c r="J202" s="96"/>
      <c r="K202" s="21"/>
      <c r="N202">
        <f>0.38+0.11</f>
        <v>0.49</v>
      </c>
      <c r="O202">
        <v>2.1</v>
      </c>
      <c r="P202" t="s">
        <v>112</v>
      </c>
    </row>
    <row r="203" spans="1:16" ht="15" customHeight="1">
      <c r="A203" s="18"/>
      <c r="B203" s="92"/>
      <c r="C203" s="93">
        <v>-1</v>
      </c>
      <c r="D203" s="94">
        <f t="shared" si="28"/>
        <v>0</v>
      </c>
      <c r="E203" s="94"/>
      <c r="F203" s="94">
        <f t="shared" si="29"/>
        <v>2.1</v>
      </c>
      <c r="G203" s="95">
        <f t="shared" si="27"/>
        <v>0</v>
      </c>
      <c r="H203" s="96"/>
      <c r="I203" s="96"/>
      <c r="J203" s="96"/>
      <c r="K203" s="21"/>
      <c r="N203">
        <v>0</v>
      </c>
      <c r="O203">
        <v>2.1</v>
      </c>
    </row>
    <row r="204" spans="1:16" ht="15" customHeight="1">
      <c r="A204" s="18"/>
      <c r="B204" s="92"/>
      <c r="C204" s="93">
        <v>-1</v>
      </c>
      <c r="D204" s="94">
        <f t="shared" si="28"/>
        <v>3.17</v>
      </c>
      <c r="E204" s="94"/>
      <c r="F204" s="94">
        <f t="shared" si="29"/>
        <v>2.1</v>
      </c>
      <c r="G204" s="95">
        <f t="shared" si="27"/>
        <v>-6.657</v>
      </c>
      <c r="H204" s="96"/>
      <c r="I204" s="96"/>
      <c r="J204" s="96"/>
      <c r="K204" s="21"/>
      <c r="N204">
        <v>3.17</v>
      </c>
      <c r="O204">
        <v>2.1</v>
      </c>
    </row>
    <row r="205" spans="1:16" ht="15" customHeight="1">
      <c r="A205" s="18"/>
      <c r="B205" s="92"/>
      <c r="C205" s="93">
        <v>-1</v>
      </c>
      <c r="D205" s="94">
        <f t="shared" si="28"/>
        <v>0.48</v>
      </c>
      <c r="E205" s="94"/>
      <c r="F205" s="94">
        <f t="shared" si="29"/>
        <v>2.1</v>
      </c>
      <c r="G205" s="95">
        <f t="shared" si="27"/>
        <v>-1.008</v>
      </c>
      <c r="H205" s="96"/>
      <c r="I205" s="96"/>
      <c r="J205" s="96"/>
      <c r="K205" s="21"/>
      <c r="N205">
        <f>0.1+0.28+0.1</f>
        <v>0.48</v>
      </c>
      <c r="O205">
        <v>2.1</v>
      </c>
    </row>
    <row r="206" spans="1:16" ht="15" customHeight="1">
      <c r="A206" s="18"/>
      <c r="B206" s="92"/>
      <c r="C206" s="93">
        <v>-1</v>
      </c>
      <c r="D206" s="94">
        <f t="shared" si="28"/>
        <v>3.11</v>
      </c>
      <c r="E206" s="94"/>
      <c r="F206" s="94">
        <f t="shared" si="29"/>
        <v>2.1</v>
      </c>
      <c r="G206" s="95">
        <f t="shared" si="27"/>
        <v>-6.5309999999999997</v>
      </c>
      <c r="H206" s="96"/>
      <c r="I206" s="96"/>
      <c r="J206" s="96"/>
      <c r="K206" s="21"/>
      <c r="N206">
        <v>3.11</v>
      </c>
      <c r="O206">
        <v>2.1</v>
      </c>
    </row>
    <row r="207" spans="1:16" ht="15" customHeight="1">
      <c r="A207" s="18"/>
      <c r="B207" s="92"/>
      <c r="C207" s="93">
        <v>-1</v>
      </c>
      <c r="D207" s="94">
        <f t="shared" si="28"/>
        <v>0.6</v>
      </c>
      <c r="E207" s="94"/>
      <c r="F207" s="94">
        <f t="shared" si="29"/>
        <v>2.1</v>
      </c>
      <c r="G207" s="95">
        <f t="shared" si="27"/>
        <v>-1.26</v>
      </c>
      <c r="H207" s="96"/>
      <c r="I207" s="96"/>
      <c r="J207" s="96"/>
      <c r="K207" s="21"/>
      <c r="N207">
        <f>0.11+0.38+0.11</f>
        <v>0.6</v>
      </c>
      <c r="O207">
        <v>2.1</v>
      </c>
    </row>
    <row r="208" spans="1:16" ht="15" customHeight="1">
      <c r="A208" s="18"/>
      <c r="B208" s="92"/>
      <c r="C208" s="93">
        <v>-1</v>
      </c>
      <c r="D208" s="94">
        <f t="shared" si="28"/>
        <v>3.1</v>
      </c>
      <c r="E208" s="94"/>
      <c r="F208" s="94">
        <f t="shared" si="29"/>
        <v>2.1</v>
      </c>
      <c r="G208" s="95">
        <f t="shared" si="27"/>
        <v>-6.5100000000000007</v>
      </c>
      <c r="H208" s="96"/>
      <c r="I208" s="96"/>
      <c r="J208" s="96"/>
      <c r="K208" s="21"/>
      <c r="N208">
        <v>3.1</v>
      </c>
      <c r="O208">
        <v>2.1</v>
      </c>
    </row>
    <row r="209" spans="1:15" ht="15" customHeight="1">
      <c r="A209" s="18"/>
      <c r="B209" s="92"/>
      <c r="C209" s="93">
        <v>-1</v>
      </c>
      <c r="D209" s="94">
        <f t="shared" si="28"/>
        <v>0.6</v>
      </c>
      <c r="E209" s="94"/>
      <c r="F209" s="94">
        <f t="shared" si="29"/>
        <v>2.1</v>
      </c>
      <c r="G209" s="95">
        <f t="shared" si="27"/>
        <v>-1.26</v>
      </c>
      <c r="H209" s="96"/>
      <c r="I209" s="96"/>
      <c r="J209" s="96"/>
      <c r="K209" s="21"/>
      <c r="N209">
        <f>0.11+0.38+0.11</f>
        <v>0.6</v>
      </c>
      <c r="O209">
        <v>2.1</v>
      </c>
    </row>
    <row r="210" spans="1:15" ht="15" customHeight="1">
      <c r="A210" s="18"/>
      <c r="B210" s="92"/>
      <c r="C210" s="93">
        <v>-1</v>
      </c>
      <c r="D210" s="94">
        <f t="shared" si="28"/>
        <v>3.11</v>
      </c>
      <c r="E210" s="94"/>
      <c r="F210" s="94">
        <f t="shared" si="29"/>
        <v>2.1550000000000002</v>
      </c>
      <c r="G210" s="95">
        <f t="shared" si="27"/>
        <v>-6.7020500000000007</v>
      </c>
      <c r="H210" s="96"/>
      <c r="I210" s="96"/>
      <c r="J210" s="96"/>
      <c r="K210" s="21"/>
      <c r="N210">
        <v>3.11</v>
      </c>
      <c r="O210">
        <f>(2.1+2.21)/2</f>
        <v>2.1550000000000002</v>
      </c>
    </row>
    <row r="211" spans="1:15" ht="15" customHeight="1">
      <c r="A211" s="18"/>
      <c r="B211" s="92"/>
      <c r="C211" s="93">
        <v>-1</v>
      </c>
      <c r="D211" s="94">
        <f t="shared" si="28"/>
        <v>0.6</v>
      </c>
      <c r="E211" s="94"/>
      <c r="F211" s="94">
        <f t="shared" si="29"/>
        <v>2.2000000000000002</v>
      </c>
      <c r="G211" s="95">
        <f t="shared" si="27"/>
        <v>-1.32</v>
      </c>
      <c r="H211" s="96"/>
      <c r="I211" s="96"/>
      <c r="J211" s="96"/>
      <c r="K211" s="21"/>
      <c r="N211">
        <f>0.11+0.39+0.1</f>
        <v>0.6</v>
      </c>
      <c r="O211">
        <v>2.2000000000000002</v>
      </c>
    </row>
    <row r="212" spans="1:15" ht="15" customHeight="1">
      <c r="A212" s="18"/>
      <c r="B212" s="92"/>
      <c r="C212" s="93">
        <v>-1</v>
      </c>
      <c r="D212" s="94">
        <f t="shared" si="28"/>
        <v>3.1</v>
      </c>
      <c r="E212" s="94"/>
      <c r="F212" s="94">
        <f t="shared" si="29"/>
        <v>2.2400000000000002</v>
      </c>
      <c r="G212" s="95">
        <f t="shared" si="27"/>
        <v>-6.9440000000000008</v>
      </c>
      <c r="H212" s="96"/>
      <c r="I212" s="96"/>
      <c r="J212" s="96"/>
      <c r="K212" s="21"/>
      <c r="N212">
        <v>3.1</v>
      </c>
      <c r="O212">
        <f>(2.2+2.28)/2</f>
        <v>2.2400000000000002</v>
      </c>
    </row>
    <row r="213" spans="1:15" ht="15" customHeight="1">
      <c r="A213" s="18"/>
      <c r="B213" s="92"/>
      <c r="C213" s="93">
        <v>-1</v>
      </c>
      <c r="D213" s="94">
        <f t="shared" si="28"/>
        <v>0.57999999999999996</v>
      </c>
      <c r="E213" s="94"/>
      <c r="F213" s="94">
        <f t="shared" si="29"/>
        <v>2.2000000000000002</v>
      </c>
      <c r="G213" s="95">
        <f t="shared" si="27"/>
        <v>-1.276</v>
      </c>
      <c r="H213" s="96"/>
      <c r="I213" s="96"/>
      <c r="J213" s="96"/>
      <c r="K213" s="21"/>
      <c r="N213">
        <f>0.1+0.38+0.1</f>
        <v>0.57999999999999996</v>
      </c>
      <c r="O213">
        <v>2.2000000000000002</v>
      </c>
    </row>
    <row r="214" spans="1:15" ht="15" customHeight="1">
      <c r="A214" s="18"/>
      <c r="B214" s="92"/>
      <c r="C214" s="93">
        <v>-1</v>
      </c>
      <c r="D214" s="94">
        <f t="shared" si="28"/>
        <v>3.15</v>
      </c>
      <c r="E214" s="94"/>
      <c r="F214" s="94">
        <f t="shared" si="29"/>
        <v>2.2749999999999999</v>
      </c>
      <c r="G214" s="95">
        <f t="shared" si="27"/>
        <v>-7.1662499999999998</v>
      </c>
      <c r="H214" s="96"/>
      <c r="I214" s="96"/>
      <c r="J214" s="96"/>
      <c r="K214" s="21"/>
      <c r="N214">
        <v>3.15</v>
      </c>
      <c r="O214">
        <f>(2.3+2.25)/2</f>
        <v>2.2749999999999999</v>
      </c>
    </row>
    <row r="215" spans="1:15" ht="15" customHeight="1">
      <c r="A215" s="18"/>
      <c r="B215" s="92"/>
      <c r="C215" s="93">
        <v>-1</v>
      </c>
      <c r="D215" s="94">
        <f t="shared" si="28"/>
        <v>3.25</v>
      </c>
      <c r="E215" s="94"/>
      <c r="F215" s="94">
        <f t="shared" si="29"/>
        <v>2.2999999999999998</v>
      </c>
      <c r="G215" s="95">
        <f t="shared" si="27"/>
        <v>-7.4749999999999996</v>
      </c>
      <c r="H215" s="96"/>
      <c r="I215" s="96"/>
      <c r="J215" s="96"/>
      <c r="K215" s="21"/>
      <c r="N215">
        <v>3.25</v>
      </c>
      <c r="O215">
        <v>2.2999999999999998</v>
      </c>
    </row>
    <row r="216" spans="1:15" ht="15" customHeight="1">
      <c r="A216" s="18"/>
      <c r="B216" s="92"/>
      <c r="C216" s="93">
        <v>-1</v>
      </c>
      <c r="D216" s="94">
        <f t="shared" si="28"/>
        <v>0.56999999999999995</v>
      </c>
      <c r="E216" s="94"/>
      <c r="F216" s="94">
        <f t="shared" si="29"/>
        <v>2.2999999999999998</v>
      </c>
      <c r="G216" s="95">
        <f t="shared" si="27"/>
        <v>-1.3109999999999997</v>
      </c>
      <c r="H216" s="96"/>
      <c r="I216" s="96"/>
      <c r="J216" s="96"/>
      <c r="K216" s="21"/>
      <c r="N216">
        <f>0.11+0.36+0.1</f>
        <v>0.56999999999999995</v>
      </c>
      <c r="O216">
        <v>2.2999999999999998</v>
      </c>
    </row>
    <row r="217" spans="1:15">
      <c r="A217" s="18"/>
      <c r="B217" s="92"/>
      <c r="C217" s="93">
        <v>-1</v>
      </c>
      <c r="D217" s="94">
        <f t="shared" si="28"/>
        <v>0.97</v>
      </c>
      <c r="E217" s="94"/>
      <c r="F217" s="94">
        <f t="shared" si="29"/>
        <v>2.2999999999999998</v>
      </c>
      <c r="G217" s="95">
        <f t="shared" si="27"/>
        <v>-2.2309999999999999</v>
      </c>
      <c r="H217" s="96"/>
      <c r="I217" s="96"/>
      <c r="J217" s="96"/>
      <c r="K217" s="21"/>
      <c r="N217">
        <f>0.11+0.38+0.38+0.1</f>
        <v>0.97</v>
      </c>
      <c r="O217">
        <v>2.2999999999999998</v>
      </c>
    </row>
    <row r="218" spans="1:15" ht="15" customHeight="1">
      <c r="A218" s="18"/>
      <c r="B218" s="36" t="s">
        <v>40</v>
      </c>
      <c r="C218" s="19"/>
      <c r="D218" s="20"/>
      <c r="E218" s="21"/>
      <c r="F218" s="21"/>
      <c r="G218" s="23">
        <f>SUM(G171:G217)</f>
        <v>59.438096662602824</v>
      </c>
      <c r="H218" s="22" t="s">
        <v>62</v>
      </c>
      <c r="I218" s="23">
        <v>251.77</v>
      </c>
      <c r="J218" s="40">
        <f>G218*I218</f>
        <v>14964.729596743513</v>
      </c>
      <c r="K218" s="21"/>
    </row>
    <row r="219" spans="1:15" ht="15" customHeight="1">
      <c r="A219" s="18"/>
      <c r="B219" s="36" t="s">
        <v>38</v>
      </c>
      <c r="C219" s="19"/>
      <c r="D219" s="20"/>
      <c r="E219" s="21"/>
      <c r="F219" s="21"/>
      <c r="G219" s="23"/>
      <c r="H219" s="22"/>
      <c r="I219" s="23"/>
      <c r="J219" s="40">
        <f>0.13*G218*12736/100</f>
        <v>984.10467882338241</v>
      </c>
      <c r="K219" s="21"/>
    </row>
    <row r="220" spans="1:15" ht="15" customHeight="1">
      <c r="A220" s="18"/>
      <c r="B220" s="36"/>
      <c r="C220" s="19"/>
      <c r="D220" s="20"/>
      <c r="E220" s="21"/>
      <c r="F220" s="21"/>
      <c r="G220" s="23"/>
      <c r="H220" s="22"/>
      <c r="I220" s="23"/>
      <c r="J220" s="40"/>
      <c r="K220" s="21"/>
    </row>
    <row r="221" spans="1:15" ht="30.6">
      <c r="A221" s="18">
        <v>15</v>
      </c>
      <c r="B221" s="60" t="s">
        <v>163</v>
      </c>
      <c r="C221" s="19"/>
      <c r="D221" s="20"/>
      <c r="E221" s="21"/>
      <c r="F221" s="21"/>
      <c r="G221" s="23"/>
      <c r="H221" s="22"/>
      <c r="I221" s="23"/>
      <c r="J221" s="40"/>
      <c r="K221" s="21"/>
    </row>
    <row r="222" spans="1:15" ht="15" customHeight="1">
      <c r="A222" s="18"/>
      <c r="B222" s="36" t="s">
        <v>164</v>
      </c>
      <c r="C222" s="19">
        <v>2</v>
      </c>
      <c r="D222" s="20">
        <v>2.2799999999999998</v>
      </c>
      <c r="E222" s="21"/>
      <c r="F222" s="21">
        <v>1.97</v>
      </c>
      <c r="G222" s="38">
        <f t="shared" ref="G222:G223" si="30">PRODUCT(C222:F222)</f>
        <v>8.9831999999999983</v>
      </c>
      <c r="H222" s="22"/>
      <c r="I222" s="23"/>
      <c r="J222" s="40"/>
      <c r="K222" s="21"/>
    </row>
    <row r="223" spans="1:15" ht="15" customHeight="1">
      <c r="A223" s="18"/>
      <c r="B223" s="36"/>
      <c r="C223" s="19">
        <v>1</v>
      </c>
      <c r="D223" s="20">
        <v>0.89</v>
      </c>
      <c r="E223" s="21"/>
      <c r="F223" s="21">
        <v>2.13</v>
      </c>
      <c r="G223" s="38">
        <f t="shared" si="30"/>
        <v>1.8956999999999999</v>
      </c>
      <c r="H223" s="22"/>
      <c r="I223" s="23"/>
      <c r="J223" s="40"/>
      <c r="K223" s="21"/>
    </row>
    <row r="224" spans="1:15" ht="15" customHeight="1">
      <c r="A224" s="18"/>
      <c r="B224" s="36" t="s">
        <v>40</v>
      </c>
      <c r="C224" s="19"/>
      <c r="D224" s="20"/>
      <c r="E224" s="21"/>
      <c r="F224" s="21"/>
      <c r="G224" s="23">
        <f>SUM(G222:G223)</f>
        <v>10.878899999999998</v>
      </c>
      <c r="H224" s="22" t="s">
        <v>62</v>
      </c>
      <c r="I224" s="23">
        <v>128.43</v>
      </c>
      <c r="J224" s="40">
        <f>G224*I224</f>
        <v>1397.1771269999999</v>
      </c>
      <c r="K224" s="21"/>
    </row>
    <row r="225" spans="1:11" ht="15" customHeight="1">
      <c r="A225" s="18"/>
      <c r="B225" s="36" t="s">
        <v>38</v>
      </c>
      <c r="C225" s="19"/>
      <c r="D225" s="20"/>
      <c r="E225" s="21"/>
      <c r="F225" s="21"/>
      <c r="G225" s="23"/>
      <c r="H225" s="22"/>
      <c r="I225" s="23"/>
      <c r="J225" s="40">
        <f>0.13*G224*4878/100</f>
        <v>68.98745645999999</v>
      </c>
      <c r="K225" s="21"/>
    </row>
    <row r="226" spans="1:11" ht="15" customHeight="1">
      <c r="A226" s="18"/>
      <c r="B226" s="36"/>
      <c r="C226" s="19"/>
      <c r="D226" s="20"/>
      <c r="E226" s="21"/>
      <c r="F226" s="21"/>
      <c r="G226" s="23"/>
      <c r="H226" s="22"/>
      <c r="I226" s="23"/>
      <c r="J226" s="40"/>
      <c r="K226" s="21"/>
    </row>
    <row r="227" spans="1:11" ht="30.6" customHeight="1">
      <c r="A227" s="18">
        <v>16</v>
      </c>
      <c r="B227" s="60" t="s">
        <v>88</v>
      </c>
      <c r="C227" s="19" t="s">
        <v>7</v>
      </c>
      <c r="D227" s="67" t="s">
        <v>41</v>
      </c>
      <c r="E227" s="68" t="s">
        <v>77</v>
      </c>
      <c r="F227" s="68" t="s">
        <v>78</v>
      </c>
      <c r="G227" s="68" t="s">
        <v>97</v>
      </c>
      <c r="H227" s="22"/>
      <c r="I227" s="23"/>
      <c r="J227" s="40"/>
      <c r="K227" s="144" t="s">
        <v>158</v>
      </c>
    </row>
    <row r="228" spans="1:11" ht="42">
      <c r="A228" s="18"/>
      <c r="B228" s="36" t="s">
        <v>159</v>
      </c>
      <c r="C228" s="19">
        <v>2</v>
      </c>
      <c r="D228" s="20"/>
      <c r="E228" s="21"/>
      <c r="F228" s="21">
        <v>61.25</v>
      </c>
      <c r="G228" s="69">
        <f>F228</f>
        <v>61.25</v>
      </c>
      <c r="H228" s="22"/>
      <c r="I228" s="23"/>
      <c r="J228" s="40"/>
      <c r="K228" s="145"/>
    </row>
    <row r="229" spans="1:11" ht="42">
      <c r="A229" s="18"/>
      <c r="B229" s="36" t="s">
        <v>161</v>
      </c>
      <c r="C229" s="19">
        <v>-1</v>
      </c>
      <c r="D229" s="20">
        <v>0.51500000000000001</v>
      </c>
      <c r="E229" s="21">
        <v>14.14</v>
      </c>
      <c r="F229" s="21">
        <f>PRODUCT(C229:E229)</f>
        <v>-7.2821000000000007</v>
      </c>
      <c r="G229" s="69">
        <f>F229</f>
        <v>-7.2821000000000007</v>
      </c>
      <c r="H229" s="22"/>
      <c r="I229" s="23"/>
      <c r="J229" s="40"/>
      <c r="K229" s="145"/>
    </row>
    <row r="230" spans="1:11" ht="28.2" customHeight="1">
      <c r="A230" s="18"/>
      <c r="B230" s="36" t="s">
        <v>157</v>
      </c>
      <c r="C230" s="19">
        <v>6</v>
      </c>
      <c r="D230" s="20">
        <v>2.54</v>
      </c>
      <c r="E230" s="21">
        <v>2</v>
      </c>
      <c r="F230" s="21">
        <f>PRODUCT(C230:E230)</f>
        <v>30.48</v>
      </c>
      <c r="G230" s="69">
        <f>F230</f>
        <v>30.48</v>
      </c>
      <c r="H230" s="22"/>
      <c r="I230" s="23"/>
      <c r="J230" s="40"/>
      <c r="K230" s="146"/>
    </row>
    <row r="231" spans="1:11" ht="28.2" customHeight="1">
      <c r="A231" s="18"/>
      <c r="B231" s="36"/>
      <c r="C231" s="19">
        <v>4</v>
      </c>
      <c r="D231" s="20">
        <v>0.47</v>
      </c>
      <c r="E231" s="21">
        <v>2</v>
      </c>
      <c r="F231" s="21">
        <f>PRODUCT(C231:E231)</f>
        <v>3.76</v>
      </c>
      <c r="G231" s="69">
        <f>F231</f>
        <v>3.76</v>
      </c>
      <c r="H231" s="22"/>
      <c r="I231" s="23"/>
      <c r="J231" s="40"/>
      <c r="K231" s="115"/>
    </row>
    <row r="232" spans="1:11" ht="28.2" customHeight="1">
      <c r="A232" s="18"/>
      <c r="B232" s="36" t="s">
        <v>160</v>
      </c>
      <c r="C232" s="19">
        <v>30</v>
      </c>
      <c r="D232" s="20">
        <v>0.6</v>
      </c>
      <c r="E232" s="21">
        <v>2.2200000000000002</v>
      </c>
      <c r="F232" s="21">
        <f>PRODUCT(C232:E232)</f>
        <v>39.96</v>
      </c>
      <c r="G232" s="69">
        <f>F232</f>
        <v>39.96</v>
      </c>
      <c r="H232" s="22"/>
      <c r="I232" s="23"/>
      <c r="J232" s="40"/>
      <c r="K232" s="115"/>
    </row>
    <row r="233" spans="1:11" ht="15" customHeight="1">
      <c r="A233" s="18"/>
      <c r="B233" s="36" t="s">
        <v>40</v>
      </c>
      <c r="C233" s="19"/>
      <c r="D233" s="20"/>
      <c r="E233" s="21"/>
      <c r="F233" s="21"/>
      <c r="G233" s="23">
        <f>SUM(G228:G232)</f>
        <v>128.1679</v>
      </c>
      <c r="H233" s="22" t="s">
        <v>90</v>
      </c>
      <c r="I233" s="23">
        <v>181.17</v>
      </c>
      <c r="J233" s="40">
        <f>G233*I233</f>
        <v>23220.178443000001</v>
      </c>
      <c r="K233" s="21"/>
    </row>
    <row r="234" spans="1:11" ht="15" customHeight="1">
      <c r="A234" s="18"/>
      <c r="B234" s="36" t="s">
        <v>38</v>
      </c>
      <c r="C234" s="19"/>
      <c r="D234" s="20"/>
      <c r="E234" s="21"/>
      <c r="F234" s="21"/>
      <c r="G234" s="23"/>
      <c r="H234" s="22"/>
      <c r="I234" s="23"/>
      <c r="J234" s="40">
        <f>0.13*G233*1871.42/18.94</f>
        <v>1646.3187056145725</v>
      </c>
      <c r="K234" s="21"/>
    </row>
    <row r="235" spans="1:11" ht="15" customHeight="1">
      <c r="A235" s="18"/>
      <c r="B235" s="36"/>
      <c r="C235" s="19"/>
      <c r="D235" s="20"/>
      <c r="E235" s="21"/>
      <c r="F235" s="21"/>
      <c r="G235" s="23"/>
      <c r="H235" s="22"/>
      <c r="I235" s="23"/>
      <c r="J235" s="40"/>
      <c r="K235" s="21"/>
    </row>
    <row r="236" spans="1:11" ht="135.6">
      <c r="A236" s="18">
        <v>17</v>
      </c>
      <c r="B236" s="60" t="s">
        <v>68</v>
      </c>
      <c r="C236" s="60"/>
      <c r="D236" s="60"/>
      <c r="E236" s="60"/>
      <c r="F236" s="60"/>
      <c r="G236" s="60"/>
      <c r="H236" s="60"/>
      <c r="I236" s="23"/>
      <c r="J236" s="40"/>
      <c r="K236" s="21"/>
    </row>
    <row r="237" spans="1:11" ht="15" customHeight="1">
      <c r="A237" s="18"/>
      <c r="B237" s="36" t="s">
        <v>64</v>
      </c>
      <c r="C237" s="19">
        <v>0</v>
      </c>
      <c r="D237" s="20">
        <f>(13.5+12.333)/3.281</f>
        <v>7.873514172508381</v>
      </c>
      <c r="E237" s="21"/>
      <c r="F237" s="21"/>
      <c r="G237" s="38">
        <f t="shared" ref="G237" si="31">PRODUCT(C237:F237)</f>
        <v>0</v>
      </c>
      <c r="H237" s="22"/>
      <c r="I237" s="23"/>
      <c r="J237" s="40"/>
      <c r="K237" s="21"/>
    </row>
    <row r="238" spans="1:11" ht="15" customHeight="1">
      <c r="A238" s="18"/>
      <c r="B238" s="36" t="s">
        <v>40</v>
      </c>
      <c r="C238" s="19"/>
      <c r="D238" s="20"/>
      <c r="E238" s="21"/>
      <c r="F238" s="21"/>
      <c r="G238" s="23">
        <f>SUM(G237:G237)</f>
        <v>0</v>
      </c>
      <c r="H238" s="22" t="s">
        <v>65</v>
      </c>
      <c r="I238" s="23">
        <v>4132.8</v>
      </c>
      <c r="J238" s="40">
        <f>G238*I238</f>
        <v>0</v>
      </c>
      <c r="K238" s="21"/>
    </row>
    <row r="239" spans="1:11" ht="15" customHeight="1">
      <c r="A239" s="18"/>
      <c r="B239" s="36" t="s">
        <v>38</v>
      </c>
      <c r="C239" s="19"/>
      <c r="D239" s="20"/>
      <c r="E239" s="21"/>
      <c r="F239" s="21"/>
      <c r="G239" s="23"/>
      <c r="H239" s="22"/>
      <c r="I239" s="23"/>
      <c r="J239" s="40">
        <f>0.13*G238*4132.8</f>
        <v>0</v>
      </c>
      <c r="K239" s="21"/>
    </row>
    <row r="240" spans="1:11" ht="15" customHeight="1">
      <c r="A240" s="18"/>
      <c r="B240" s="36"/>
      <c r="C240" s="19"/>
      <c r="D240" s="20"/>
      <c r="E240" s="21"/>
      <c r="F240" s="21"/>
      <c r="G240" s="23"/>
      <c r="H240" s="22"/>
      <c r="I240" s="23"/>
      <c r="J240" s="40"/>
      <c r="K240" s="21"/>
    </row>
    <row r="241" spans="1:17" ht="30.6">
      <c r="A241" s="18">
        <v>18</v>
      </c>
      <c r="B241" s="60" t="s">
        <v>93</v>
      </c>
      <c r="C241" s="19"/>
      <c r="D241" s="20"/>
      <c r="E241" s="21"/>
      <c r="F241" s="21"/>
      <c r="G241" s="23"/>
      <c r="H241" s="22"/>
      <c r="I241" s="23"/>
      <c r="J241" s="40"/>
      <c r="K241" s="21"/>
    </row>
    <row r="242" spans="1:17" ht="15" customHeight="1">
      <c r="A242" s="18"/>
      <c r="B242" s="36" t="s">
        <v>94</v>
      </c>
      <c r="C242" s="19">
        <v>0</v>
      </c>
      <c r="D242" s="20">
        <v>3.23</v>
      </c>
      <c r="E242" s="21"/>
      <c r="F242" s="21">
        <v>2.5350000000000001</v>
      </c>
      <c r="G242" s="38">
        <f t="shared" ref="G242" si="32">PRODUCT(C242:F242)</f>
        <v>0</v>
      </c>
      <c r="H242" s="22"/>
      <c r="I242" s="23"/>
      <c r="J242" s="40"/>
      <c r="K242" s="21"/>
    </row>
    <row r="243" spans="1:17" ht="15" customHeight="1">
      <c r="A243" s="18"/>
      <c r="B243" s="36" t="s">
        <v>40</v>
      </c>
      <c r="C243" s="19"/>
      <c r="D243" s="20"/>
      <c r="E243" s="21"/>
      <c r="F243" s="21"/>
      <c r="G243" s="23">
        <f>SUM(G242:G242)</f>
        <v>0</v>
      </c>
      <c r="H243" s="22" t="s">
        <v>62</v>
      </c>
      <c r="I243" s="23">
        <v>6391.43</v>
      </c>
      <c r="J243" s="40">
        <f>G243*I243</f>
        <v>0</v>
      </c>
      <c r="K243" s="21"/>
      <c r="M243" s="116"/>
    </row>
    <row r="244" spans="1:17" ht="15" customHeight="1">
      <c r="A244" s="18"/>
      <c r="B244" s="36" t="s">
        <v>38</v>
      </c>
      <c r="C244" s="19"/>
      <c r="D244" s="20"/>
      <c r="E244" s="21"/>
      <c r="F244" s="21"/>
      <c r="G244" s="23"/>
      <c r="H244" s="22"/>
      <c r="I244" s="23"/>
      <c r="J244" s="40">
        <f>0.13*J243</f>
        <v>0</v>
      </c>
      <c r="K244" s="21"/>
    </row>
    <row r="245" spans="1:17" ht="15" customHeight="1">
      <c r="A245" s="18"/>
      <c r="B245" s="36"/>
      <c r="C245" s="19"/>
      <c r="D245" s="20"/>
      <c r="E245" s="21"/>
      <c r="F245" s="21"/>
      <c r="G245" s="23"/>
      <c r="H245" s="22"/>
      <c r="I245" s="23"/>
      <c r="J245" s="40"/>
      <c r="K245" s="21"/>
    </row>
    <row r="246" spans="1:17" ht="15" customHeight="1">
      <c r="A246" s="18">
        <v>19</v>
      </c>
      <c r="B246" s="30" t="s">
        <v>66</v>
      </c>
      <c r="C246" s="19">
        <v>0</v>
      </c>
      <c r="D246" s="20"/>
      <c r="E246" s="21"/>
      <c r="F246" s="21"/>
      <c r="G246" s="33">
        <f t="shared" ref="G246" si="33">PRODUCT(C246:F246)</f>
        <v>0</v>
      </c>
      <c r="H246" s="22" t="s">
        <v>67</v>
      </c>
      <c r="I246" s="23">
        <v>5000</v>
      </c>
      <c r="J246" s="33">
        <f>G246*I246</f>
        <v>0</v>
      </c>
      <c r="K246" s="21"/>
    </row>
    <row r="247" spans="1:17" ht="15" customHeight="1">
      <c r="A247" s="18"/>
      <c r="B247" s="36"/>
      <c r="C247" s="19"/>
      <c r="D247" s="20"/>
      <c r="E247" s="21"/>
      <c r="F247" s="21"/>
      <c r="G247" s="23"/>
      <c r="H247" s="22"/>
      <c r="I247" s="23"/>
      <c r="J247" s="40"/>
      <c r="K247" s="21"/>
    </row>
    <row r="248" spans="1:17" ht="15" customHeight="1">
      <c r="A248" s="18">
        <v>20</v>
      </c>
      <c r="B248" s="30" t="s">
        <v>30</v>
      </c>
      <c r="C248" s="19">
        <v>1</v>
      </c>
      <c r="D248" s="20"/>
      <c r="E248" s="21"/>
      <c r="F248" s="21"/>
      <c r="G248" s="33">
        <f t="shared" ref="G248" si="34">PRODUCT(C248:F248)</f>
        <v>1</v>
      </c>
      <c r="H248" s="22" t="s">
        <v>31</v>
      </c>
      <c r="I248" s="23">
        <v>500</v>
      </c>
      <c r="J248" s="33">
        <f>G248*I248</f>
        <v>500</v>
      </c>
      <c r="K248" s="21"/>
    </row>
    <row r="249" spans="1:17" ht="15" customHeight="1">
      <c r="A249" s="18"/>
      <c r="B249" s="24"/>
      <c r="C249" s="19"/>
      <c r="D249" s="20"/>
      <c r="E249" s="21"/>
      <c r="F249" s="21"/>
      <c r="G249" s="23"/>
      <c r="H249" s="22"/>
      <c r="I249" s="23"/>
      <c r="J249" s="40"/>
      <c r="K249" s="21"/>
    </row>
    <row r="250" spans="1:17">
      <c r="A250" s="39"/>
      <c r="B250" s="41" t="s">
        <v>17</v>
      </c>
      <c r="C250" s="42"/>
      <c r="D250" s="37"/>
      <c r="E250" s="37"/>
      <c r="F250" s="37"/>
      <c r="G250" s="40"/>
      <c r="H250" s="40"/>
      <c r="I250" s="40"/>
      <c r="J250" s="40">
        <f>SUM(J10:J248)</f>
        <v>433248.71172694775</v>
      </c>
      <c r="K250" s="35"/>
    </row>
    <row r="251" spans="1:17">
      <c r="A251" s="53"/>
      <c r="B251" s="56"/>
      <c r="C251" s="57"/>
      <c r="D251" s="54"/>
      <c r="E251" s="54"/>
      <c r="F251" s="54"/>
      <c r="G251" s="55"/>
      <c r="H251" s="55"/>
      <c r="I251" s="55"/>
      <c r="J251" s="55"/>
      <c r="K251" s="52"/>
    </row>
    <row r="252" spans="1:17" s="1" customFormat="1">
      <c r="A252" s="45"/>
      <c r="B252" s="29" t="s">
        <v>27</v>
      </c>
      <c r="C252" s="119">
        <f>J250</f>
        <v>433248.71172694775</v>
      </c>
      <c r="D252" s="119"/>
      <c r="E252" s="38">
        <v>100</v>
      </c>
      <c r="F252" s="46"/>
      <c r="G252" s="47"/>
      <c r="H252" s="46"/>
      <c r="I252" s="48"/>
      <c r="J252" s="49"/>
      <c r="K252" s="50"/>
    </row>
    <row r="253" spans="1:17">
      <c r="A253" s="51"/>
      <c r="B253" s="29" t="s">
        <v>32</v>
      </c>
      <c r="C253" s="122">
        <v>500000</v>
      </c>
      <c r="D253" s="122"/>
      <c r="E253" s="38"/>
      <c r="F253" s="44"/>
      <c r="G253" s="43"/>
      <c r="H253" s="53"/>
      <c r="I253" s="53"/>
      <c r="J253" s="53"/>
      <c r="K253" s="52"/>
      <c r="L253" s="34"/>
      <c r="M253" s="34"/>
      <c r="N253" s="34"/>
      <c r="O253" s="34"/>
      <c r="P253" s="34"/>
      <c r="Q253" s="34"/>
    </row>
    <row r="254" spans="1:17" ht="14.4" customHeight="1">
      <c r="A254" s="51"/>
      <c r="B254" s="29" t="s">
        <v>33</v>
      </c>
      <c r="C254" s="122">
        <f>C253-C256-C257</f>
        <v>475000</v>
      </c>
      <c r="D254" s="122"/>
      <c r="E254" s="38">
        <f>C254/C252*100</f>
        <v>109.63679455771025</v>
      </c>
      <c r="F254" s="44"/>
      <c r="G254" s="43"/>
      <c r="H254" s="53"/>
      <c r="I254" s="25"/>
      <c r="J254" s="25"/>
      <c r="K254" s="25"/>
      <c r="L254" s="25"/>
      <c r="M254" s="25"/>
      <c r="N254" s="25"/>
      <c r="O254" s="25"/>
      <c r="P254" s="25"/>
      <c r="Q254" s="34"/>
    </row>
    <row r="255" spans="1:17" ht="14.4" customHeight="1">
      <c r="A255" s="51"/>
      <c r="B255" s="29" t="s">
        <v>34</v>
      </c>
      <c r="C255" s="119">
        <f>C252-C254</f>
        <v>-41751.288273052254</v>
      </c>
      <c r="D255" s="119"/>
      <c r="E255" s="38">
        <f>100-E254</f>
        <v>-9.6367945577102461</v>
      </c>
      <c r="F255" s="44"/>
      <c r="G255" s="43"/>
      <c r="H255" s="53"/>
      <c r="I255" s="25"/>
      <c r="J255" s="25"/>
      <c r="K255" s="25"/>
      <c r="L255" s="25"/>
      <c r="M255" s="25"/>
      <c r="N255" s="25"/>
      <c r="O255" s="25"/>
      <c r="P255" s="25"/>
      <c r="Q255" s="34"/>
    </row>
    <row r="256" spans="1:17">
      <c r="A256" s="51"/>
      <c r="B256" s="29" t="s">
        <v>35</v>
      </c>
      <c r="C256" s="119">
        <f>C253*0.03</f>
        <v>15000</v>
      </c>
      <c r="D256" s="119"/>
      <c r="E256" s="38">
        <v>3</v>
      </c>
      <c r="F256" s="44"/>
      <c r="G256" s="43"/>
      <c r="H256" s="53"/>
      <c r="I256" s="53"/>
      <c r="J256" s="53"/>
      <c r="K256" s="52"/>
      <c r="L256" s="34"/>
      <c r="M256" s="34"/>
      <c r="N256" s="34"/>
      <c r="O256" s="34"/>
      <c r="P256" s="34"/>
      <c r="Q256" s="34"/>
    </row>
    <row r="257" spans="1:17">
      <c r="A257" s="51"/>
      <c r="B257" s="29" t="s">
        <v>36</v>
      </c>
      <c r="C257" s="119">
        <f>C253*0.02</f>
        <v>10000</v>
      </c>
      <c r="D257" s="119"/>
      <c r="E257" s="38">
        <v>2</v>
      </c>
      <c r="F257" s="44"/>
      <c r="G257" s="43"/>
      <c r="H257" s="53"/>
      <c r="I257" s="53"/>
      <c r="J257" s="53"/>
      <c r="K257" s="52"/>
      <c r="L257" s="34"/>
      <c r="M257" s="34"/>
      <c r="N257" s="34"/>
      <c r="O257" s="34"/>
      <c r="P257" s="34"/>
      <c r="Q257" s="34"/>
    </row>
    <row r="258" spans="1:17" s="34" customFormat="1">
      <c r="A258" s="52"/>
      <c r="B258" s="52"/>
      <c r="C258" s="52"/>
      <c r="D258" s="52"/>
      <c r="E258" s="52"/>
      <c r="F258" s="52"/>
      <c r="G258" s="52"/>
      <c r="H258" s="52"/>
      <c r="I258" s="52"/>
      <c r="J258" s="52"/>
      <c r="K258" s="52"/>
    </row>
    <row r="259" spans="1:17" s="34" customFormat="1"/>
    <row r="260" spans="1:17" s="34" customFormat="1"/>
    <row r="261" spans="1:17" s="34" customFormat="1"/>
    <row r="262" spans="1:17" s="34" customFormat="1"/>
    <row r="263" spans="1:17" s="34" customFormat="1"/>
    <row r="264" spans="1:17" s="34" customFormat="1"/>
    <row r="265" spans="1:17" s="34" customFormat="1"/>
    <row r="266" spans="1:17" s="34" customFormat="1"/>
    <row r="267" spans="1:17" s="34" customFormat="1"/>
    <row r="268" spans="1:17" s="34" customFormat="1"/>
    <row r="269" spans="1:17" s="34" customFormat="1"/>
    <row r="270" spans="1:17" s="34" customFormat="1"/>
    <row r="271" spans="1:17" s="34" customFormat="1"/>
    <row r="272" spans="1:17" s="34" customFormat="1"/>
    <row r="273" s="34" customFormat="1"/>
    <row r="274" s="34" customFormat="1"/>
    <row r="275" s="34" customFormat="1"/>
    <row r="276" s="34" customFormat="1"/>
    <row r="277" s="34" customFormat="1"/>
    <row r="278" s="34" customFormat="1"/>
    <row r="279" s="34" customFormat="1"/>
    <row r="280" s="34" customFormat="1"/>
    <row r="281" s="34" customFormat="1"/>
    <row r="282" s="34" customFormat="1"/>
    <row r="283" s="34" customFormat="1"/>
    <row r="284" s="34" customFormat="1"/>
    <row r="285" s="34" customFormat="1"/>
    <row r="286" s="34" customFormat="1"/>
    <row r="287" s="34" customFormat="1"/>
    <row r="288" s="34" customFormat="1"/>
    <row r="289" s="34" customFormat="1"/>
    <row r="290" s="34" customFormat="1"/>
    <row r="291" s="34" customFormat="1"/>
    <row r="292" s="34" customFormat="1"/>
    <row r="293" s="34" customFormat="1"/>
    <row r="294" s="34" customFormat="1"/>
    <row r="295" s="34" customFormat="1"/>
    <row r="296" s="34" customFormat="1"/>
    <row r="297" s="34" customFormat="1"/>
    <row r="298" s="34" customFormat="1"/>
    <row r="299" s="34" customFormat="1"/>
    <row r="300" s="34" customFormat="1"/>
    <row r="301" s="34" customFormat="1"/>
    <row r="302" s="34" customFormat="1"/>
    <row r="303" s="34" customFormat="1"/>
    <row r="304" s="34" customFormat="1"/>
    <row r="305" s="34" customFormat="1"/>
    <row r="306" s="34" customFormat="1"/>
    <row r="307" s="34" customFormat="1"/>
    <row r="308" s="34" customFormat="1"/>
    <row r="309" s="34" customFormat="1"/>
    <row r="310" s="34" customFormat="1"/>
    <row r="311" s="34" customFormat="1"/>
    <row r="312" s="34" customFormat="1"/>
    <row r="313" s="34" customFormat="1"/>
    <row r="314" s="34" customFormat="1"/>
  </sheetData>
  <mergeCells count="19">
    <mergeCell ref="N11:T11"/>
    <mergeCell ref="C252:D252"/>
    <mergeCell ref="C253:D253"/>
    <mergeCell ref="C254:D254"/>
    <mergeCell ref="A1:K1"/>
    <mergeCell ref="A2:K2"/>
    <mergeCell ref="A3:K3"/>
    <mergeCell ref="A4:K4"/>
    <mergeCell ref="A5:K5"/>
    <mergeCell ref="A6:F6"/>
    <mergeCell ref="H6:K6"/>
    <mergeCell ref="C255:D255"/>
    <mergeCell ref="C256:D256"/>
    <mergeCell ref="C257:D257"/>
    <mergeCell ref="A7:F7"/>
    <mergeCell ref="H7:K7"/>
    <mergeCell ref="D170:E170"/>
    <mergeCell ref="D171:E171"/>
    <mergeCell ref="K227:K230"/>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3"/>
  <sheetViews>
    <sheetView topLeftCell="A10" workbookViewId="0">
      <selection activeCell="E27" sqref="E27"/>
    </sheetView>
  </sheetViews>
  <sheetFormatPr defaultRowHeight="14.4"/>
  <cols>
    <col min="2" max="2" width="13.6640625" bestFit="1" customWidth="1"/>
    <col min="4" max="4" width="9.88671875" customWidth="1"/>
    <col min="5" max="5" width="10.33203125" customWidth="1"/>
    <col min="6" max="6" width="14.88671875" customWidth="1"/>
    <col min="7" max="7" width="9.6640625" bestFit="1" customWidth="1"/>
  </cols>
  <sheetData>
    <row r="3" spans="1:7" ht="19.8">
      <c r="A3" s="151" t="s">
        <v>115</v>
      </c>
      <c r="B3" s="151"/>
      <c r="C3" s="151"/>
      <c r="D3" s="151"/>
      <c r="E3" s="151"/>
      <c r="F3" s="151"/>
      <c r="G3" s="151"/>
    </row>
    <row r="4" spans="1:7" ht="19.8">
      <c r="A4" s="117" t="s">
        <v>116</v>
      </c>
      <c r="B4" s="151"/>
      <c r="C4" s="151"/>
      <c r="D4" s="151"/>
      <c r="E4" s="151"/>
      <c r="F4" s="151"/>
      <c r="G4" s="151"/>
    </row>
    <row r="5" spans="1:7" ht="19.8">
      <c r="A5" s="117" t="s">
        <v>117</v>
      </c>
      <c r="B5" s="151"/>
      <c r="C5" s="151"/>
      <c r="D5" s="151"/>
      <c r="E5" s="151"/>
      <c r="F5" s="151"/>
      <c r="G5" s="151"/>
    </row>
    <row r="6" spans="1:7">
      <c r="A6" s="152" t="s">
        <v>118</v>
      </c>
      <c r="B6" s="152"/>
      <c r="C6" s="152"/>
      <c r="D6" s="152"/>
      <c r="E6" s="152"/>
      <c r="F6" s="152"/>
      <c r="G6" s="152"/>
    </row>
    <row r="7" spans="1:7" ht="48.6">
      <c r="A7" s="97" t="s">
        <v>119</v>
      </c>
      <c r="B7" s="97" t="s">
        <v>120</v>
      </c>
      <c r="C7" s="97" t="s">
        <v>121</v>
      </c>
      <c r="D7" s="97" t="s">
        <v>122</v>
      </c>
      <c r="E7" s="97" t="s">
        <v>123</v>
      </c>
      <c r="F7" s="97" t="s">
        <v>124</v>
      </c>
      <c r="G7" s="97" t="s">
        <v>125</v>
      </c>
    </row>
    <row r="8" spans="1:7" ht="16.8">
      <c r="A8" s="147" t="s">
        <v>126</v>
      </c>
      <c r="B8" s="97" t="s">
        <v>127</v>
      </c>
      <c r="C8" s="100">
        <v>1.5</v>
      </c>
      <c r="D8" s="98" t="s">
        <v>128</v>
      </c>
      <c r="E8" s="5">
        <v>1225</v>
      </c>
      <c r="F8" s="101">
        <f t="shared" ref="F8:F10" si="0">FLOOR(C8*E8,0.01)</f>
        <v>1837.5</v>
      </c>
      <c r="G8" s="102"/>
    </row>
    <row r="9" spans="1:7" ht="16.8">
      <c r="A9" s="148"/>
      <c r="B9" s="98" t="s">
        <v>129</v>
      </c>
      <c r="C9" s="100">
        <v>2.2000000000000002</v>
      </c>
      <c r="D9" s="98" t="s">
        <v>128</v>
      </c>
      <c r="E9" s="5">
        <v>920</v>
      </c>
      <c r="F9" s="101">
        <f t="shared" si="0"/>
        <v>2024</v>
      </c>
      <c r="G9" s="103"/>
    </row>
    <row r="10" spans="1:7" ht="16.8">
      <c r="A10" s="148"/>
      <c r="B10" s="98" t="s">
        <v>130</v>
      </c>
      <c r="C10" s="100">
        <v>0.2</v>
      </c>
      <c r="D10" s="98" t="s">
        <v>128</v>
      </c>
      <c r="E10" s="5">
        <v>920</v>
      </c>
      <c r="F10" s="101">
        <f t="shared" si="0"/>
        <v>184</v>
      </c>
      <c r="G10" s="102">
        <f>SUM(F8+F9+F10)</f>
        <v>4045.5</v>
      </c>
    </row>
    <row r="11" spans="1:7" ht="16.8">
      <c r="A11" s="5"/>
      <c r="B11" s="98" t="s">
        <v>131</v>
      </c>
      <c r="C11" s="104">
        <v>560</v>
      </c>
      <c r="D11" s="98" t="s">
        <v>132</v>
      </c>
      <c r="E11" s="5">
        <v>15.145</v>
      </c>
      <c r="F11" s="101">
        <v>8481.2000000000007</v>
      </c>
      <c r="G11" s="5"/>
    </row>
    <row r="12" spans="1:7" ht="16.8">
      <c r="A12" s="98" t="s">
        <v>133</v>
      </c>
      <c r="B12" s="98" t="s">
        <v>134</v>
      </c>
      <c r="C12" s="100">
        <v>7.0000000000000007E-2</v>
      </c>
      <c r="D12" s="98" t="s">
        <v>135</v>
      </c>
      <c r="E12" s="5">
        <v>12131</v>
      </c>
      <c r="F12" s="101">
        <v>849.17000000000007</v>
      </c>
      <c r="G12" s="5"/>
    </row>
    <row r="13" spans="1:7" ht="16.8">
      <c r="A13" s="5"/>
      <c r="B13" s="98" t="s">
        <v>136</v>
      </c>
      <c r="C13" s="100">
        <v>0.3</v>
      </c>
      <c r="D13" s="98" t="s">
        <v>137</v>
      </c>
      <c r="E13" s="5">
        <v>3177.9</v>
      </c>
      <c r="F13" s="101">
        <v>953.37</v>
      </c>
      <c r="G13" s="5"/>
    </row>
    <row r="14" spans="1:7" ht="16.8">
      <c r="A14" s="5"/>
      <c r="B14" s="98" t="s">
        <v>138</v>
      </c>
      <c r="C14" s="100">
        <v>100</v>
      </c>
      <c r="D14" s="98" t="s">
        <v>139</v>
      </c>
      <c r="E14" s="5">
        <v>0.28000000000000003</v>
      </c>
      <c r="F14" s="101">
        <v>28</v>
      </c>
      <c r="G14" s="102">
        <f>SUM(F11:F14)</f>
        <v>10311.740000000002</v>
      </c>
    </row>
    <row r="15" spans="1:7" ht="16.8">
      <c r="A15" s="5"/>
      <c r="B15" s="98" t="s">
        <v>140</v>
      </c>
      <c r="C15" s="149" t="s">
        <v>141</v>
      </c>
      <c r="D15" s="150"/>
      <c r="E15" s="5"/>
      <c r="F15" s="5"/>
      <c r="G15" s="102">
        <f>INT(F10*0.03*100)/100</f>
        <v>5.52</v>
      </c>
    </row>
    <row r="16" spans="1:7" ht="18">
      <c r="A16" s="5"/>
      <c r="B16" s="5"/>
      <c r="C16" s="5"/>
      <c r="D16" s="5"/>
      <c r="E16" s="105" t="s">
        <v>142</v>
      </c>
      <c r="F16" s="106"/>
      <c r="G16" s="99">
        <f>SUM(G8:G15)</f>
        <v>14362.760000000002</v>
      </c>
    </row>
    <row r="17" spans="1:7" ht="18">
      <c r="A17" s="103"/>
      <c r="B17" s="103" t="s">
        <v>143</v>
      </c>
      <c r="C17" s="5"/>
      <c r="D17" s="5"/>
      <c r="E17" s="105" t="s">
        <v>144</v>
      </c>
      <c r="F17" s="106"/>
      <c r="G17" s="99">
        <f>FLOOR(G16*0.15,0.01)</f>
        <v>2154.41</v>
      </c>
    </row>
    <row r="18" spans="1:7" ht="18">
      <c r="A18" s="107" t="s">
        <v>145</v>
      </c>
      <c r="B18" s="99">
        <f>+G18</f>
        <v>16517.170000000002</v>
      </c>
      <c r="C18" s="5"/>
      <c r="D18" s="5"/>
      <c r="E18" s="105" t="s">
        <v>146</v>
      </c>
      <c r="F18" s="106"/>
      <c r="G18" s="99">
        <f>SUM(G16:G17)</f>
        <v>16517.170000000002</v>
      </c>
    </row>
    <row r="21" spans="1:7" ht="48.6">
      <c r="A21" s="97" t="s">
        <v>119</v>
      </c>
      <c r="B21" s="97" t="s">
        <v>120</v>
      </c>
      <c r="C21" s="97" t="s">
        <v>121</v>
      </c>
      <c r="D21" s="97" t="s">
        <v>122</v>
      </c>
      <c r="E21" s="97" t="s">
        <v>123</v>
      </c>
      <c r="F21" s="97" t="s">
        <v>124</v>
      </c>
      <c r="G21" s="97" t="s">
        <v>125</v>
      </c>
    </row>
    <row r="22" spans="1:7" ht="16.8">
      <c r="A22" s="147" t="s">
        <v>126</v>
      </c>
      <c r="B22" s="97" t="s">
        <v>127</v>
      </c>
      <c r="C22" s="100">
        <v>1.5</v>
      </c>
      <c r="D22" s="98" t="s">
        <v>128</v>
      </c>
      <c r="E22" s="5">
        <v>1225</v>
      </c>
      <c r="F22" s="101">
        <f>FLOOR(C22*E22,0.01)</f>
        <v>1837.5</v>
      </c>
      <c r="G22" s="102"/>
    </row>
    <row r="23" spans="1:7" ht="16.8">
      <c r="A23" s="148"/>
      <c r="B23" s="98" t="s">
        <v>129</v>
      </c>
      <c r="C23" s="100">
        <v>2.2000000000000002</v>
      </c>
      <c r="D23" s="98" t="s">
        <v>128</v>
      </c>
      <c r="E23" s="5">
        <v>920</v>
      </c>
      <c r="F23" s="101">
        <f t="shared" ref="F23:F24" si="1">FLOOR(C23*E23,0.01)</f>
        <v>2024</v>
      </c>
      <c r="G23" s="103"/>
    </row>
    <row r="24" spans="1:7" ht="16.8">
      <c r="A24" s="148"/>
      <c r="B24" s="98" t="s">
        <v>130</v>
      </c>
      <c r="C24" s="100">
        <v>0.2</v>
      </c>
      <c r="D24" s="98" t="s">
        <v>128</v>
      </c>
      <c r="E24" s="5">
        <v>920</v>
      </c>
      <c r="F24" s="101">
        <f t="shared" si="1"/>
        <v>184</v>
      </c>
      <c r="G24" s="102">
        <f>SUM(F22+F23+F24)</f>
        <v>4045.5</v>
      </c>
    </row>
    <row r="25" spans="1:7" ht="16.8">
      <c r="A25" s="5"/>
      <c r="B25" s="98" t="s">
        <v>131</v>
      </c>
      <c r="C25" s="104">
        <f>0.25*560</f>
        <v>140</v>
      </c>
      <c r="D25" s="98" t="s">
        <v>132</v>
      </c>
      <c r="E25" s="5">
        <v>15.145</v>
      </c>
      <c r="F25" s="101">
        <f>C25*E25</f>
        <v>2120.2999999999997</v>
      </c>
      <c r="G25" s="5"/>
    </row>
    <row r="26" spans="1:7" ht="16.8">
      <c r="A26" s="5"/>
      <c r="B26" s="98" t="s">
        <v>162</v>
      </c>
      <c r="C26" s="104">
        <f>560-C25</f>
        <v>420</v>
      </c>
      <c r="D26" s="98" t="s">
        <v>132</v>
      </c>
      <c r="E26" s="5">
        <v>0</v>
      </c>
      <c r="F26" s="101">
        <f>C26*E26</f>
        <v>0</v>
      </c>
      <c r="G26" s="5"/>
    </row>
    <row r="27" spans="1:7" ht="16.8">
      <c r="A27" s="98" t="s">
        <v>133</v>
      </c>
      <c r="B27" s="98" t="s">
        <v>134</v>
      </c>
      <c r="C27" s="100">
        <v>7.0000000000000007E-2</v>
      </c>
      <c r="D27" s="98" t="s">
        <v>135</v>
      </c>
      <c r="E27" s="5">
        <v>12131</v>
      </c>
      <c r="F27" s="101">
        <f t="shared" ref="F27:F29" si="2">C27*E27</f>
        <v>849.17000000000007</v>
      </c>
      <c r="G27" s="5"/>
    </row>
    <row r="28" spans="1:7" ht="16.8">
      <c r="A28" s="5"/>
      <c r="B28" s="98" t="s">
        <v>136</v>
      </c>
      <c r="C28" s="100">
        <v>0.3</v>
      </c>
      <c r="D28" s="98" t="s">
        <v>137</v>
      </c>
      <c r="E28" s="5">
        <v>3177.9</v>
      </c>
      <c r="F28" s="101">
        <f t="shared" si="2"/>
        <v>953.37</v>
      </c>
      <c r="G28" s="5"/>
    </row>
    <row r="29" spans="1:7" ht="16.8">
      <c r="A29" s="5"/>
      <c r="B29" s="98" t="s">
        <v>138</v>
      </c>
      <c r="C29" s="100">
        <v>100</v>
      </c>
      <c r="D29" s="98" t="s">
        <v>139</v>
      </c>
      <c r="E29" s="5">
        <v>0.28000000000000003</v>
      </c>
      <c r="F29" s="101">
        <f t="shared" si="2"/>
        <v>28.000000000000004</v>
      </c>
      <c r="G29" s="102">
        <f>SUM(F25:F29)</f>
        <v>3950.8399999999997</v>
      </c>
    </row>
    <row r="30" spans="1:7" ht="16.8">
      <c r="A30" s="5"/>
      <c r="B30" s="98" t="s">
        <v>140</v>
      </c>
      <c r="C30" s="149" t="s">
        <v>141</v>
      </c>
      <c r="D30" s="150"/>
      <c r="E30" s="5"/>
      <c r="F30" s="5"/>
      <c r="G30" s="102">
        <f>INT(F24*0.03*100)/100</f>
        <v>5.52</v>
      </c>
    </row>
    <row r="31" spans="1:7" ht="18">
      <c r="A31" s="5"/>
      <c r="B31" s="5"/>
      <c r="C31" s="5"/>
      <c r="D31" s="5"/>
      <c r="E31" s="105" t="s">
        <v>142</v>
      </c>
      <c r="F31" s="106"/>
      <c r="G31" s="99">
        <f>SUM(G22:G30)</f>
        <v>8001.8600000000006</v>
      </c>
    </row>
    <row r="32" spans="1:7" ht="18">
      <c r="A32" s="103"/>
      <c r="B32" s="103" t="s">
        <v>143</v>
      </c>
      <c r="C32" s="5"/>
      <c r="D32" s="5"/>
      <c r="E32" s="105" t="s">
        <v>144</v>
      </c>
      <c r="F32" s="106"/>
      <c r="G32" s="99">
        <f>FLOOR(G31*0.15,0.01)</f>
        <v>1200.27</v>
      </c>
    </row>
    <row r="33" spans="1:7" ht="18">
      <c r="A33" s="107" t="s">
        <v>145</v>
      </c>
      <c r="B33" s="99">
        <f>+G33</f>
        <v>9202.130000000001</v>
      </c>
      <c r="C33" s="5"/>
      <c r="D33" s="5"/>
      <c r="E33" s="105" t="s">
        <v>146</v>
      </c>
      <c r="F33" s="106"/>
      <c r="G33" s="99">
        <f>SUM(G31:G32)</f>
        <v>9202.130000000001</v>
      </c>
    </row>
  </sheetData>
  <mergeCells count="8">
    <mergeCell ref="A8:A10"/>
    <mergeCell ref="A22:A24"/>
    <mergeCell ref="C30:D30"/>
    <mergeCell ref="A3:G3"/>
    <mergeCell ref="A4:G4"/>
    <mergeCell ref="A5:G5"/>
    <mergeCell ref="A6:G6"/>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59"/>
  <sheetViews>
    <sheetView topLeftCell="A25" zoomScaleNormal="100" workbookViewId="0">
      <selection activeCell="G15" sqref="G15"/>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 min="13" max="13" width="27.44140625" bestFit="1" customWidth="1"/>
    <col min="16" max="16" width="26.44140625" bestFit="1" customWidth="1"/>
  </cols>
  <sheetData>
    <row r="1" spans="1:20" s="1" customFormat="1">
      <c r="A1" s="125" t="s">
        <v>0</v>
      </c>
      <c r="B1" s="125"/>
      <c r="C1" s="125"/>
      <c r="D1" s="125"/>
      <c r="E1" s="125"/>
      <c r="F1" s="125"/>
      <c r="G1" s="125"/>
      <c r="H1" s="125"/>
      <c r="I1" s="125"/>
      <c r="J1" s="125"/>
      <c r="K1" s="125"/>
    </row>
    <row r="2" spans="1:20" s="1" customFormat="1" ht="22.8">
      <c r="A2" s="126" t="s">
        <v>1</v>
      </c>
      <c r="B2" s="126"/>
      <c r="C2" s="126"/>
      <c r="D2" s="126"/>
      <c r="E2" s="126"/>
      <c r="F2" s="126"/>
      <c r="G2" s="126"/>
      <c r="H2" s="126"/>
      <c r="I2" s="126"/>
      <c r="J2" s="126"/>
      <c r="K2" s="126"/>
    </row>
    <row r="3" spans="1:20" s="1" customFormat="1">
      <c r="A3" s="127" t="s">
        <v>2</v>
      </c>
      <c r="B3" s="127"/>
      <c r="C3" s="127"/>
      <c r="D3" s="127"/>
      <c r="E3" s="127"/>
      <c r="F3" s="127"/>
      <c r="G3" s="127"/>
      <c r="H3" s="127"/>
      <c r="I3" s="127"/>
      <c r="J3" s="127"/>
      <c r="K3" s="127"/>
    </row>
    <row r="4" spans="1:20" s="1" customFormat="1">
      <c r="A4" s="127" t="s">
        <v>3</v>
      </c>
      <c r="B4" s="127"/>
      <c r="C4" s="127"/>
      <c r="D4" s="127"/>
      <c r="E4" s="127"/>
      <c r="F4" s="127"/>
      <c r="G4" s="127"/>
      <c r="H4" s="127"/>
      <c r="I4" s="127"/>
      <c r="J4" s="127"/>
      <c r="K4" s="127"/>
    </row>
    <row r="5" spans="1:20" ht="17.399999999999999">
      <c r="A5" s="128" t="s">
        <v>4</v>
      </c>
      <c r="B5" s="128"/>
      <c r="C5" s="128"/>
      <c r="D5" s="128"/>
      <c r="E5" s="128"/>
      <c r="F5" s="128"/>
      <c r="G5" s="128"/>
      <c r="H5" s="128"/>
      <c r="I5" s="128"/>
      <c r="J5" s="128"/>
      <c r="K5" s="128"/>
    </row>
    <row r="6" spans="1:20" ht="15.6">
      <c r="A6" s="123" t="s">
        <v>96</v>
      </c>
      <c r="B6" s="123"/>
      <c r="C6" s="123"/>
      <c r="D6" s="123"/>
      <c r="E6" s="123"/>
      <c r="F6" s="123"/>
      <c r="G6" s="2"/>
      <c r="H6" s="124" t="s">
        <v>43</v>
      </c>
      <c r="I6" s="124"/>
      <c r="J6" s="124"/>
      <c r="K6" s="124"/>
    </row>
    <row r="7" spans="1:20" ht="15.6">
      <c r="A7" s="120" t="s">
        <v>28</v>
      </c>
      <c r="B7" s="120"/>
      <c r="C7" s="120"/>
      <c r="D7" s="120"/>
      <c r="E7" s="120"/>
      <c r="F7" s="120"/>
      <c r="G7" s="3"/>
      <c r="H7" s="121" t="s">
        <v>95</v>
      </c>
      <c r="I7" s="121"/>
      <c r="J7" s="121"/>
      <c r="K7" s="121"/>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17" t="s">
        <v>52</v>
      </c>
      <c r="O11" s="118"/>
      <c r="P11" s="118"/>
      <c r="Q11" s="118"/>
      <c r="R11" s="118"/>
      <c r="S11" s="118"/>
      <c r="T11" s="118"/>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24.2">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92" t="s">
        <v>153</v>
      </c>
      <c r="C25" s="86">
        <f>2*1</f>
        <v>2</v>
      </c>
      <c r="D25" s="87">
        <f>(9.75*3+15/12)/3.281</f>
        <v>9.2959463578177388</v>
      </c>
      <c r="E25" s="88">
        <v>0.23</v>
      </c>
      <c r="F25" s="88">
        <v>0.05</v>
      </c>
      <c r="G25" s="95">
        <f>PRODUCT(C25:F25)</f>
        <v>0.21380676622980799</v>
      </c>
      <c r="H25" s="22"/>
      <c r="I25" s="23"/>
      <c r="J25" s="40"/>
      <c r="K25" s="21"/>
    </row>
    <row r="26" spans="1:11" ht="15" customHeight="1">
      <c r="A26" s="18"/>
      <c r="B26" s="92"/>
      <c r="C26" s="86">
        <f>2*3</f>
        <v>6</v>
      </c>
      <c r="D26" s="87">
        <f>14/12/3.281</f>
        <v>0.35558264756679875</v>
      </c>
      <c r="E26" s="87">
        <f>14/12/3.281</f>
        <v>0.35558264756679875</v>
      </c>
      <c r="F26" s="88">
        <v>0.05</v>
      </c>
      <c r="G26" s="95">
        <f>PRODUCT(C26:F26)</f>
        <v>3.7931705775184267E-2</v>
      </c>
      <c r="H26" s="22"/>
      <c r="I26" s="23"/>
      <c r="J26" s="40"/>
      <c r="K26" s="21"/>
    </row>
    <row r="27" spans="1:11" ht="15" customHeight="1">
      <c r="A27" s="18"/>
      <c r="B27" s="36" t="s">
        <v>40</v>
      </c>
      <c r="C27" s="19"/>
      <c r="D27" s="20"/>
      <c r="E27" s="21"/>
      <c r="F27" s="21"/>
      <c r="G27" s="23">
        <f>SUM(G25:G26)</f>
        <v>0.25173847200499228</v>
      </c>
      <c r="H27" s="22" t="s">
        <v>62</v>
      </c>
      <c r="I27" s="23">
        <v>1014.97</v>
      </c>
      <c r="J27" s="40">
        <f>G27*I27</f>
        <v>255.50699693090701</v>
      </c>
      <c r="K27" s="21"/>
    </row>
    <row r="28" spans="1:11" ht="15" customHeight="1">
      <c r="A28" s="18"/>
      <c r="B28" s="36" t="s">
        <v>38</v>
      </c>
      <c r="C28" s="19"/>
      <c r="D28" s="20"/>
      <c r="E28" s="21"/>
      <c r="F28" s="21"/>
      <c r="G28" s="23"/>
      <c r="H28" s="22"/>
      <c r="I28" s="23"/>
      <c r="J28" s="40">
        <f>0.13*G27*8617.2/10</f>
        <v>28.200649892498454</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153</v>
      </c>
      <c r="C31" s="19">
        <f>2*1</f>
        <v>2</v>
      </c>
      <c r="D31" s="20">
        <f>(9.75*3+15/12)/3.281</f>
        <v>9.2959463578177388</v>
      </c>
      <c r="E31" s="21">
        <v>0.23</v>
      </c>
      <c r="F31" s="21">
        <v>0.05</v>
      </c>
      <c r="G31" s="38">
        <f>PRODUCT(C31:F31)</f>
        <v>0.21380676622980799</v>
      </c>
      <c r="H31" s="22"/>
      <c r="I31" s="23"/>
      <c r="J31" s="40"/>
      <c r="K31" s="21"/>
    </row>
    <row r="32" spans="1:11" ht="15" customHeight="1">
      <c r="A32" s="18"/>
      <c r="B32" s="36"/>
      <c r="C32" s="19">
        <f>2*3</f>
        <v>6</v>
      </c>
      <c r="D32" s="20">
        <f>14/12/3.281</f>
        <v>0.35558264756679875</v>
      </c>
      <c r="E32" s="20">
        <f>14/12/3.281</f>
        <v>0.35558264756679875</v>
      </c>
      <c r="F32" s="21">
        <v>0.05</v>
      </c>
      <c r="G32" s="38">
        <f>PRODUCT(C32:F32)</f>
        <v>3.7931705775184267E-2</v>
      </c>
      <c r="H32" s="22"/>
      <c r="I32" s="23"/>
      <c r="J32" s="40"/>
      <c r="K32" s="21"/>
    </row>
    <row r="33" spans="1:11" ht="15" customHeight="1">
      <c r="A33" s="18"/>
      <c r="B33" s="36" t="s">
        <v>154</v>
      </c>
      <c r="C33" s="19">
        <v>1</v>
      </c>
      <c r="D33" s="20">
        <f>3.8+4+3.93</f>
        <v>11.73</v>
      </c>
      <c r="E33" s="20">
        <v>0.23</v>
      </c>
      <c r="F33" s="21">
        <v>0.05</v>
      </c>
      <c r="G33" s="38">
        <f>PRODUCT(C33:F33)</f>
        <v>0.13489500000000001</v>
      </c>
      <c r="H33" s="22"/>
      <c r="I33" s="23"/>
      <c r="J33" s="40"/>
      <c r="K33" s="21"/>
    </row>
    <row r="34" spans="1:11" ht="15" customHeight="1">
      <c r="A34" s="18"/>
      <c r="B34" s="36" t="s">
        <v>40</v>
      </c>
      <c r="C34" s="19"/>
      <c r="D34" s="20"/>
      <c r="E34" s="21"/>
      <c r="F34" s="21"/>
      <c r="G34" s="23">
        <f>SUM(G31:G33)</f>
        <v>0.38663347200499232</v>
      </c>
      <c r="H34" s="22" t="s">
        <v>39</v>
      </c>
      <c r="I34" s="23">
        <v>12983.1</v>
      </c>
      <c r="J34" s="40">
        <f>G34*I34</f>
        <v>5019.7010303880161</v>
      </c>
      <c r="K34" s="21"/>
    </row>
    <row r="35" spans="1:11" ht="15" customHeight="1">
      <c r="A35" s="18"/>
      <c r="B35" s="36" t="s">
        <v>38</v>
      </c>
      <c r="C35" s="19"/>
      <c r="D35" s="20"/>
      <c r="E35" s="21"/>
      <c r="F35" s="21"/>
      <c r="G35" s="23"/>
      <c r="H35" s="22"/>
      <c r="I35" s="23"/>
      <c r="J35" s="40">
        <f>0.13*G34*8078.11</f>
        <v>406.02480314997229</v>
      </c>
      <c r="K35" s="21"/>
    </row>
    <row r="36" spans="1:11" ht="15" customHeight="1">
      <c r="A36" s="18"/>
      <c r="B36" s="36"/>
      <c r="C36" s="19"/>
      <c r="D36" s="20"/>
      <c r="E36" s="21"/>
      <c r="F36" s="21"/>
      <c r="G36" s="23"/>
      <c r="H36" s="22"/>
      <c r="I36" s="23"/>
      <c r="J36" s="40"/>
      <c r="K36" s="21"/>
    </row>
    <row r="37" spans="1:11" ht="33.6">
      <c r="A37" s="18">
        <v>6</v>
      </c>
      <c r="B37" s="58" t="s">
        <v>74</v>
      </c>
      <c r="C37" s="19"/>
      <c r="D37" s="20"/>
      <c r="E37" s="21"/>
      <c r="F37" s="21"/>
      <c r="G37" s="23"/>
      <c r="H37" s="22"/>
      <c r="I37" s="23"/>
      <c r="J37" s="40"/>
      <c r="K37" s="21"/>
    </row>
    <row r="38" spans="1:11" ht="15" customHeight="1">
      <c r="A38" s="18"/>
      <c r="B38" s="36" t="s">
        <v>58</v>
      </c>
      <c r="C38" s="19">
        <v>2</v>
      </c>
      <c r="D38" s="20">
        <v>0.9</v>
      </c>
      <c r="E38" s="21">
        <v>0.9</v>
      </c>
      <c r="F38" s="21">
        <v>0.22500000000000001</v>
      </c>
      <c r="G38" s="38">
        <f>PRODUCT(C38:F38)</f>
        <v>0.36450000000000005</v>
      </c>
      <c r="H38" s="22"/>
      <c r="I38" s="23"/>
      <c r="J38" s="40"/>
      <c r="K38" s="21"/>
    </row>
    <row r="39" spans="1:11" ht="15" customHeight="1">
      <c r="A39" s="18"/>
      <c r="B39" s="36"/>
      <c r="C39" s="19">
        <v>2</v>
      </c>
      <c r="D39" s="20">
        <v>0.23</v>
      </c>
      <c r="E39" s="21">
        <v>0.23</v>
      </c>
      <c r="F39" s="21">
        <f>7.75/3.281</f>
        <v>2.3620847302651629</v>
      </c>
      <c r="G39" s="38">
        <f>PRODUCT(C39:F39)</f>
        <v>0.24990856446205426</v>
      </c>
      <c r="H39" s="22"/>
      <c r="I39" s="23"/>
      <c r="J39" s="40"/>
      <c r="K39" s="21"/>
    </row>
    <row r="40" spans="1:11" ht="15" customHeight="1">
      <c r="A40" s="18"/>
      <c r="B40" s="36" t="s">
        <v>40</v>
      </c>
      <c r="C40" s="19"/>
      <c r="D40" s="20"/>
      <c r="E40" s="21"/>
      <c r="F40" s="21"/>
      <c r="G40" s="23">
        <f>SUM(G38:G39)</f>
        <v>0.61440856446205427</v>
      </c>
      <c r="H40" s="22" t="s">
        <v>39</v>
      </c>
      <c r="I40" s="23">
        <v>16512.62</v>
      </c>
      <c r="J40" s="40">
        <f>G40*I40</f>
        <v>10145.495149707405</v>
      </c>
      <c r="K40" s="21"/>
    </row>
    <row r="41" spans="1:11" ht="15" customHeight="1">
      <c r="A41" s="18"/>
      <c r="B41" s="36" t="s">
        <v>38</v>
      </c>
      <c r="C41" s="19"/>
      <c r="D41" s="20"/>
      <c r="E41" s="21"/>
      <c r="F41" s="21"/>
      <c r="G41" s="23"/>
      <c r="H41" s="22"/>
      <c r="I41" s="23"/>
      <c r="J41" s="40">
        <f>0.13*G40*9092.62</f>
        <v>726.25586818186537</v>
      </c>
      <c r="K41" s="21"/>
    </row>
    <row r="42" spans="1:11" ht="15" customHeight="1">
      <c r="A42" s="18"/>
      <c r="B42" s="36"/>
      <c r="C42" s="19"/>
      <c r="D42" s="20"/>
      <c r="E42" s="21"/>
      <c r="F42" s="21"/>
      <c r="G42" s="23"/>
      <c r="H42" s="22"/>
      <c r="I42" s="23"/>
      <c r="J42" s="40"/>
      <c r="K42" s="21"/>
    </row>
    <row r="43" spans="1:11" ht="30">
      <c r="A43" s="18">
        <v>7</v>
      </c>
      <c r="B43" s="58" t="s">
        <v>75</v>
      </c>
      <c r="C43" s="19"/>
      <c r="D43" s="20"/>
      <c r="E43" s="21"/>
      <c r="F43" s="21"/>
      <c r="G43" s="23"/>
      <c r="H43" s="22"/>
      <c r="I43" s="23"/>
      <c r="J43" s="40"/>
      <c r="K43" s="21"/>
    </row>
    <row r="44" spans="1:11" ht="15" customHeight="1">
      <c r="A44" s="18"/>
      <c r="B44" s="36" t="s">
        <v>58</v>
      </c>
      <c r="C44" s="19">
        <v>2</v>
      </c>
      <c r="D44" s="20">
        <f>0.9</f>
        <v>0.9</v>
      </c>
      <c r="E44" s="21"/>
      <c r="F44" s="21">
        <v>0.9</v>
      </c>
      <c r="G44" s="38">
        <f>PRODUCT(C44:F44)</f>
        <v>1.62</v>
      </c>
      <c r="H44" s="22"/>
      <c r="I44" s="23"/>
      <c r="J44" s="40"/>
      <c r="K44" s="21"/>
    </row>
    <row r="45" spans="1:11" ht="15" customHeight="1">
      <c r="A45" s="18"/>
      <c r="B45" s="36"/>
      <c r="C45" s="19">
        <v>2</v>
      </c>
      <c r="D45" s="20">
        <f>0.23*4</f>
        <v>0.92</v>
      </c>
      <c r="E45" s="21"/>
      <c r="F45" s="21">
        <f>F39</f>
        <v>2.3620847302651629</v>
      </c>
      <c r="G45" s="38">
        <f>PRODUCT(C45:F45)</f>
        <v>4.3462359036878997</v>
      </c>
      <c r="H45" s="22"/>
      <c r="I45" s="23"/>
      <c r="J45" s="40"/>
      <c r="K45" s="21"/>
    </row>
    <row r="46" spans="1:11" ht="15" customHeight="1">
      <c r="A46" s="18"/>
      <c r="B46" s="36" t="s">
        <v>40</v>
      </c>
      <c r="C46" s="19"/>
      <c r="D46" s="20"/>
      <c r="E46" s="21"/>
      <c r="F46" s="21"/>
      <c r="G46" s="23">
        <f>SUM(G44:G45)</f>
        <v>5.9662359036878998</v>
      </c>
      <c r="H46" s="22" t="s">
        <v>51</v>
      </c>
      <c r="I46" s="23">
        <v>915.42</v>
      </c>
      <c r="J46" s="40">
        <f>G46*I46</f>
        <v>5461.6116709539774</v>
      </c>
      <c r="K46" s="21"/>
    </row>
    <row r="47" spans="1:11" ht="15" customHeight="1">
      <c r="A47" s="18"/>
      <c r="B47" s="36" t="s">
        <v>38</v>
      </c>
      <c r="C47" s="19"/>
      <c r="D47" s="20"/>
      <c r="E47" s="21"/>
      <c r="F47" s="21"/>
      <c r="G47" s="23"/>
      <c r="H47" s="22"/>
      <c r="I47" s="23"/>
      <c r="J47" s="40">
        <f>0.13*G46*46827.87/100</f>
        <v>363.20195507339832</v>
      </c>
      <c r="K47" s="21"/>
    </row>
    <row r="48" spans="1:11" ht="15" customHeight="1">
      <c r="A48" s="18"/>
      <c r="B48" s="36"/>
      <c r="C48" s="19"/>
      <c r="D48" s="20"/>
      <c r="E48" s="21"/>
      <c r="F48" s="21"/>
      <c r="G48" s="23"/>
      <c r="H48" s="22"/>
      <c r="I48" s="23"/>
      <c r="J48" s="40"/>
      <c r="K48" s="21"/>
    </row>
    <row r="49" spans="1:15" ht="30">
      <c r="A49" s="18">
        <v>8</v>
      </c>
      <c r="B49" s="109" t="s">
        <v>76</v>
      </c>
      <c r="C49" s="86" t="s">
        <v>7</v>
      </c>
      <c r="D49" s="111" t="s">
        <v>41</v>
      </c>
      <c r="E49" s="112" t="s">
        <v>77</v>
      </c>
      <c r="F49" s="112" t="s">
        <v>78</v>
      </c>
      <c r="G49" s="112" t="s">
        <v>79</v>
      </c>
      <c r="H49" s="90"/>
      <c r="I49" s="89"/>
      <c r="J49" s="91"/>
      <c r="K49" s="21"/>
    </row>
    <row r="50" spans="1:15" ht="15" customHeight="1">
      <c r="A50" s="18"/>
      <c r="B50" s="92" t="s">
        <v>81</v>
      </c>
      <c r="C50" s="86">
        <f>2*5*2+2</f>
        <v>22</v>
      </c>
      <c r="D50" s="87">
        <v>0.6</v>
      </c>
      <c r="E50" s="88">
        <f>12*12/162</f>
        <v>0.88888888888888884</v>
      </c>
      <c r="F50" s="88">
        <f>PRODUCT(C50:E50)</f>
        <v>11.733333333333333</v>
      </c>
      <c r="G50" s="113">
        <f>F50/1000</f>
        <v>1.1733333333333332E-2</v>
      </c>
      <c r="H50" s="90"/>
      <c r="I50" s="89"/>
      <c r="J50" s="91"/>
      <c r="K50" s="21"/>
    </row>
    <row r="51" spans="1:15" ht="15" customHeight="1">
      <c r="A51" s="18"/>
      <c r="B51" s="92" t="s">
        <v>80</v>
      </c>
      <c r="C51" s="86">
        <f>2*4</f>
        <v>8</v>
      </c>
      <c r="D51" s="87">
        <f>(7.75+0.75+1)/3.281</f>
        <v>2.895458701615361</v>
      </c>
      <c r="E51" s="88">
        <f>12*12/162</f>
        <v>0.88888888888888884</v>
      </c>
      <c r="F51" s="88">
        <f>PRODUCT(C51:E51)</f>
        <v>20.589928544820342</v>
      </c>
      <c r="G51" s="113">
        <f>F51/1000</f>
        <v>2.0589928544820342E-2</v>
      </c>
      <c r="H51" s="90"/>
      <c r="I51" s="89"/>
      <c r="J51" s="91"/>
      <c r="K51" s="21"/>
    </row>
    <row r="52" spans="1:15" ht="15" customHeight="1">
      <c r="A52" s="18"/>
      <c r="B52" s="92" t="s">
        <v>82</v>
      </c>
      <c r="C52" s="86">
        <f>TRUNC((7.75/0.5),0)+1</f>
        <v>16</v>
      </c>
      <c r="D52" s="87">
        <f>(7/12/3.281)*4</f>
        <v>0.7111652951335975</v>
      </c>
      <c r="E52" s="88">
        <f>8*8/162</f>
        <v>0.39506172839506171</v>
      </c>
      <c r="F52" s="88">
        <f>PRODUCT(C52:E52)</f>
        <v>4.4952670507210115</v>
      </c>
      <c r="G52" s="113">
        <f>F52/1000</f>
        <v>4.4952670507210114E-3</v>
      </c>
      <c r="H52" s="90"/>
      <c r="I52" s="89"/>
      <c r="J52" s="91"/>
      <c r="K52" s="21"/>
    </row>
    <row r="53" spans="1:15" ht="15" customHeight="1">
      <c r="A53" s="18"/>
      <c r="B53" s="92" t="s">
        <v>40</v>
      </c>
      <c r="C53" s="86"/>
      <c r="D53" s="87"/>
      <c r="E53" s="88"/>
      <c r="F53" s="88"/>
      <c r="G53" s="89">
        <f>SUM(G50:G52)</f>
        <v>3.6818528928874689E-2</v>
      </c>
      <c r="H53" s="90" t="s">
        <v>54</v>
      </c>
      <c r="I53" s="89">
        <v>131940</v>
      </c>
      <c r="J53" s="91">
        <f>G53*I53</f>
        <v>4857.8367068757261</v>
      </c>
      <c r="K53" s="21"/>
    </row>
    <row r="54" spans="1:15" ht="15" customHeight="1">
      <c r="A54" s="18"/>
      <c r="B54" s="92" t="s">
        <v>38</v>
      </c>
      <c r="C54" s="86"/>
      <c r="D54" s="87"/>
      <c r="E54" s="88"/>
      <c r="F54" s="88"/>
      <c r="G54" s="89"/>
      <c r="H54" s="90"/>
      <c r="I54" s="89"/>
      <c r="J54" s="91">
        <f>0.13*G53*106200</f>
        <v>508.31661039204397</v>
      </c>
      <c r="K54" s="21"/>
    </row>
    <row r="55" spans="1:15" ht="15" customHeight="1">
      <c r="A55" s="18"/>
      <c r="B55" s="36"/>
      <c r="C55" s="19"/>
      <c r="D55" s="20"/>
      <c r="E55" s="21"/>
      <c r="F55" s="21"/>
      <c r="G55" s="23"/>
      <c r="H55" s="22"/>
      <c r="I55" s="23"/>
      <c r="J55" s="40"/>
      <c r="K55" s="21"/>
    </row>
    <row r="56" spans="1:15" ht="30">
      <c r="A56" s="108">
        <v>9</v>
      </c>
      <c r="B56" s="109" t="s">
        <v>48</v>
      </c>
      <c r="C56" s="86"/>
      <c r="D56" s="87"/>
      <c r="E56" s="88"/>
      <c r="F56" s="88"/>
      <c r="G56" s="89"/>
      <c r="H56" s="90"/>
      <c r="I56" s="89"/>
      <c r="J56" s="91"/>
      <c r="K56" s="21"/>
      <c r="O56">
        <f>18.833*2</f>
        <v>37.665999999999997</v>
      </c>
    </row>
    <row r="57" spans="1:15" ht="15" customHeight="1">
      <c r="A57" s="108"/>
      <c r="B57" s="92" t="s">
        <v>56</v>
      </c>
      <c r="C57" s="93">
        <v>1</v>
      </c>
      <c r="D57" s="94">
        <f>3.8+4+3.93</f>
        <v>11.73</v>
      </c>
      <c r="E57" s="94">
        <v>0.23</v>
      </c>
      <c r="F57" s="94">
        <v>1.75</v>
      </c>
      <c r="G57" s="95">
        <f>PRODUCT(C57:F57)</f>
        <v>4.7213250000000002</v>
      </c>
      <c r="H57" s="96"/>
      <c r="I57" s="96"/>
      <c r="J57" s="96"/>
      <c r="K57" s="21"/>
    </row>
    <row r="58" spans="1:15" ht="15" customHeight="1">
      <c r="A58" s="108"/>
      <c r="B58" s="92" t="s">
        <v>148</v>
      </c>
      <c r="C58" s="93">
        <v>-2</v>
      </c>
      <c r="D58" s="94">
        <v>0.23</v>
      </c>
      <c r="E58" s="94">
        <v>0.23</v>
      </c>
      <c r="F58" s="94">
        <v>1.75</v>
      </c>
      <c r="G58" s="95">
        <f>PRODUCT(C58:F58)</f>
        <v>-0.18515000000000001</v>
      </c>
      <c r="H58" s="96"/>
      <c r="I58" s="96"/>
      <c r="J58" s="96"/>
      <c r="K58" s="21"/>
    </row>
    <row r="59" spans="1:15" ht="15" customHeight="1">
      <c r="A59" s="108"/>
      <c r="B59" s="92" t="s">
        <v>152</v>
      </c>
      <c r="C59" s="93">
        <v>1</v>
      </c>
      <c r="D59" s="94">
        <f>9.75/3.281</f>
        <v>2.9716549832368178</v>
      </c>
      <c r="E59" s="94">
        <v>0.23</v>
      </c>
      <c r="F59" s="94">
        <f>7/3.281</f>
        <v>2.1334958854007922</v>
      </c>
      <c r="G59" s="95">
        <f t="shared" ref="G59:G65" si="0">PRODUCT(C59:F59)</f>
        <v>1.4582031463002976</v>
      </c>
      <c r="H59" s="96"/>
      <c r="I59" s="96"/>
      <c r="J59" s="96"/>
      <c r="K59" s="21"/>
    </row>
    <row r="60" spans="1:15" ht="15" customHeight="1">
      <c r="A60" s="108"/>
      <c r="B60" s="92"/>
      <c r="C60" s="93">
        <v>1</v>
      </c>
      <c r="D60" s="94">
        <f>14/12/3.281</f>
        <v>0.35558264756679875</v>
      </c>
      <c r="E60" s="94">
        <f>14/12/3.281</f>
        <v>0.35558264756679875</v>
      </c>
      <c r="F60" s="94">
        <f t="shared" ref="F60:F65" si="1">7/3.281</f>
        <v>2.1334958854007922</v>
      </c>
      <c r="G60" s="95">
        <f t="shared" si="0"/>
        <v>0.26975712732529694</v>
      </c>
      <c r="H60" s="96"/>
      <c r="I60" s="96"/>
      <c r="J60" s="96"/>
      <c r="K60" s="21"/>
    </row>
    <row r="61" spans="1:15" ht="15" customHeight="1">
      <c r="A61" s="108"/>
      <c r="B61" s="92"/>
      <c r="C61" s="93">
        <v>1</v>
      </c>
      <c r="D61" s="94">
        <f t="shared" ref="D61" si="2">9.75/3.281</f>
        <v>2.9716549832368178</v>
      </c>
      <c r="E61" s="94">
        <v>1.23</v>
      </c>
      <c r="F61" s="94">
        <f t="shared" si="1"/>
        <v>2.1334958854007922</v>
      </c>
      <c r="G61" s="95">
        <f t="shared" si="0"/>
        <v>7.7982168258668079</v>
      </c>
      <c r="H61" s="96"/>
      <c r="I61" s="96"/>
      <c r="J61" s="96"/>
      <c r="K61" s="21"/>
    </row>
    <row r="62" spans="1:15" ht="15" customHeight="1">
      <c r="A62" s="108"/>
      <c r="B62" s="92"/>
      <c r="C62" s="93">
        <v>1</v>
      </c>
      <c r="D62" s="94">
        <f t="shared" ref="D62:E62" si="3">14/12/3.281</f>
        <v>0.35558264756679875</v>
      </c>
      <c r="E62" s="94">
        <f t="shared" si="3"/>
        <v>0.35558264756679875</v>
      </c>
      <c r="F62" s="94">
        <f t="shared" si="1"/>
        <v>2.1334958854007922</v>
      </c>
      <c r="G62" s="95">
        <f t="shared" si="0"/>
        <v>0.26975712732529694</v>
      </c>
      <c r="H62" s="96"/>
      <c r="I62" s="96"/>
      <c r="J62" s="96"/>
      <c r="K62" s="21"/>
    </row>
    <row r="63" spans="1:15" ht="15" customHeight="1">
      <c r="A63" s="108"/>
      <c r="B63" s="92"/>
      <c r="C63" s="93">
        <v>1</v>
      </c>
      <c r="D63" s="94">
        <f t="shared" ref="D63" si="4">9.75/3.281</f>
        <v>2.9716549832368178</v>
      </c>
      <c r="E63" s="94">
        <v>0.23</v>
      </c>
      <c r="F63" s="94">
        <f t="shared" si="1"/>
        <v>2.1334958854007922</v>
      </c>
      <c r="G63" s="95">
        <f t="shared" si="0"/>
        <v>1.4582031463002976</v>
      </c>
      <c r="H63" s="96"/>
      <c r="I63" s="96"/>
      <c r="J63" s="96"/>
      <c r="K63" s="21"/>
    </row>
    <row r="64" spans="1:15" ht="15" customHeight="1">
      <c r="A64" s="108"/>
      <c r="B64" s="92"/>
      <c r="C64" s="93">
        <v>1</v>
      </c>
      <c r="D64" s="94">
        <f t="shared" ref="D64:E64" si="5">14/12/3.281</f>
        <v>0.35558264756679875</v>
      </c>
      <c r="E64" s="94">
        <f t="shared" si="5"/>
        <v>0.35558264756679875</v>
      </c>
      <c r="F64" s="94">
        <f t="shared" si="1"/>
        <v>2.1334958854007922</v>
      </c>
      <c r="G64" s="95">
        <f t="shared" si="0"/>
        <v>0.26975712732529694</v>
      </c>
      <c r="H64" s="96"/>
      <c r="I64" s="96"/>
      <c r="J64" s="96"/>
      <c r="K64" s="21"/>
    </row>
    <row r="65" spans="1:15" ht="15" customHeight="1">
      <c r="A65" s="108"/>
      <c r="B65" s="92"/>
      <c r="C65" s="93">
        <v>1</v>
      </c>
      <c r="D65" s="94">
        <f>17/12/3.281</f>
        <v>0.43177892918825561</v>
      </c>
      <c r="E65" s="94">
        <v>0.1</v>
      </c>
      <c r="F65" s="94">
        <f t="shared" si="1"/>
        <v>2.1334958854007922</v>
      </c>
      <c r="G65" s="95">
        <f t="shared" si="0"/>
        <v>9.2119856882590348E-2</v>
      </c>
      <c r="H65" s="96"/>
      <c r="I65" s="96"/>
      <c r="J65" s="96"/>
      <c r="K65" s="21"/>
    </row>
    <row r="66" spans="1:15" ht="15" customHeight="1">
      <c r="A66" s="108"/>
      <c r="B66" s="92" t="s">
        <v>40</v>
      </c>
      <c r="C66" s="86"/>
      <c r="D66" s="87"/>
      <c r="E66" s="88"/>
      <c r="F66" s="88"/>
      <c r="G66" s="89">
        <f>SUM(G57:G65)</f>
        <v>16.152189357325884</v>
      </c>
      <c r="H66" s="90" t="s">
        <v>39</v>
      </c>
      <c r="I66" s="89">
        <v>14362.76</v>
      </c>
      <c r="J66" s="91">
        <f>G66*I66</f>
        <v>231990.01921382593</v>
      </c>
      <c r="K66" s="21"/>
    </row>
    <row r="67" spans="1:15" ht="15" customHeight="1">
      <c r="A67" s="108"/>
      <c r="B67" s="92" t="s">
        <v>38</v>
      </c>
      <c r="C67" s="86"/>
      <c r="D67" s="87"/>
      <c r="E67" s="88"/>
      <c r="F67" s="88"/>
      <c r="G67" s="89"/>
      <c r="H67" s="90"/>
      <c r="I67" s="89"/>
      <c r="J67" s="91">
        <f>0.13*G66*10311.74</f>
        <v>21652.433020856512</v>
      </c>
      <c r="K67" s="21"/>
    </row>
    <row r="68" spans="1:15" ht="15" customHeight="1">
      <c r="A68" s="18"/>
      <c r="B68" s="36"/>
      <c r="C68" s="35"/>
      <c r="D68" s="37"/>
      <c r="E68" s="37"/>
      <c r="F68" s="37"/>
      <c r="G68" s="38"/>
      <c r="H68" s="39"/>
      <c r="I68" s="39"/>
      <c r="J68" s="39"/>
      <c r="K68" s="21"/>
    </row>
    <row r="69" spans="1:15" ht="30">
      <c r="A69" s="108">
        <v>9</v>
      </c>
      <c r="B69" s="109" t="s">
        <v>48</v>
      </c>
      <c r="C69" s="86"/>
      <c r="D69" s="87"/>
      <c r="E69" s="88"/>
      <c r="F69" s="88"/>
      <c r="G69" s="89"/>
      <c r="H69" s="90"/>
      <c r="I69" s="89"/>
      <c r="J69" s="91"/>
      <c r="K69" s="21"/>
      <c r="O69">
        <f>18.833*2</f>
        <v>37.665999999999997</v>
      </c>
    </row>
    <row r="70" spans="1:15" ht="15" customHeight="1">
      <c r="A70" s="108"/>
      <c r="B70" s="92" t="s">
        <v>151</v>
      </c>
      <c r="C70" s="110">
        <v>1</v>
      </c>
      <c r="D70" s="94">
        <f>6.1+6.4+4.6</f>
        <v>17.100000000000001</v>
      </c>
      <c r="E70" s="94">
        <v>0.23</v>
      </c>
      <c r="F70" s="94">
        <v>0.125</v>
      </c>
      <c r="G70" s="95">
        <f t="shared" ref="G70:G85" si="6">PRODUCT(C70:F70)</f>
        <v>0.49162500000000009</v>
      </c>
      <c r="H70" s="96"/>
      <c r="I70" s="96"/>
      <c r="J70" s="96"/>
      <c r="K70" s="21"/>
      <c r="M70">
        <f>0.37+2.75+0.35+2.69+0.35+0.95+2.73+0.58+0.35+3.02+0.35+3.13+0.35+3.17+0.35</f>
        <v>21.490000000000002</v>
      </c>
    </row>
    <row r="71" spans="1:15" ht="15" customHeight="1">
      <c r="A71" s="108"/>
      <c r="B71" s="92" t="s">
        <v>149</v>
      </c>
      <c r="C71" s="110">
        <v>1</v>
      </c>
      <c r="D71" s="94">
        <f>14/12/3.281</f>
        <v>0.35558264756679875</v>
      </c>
      <c r="E71" s="94">
        <f>14/12/3.281</f>
        <v>0.35558264756679875</v>
      </c>
      <c r="F71" s="94">
        <v>0.12</v>
      </c>
      <c r="G71" s="95">
        <f t="shared" si="6"/>
        <v>1.5172682310073704E-2</v>
      </c>
      <c r="H71" s="96"/>
      <c r="I71" s="96"/>
      <c r="J71" s="96"/>
      <c r="K71" s="21"/>
    </row>
    <row r="72" spans="1:15" ht="15" customHeight="1">
      <c r="A72" s="108"/>
      <c r="B72" s="92"/>
      <c r="C72" s="110">
        <v>1</v>
      </c>
      <c r="D72" s="93">
        <v>2.75</v>
      </c>
      <c r="E72" s="94">
        <f>0.23</f>
        <v>0.23</v>
      </c>
      <c r="F72" s="94">
        <v>0.12</v>
      </c>
      <c r="G72" s="95">
        <f t="shared" si="6"/>
        <v>7.5900000000000009E-2</v>
      </c>
      <c r="H72" s="96"/>
      <c r="I72" s="96"/>
      <c r="J72" s="96"/>
      <c r="K72" s="21"/>
    </row>
    <row r="73" spans="1:15" ht="15" customHeight="1">
      <c r="A73" s="108"/>
      <c r="B73" s="92"/>
      <c r="C73" s="110">
        <v>1</v>
      </c>
      <c r="D73" s="94">
        <f>14/12/3.281</f>
        <v>0.35558264756679875</v>
      </c>
      <c r="E73" s="94">
        <f>14/12/3.281</f>
        <v>0.35558264756679875</v>
      </c>
      <c r="F73" s="94">
        <v>0.12</v>
      </c>
      <c r="G73" s="95">
        <f t="shared" si="6"/>
        <v>1.5172682310073704E-2</v>
      </c>
      <c r="H73" s="96"/>
      <c r="I73" s="96"/>
      <c r="J73" s="96"/>
      <c r="K73" s="21"/>
    </row>
    <row r="74" spans="1:15" ht="15" customHeight="1">
      <c r="A74" s="108"/>
      <c r="B74" s="92"/>
      <c r="C74" s="110">
        <v>1</v>
      </c>
      <c r="D74" s="94">
        <v>2.69</v>
      </c>
      <c r="E74" s="94">
        <v>0.23</v>
      </c>
      <c r="F74" s="94">
        <v>0.12</v>
      </c>
      <c r="G74" s="95">
        <f t="shared" si="6"/>
        <v>7.4244000000000004E-2</v>
      </c>
      <c r="H74" s="96"/>
      <c r="I74" s="96"/>
      <c r="J74" s="96"/>
      <c r="K74" s="21"/>
    </row>
    <row r="75" spans="1:15" ht="15" customHeight="1">
      <c r="A75" s="108"/>
      <c r="B75" s="92"/>
      <c r="C75" s="110">
        <v>1</v>
      </c>
      <c r="D75" s="94">
        <v>0.35560000000000003</v>
      </c>
      <c r="E75" s="94">
        <v>0.35560000000000003</v>
      </c>
      <c r="F75" s="94">
        <v>0.12</v>
      </c>
      <c r="G75" s="95">
        <f t="shared" si="6"/>
        <v>1.51741632E-2</v>
      </c>
      <c r="H75" s="96"/>
      <c r="I75" s="96"/>
      <c r="J75" s="96"/>
      <c r="K75" s="21"/>
    </row>
    <row r="76" spans="1:15" ht="15" customHeight="1">
      <c r="A76" s="108"/>
      <c r="B76" s="92"/>
      <c r="C76" s="110">
        <v>1</v>
      </c>
      <c r="D76" s="94">
        <v>0.95</v>
      </c>
      <c r="E76" s="94">
        <v>0.23</v>
      </c>
      <c r="F76" s="94">
        <v>0.12</v>
      </c>
      <c r="G76" s="95">
        <f t="shared" si="6"/>
        <v>2.622E-2</v>
      </c>
      <c r="H76" s="96"/>
      <c r="I76" s="96"/>
      <c r="J76" s="96"/>
      <c r="K76" s="21"/>
    </row>
    <row r="77" spans="1:15" ht="15" customHeight="1">
      <c r="A77" s="108"/>
      <c r="B77" s="92"/>
      <c r="C77" s="110">
        <v>1</v>
      </c>
      <c r="D77" s="94">
        <v>2.73</v>
      </c>
      <c r="E77" s="94">
        <v>0.23</v>
      </c>
      <c r="F77" s="94">
        <v>0.25</v>
      </c>
      <c r="G77" s="95">
        <f t="shared" si="6"/>
        <v>0.156975</v>
      </c>
      <c r="H77" s="96"/>
      <c r="I77" s="96"/>
      <c r="J77" s="96"/>
      <c r="K77" s="21"/>
    </row>
    <row r="78" spans="1:15" ht="15" customHeight="1">
      <c r="A78" s="108"/>
      <c r="B78" s="92"/>
      <c r="C78" s="110">
        <v>1</v>
      </c>
      <c r="D78" s="94">
        <v>0.57999999999999996</v>
      </c>
      <c r="E78" s="94">
        <v>0.23</v>
      </c>
      <c r="F78" s="94">
        <v>0.6</v>
      </c>
      <c r="G78" s="95">
        <f t="shared" si="6"/>
        <v>8.0039999999999986E-2</v>
      </c>
      <c r="H78" s="96"/>
      <c r="I78" s="96"/>
      <c r="J78" s="96"/>
      <c r="K78" s="21"/>
    </row>
    <row r="79" spans="1:15" ht="15" customHeight="1">
      <c r="A79" s="108"/>
      <c r="B79" s="92" t="s">
        <v>150</v>
      </c>
      <c r="C79" s="110">
        <v>1</v>
      </c>
      <c r="D79" s="94">
        <v>0.35560000000000003</v>
      </c>
      <c r="E79" s="94">
        <v>0.35560000000000003</v>
      </c>
      <c r="F79" s="94">
        <v>0.12</v>
      </c>
      <c r="G79" s="95">
        <f t="shared" si="6"/>
        <v>1.51741632E-2</v>
      </c>
      <c r="H79" s="96"/>
      <c r="I79" s="96"/>
      <c r="J79" s="96"/>
      <c r="K79" s="21"/>
    </row>
    <row r="80" spans="1:15" ht="15" customHeight="1">
      <c r="A80" s="108"/>
      <c r="B80" s="92"/>
      <c r="C80" s="110">
        <v>1</v>
      </c>
      <c r="D80" s="94">
        <v>3.02</v>
      </c>
      <c r="E80" s="94">
        <v>0.23</v>
      </c>
      <c r="F80" s="94">
        <v>0.12</v>
      </c>
      <c r="G80" s="95">
        <f t="shared" si="6"/>
        <v>8.3351999999999996E-2</v>
      </c>
      <c r="H80" s="96"/>
      <c r="I80" s="96"/>
      <c r="J80" s="96"/>
      <c r="K80" s="21"/>
    </row>
    <row r="81" spans="1:15" ht="15" customHeight="1">
      <c r="A81" s="108"/>
      <c r="B81" s="92"/>
      <c r="C81" s="110">
        <v>1</v>
      </c>
      <c r="D81" s="93">
        <v>0.35560000000000003</v>
      </c>
      <c r="E81" s="94">
        <v>0.35560000000000003</v>
      </c>
      <c r="F81" s="94">
        <v>0.12</v>
      </c>
      <c r="G81" s="95">
        <f t="shared" si="6"/>
        <v>1.51741632E-2</v>
      </c>
      <c r="H81" s="96"/>
      <c r="I81" s="96"/>
      <c r="J81" s="96"/>
      <c r="K81" s="21"/>
    </row>
    <row r="82" spans="1:15" ht="15" customHeight="1">
      <c r="A82" s="108"/>
      <c r="B82" s="92"/>
      <c r="C82" s="110">
        <v>1</v>
      </c>
      <c r="D82" s="93">
        <v>3.13</v>
      </c>
      <c r="E82" s="94">
        <v>0.23</v>
      </c>
      <c r="F82" s="94">
        <v>0.12</v>
      </c>
      <c r="G82" s="95">
        <f t="shared" si="6"/>
        <v>8.6387999999999993E-2</v>
      </c>
      <c r="H82" s="96"/>
      <c r="I82" s="96"/>
      <c r="J82" s="96"/>
      <c r="K82" s="21"/>
    </row>
    <row r="83" spans="1:15" ht="15" customHeight="1">
      <c r="A83" s="108"/>
      <c r="B83" s="92"/>
      <c r="C83" s="110">
        <v>1</v>
      </c>
      <c r="D83" s="93">
        <v>0.35560000000000003</v>
      </c>
      <c r="E83" s="94">
        <v>0.35560000000000003</v>
      </c>
      <c r="F83" s="94">
        <v>0.12</v>
      </c>
      <c r="G83" s="95">
        <f t="shared" si="6"/>
        <v>1.51741632E-2</v>
      </c>
      <c r="H83" s="96"/>
      <c r="I83" s="96"/>
      <c r="J83" s="96"/>
      <c r="K83" s="21"/>
    </row>
    <row r="84" spans="1:15" ht="15" customHeight="1">
      <c r="A84" s="108"/>
      <c r="B84" s="92"/>
      <c r="C84" s="110">
        <v>1</v>
      </c>
      <c r="D84" s="93">
        <v>3.17</v>
      </c>
      <c r="E84" s="94">
        <v>0.23</v>
      </c>
      <c r="F84" s="94">
        <v>0.12</v>
      </c>
      <c r="G84" s="95">
        <f t="shared" si="6"/>
        <v>8.7491999999999986E-2</v>
      </c>
      <c r="H84" s="96"/>
      <c r="I84" s="96"/>
      <c r="J84" s="96"/>
      <c r="K84" s="21"/>
    </row>
    <row r="85" spans="1:15" ht="15" customHeight="1">
      <c r="A85" s="108"/>
      <c r="B85" s="92"/>
      <c r="C85" s="110">
        <v>1</v>
      </c>
      <c r="D85" s="93">
        <v>0.35560000000000003</v>
      </c>
      <c r="E85" s="94">
        <v>0.35560000000000003</v>
      </c>
      <c r="F85" s="94">
        <v>0.12</v>
      </c>
      <c r="G85" s="95">
        <f t="shared" si="6"/>
        <v>1.51741632E-2</v>
      </c>
      <c r="H85" s="96"/>
      <c r="I85" s="96"/>
      <c r="J85" s="96"/>
      <c r="K85" s="21"/>
    </row>
    <row r="86" spans="1:15" ht="15" customHeight="1">
      <c r="A86" s="108"/>
      <c r="B86" s="92" t="s">
        <v>147</v>
      </c>
      <c r="C86" s="93">
        <v>12</v>
      </c>
      <c r="D86" s="94">
        <v>0.83</v>
      </c>
      <c r="E86" s="94">
        <v>0.23</v>
      </c>
      <c r="F86" s="94">
        <v>1.2</v>
      </c>
      <c r="G86" s="95">
        <f>PRODUCT(C86:F86)</f>
        <v>2.7489599999999998</v>
      </c>
      <c r="H86" s="96"/>
      <c r="I86" s="96"/>
      <c r="J86" s="96"/>
      <c r="K86" s="21"/>
    </row>
    <row r="87" spans="1:15" ht="15" customHeight="1">
      <c r="A87" s="108"/>
      <c r="B87" s="92" t="s">
        <v>40</v>
      </c>
      <c r="C87" s="86"/>
      <c r="D87" s="87"/>
      <c r="E87" s="88"/>
      <c r="F87" s="88"/>
      <c r="G87" s="89">
        <f>SUM(G70:G86)</f>
        <v>4.0174121806201466</v>
      </c>
      <c r="H87" s="90" t="s">
        <v>39</v>
      </c>
      <c r="I87" s="89">
        <v>14362.76</v>
      </c>
      <c r="J87" s="91">
        <f>G87*I87</f>
        <v>57701.126971323814</v>
      </c>
      <c r="K87" s="21"/>
    </row>
    <row r="88" spans="1:15" ht="15" customHeight="1">
      <c r="A88" s="108"/>
      <c r="B88" s="92" t="s">
        <v>38</v>
      </c>
      <c r="C88" s="86"/>
      <c r="D88" s="87"/>
      <c r="E88" s="88"/>
      <c r="F88" s="88"/>
      <c r="G88" s="89"/>
      <c r="H88" s="90"/>
      <c r="I88" s="89"/>
      <c r="J88" s="91">
        <f>0.13*G87*10311.74</f>
        <v>5385.4462843204392</v>
      </c>
      <c r="K88" s="21"/>
    </row>
    <row r="89" spans="1:15" ht="15" customHeight="1">
      <c r="A89" s="108"/>
      <c r="B89" s="92"/>
      <c r="C89" s="86"/>
      <c r="D89" s="87"/>
      <c r="E89" s="88"/>
      <c r="F89" s="88"/>
      <c r="G89" s="89"/>
      <c r="H89" s="90"/>
      <c r="I89" s="89"/>
      <c r="J89" s="91"/>
      <c r="K89" s="21"/>
    </row>
    <row r="90" spans="1:15" ht="30.6">
      <c r="A90" s="18">
        <v>10</v>
      </c>
      <c r="B90" s="85" t="s">
        <v>50</v>
      </c>
      <c r="C90" s="86"/>
      <c r="D90" s="87"/>
      <c r="E90" s="88"/>
      <c r="F90" s="88"/>
      <c r="G90" s="89"/>
      <c r="H90" s="90"/>
      <c r="I90" s="89"/>
      <c r="J90" s="91"/>
      <c r="K90" s="21"/>
    </row>
    <row r="91" spans="1:15" ht="15" customHeight="1">
      <c r="A91" s="18"/>
      <c r="B91" s="92" t="s">
        <v>49</v>
      </c>
      <c r="C91" s="93">
        <f>0*2</f>
        <v>0</v>
      </c>
      <c r="D91" s="94">
        <f>(5.17+15.5+27+11+70+24.5+41.17+4.667+39.75)/3.281</f>
        <v>72.769582444376724</v>
      </c>
      <c r="E91" s="94"/>
      <c r="F91" s="94">
        <v>1.8</v>
      </c>
      <c r="G91" s="95">
        <f t="shared" ref="G91:G155" si="7">PRODUCT(C91:F91)</f>
        <v>0</v>
      </c>
      <c r="H91" s="96"/>
      <c r="I91" s="96"/>
      <c r="J91" s="96"/>
      <c r="K91" s="21"/>
      <c r="M91" t="s">
        <v>103</v>
      </c>
      <c r="N91">
        <v>0</v>
      </c>
      <c r="O91">
        <v>1.3</v>
      </c>
    </row>
    <row r="92" spans="1:15" ht="15" customHeight="1">
      <c r="A92" s="18"/>
      <c r="B92" s="92"/>
      <c r="C92" s="93">
        <v>1</v>
      </c>
      <c r="D92" s="94">
        <f>N92</f>
        <v>3</v>
      </c>
      <c r="E92" s="94"/>
      <c r="F92" s="94">
        <f>(O91+O92)/2</f>
        <v>1.37</v>
      </c>
      <c r="G92" s="95">
        <f t="shared" si="7"/>
        <v>4.1100000000000003</v>
      </c>
      <c r="H92" s="96"/>
      <c r="I92" s="96"/>
      <c r="J92" s="96"/>
      <c r="K92" s="21"/>
      <c r="N92">
        <v>3</v>
      </c>
      <c r="O92">
        <v>1.44</v>
      </c>
    </row>
    <row r="93" spans="1:15" ht="15" customHeight="1">
      <c r="A93" s="18"/>
      <c r="B93" s="92"/>
      <c r="C93" s="93">
        <v>1</v>
      </c>
      <c r="D93" s="94">
        <f t="shared" ref="D93:D98" si="8">N93</f>
        <v>3</v>
      </c>
      <c r="E93" s="94"/>
      <c r="F93" s="94">
        <f t="shared" ref="F93:F98" si="9">(O92+O93)/2</f>
        <v>1.41</v>
      </c>
      <c r="G93" s="95">
        <f t="shared" si="7"/>
        <v>4.2299999999999995</v>
      </c>
      <c r="H93" s="96"/>
      <c r="I93" s="96"/>
      <c r="J93" s="96"/>
      <c r="K93" s="21"/>
      <c r="N93">
        <v>3</v>
      </c>
      <c r="O93">
        <v>1.38</v>
      </c>
    </row>
    <row r="94" spans="1:15" ht="15" customHeight="1">
      <c r="A94" s="18"/>
      <c r="B94" s="92"/>
      <c r="C94" s="93">
        <v>1</v>
      </c>
      <c r="D94" s="94">
        <f t="shared" si="8"/>
        <v>3</v>
      </c>
      <c r="E94" s="94"/>
      <c r="F94" s="94">
        <f t="shared" si="9"/>
        <v>1.415</v>
      </c>
      <c r="G94" s="95">
        <f t="shared" si="7"/>
        <v>4.2450000000000001</v>
      </c>
      <c r="H94" s="96"/>
      <c r="I94" s="96"/>
      <c r="J94" s="96"/>
      <c r="K94" s="21"/>
      <c r="N94">
        <v>3</v>
      </c>
      <c r="O94">
        <v>1.45</v>
      </c>
    </row>
    <row r="95" spans="1:15" ht="15" customHeight="1">
      <c r="A95" s="18"/>
      <c r="B95" s="92"/>
      <c r="C95" s="93">
        <v>1</v>
      </c>
      <c r="D95" s="94">
        <f t="shared" si="8"/>
        <v>3</v>
      </c>
      <c r="E95" s="94"/>
      <c r="F95" s="94">
        <f t="shared" si="9"/>
        <v>1.4550000000000001</v>
      </c>
      <c r="G95" s="95">
        <f t="shared" si="7"/>
        <v>4.3650000000000002</v>
      </c>
      <c r="H95" s="96"/>
      <c r="I95" s="96"/>
      <c r="J95" s="96"/>
      <c r="K95" s="21"/>
      <c r="N95">
        <v>3</v>
      </c>
      <c r="O95">
        <v>1.46</v>
      </c>
    </row>
    <row r="96" spans="1:15" ht="15" customHeight="1">
      <c r="A96" s="18"/>
      <c r="B96" s="92"/>
      <c r="C96" s="93">
        <v>1</v>
      </c>
      <c r="D96" s="94">
        <f t="shared" si="8"/>
        <v>3</v>
      </c>
      <c r="E96" s="94"/>
      <c r="F96" s="94">
        <f t="shared" si="9"/>
        <v>1.5049999999999999</v>
      </c>
      <c r="G96" s="95">
        <f t="shared" si="7"/>
        <v>4.5149999999999997</v>
      </c>
      <c r="H96" s="96"/>
      <c r="I96" s="96"/>
      <c r="J96" s="96"/>
      <c r="K96" s="21"/>
      <c r="N96">
        <v>3</v>
      </c>
      <c r="O96">
        <v>1.55</v>
      </c>
    </row>
    <row r="97" spans="1:15" ht="15" customHeight="1">
      <c r="A97" s="18"/>
      <c r="B97" s="92"/>
      <c r="C97" s="93">
        <v>1</v>
      </c>
      <c r="D97" s="94">
        <f t="shared" si="8"/>
        <v>3</v>
      </c>
      <c r="E97" s="94"/>
      <c r="F97" s="94">
        <f t="shared" si="9"/>
        <v>1.4849999999999999</v>
      </c>
      <c r="G97" s="95">
        <f t="shared" si="7"/>
        <v>4.4550000000000001</v>
      </c>
      <c r="H97" s="96"/>
      <c r="I97" s="96"/>
      <c r="J97" s="96"/>
      <c r="K97" s="21"/>
      <c r="N97">
        <v>3</v>
      </c>
      <c r="O97">
        <v>1.42</v>
      </c>
    </row>
    <row r="98" spans="1:15" ht="15" customHeight="1">
      <c r="A98" s="18"/>
      <c r="B98" s="92"/>
      <c r="C98" s="93">
        <v>1</v>
      </c>
      <c r="D98" s="94">
        <f t="shared" si="8"/>
        <v>3.42</v>
      </c>
      <c r="E98" s="94"/>
      <c r="F98" s="94">
        <f t="shared" si="9"/>
        <v>1.47</v>
      </c>
      <c r="G98" s="95">
        <f t="shared" si="7"/>
        <v>5.0274000000000001</v>
      </c>
      <c r="H98" s="96"/>
      <c r="I98" s="96"/>
      <c r="J98" s="96"/>
      <c r="K98" s="21"/>
      <c r="M98" t="s">
        <v>101</v>
      </c>
      <c r="N98">
        <v>3.42</v>
      </c>
      <c r="O98">
        <v>1.52</v>
      </c>
    </row>
    <row r="99" spans="1:15" ht="15" customHeight="1">
      <c r="A99" s="18"/>
      <c r="B99" s="92"/>
      <c r="C99" s="93"/>
      <c r="D99" s="94"/>
      <c r="E99" s="94"/>
      <c r="F99" s="94"/>
      <c r="G99" s="95"/>
      <c r="H99" s="96"/>
      <c r="I99" s="96"/>
      <c r="J99" s="96"/>
      <c r="K99" s="21"/>
      <c r="M99" t="s">
        <v>102</v>
      </c>
      <c r="N99">
        <v>0</v>
      </c>
      <c r="O99">
        <v>1.7</v>
      </c>
    </row>
    <row r="100" spans="1:15" ht="15" customHeight="1">
      <c r="A100" s="18"/>
      <c r="B100" s="92"/>
      <c r="C100" s="93"/>
      <c r="D100" s="94">
        <f>N100</f>
        <v>0.14000000000000001</v>
      </c>
      <c r="E100" s="94"/>
      <c r="F100" s="94">
        <f>O100</f>
        <v>1.7</v>
      </c>
      <c r="G100" s="95">
        <f t="shared" si="7"/>
        <v>0.23800000000000002</v>
      </c>
      <c r="H100" s="96"/>
      <c r="I100" s="96"/>
      <c r="J100" s="96"/>
      <c r="K100" s="21"/>
      <c r="N100">
        <v>0.14000000000000001</v>
      </c>
      <c r="O100">
        <v>1.7</v>
      </c>
    </row>
    <row r="101" spans="1:15" ht="15" customHeight="1">
      <c r="A101" s="18"/>
      <c r="B101" s="92"/>
      <c r="C101" s="93"/>
      <c r="D101" s="94">
        <f t="shared" ref="D101:D113" si="10">N101</f>
        <v>3.01</v>
      </c>
      <c r="E101" s="94"/>
      <c r="F101" s="94">
        <f t="shared" ref="F101:F113" si="11">O101</f>
        <v>1.6</v>
      </c>
      <c r="G101" s="95">
        <f t="shared" si="7"/>
        <v>4.8159999999999998</v>
      </c>
      <c r="H101" s="96"/>
      <c r="I101" s="96"/>
      <c r="J101" s="96"/>
      <c r="K101" s="21"/>
      <c r="N101">
        <v>3.01</v>
      </c>
      <c r="O101">
        <v>1.6</v>
      </c>
    </row>
    <row r="102" spans="1:15" ht="15" customHeight="1">
      <c r="A102" s="18"/>
      <c r="B102" s="92"/>
      <c r="C102" s="93"/>
      <c r="D102" s="94">
        <f t="shared" si="10"/>
        <v>0.58000000000000007</v>
      </c>
      <c r="E102" s="94"/>
      <c r="F102" s="94">
        <f t="shared" si="11"/>
        <v>1.7</v>
      </c>
      <c r="G102" s="95">
        <f t="shared" si="7"/>
        <v>0.9860000000000001</v>
      </c>
      <c r="H102" s="96"/>
      <c r="I102" s="96"/>
      <c r="J102" s="96"/>
      <c r="K102" s="21"/>
      <c r="N102">
        <f>(0.1+0.11+0.37)</f>
        <v>0.58000000000000007</v>
      </c>
      <c r="O102">
        <v>1.7</v>
      </c>
    </row>
    <row r="103" spans="1:15" ht="15" customHeight="1">
      <c r="A103" s="18"/>
      <c r="B103" s="92"/>
      <c r="C103" s="93"/>
      <c r="D103" s="94">
        <f t="shared" si="10"/>
        <v>3.12</v>
      </c>
      <c r="E103" s="94"/>
      <c r="F103" s="94">
        <f t="shared" si="11"/>
        <v>1.6400000000000001</v>
      </c>
      <c r="G103" s="95">
        <f t="shared" si="7"/>
        <v>5.1168000000000005</v>
      </c>
      <c r="H103" s="96"/>
      <c r="I103" s="96"/>
      <c r="J103" s="96"/>
      <c r="K103" s="21"/>
      <c r="N103">
        <v>3.12</v>
      </c>
      <c r="O103">
        <f>(1.6+1.68)/2</f>
        <v>1.6400000000000001</v>
      </c>
    </row>
    <row r="104" spans="1:15" ht="15" customHeight="1">
      <c r="A104" s="18"/>
      <c r="B104" s="92"/>
      <c r="C104" s="93"/>
      <c r="D104" s="94">
        <f t="shared" si="10"/>
        <v>0.6</v>
      </c>
      <c r="E104" s="94"/>
      <c r="F104" s="94">
        <f t="shared" si="11"/>
        <v>1.65</v>
      </c>
      <c r="G104" s="95">
        <f t="shared" si="7"/>
        <v>0.98999999999999988</v>
      </c>
      <c r="H104" s="96"/>
      <c r="I104" s="96"/>
      <c r="J104" s="96"/>
      <c r="K104" s="21"/>
      <c r="N104">
        <f>(0.12+0.11+0.37)</f>
        <v>0.6</v>
      </c>
      <c r="O104">
        <v>1.65</v>
      </c>
    </row>
    <row r="105" spans="1:15" ht="15" customHeight="1">
      <c r="A105" s="18"/>
      <c r="B105" s="92"/>
      <c r="C105" s="93"/>
      <c r="D105" s="94">
        <f t="shared" si="10"/>
        <v>3.16</v>
      </c>
      <c r="E105" s="94"/>
      <c r="F105" s="94">
        <f t="shared" si="11"/>
        <v>1.65</v>
      </c>
      <c r="G105" s="95">
        <f t="shared" si="7"/>
        <v>5.2139999999999995</v>
      </c>
      <c r="H105" s="96"/>
      <c r="I105" s="96"/>
      <c r="J105" s="96"/>
      <c r="K105" s="21"/>
      <c r="N105">
        <v>3.16</v>
      </c>
      <c r="O105">
        <v>1.65</v>
      </c>
    </row>
    <row r="106" spans="1:15" ht="15" customHeight="1">
      <c r="A106" s="18"/>
      <c r="B106" s="92"/>
      <c r="C106" s="93"/>
      <c r="D106" s="94">
        <f t="shared" si="10"/>
        <v>0.66</v>
      </c>
      <c r="E106" s="94"/>
      <c r="F106" s="94">
        <f t="shared" si="11"/>
        <v>1.65</v>
      </c>
      <c r="G106" s="95">
        <f t="shared" si="7"/>
        <v>1.089</v>
      </c>
      <c r="H106" s="96"/>
      <c r="I106" s="96"/>
      <c r="J106" s="96"/>
      <c r="K106" s="21"/>
      <c r="N106">
        <f>0.28+0.38</f>
        <v>0.66</v>
      </c>
      <c r="O106">
        <v>1.65</v>
      </c>
    </row>
    <row r="107" spans="1:15" ht="15" customHeight="1">
      <c r="A107" s="18"/>
      <c r="B107" s="92"/>
      <c r="C107" s="93"/>
      <c r="D107" s="94">
        <f t="shared" si="10"/>
        <v>2.96</v>
      </c>
      <c r="E107" s="94"/>
      <c r="F107" s="94">
        <f t="shared" si="11"/>
        <v>1.71</v>
      </c>
      <c r="G107" s="95">
        <f t="shared" si="7"/>
        <v>5.0615999999999994</v>
      </c>
      <c r="H107" s="96"/>
      <c r="I107" s="96"/>
      <c r="J107" s="96"/>
      <c r="K107" s="21"/>
      <c r="N107">
        <v>2.96</v>
      </c>
      <c r="O107">
        <f>(1.67+1.75)/2</f>
        <v>1.71</v>
      </c>
    </row>
    <row r="108" spans="1:15" ht="15" customHeight="1">
      <c r="A108" s="18"/>
      <c r="B108" s="92"/>
      <c r="C108" s="93"/>
      <c r="D108" s="94">
        <f t="shared" si="10"/>
        <v>0.62</v>
      </c>
      <c r="E108" s="94"/>
      <c r="F108" s="94">
        <f t="shared" si="11"/>
        <v>1.72</v>
      </c>
      <c r="G108" s="95">
        <f t="shared" si="7"/>
        <v>1.0664</v>
      </c>
      <c r="H108" s="96"/>
      <c r="I108" s="96"/>
      <c r="J108" s="96"/>
      <c r="K108" s="21"/>
      <c r="N108">
        <f>0.12+0.11+0.39</f>
        <v>0.62</v>
      </c>
      <c r="O108">
        <v>1.72</v>
      </c>
    </row>
    <row r="109" spans="1:15" ht="15" customHeight="1">
      <c r="A109" s="18"/>
      <c r="B109" s="92"/>
      <c r="C109" s="93"/>
      <c r="D109" s="94">
        <f t="shared" si="10"/>
        <v>2.96</v>
      </c>
      <c r="E109" s="94"/>
      <c r="F109" s="94">
        <f t="shared" si="11"/>
        <v>1.7349999999999999</v>
      </c>
      <c r="G109" s="95">
        <f t="shared" si="7"/>
        <v>5.1355999999999993</v>
      </c>
      <c r="H109" s="96"/>
      <c r="I109" s="96"/>
      <c r="J109" s="96"/>
      <c r="K109" s="21"/>
      <c r="N109">
        <v>2.96</v>
      </c>
      <c r="O109">
        <f>(1.72+1.75)/2</f>
        <v>1.7349999999999999</v>
      </c>
    </row>
    <row r="110" spans="1:15" ht="15" customHeight="1">
      <c r="A110" s="18"/>
      <c r="B110" s="92"/>
      <c r="C110" s="93"/>
      <c r="D110" s="94">
        <f t="shared" si="10"/>
        <v>0.63</v>
      </c>
      <c r="E110" s="94"/>
      <c r="F110" s="94">
        <f t="shared" si="11"/>
        <v>1.7</v>
      </c>
      <c r="G110" s="95">
        <f t="shared" si="7"/>
        <v>1.071</v>
      </c>
      <c r="H110" s="96"/>
      <c r="I110" s="96"/>
      <c r="J110" s="96"/>
      <c r="K110" s="21"/>
      <c r="N110">
        <f>0.12+0.13+0.38</f>
        <v>0.63</v>
      </c>
      <c r="O110">
        <v>1.7</v>
      </c>
    </row>
    <row r="111" spans="1:15" ht="15" customHeight="1">
      <c r="A111" s="18"/>
      <c r="B111" s="92"/>
      <c r="C111" s="93"/>
      <c r="D111" s="94">
        <f t="shared" si="10"/>
        <v>2.92</v>
      </c>
      <c r="E111" s="94"/>
      <c r="F111" s="94">
        <f t="shared" si="11"/>
        <v>1.635</v>
      </c>
      <c r="G111" s="95">
        <f t="shared" si="7"/>
        <v>4.7741999999999996</v>
      </c>
      <c r="H111" s="96"/>
      <c r="I111" s="96"/>
      <c r="J111" s="96"/>
      <c r="K111" s="21"/>
      <c r="N111">
        <v>2.92</v>
      </c>
      <c r="O111">
        <f>(1.65+1.62)/2</f>
        <v>1.635</v>
      </c>
    </row>
    <row r="112" spans="1:15" ht="15" customHeight="1">
      <c r="A112" s="18"/>
      <c r="B112" s="92"/>
      <c r="C112" s="93"/>
      <c r="D112" s="94">
        <f t="shared" si="10"/>
        <v>0.61</v>
      </c>
      <c r="E112" s="94"/>
      <c r="F112" s="94">
        <f t="shared" si="11"/>
        <v>1.6</v>
      </c>
      <c r="G112" s="95">
        <f t="shared" si="7"/>
        <v>0.97599999999999998</v>
      </c>
      <c r="H112" s="96"/>
      <c r="I112" s="96"/>
      <c r="J112" s="96"/>
      <c r="K112" s="21"/>
      <c r="N112">
        <f>0.13+0.1+0.38</f>
        <v>0.61</v>
      </c>
      <c r="O112">
        <v>1.6</v>
      </c>
    </row>
    <row r="113" spans="1:16" ht="15" customHeight="1">
      <c r="A113" s="18"/>
      <c r="B113" s="92"/>
      <c r="C113" s="93"/>
      <c r="D113" s="94">
        <f t="shared" si="10"/>
        <v>0.44</v>
      </c>
      <c r="E113" s="94"/>
      <c r="F113" s="94">
        <f t="shared" si="11"/>
        <v>1.55</v>
      </c>
      <c r="G113" s="95">
        <f t="shared" si="7"/>
        <v>0.68200000000000005</v>
      </c>
      <c r="H113" s="96"/>
      <c r="I113" s="96"/>
      <c r="J113" s="96"/>
      <c r="K113" s="21"/>
      <c r="M113" t="s">
        <v>104</v>
      </c>
      <c r="N113">
        <v>0.44</v>
      </c>
      <c r="O113">
        <v>1.55</v>
      </c>
    </row>
    <row r="114" spans="1:16" ht="15" customHeight="1">
      <c r="A114" s="18"/>
      <c r="B114" s="92"/>
      <c r="C114" s="93"/>
      <c r="D114" s="94"/>
      <c r="E114" s="94"/>
      <c r="F114" s="94"/>
      <c r="G114" s="95"/>
      <c r="H114" s="96"/>
      <c r="I114" s="96"/>
      <c r="J114" s="96"/>
      <c r="K114" s="21"/>
      <c r="M114" t="s">
        <v>105</v>
      </c>
      <c r="N114">
        <v>0</v>
      </c>
      <c r="O114">
        <v>1.5</v>
      </c>
    </row>
    <row r="115" spans="1:16" ht="15" customHeight="1">
      <c r="A115" s="18"/>
      <c r="B115" s="92"/>
      <c r="C115" s="93"/>
      <c r="D115" s="94">
        <f>N115</f>
        <v>3</v>
      </c>
      <c r="E115" s="94"/>
      <c r="F115" s="94">
        <f>(O114+O115)/2</f>
        <v>1.5</v>
      </c>
      <c r="G115" s="95">
        <f t="shared" si="7"/>
        <v>4.5</v>
      </c>
      <c r="H115" s="96"/>
      <c r="I115" s="96"/>
      <c r="J115" s="96"/>
      <c r="K115" s="21"/>
      <c r="N115">
        <v>3</v>
      </c>
      <c r="O115">
        <v>1.5</v>
      </c>
    </row>
    <row r="116" spans="1:16" ht="15" customHeight="1">
      <c r="A116" s="18"/>
      <c r="B116" s="92"/>
      <c r="C116" s="93"/>
      <c r="D116" s="94">
        <f t="shared" ref="D116:D121" si="12">N116</f>
        <v>3</v>
      </c>
      <c r="E116" s="94"/>
      <c r="F116" s="94">
        <f t="shared" ref="F116:F119" si="13">(O115+O116)/2</f>
        <v>1.5249999999999999</v>
      </c>
      <c r="G116" s="95">
        <f t="shared" si="7"/>
        <v>4.5749999999999993</v>
      </c>
      <c r="H116" s="96"/>
      <c r="I116" s="96"/>
      <c r="J116" s="96"/>
      <c r="K116" s="21"/>
      <c r="N116">
        <v>3</v>
      </c>
      <c r="O116">
        <v>1.55</v>
      </c>
    </row>
    <row r="117" spans="1:16" ht="15" customHeight="1">
      <c r="A117" s="18"/>
      <c r="B117" s="92"/>
      <c r="C117" s="93"/>
      <c r="D117" s="94">
        <f t="shared" si="12"/>
        <v>3</v>
      </c>
      <c r="E117" s="94"/>
      <c r="F117" s="94">
        <f t="shared" si="13"/>
        <v>1.55</v>
      </c>
      <c r="G117" s="95">
        <f t="shared" si="7"/>
        <v>4.6500000000000004</v>
      </c>
      <c r="H117" s="96"/>
      <c r="I117" s="96"/>
      <c r="J117" s="96"/>
      <c r="K117" s="21"/>
      <c r="N117">
        <v>3</v>
      </c>
      <c r="O117">
        <v>1.55</v>
      </c>
    </row>
    <row r="118" spans="1:16" ht="15" customHeight="1">
      <c r="A118" s="18"/>
      <c r="B118" s="92"/>
      <c r="C118" s="93"/>
      <c r="D118" s="94">
        <f t="shared" si="12"/>
        <v>3</v>
      </c>
      <c r="E118" s="94"/>
      <c r="F118" s="94">
        <f t="shared" si="13"/>
        <v>1.55</v>
      </c>
      <c r="G118" s="95">
        <f t="shared" si="7"/>
        <v>4.6500000000000004</v>
      </c>
      <c r="H118" s="96"/>
      <c r="I118" s="96"/>
      <c r="J118" s="96"/>
      <c r="K118" s="21"/>
      <c r="N118">
        <v>3</v>
      </c>
      <c r="O118">
        <v>1.55</v>
      </c>
    </row>
    <row r="119" spans="1:16" ht="15" customHeight="1">
      <c r="A119" s="18"/>
      <c r="B119" s="92"/>
      <c r="C119" s="93"/>
      <c r="D119" s="94">
        <f t="shared" si="12"/>
        <v>3</v>
      </c>
      <c r="E119" s="94"/>
      <c r="F119" s="94">
        <f t="shared" si="13"/>
        <v>1.635</v>
      </c>
      <c r="G119" s="95">
        <f t="shared" si="7"/>
        <v>4.9050000000000002</v>
      </c>
      <c r="H119" s="96"/>
      <c r="I119" s="96"/>
      <c r="J119" s="96"/>
      <c r="K119" s="21"/>
      <c r="N119">
        <v>3</v>
      </c>
      <c r="O119">
        <v>1.72</v>
      </c>
    </row>
    <row r="120" spans="1:16" ht="15" customHeight="1">
      <c r="A120" s="18"/>
      <c r="B120" s="92"/>
      <c r="C120" s="93"/>
      <c r="D120" s="94">
        <f t="shared" si="12"/>
        <v>3.06</v>
      </c>
      <c r="E120" s="94"/>
      <c r="F120" s="94">
        <f>O120</f>
        <v>1.65</v>
      </c>
      <c r="G120" s="95">
        <f t="shared" si="7"/>
        <v>5.0489999999999995</v>
      </c>
      <c r="H120" s="96"/>
      <c r="I120" s="96"/>
      <c r="J120" s="96"/>
      <c r="K120" s="21"/>
      <c r="N120">
        <v>3.06</v>
      </c>
      <c r="O120">
        <v>1.65</v>
      </c>
    </row>
    <row r="121" spans="1:16" ht="15" customHeight="1">
      <c r="A121" s="18"/>
      <c r="B121" s="92"/>
      <c r="C121" s="93"/>
      <c r="D121" s="94">
        <f t="shared" si="12"/>
        <v>0.16</v>
      </c>
      <c r="E121" s="94"/>
      <c r="F121" s="94">
        <f>O121</f>
        <v>1.61</v>
      </c>
      <c r="G121" s="95">
        <f t="shared" si="7"/>
        <v>0.2576</v>
      </c>
      <c r="H121" s="96"/>
      <c r="I121" s="96"/>
      <c r="J121" s="96"/>
      <c r="K121" s="21"/>
      <c r="M121" t="s">
        <v>106</v>
      </c>
      <c r="N121">
        <v>0.16</v>
      </c>
      <c r="O121">
        <v>1.61</v>
      </c>
    </row>
    <row r="122" spans="1:16" ht="15" customHeight="1">
      <c r="A122" s="18"/>
      <c r="B122" s="92" t="s">
        <v>61</v>
      </c>
      <c r="C122" s="93">
        <v>10</v>
      </c>
      <c r="D122" s="94">
        <f>2.75/3.281</f>
        <v>0.8381590978360256</v>
      </c>
      <c r="E122" s="94"/>
      <c r="F122" s="94">
        <v>1.2</v>
      </c>
      <c r="G122" s="95">
        <f t="shared" si="7"/>
        <v>10.057909174032307</v>
      </c>
      <c r="H122" s="96"/>
      <c r="I122" s="96"/>
      <c r="J122" s="96"/>
      <c r="K122" s="21"/>
      <c r="M122" t="s">
        <v>107</v>
      </c>
      <c r="N122">
        <v>0</v>
      </c>
      <c r="O122">
        <v>1.6</v>
      </c>
    </row>
    <row r="123" spans="1:16" ht="15" customHeight="1">
      <c r="A123" s="18"/>
      <c r="B123" s="92"/>
      <c r="C123" s="93"/>
      <c r="D123" s="94">
        <f>N123</f>
        <v>0.6</v>
      </c>
      <c r="E123" s="94"/>
      <c r="F123" s="94">
        <f>(O122+O123)/2</f>
        <v>1.6</v>
      </c>
      <c r="G123" s="95">
        <f t="shared" si="7"/>
        <v>0.96</v>
      </c>
      <c r="H123" s="96"/>
      <c r="I123" s="96"/>
      <c r="J123" s="96"/>
      <c r="K123" s="21"/>
      <c r="N123">
        <v>0.6</v>
      </c>
      <c r="O123">
        <v>1.6</v>
      </c>
    </row>
    <row r="124" spans="1:16" ht="15" customHeight="1">
      <c r="A124" s="18"/>
      <c r="B124" s="92"/>
      <c r="C124" s="93"/>
      <c r="D124" s="94">
        <f>N124</f>
        <v>15</v>
      </c>
      <c r="E124" s="94"/>
      <c r="F124" s="94">
        <f>O124</f>
        <v>0.2</v>
      </c>
      <c r="G124" s="95">
        <f t="shared" si="7"/>
        <v>3</v>
      </c>
      <c r="H124" s="96"/>
      <c r="I124" s="96"/>
      <c r="J124" s="96"/>
      <c r="K124" s="21"/>
      <c r="M124" t="s">
        <v>108</v>
      </c>
      <c r="N124">
        <v>15</v>
      </c>
      <c r="O124">
        <v>0.2</v>
      </c>
    </row>
    <row r="125" spans="1:16" ht="15" customHeight="1">
      <c r="A125" s="18"/>
      <c r="B125" s="92"/>
      <c r="C125" s="93"/>
      <c r="D125" s="94"/>
      <c r="E125" s="94"/>
      <c r="F125" s="94"/>
      <c r="G125" s="95"/>
      <c r="H125" s="96"/>
      <c r="I125" s="96"/>
      <c r="J125" s="96"/>
      <c r="K125" s="21"/>
      <c r="M125" t="s">
        <v>109</v>
      </c>
      <c r="N125">
        <v>0</v>
      </c>
      <c r="O125">
        <v>1.75</v>
      </c>
      <c r="P125" t="s">
        <v>110</v>
      </c>
    </row>
    <row r="126" spans="1:16" ht="15" customHeight="1">
      <c r="A126" s="18"/>
      <c r="B126" s="92"/>
      <c r="C126" s="93"/>
      <c r="D126" s="94">
        <f>N126</f>
        <v>4</v>
      </c>
      <c r="E126" s="94"/>
      <c r="F126" s="94">
        <f>O126</f>
        <v>1.75</v>
      </c>
      <c r="G126" s="95">
        <f t="shared" si="7"/>
        <v>7</v>
      </c>
      <c r="H126" s="96"/>
      <c r="I126" s="96"/>
      <c r="J126" s="96"/>
      <c r="K126" s="21"/>
      <c r="N126">
        <v>4</v>
      </c>
      <c r="O126">
        <v>1.75</v>
      </c>
    </row>
    <row r="127" spans="1:16" ht="15" customHeight="1">
      <c r="A127" s="18"/>
      <c r="B127" s="92"/>
      <c r="C127" s="93"/>
      <c r="D127" s="94">
        <f t="shared" ref="D127:D144" si="14">N127</f>
        <v>4</v>
      </c>
      <c r="E127" s="94"/>
      <c r="F127" s="94">
        <f t="shared" ref="F127:F144" si="15">O127</f>
        <v>1.75</v>
      </c>
      <c r="G127" s="95">
        <f t="shared" si="7"/>
        <v>7</v>
      </c>
      <c r="H127" s="96"/>
      <c r="I127" s="96"/>
      <c r="J127" s="96"/>
      <c r="K127" s="21"/>
      <c r="N127">
        <v>4</v>
      </c>
      <c r="O127">
        <v>1.75</v>
      </c>
    </row>
    <row r="128" spans="1:16" ht="15" customHeight="1">
      <c r="A128" s="18"/>
      <c r="B128" s="92"/>
      <c r="C128" s="93"/>
      <c r="D128" s="94">
        <f t="shared" si="14"/>
        <v>4.21</v>
      </c>
      <c r="E128" s="94"/>
      <c r="F128" s="94">
        <f t="shared" si="15"/>
        <v>1.75</v>
      </c>
      <c r="G128" s="95">
        <f t="shared" si="7"/>
        <v>7.3674999999999997</v>
      </c>
      <c r="H128" s="96"/>
      <c r="I128" s="96"/>
      <c r="J128" s="96"/>
      <c r="K128" s="21"/>
      <c r="N128">
        <f>(4.59-0.38)</f>
        <v>4.21</v>
      </c>
      <c r="O128">
        <v>1.75</v>
      </c>
      <c r="P128" t="s">
        <v>111</v>
      </c>
    </row>
    <row r="129" spans="1:16" ht="15" customHeight="1">
      <c r="A129" s="18"/>
      <c r="B129" s="92"/>
      <c r="C129" s="93"/>
      <c r="D129" s="94">
        <f t="shared" si="14"/>
        <v>0.49</v>
      </c>
      <c r="E129" s="94"/>
      <c r="F129" s="94">
        <f t="shared" si="15"/>
        <v>2.1</v>
      </c>
      <c r="G129" s="95">
        <f t="shared" si="7"/>
        <v>1.0289999999999999</v>
      </c>
      <c r="H129" s="96"/>
      <c r="I129" s="96"/>
      <c r="J129" s="96"/>
      <c r="K129" s="21"/>
      <c r="N129">
        <f>0.38+0.11</f>
        <v>0.49</v>
      </c>
      <c r="O129">
        <v>2.1</v>
      </c>
      <c r="P129" t="s">
        <v>112</v>
      </c>
    </row>
    <row r="130" spans="1:16" ht="15" customHeight="1">
      <c r="A130" s="18"/>
      <c r="B130" s="92"/>
      <c r="C130" s="93"/>
      <c r="D130" s="94">
        <f t="shared" si="14"/>
        <v>0</v>
      </c>
      <c r="E130" s="94"/>
      <c r="F130" s="94">
        <f t="shared" si="15"/>
        <v>2.1</v>
      </c>
      <c r="G130" s="95">
        <f t="shared" si="7"/>
        <v>0</v>
      </c>
      <c r="H130" s="96"/>
      <c r="I130" s="96"/>
      <c r="J130" s="96"/>
      <c r="K130" s="21"/>
      <c r="N130">
        <v>0</v>
      </c>
      <c r="O130">
        <v>2.1</v>
      </c>
    </row>
    <row r="131" spans="1:16" ht="15" customHeight="1">
      <c r="A131" s="18"/>
      <c r="B131" s="92"/>
      <c r="C131" s="93"/>
      <c r="D131" s="94">
        <f t="shared" si="14"/>
        <v>3.17</v>
      </c>
      <c r="E131" s="94"/>
      <c r="F131" s="94">
        <f t="shared" si="15"/>
        <v>2.1</v>
      </c>
      <c r="G131" s="95">
        <f t="shared" si="7"/>
        <v>6.657</v>
      </c>
      <c r="H131" s="96"/>
      <c r="I131" s="96"/>
      <c r="J131" s="96"/>
      <c r="K131" s="21"/>
      <c r="N131">
        <v>3.17</v>
      </c>
      <c r="O131">
        <v>2.1</v>
      </c>
    </row>
    <row r="132" spans="1:16" ht="15" customHeight="1">
      <c r="A132" s="18"/>
      <c r="B132" s="92"/>
      <c r="C132" s="93"/>
      <c r="D132" s="94">
        <f t="shared" si="14"/>
        <v>0.48</v>
      </c>
      <c r="E132" s="94"/>
      <c r="F132" s="94">
        <f t="shared" si="15"/>
        <v>2.1</v>
      </c>
      <c r="G132" s="95">
        <f t="shared" si="7"/>
        <v>1.008</v>
      </c>
      <c r="H132" s="96"/>
      <c r="I132" s="96"/>
      <c r="J132" s="96"/>
      <c r="K132" s="21"/>
      <c r="N132">
        <f>0.1+0.28+0.1</f>
        <v>0.48</v>
      </c>
      <c r="O132">
        <v>2.1</v>
      </c>
    </row>
    <row r="133" spans="1:16" ht="15" customHeight="1">
      <c r="A133" s="18"/>
      <c r="B133" s="92"/>
      <c r="C133" s="93"/>
      <c r="D133" s="94">
        <f t="shared" si="14"/>
        <v>3.11</v>
      </c>
      <c r="E133" s="94"/>
      <c r="F133" s="94">
        <f t="shared" si="15"/>
        <v>2.1</v>
      </c>
      <c r="G133" s="95">
        <f t="shared" si="7"/>
        <v>6.5309999999999997</v>
      </c>
      <c r="H133" s="96"/>
      <c r="I133" s="96"/>
      <c r="J133" s="96"/>
      <c r="K133" s="21"/>
      <c r="N133">
        <v>3.11</v>
      </c>
      <c r="O133">
        <v>2.1</v>
      </c>
    </row>
    <row r="134" spans="1:16" ht="15" customHeight="1">
      <c r="A134" s="18"/>
      <c r="B134" s="92"/>
      <c r="C134" s="93"/>
      <c r="D134" s="94">
        <f t="shared" si="14"/>
        <v>0.6</v>
      </c>
      <c r="E134" s="94"/>
      <c r="F134" s="94">
        <f t="shared" si="15"/>
        <v>2.1</v>
      </c>
      <c r="G134" s="95">
        <f t="shared" si="7"/>
        <v>1.26</v>
      </c>
      <c r="H134" s="96"/>
      <c r="I134" s="96"/>
      <c r="J134" s="96"/>
      <c r="K134" s="21"/>
      <c r="N134">
        <f>0.11+0.38+0.11</f>
        <v>0.6</v>
      </c>
      <c r="O134">
        <v>2.1</v>
      </c>
    </row>
    <row r="135" spans="1:16" ht="15" customHeight="1">
      <c r="A135" s="18"/>
      <c r="B135" s="92"/>
      <c r="C135" s="93"/>
      <c r="D135" s="94">
        <f t="shared" si="14"/>
        <v>3.1</v>
      </c>
      <c r="E135" s="94"/>
      <c r="F135" s="94">
        <f t="shared" si="15"/>
        <v>2.1</v>
      </c>
      <c r="G135" s="95">
        <f t="shared" si="7"/>
        <v>6.5100000000000007</v>
      </c>
      <c r="H135" s="96"/>
      <c r="I135" s="96"/>
      <c r="J135" s="96"/>
      <c r="K135" s="21"/>
      <c r="N135">
        <v>3.1</v>
      </c>
      <c r="O135">
        <v>2.1</v>
      </c>
    </row>
    <row r="136" spans="1:16" ht="15" customHeight="1">
      <c r="A136" s="18"/>
      <c r="B136" s="92"/>
      <c r="C136" s="93"/>
      <c r="D136" s="94">
        <f t="shared" si="14"/>
        <v>0.6</v>
      </c>
      <c r="E136" s="94"/>
      <c r="F136" s="94">
        <f t="shared" si="15"/>
        <v>2.1</v>
      </c>
      <c r="G136" s="95">
        <f t="shared" si="7"/>
        <v>1.26</v>
      </c>
      <c r="H136" s="96"/>
      <c r="I136" s="96"/>
      <c r="J136" s="96"/>
      <c r="K136" s="21"/>
      <c r="N136">
        <f>0.11+0.38+0.11</f>
        <v>0.6</v>
      </c>
      <c r="O136">
        <v>2.1</v>
      </c>
    </row>
    <row r="137" spans="1:16" ht="15" customHeight="1">
      <c r="A137" s="18"/>
      <c r="B137" s="92"/>
      <c r="C137" s="93"/>
      <c r="D137" s="94">
        <f t="shared" si="14"/>
        <v>3.11</v>
      </c>
      <c r="E137" s="94"/>
      <c r="F137" s="94">
        <f t="shared" si="15"/>
        <v>2.1550000000000002</v>
      </c>
      <c r="G137" s="95">
        <f t="shared" si="7"/>
        <v>6.7020500000000007</v>
      </c>
      <c r="H137" s="96"/>
      <c r="I137" s="96"/>
      <c r="J137" s="96"/>
      <c r="K137" s="21"/>
      <c r="N137">
        <v>3.11</v>
      </c>
      <c r="O137">
        <f>(2.1+2.21)/2</f>
        <v>2.1550000000000002</v>
      </c>
    </row>
    <row r="138" spans="1:16" ht="15" customHeight="1">
      <c r="A138" s="18"/>
      <c r="B138" s="92"/>
      <c r="C138" s="93"/>
      <c r="D138" s="94">
        <f t="shared" si="14"/>
        <v>0.6</v>
      </c>
      <c r="E138" s="94"/>
      <c r="F138" s="94">
        <f t="shared" si="15"/>
        <v>2.2000000000000002</v>
      </c>
      <c r="G138" s="95">
        <f t="shared" si="7"/>
        <v>1.32</v>
      </c>
      <c r="H138" s="96"/>
      <c r="I138" s="96"/>
      <c r="J138" s="96"/>
      <c r="K138" s="21"/>
      <c r="N138">
        <f>0.11+0.39+0.1</f>
        <v>0.6</v>
      </c>
      <c r="O138">
        <v>2.2000000000000002</v>
      </c>
    </row>
    <row r="139" spans="1:16" ht="15" customHeight="1">
      <c r="A139" s="18"/>
      <c r="B139" s="92"/>
      <c r="C139" s="93"/>
      <c r="D139" s="94">
        <f t="shared" si="14"/>
        <v>3.1</v>
      </c>
      <c r="E139" s="94"/>
      <c r="F139" s="94">
        <f t="shared" si="15"/>
        <v>2.2400000000000002</v>
      </c>
      <c r="G139" s="95">
        <f t="shared" si="7"/>
        <v>6.9440000000000008</v>
      </c>
      <c r="H139" s="96"/>
      <c r="I139" s="96"/>
      <c r="J139" s="96"/>
      <c r="K139" s="21"/>
      <c r="N139">
        <v>3.1</v>
      </c>
      <c r="O139">
        <f>(2.2+2.28)/2</f>
        <v>2.2400000000000002</v>
      </c>
    </row>
    <row r="140" spans="1:16" ht="15" customHeight="1">
      <c r="A140" s="18"/>
      <c r="B140" s="92"/>
      <c r="C140" s="93"/>
      <c r="D140" s="94">
        <f t="shared" si="14"/>
        <v>0.57999999999999996</v>
      </c>
      <c r="E140" s="94"/>
      <c r="F140" s="94">
        <f t="shared" si="15"/>
        <v>2.2000000000000002</v>
      </c>
      <c r="G140" s="95">
        <f t="shared" si="7"/>
        <v>1.276</v>
      </c>
      <c r="H140" s="96"/>
      <c r="I140" s="96"/>
      <c r="J140" s="96"/>
      <c r="K140" s="21"/>
      <c r="N140">
        <f>0.1+0.38+0.1</f>
        <v>0.57999999999999996</v>
      </c>
      <c r="O140">
        <v>2.2000000000000002</v>
      </c>
    </row>
    <row r="141" spans="1:16" ht="15" customHeight="1">
      <c r="A141" s="18"/>
      <c r="B141" s="92"/>
      <c r="C141" s="93"/>
      <c r="D141" s="94">
        <f t="shared" si="14"/>
        <v>3.15</v>
      </c>
      <c r="E141" s="94"/>
      <c r="F141" s="94">
        <f t="shared" si="15"/>
        <v>2.2749999999999999</v>
      </c>
      <c r="G141" s="95">
        <f t="shared" si="7"/>
        <v>7.1662499999999998</v>
      </c>
      <c r="H141" s="96"/>
      <c r="I141" s="96"/>
      <c r="J141" s="96"/>
      <c r="K141" s="21"/>
      <c r="N141">
        <v>3.15</v>
      </c>
      <c r="O141">
        <f>(2.3+2.25)/2</f>
        <v>2.2749999999999999</v>
      </c>
    </row>
    <row r="142" spans="1:16" ht="15" customHeight="1">
      <c r="A142" s="18"/>
      <c r="B142" s="92"/>
      <c r="C142" s="93"/>
      <c r="D142" s="94">
        <f t="shared" si="14"/>
        <v>3.25</v>
      </c>
      <c r="E142" s="94"/>
      <c r="F142" s="94">
        <f t="shared" si="15"/>
        <v>2.2999999999999998</v>
      </c>
      <c r="G142" s="95">
        <f t="shared" si="7"/>
        <v>7.4749999999999996</v>
      </c>
      <c r="H142" s="96"/>
      <c r="I142" s="96"/>
      <c r="J142" s="96"/>
      <c r="K142" s="21"/>
      <c r="N142">
        <v>3.25</v>
      </c>
      <c r="O142">
        <v>2.2999999999999998</v>
      </c>
    </row>
    <row r="143" spans="1:16" ht="15" customHeight="1">
      <c r="A143" s="18"/>
      <c r="B143" s="92"/>
      <c r="C143" s="93"/>
      <c r="D143" s="94">
        <f t="shared" si="14"/>
        <v>0.56999999999999995</v>
      </c>
      <c r="E143" s="94"/>
      <c r="F143" s="94">
        <f t="shared" si="15"/>
        <v>2.2999999999999998</v>
      </c>
      <c r="G143" s="95">
        <f t="shared" si="7"/>
        <v>1.3109999999999997</v>
      </c>
      <c r="H143" s="96"/>
      <c r="I143" s="96"/>
      <c r="J143" s="96"/>
      <c r="K143" s="21"/>
      <c r="N143">
        <f>0.11+0.36+0.1</f>
        <v>0.56999999999999995</v>
      </c>
      <c r="O143">
        <v>2.2999999999999998</v>
      </c>
    </row>
    <row r="144" spans="1:16" ht="15" customHeight="1">
      <c r="A144" s="18"/>
      <c r="B144" s="92"/>
      <c r="C144" s="93"/>
      <c r="D144" s="94">
        <f t="shared" si="14"/>
        <v>0.97</v>
      </c>
      <c r="E144" s="94"/>
      <c r="F144" s="94">
        <f t="shared" si="15"/>
        <v>2.2999999999999998</v>
      </c>
      <c r="G144" s="95">
        <f t="shared" si="7"/>
        <v>2.2309999999999999</v>
      </c>
      <c r="H144" s="96"/>
      <c r="I144" s="96"/>
      <c r="J144" s="96"/>
      <c r="K144" s="21"/>
      <c r="N144">
        <f>0.11+0.38+0.38+0.1</f>
        <v>0.97</v>
      </c>
      <c r="O144">
        <v>2.2999999999999998</v>
      </c>
    </row>
    <row r="145" spans="1:15" ht="15" customHeight="1">
      <c r="A145" s="18"/>
      <c r="B145" s="92"/>
      <c r="C145" s="93"/>
      <c r="D145" s="94"/>
      <c r="E145" s="94"/>
      <c r="F145" s="94"/>
      <c r="G145" s="95"/>
      <c r="H145" s="96"/>
      <c r="I145" s="96"/>
      <c r="J145" s="96"/>
      <c r="K145" s="21"/>
      <c r="M145" t="s">
        <v>113</v>
      </c>
      <c r="N145">
        <v>0</v>
      </c>
      <c r="O145">
        <v>1.76</v>
      </c>
    </row>
    <row r="146" spans="1:15" ht="15" customHeight="1">
      <c r="A146" s="18"/>
      <c r="B146" s="92"/>
      <c r="C146" s="93"/>
      <c r="D146" s="94">
        <f>N146</f>
        <v>0.48</v>
      </c>
      <c r="E146" s="94"/>
      <c r="F146" s="94">
        <f>O146</f>
        <v>1.75</v>
      </c>
      <c r="G146" s="95">
        <f t="shared" si="7"/>
        <v>0.84</v>
      </c>
      <c r="H146" s="96"/>
      <c r="I146" s="96"/>
      <c r="J146" s="96"/>
      <c r="K146" s="21"/>
      <c r="N146">
        <f>0.38+0.1</f>
        <v>0.48</v>
      </c>
      <c r="O146">
        <v>1.75</v>
      </c>
    </row>
    <row r="147" spans="1:15" ht="15" customHeight="1">
      <c r="A147" s="18"/>
      <c r="B147" s="92"/>
      <c r="C147" s="93"/>
      <c r="D147" s="94">
        <f t="shared" ref="D147:D154" si="16">N147</f>
        <v>2.75</v>
      </c>
      <c r="E147" s="94"/>
      <c r="F147" s="94">
        <f t="shared" ref="F147:F154" si="17">O147</f>
        <v>1.75</v>
      </c>
      <c r="G147" s="95">
        <f t="shared" si="7"/>
        <v>4.8125</v>
      </c>
      <c r="H147" s="96"/>
      <c r="I147" s="96"/>
      <c r="J147" s="96"/>
      <c r="K147" s="21"/>
      <c r="N147">
        <v>2.75</v>
      </c>
      <c r="O147">
        <v>1.75</v>
      </c>
    </row>
    <row r="148" spans="1:15" ht="15" customHeight="1">
      <c r="A148" s="18"/>
      <c r="B148" s="92"/>
      <c r="C148" s="93"/>
      <c r="D148" s="94">
        <f t="shared" si="16"/>
        <v>0.56999999999999995</v>
      </c>
      <c r="E148" s="94"/>
      <c r="F148" s="94">
        <f t="shared" si="17"/>
        <v>1.75</v>
      </c>
      <c r="G148" s="95">
        <f t="shared" si="7"/>
        <v>0.99749999999999994</v>
      </c>
      <c r="H148" s="96"/>
      <c r="I148" s="96"/>
      <c r="J148" s="96"/>
      <c r="K148" s="21"/>
      <c r="N148">
        <f>0.36+0.1+0.11</f>
        <v>0.56999999999999995</v>
      </c>
      <c r="O148">
        <v>1.75</v>
      </c>
    </row>
    <row r="149" spans="1:15" ht="15" customHeight="1">
      <c r="A149" s="18"/>
      <c r="B149" s="92"/>
      <c r="C149" s="93"/>
      <c r="D149" s="94">
        <f t="shared" si="16"/>
        <v>2.65</v>
      </c>
      <c r="E149" s="94"/>
      <c r="F149" s="94">
        <f>(O148+O149)/2</f>
        <v>1.7749999999999999</v>
      </c>
      <c r="G149" s="95">
        <f t="shared" si="7"/>
        <v>4.7037499999999994</v>
      </c>
      <c r="H149" s="96"/>
      <c r="I149" s="96"/>
      <c r="J149" s="96"/>
      <c r="K149" s="21"/>
      <c r="N149">
        <v>2.65</v>
      </c>
      <c r="O149">
        <v>1.8</v>
      </c>
    </row>
    <row r="150" spans="1:15" ht="15" customHeight="1">
      <c r="A150" s="18"/>
      <c r="B150" s="92"/>
      <c r="C150" s="93"/>
      <c r="D150" s="94">
        <f t="shared" si="16"/>
        <v>0.57999999999999996</v>
      </c>
      <c r="E150" s="94"/>
      <c r="F150" s="94">
        <f t="shared" si="17"/>
        <v>1.8</v>
      </c>
      <c r="G150" s="95">
        <f t="shared" si="7"/>
        <v>1.044</v>
      </c>
      <c r="H150" s="96"/>
      <c r="I150" s="96"/>
      <c r="J150" s="96"/>
      <c r="K150" s="21"/>
      <c r="N150">
        <f>0.36+0.11+0.11</f>
        <v>0.57999999999999996</v>
      </c>
      <c r="O150">
        <v>1.8</v>
      </c>
    </row>
    <row r="151" spans="1:15" ht="15" customHeight="1">
      <c r="A151" s="18"/>
      <c r="B151" s="92"/>
      <c r="C151" s="93"/>
      <c r="D151" s="94">
        <f t="shared" si="16"/>
        <v>1.1599999999999999</v>
      </c>
      <c r="E151" s="94"/>
      <c r="F151" s="94">
        <f t="shared" si="17"/>
        <v>1.8</v>
      </c>
      <c r="G151" s="95">
        <f t="shared" si="7"/>
        <v>2.0880000000000001</v>
      </c>
      <c r="H151" s="96"/>
      <c r="I151" s="96"/>
      <c r="J151" s="96"/>
      <c r="K151" s="21"/>
      <c r="N151">
        <v>1.1599999999999999</v>
      </c>
      <c r="O151">
        <v>1.8</v>
      </c>
    </row>
    <row r="152" spans="1:15" ht="15" customHeight="1">
      <c r="A152" s="18"/>
      <c r="B152" s="92"/>
      <c r="C152" s="93"/>
      <c r="D152" s="94">
        <f t="shared" si="16"/>
        <v>0.6</v>
      </c>
      <c r="E152" s="94"/>
      <c r="F152" s="94">
        <f t="shared" si="17"/>
        <v>1.8</v>
      </c>
      <c r="G152" s="95">
        <f t="shared" si="7"/>
        <v>1.08</v>
      </c>
      <c r="H152" s="96"/>
      <c r="I152" s="96"/>
      <c r="J152" s="96"/>
      <c r="K152" s="21"/>
      <c r="N152">
        <f>0.37+0.11+0.12</f>
        <v>0.6</v>
      </c>
      <c r="O152">
        <v>1.8</v>
      </c>
    </row>
    <row r="153" spans="1:15" ht="15" customHeight="1">
      <c r="A153" s="18"/>
      <c r="B153" s="92"/>
      <c r="C153" s="93"/>
      <c r="D153" s="94">
        <f t="shared" si="16"/>
        <v>2.7430661383724475</v>
      </c>
      <c r="E153" s="94"/>
      <c r="F153" s="94">
        <f t="shared" si="17"/>
        <v>1.8</v>
      </c>
      <c r="G153" s="95">
        <f t="shared" si="7"/>
        <v>4.9375190490704055</v>
      </c>
      <c r="H153" s="96"/>
      <c r="I153" s="96"/>
      <c r="J153" s="96"/>
      <c r="K153" s="21"/>
      <c r="N153">
        <f>9/3.281</f>
        <v>2.7430661383724475</v>
      </c>
      <c r="O153">
        <v>1.8</v>
      </c>
    </row>
    <row r="154" spans="1:15" ht="15" customHeight="1">
      <c r="A154" s="18"/>
      <c r="B154" s="92"/>
      <c r="C154" s="93"/>
      <c r="D154" s="94">
        <f t="shared" si="16"/>
        <v>0.57999999999999996</v>
      </c>
      <c r="E154" s="94"/>
      <c r="F154" s="94">
        <f t="shared" si="17"/>
        <v>2.1334958854007922</v>
      </c>
      <c r="G154" s="95">
        <f t="shared" si="7"/>
        <v>1.2374276135324593</v>
      </c>
      <c r="H154" s="96"/>
      <c r="I154" s="96"/>
      <c r="J154" s="96"/>
      <c r="K154" s="21"/>
      <c r="N154">
        <v>0.57999999999999996</v>
      </c>
      <c r="O154">
        <f>7/3.281</f>
        <v>2.1334958854007922</v>
      </c>
    </row>
    <row r="155" spans="1:15" ht="15" customHeight="1">
      <c r="A155" s="18"/>
      <c r="B155" s="92" t="s">
        <v>114</v>
      </c>
      <c r="C155" s="93">
        <v>1</v>
      </c>
      <c r="D155" s="94">
        <v>15</v>
      </c>
      <c r="E155" s="94"/>
      <c r="F155" s="94">
        <v>0.45</v>
      </c>
      <c r="G155" s="95">
        <f t="shared" si="7"/>
        <v>6.75</v>
      </c>
      <c r="H155" s="96"/>
      <c r="I155" s="96"/>
      <c r="J155" s="96"/>
      <c r="K155" s="21"/>
    </row>
    <row r="156" spans="1:15" ht="15" customHeight="1">
      <c r="A156" s="18"/>
      <c r="B156" s="92" t="s">
        <v>40</v>
      </c>
      <c r="C156" s="86"/>
      <c r="D156" s="87"/>
      <c r="E156" s="88"/>
      <c r="F156" s="88"/>
      <c r="G156" s="89">
        <f>SUM(G91:G155)</f>
        <v>219.30700583663517</v>
      </c>
      <c r="H156" s="90" t="s">
        <v>62</v>
      </c>
      <c r="I156" s="89">
        <v>405.86</v>
      </c>
      <c r="J156" s="91">
        <f>G156*I156</f>
        <v>89007.941388856751</v>
      </c>
      <c r="K156" s="21"/>
    </row>
    <row r="157" spans="1:15" ht="15" customHeight="1">
      <c r="A157" s="18"/>
      <c r="B157" s="92" t="s">
        <v>38</v>
      </c>
      <c r="C157" s="86"/>
      <c r="D157" s="87"/>
      <c r="E157" s="88"/>
      <c r="F157" s="88"/>
      <c r="G157" s="89"/>
      <c r="H157" s="90"/>
      <c r="I157" s="89"/>
      <c r="J157" s="91">
        <f>0.13*G156*11166.2/100</f>
        <v>3183.4736551449464</v>
      </c>
      <c r="K157" s="21"/>
    </row>
    <row r="158" spans="1:15" ht="15" customHeight="1">
      <c r="A158" s="18"/>
      <c r="B158" s="92"/>
      <c r="C158" s="86"/>
      <c r="D158" s="87"/>
      <c r="E158" s="88"/>
      <c r="F158" s="88"/>
      <c r="G158" s="89"/>
      <c r="H158" s="90"/>
      <c r="I158" s="89"/>
      <c r="J158" s="91"/>
      <c r="K158" s="21"/>
    </row>
    <row r="159" spans="1:15" ht="76.8">
      <c r="A159" s="18">
        <v>11</v>
      </c>
      <c r="B159" s="81" t="s">
        <v>60</v>
      </c>
      <c r="C159" s="81"/>
      <c r="D159" s="81"/>
      <c r="E159" s="81"/>
      <c r="F159" s="81"/>
      <c r="G159" s="81"/>
      <c r="H159" s="81"/>
      <c r="I159" s="23"/>
      <c r="J159" s="82"/>
      <c r="K159" s="21"/>
    </row>
    <row r="160" spans="1:15" ht="15" customHeight="1">
      <c r="A160" s="18"/>
      <c r="B160" s="83" t="s">
        <v>61</v>
      </c>
      <c r="C160" s="19">
        <v>6</v>
      </c>
      <c r="D160" s="20">
        <v>1.2</v>
      </c>
      <c r="E160" s="21"/>
      <c r="F160" s="21">
        <f>5.42/3.281</f>
        <v>1.6519353855531849</v>
      </c>
      <c r="G160" s="84">
        <f t="shared" ref="G160" si="18">PRODUCT(C160:F160)</f>
        <v>11.893934775982929</v>
      </c>
      <c r="H160" s="22"/>
      <c r="I160" s="23"/>
      <c r="J160" s="82"/>
      <c r="K160" s="21"/>
    </row>
    <row r="161" spans="1:13" ht="15" customHeight="1">
      <c r="A161" s="18"/>
      <c r="B161" s="83" t="s">
        <v>40</v>
      </c>
      <c r="C161" s="19"/>
      <c r="D161" s="20"/>
      <c r="E161" s="21"/>
      <c r="F161" s="21"/>
      <c r="G161" s="23">
        <f>SUM(G160:G160)</f>
        <v>11.893934775982929</v>
      </c>
      <c r="H161" s="22" t="s">
        <v>62</v>
      </c>
      <c r="I161" s="23">
        <v>2575.34</v>
      </c>
      <c r="J161" s="82">
        <f>G161*I161</f>
        <v>30630.92598597988</v>
      </c>
      <c r="K161" s="21"/>
      <c r="M161">
        <f>26*6*181.17</f>
        <v>28262.519999999997</v>
      </c>
    </row>
    <row r="162" spans="1:13" ht="15" customHeight="1">
      <c r="A162" s="18"/>
      <c r="B162" s="83" t="s">
        <v>38</v>
      </c>
      <c r="C162" s="19"/>
      <c r="D162" s="20"/>
      <c r="E162" s="21"/>
      <c r="F162" s="21"/>
      <c r="G162" s="23"/>
      <c r="H162" s="22"/>
      <c r="I162" s="23"/>
      <c r="J162" s="82">
        <f>0.13*G161*24343.96/10</f>
        <v>3764.0911415787864</v>
      </c>
      <c r="K162" s="21"/>
    </row>
    <row r="163" spans="1:13" ht="15" customHeight="1">
      <c r="A163" s="18"/>
      <c r="B163" s="83"/>
      <c r="C163" s="19"/>
      <c r="D163" s="20"/>
      <c r="E163" s="21"/>
      <c r="F163" s="21"/>
      <c r="G163" s="23"/>
      <c r="H163" s="22"/>
      <c r="I163" s="23"/>
      <c r="J163" s="82"/>
      <c r="K163" s="21"/>
    </row>
    <row r="164" spans="1:13" ht="30.6">
      <c r="A164" s="18">
        <v>12</v>
      </c>
      <c r="B164" s="60" t="s">
        <v>63</v>
      </c>
      <c r="C164" s="60"/>
      <c r="D164" s="60"/>
      <c r="E164" s="60"/>
      <c r="F164" s="60"/>
      <c r="G164" s="60"/>
      <c r="H164" s="60"/>
      <c r="I164" s="23"/>
      <c r="J164" s="40"/>
      <c r="K164" s="21"/>
    </row>
    <row r="165" spans="1:13" ht="15" customHeight="1">
      <c r="A165" s="18"/>
      <c r="B165" s="36" t="s">
        <v>64</v>
      </c>
      <c r="C165" s="19">
        <v>0</v>
      </c>
      <c r="D165" s="20">
        <f>(5.17+15.5+27+10.917+70+53.5+21.333+24.5+41.17+4.667+39.75)/3.281</f>
        <v>95.552270649192295</v>
      </c>
      <c r="E165" s="21"/>
      <c r="F165" s="21"/>
      <c r="G165" s="38">
        <f t="shared" ref="G165" si="19">PRODUCT(C165:F165)</f>
        <v>0</v>
      </c>
      <c r="H165" s="22"/>
      <c r="I165" s="23"/>
      <c r="J165" s="40"/>
      <c r="K165" s="21"/>
    </row>
    <row r="166" spans="1:13" ht="15" customHeight="1">
      <c r="A166" s="18"/>
      <c r="B166" s="36" t="s">
        <v>40</v>
      </c>
      <c r="C166" s="19"/>
      <c r="D166" s="20"/>
      <c r="E166" s="21"/>
      <c r="F166" s="21"/>
      <c r="G166" s="23">
        <f>SUM(G165:G165)</f>
        <v>0</v>
      </c>
      <c r="H166" s="22" t="s">
        <v>65</v>
      </c>
      <c r="I166" s="23">
        <v>82.59</v>
      </c>
      <c r="J166" s="40">
        <f>G166*I166</f>
        <v>0</v>
      </c>
      <c r="K166" s="21"/>
    </row>
    <row r="167" spans="1:13" ht="15" customHeight="1">
      <c r="A167" s="18"/>
      <c r="B167" s="36" t="s">
        <v>38</v>
      </c>
      <c r="C167" s="19"/>
      <c r="D167" s="20"/>
      <c r="E167" s="21"/>
      <c r="F167" s="21"/>
      <c r="G167" s="23"/>
      <c r="H167" s="22"/>
      <c r="I167" s="23"/>
      <c r="J167" s="40">
        <f>0.13*G166*1992.14/100</f>
        <v>0</v>
      </c>
      <c r="K167" s="21"/>
    </row>
    <row r="168" spans="1:13" ht="15" customHeight="1">
      <c r="A168" s="18"/>
      <c r="B168" s="36"/>
      <c r="C168" s="19"/>
      <c r="D168" s="20"/>
      <c r="E168" s="21"/>
      <c r="F168" s="21"/>
      <c r="G168" s="23"/>
      <c r="H168" s="22"/>
      <c r="I168" s="23"/>
      <c r="J168" s="40"/>
      <c r="K168" s="21"/>
    </row>
    <row r="169" spans="1:13" ht="135.6">
      <c r="A169" s="18">
        <v>13</v>
      </c>
      <c r="B169" s="60" t="s">
        <v>68</v>
      </c>
      <c r="C169" s="60"/>
      <c r="D169" s="60"/>
      <c r="E169" s="60"/>
      <c r="F169" s="60"/>
      <c r="G169" s="60"/>
      <c r="H169" s="60"/>
      <c r="I169" s="23"/>
      <c r="J169" s="40"/>
      <c r="K169" s="21"/>
    </row>
    <row r="170" spans="1:13" ht="15" customHeight="1">
      <c r="A170" s="18"/>
      <c r="B170" s="36" t="s">
        <v>64</v>
      </c>
      <c r="C170" s="19">
        <v>0</v>
      </c>
      <c r="D170" s="20">
        <f>(13.5+12.333)/3.281</f>
        <v>7.873514172508381</v>
      </c>
      <c r="E170" s="21"/>
      <c r="F170" s="21"/>
      <c r="G170" s="38">
        <f t="shared" ref="G170" si="20">PRODUCT(C170:F170)</f>
        <v>0</v>
      </c>
      <c r="H170" s="22"/>
      <c r="I170" s="23"/>
      <c r="J170" s="40"/>
      <c r="K170" s="21"/>
    </row>
    <row r="171" spans="1:13" ht="15" customHeight="1">
      <c r="A171" s="18"/>
      <c r="B171" s="36" t="s">
        <v>40</v>
      </c>
      <c r="C171" s="19"/>
      <c r="D171" s="20"/>
      <c r="E171" s="21"/>
      <c r="F171" s="21"/>
      <c r="G171" s="23">
        <f>SUM(G170:G170)</f>
        <v>0</v>
      </c>
      <c r="H171" s="22" t="s">
        <v>65</v>
      </c>
      <c r="I171" s="23">
        <v>4132.8</v>
      </c>
      <c r="J171" s="40">
        <f>G171*I171</f>
        <v>0</v>
      </c>
      <c r="K171" s="21"/>
    </row>
    <row r="172" spans="1:13" ht="15" customHeight="1">
      <c r="A172" s="18"/>
      <c r="B172" s="36" t="s">
        <v>38</v>
      </c>
      <c r="C172" s="19"/>
      <c r="D172" s="20"/>
      <c r="E172" s="21"/>
      <c r="F172" s="21"/>
      <c r="G172" s="23"/>
      <c r="H172" s="22"/>
      <c r="I172" s="23"/>
      <c r="J172" s="40">
        <f>0.13*G171*4132.8</f>
        <v>0</v>
      </c>
      <c r="K172" s="21"/>
    </row>
    <row r="173" spans="1:13" ht="15" customHeight="1">
      <c r="A173" s="18"/>
      <c r="B173" s="36"/>
      <c r="C173" s="19"/>
      <c r="D173" s="20"/>
      <c r="E173" s="21"/>
      <c r="F173" s="21"/>
      <c r="G173" s="23"/>
      <c r="H173" s="22"/>
      <c r="I173" s="23"/>
      <c r="J173" s="40"/>
      <c r="K173" s="21"/>
    </row>
    <row r="174" spans="1:13" ht="30.6">
      <c r="A174" s="18">
        <v>14</v>
      </c>
      <c r="B174" s="60" t="s">
        <v>87</v>
      </c>
      <c r="C174" s="19"/>
      <c r="D174" s="141" t="s">
        <v>155</v>
      </c>
      <c r="E174" s="142"/>
      <c r="F174" s="21"/>
      <c r="G174" s="23"/>
      <c r="H174" s="22"/>
      <c r="I174" s="23"/>
      <c r="J174" s="40"/>
      <c r="K174" s="21"/>
    </row>
    <row r="175" spans="1:13" ht="15" customHeight="1">
      <c r="A175" s="18"/>
      <c r="B175" s="36" t="str">
        <f>B91</f>
        <v>-wall</v>
      </c>
      <c r="C175" s="19">
        <v>1</v>
      </c>
      <c r="D175" s="141">
        <f>G156</f>
        <v>219.30700583663517</v>
      </c>
      <c r="E175" s="142"/>
      <c r="F175" s="21"/>
      <c r="G175" s="38">
        <f t="shared" ref="G175" si="21">PRODUCT(C175:F175)</f>
        <v>219.30700583663517</v>
      </c>
      <c r="H175" s="22"/>
      <c r="I175" s="23"/>
      <c r="J175" s="40"/>
      <c r="K175" s="21"/>
    </row>
    <row r="176" spans="1:13" ht="15" customHeight="1">
      <c r="A176" s="18"/>
      <c r="B176" s="36" t="s">
        <v>40</v>
      </c>
      <c r="C176" s="19"/>
      <c r="D176" s="20"/>
      <c r="E176" s="21"/>
      <c r="F176" s="21"/>
      <c r="G176" s="23">
        <f>SUM(G175:G175)</f>
        <v>219.30700583663517</v>
      </c>
      <c r="H176" s="22" t="s">
        <v>62</v>
      </c>
      <c r="I176" s="23">
        <v>251.77</v>
      </c>
      <c r="J176" s="40">
        <f>G176*I176</f>
        <v>55214.924859489642</v>
      </c>
      <c r="K176" s="21"/>
    </row>
    <row r="177" spans="1:13" ht="15" customHeight="1">
      <c r="A177" s="18"/>
      <c r="B177" s="36" t="s">
        <v>38</v>
      </c>
      <c r="C177" s="19"/>
      <c r="D177" s="20"/>
      <c r="E177" s="21"/>
      <c r="F177" s="21"/>
      <c r="G177" s="23"/>
      <c r="H177" s="22"/>
      <c r="I177" s="23"/>
      <c r="J177" s="40">
        <f>0.13*G176*12736/100</f>
        <v>3631.0222342360012</v>
      </c>
      <c r="K177" s="21"/>
    </row>
    <row r="178" spans="1:13" ht="15" customHeight="1">
      <c r="A178" s="18"/>
      <c r="B178" s="36"/>
      <c r="C178" s="19"/>
      <c r="D178" s="20"/>
      <c r="E178" s="21"/>
      <c r="F178" s="21"/>
      <c r="G178" s="23"/>
      <c r="H178" s="22"/>
      <c r="I178" s="23"/>
      <c r="J178" s="40"/>
      <c r="K178" s="21"/>
    </row>
    <row r="179" spans="1:13" ht="30.6" customHeight="1">
      <c r="A179" s="18">
        <v>15</v>
      </c>
      <c r="B179" s="60" t="s">
        <v>88</v>
      </c>
      <c r="C179" s="19" t="s">
        <v>7</v>
      </c>
      <c r="D179" s="67" t="s">
        <v>41</v>
      </c>
      <c r="E179" s="68" t="s">
        <v>77</v>
      </c>
      <c r="F179" s="68" t="s">
        <v>78</v>
      </c>
      <c r="G179" s="68" t="s">
        <v>97</v>
      </c>
      <c r="H179" s="22"/>
      <c r="I179" s="23"/>
      <c r="J179" s="40"/>
      <c r="K179" s="144" t="s">
        <v>156</v>
      </c>
    </row>
    <row r="180" spans="1:13" ht="28.2" customHeight="1">
      <c r="A180" s="18"/>
      <c r="B180" s="36" t="s">
        <v>89</v>
      </c>
      <c r="C180" s="19">
        <f>0*4</f>
        <v>0</v>
      </c>
      <c r="D180" s="20">
        <f>(3.333*3+8.333*2)/3.281</f>
        <v>8.1270953977445899</v>
      </c>
      <c r="E180" s="21">
        <v>1.04</v>
      </c>
      <c r="F180" s="21">
        <f>PRODUCT(C180:E180)</f>
        <v>0</v>
      </c>
      <c r="G180" s="69">
        <f>F180</f>
        <v>0</v>
      </c>
      <c r="H180" s="22"/>
      <c r="I180" s="23"/>
      <c r="J180" s="40"/>
      <c r="K180" s="145"/>
      <c r="M180">
        <f>61.5*2+26*6</f>
        <v>279</v>
      </c>
    </row>
    <row r="181" spans="1:13" ht="28.2" customHeight="1">
      <c r="A181" s="18"/>
      <c r="B181" s="36" t="s">
        <v>91</v>
      </c>
      <c r="C181" s="19">
        <v>2</v>
      </c>
      <c r="D181" s="20"/>
      <c r="E181" s="21"/>
      <c r="F181" s="21">
        <v>61</v>
      </c>
      <c r="G181" s="69">
        <f>F181</f>
        <v>61</v>
      </c>
      <c r="H181" s="22"/>
      <c r="I181" s="23"/>
      <c r="J181" s="40"/>
      <c r="K181" s="145"/>
    </row>
    <row r="182" spans="1:13" ht="28.2" customHeight="1">
      <c r="A182" s="18"/>
      <c r="B182" s="36" t="s">
        <v>157</v>
      </c>
      <c r="C182" s="19">
        <v>6</v>
      </c>
      <c r="D182" s="20">
        <v>2.54</v>
      </c>
      <c r="E182" s="21">
        <v>2</v>
      </c>
      <c r="F182" s="21">
        <f>PRODUCT(C182:E182)</f>
        <v>30.48</v>
      </c>
      <c r="G182" s="69">
        <f>F182</f>
        <v>30.48</v>
      </c>
      <c r="H182" s="22"/>
      <c r="I182" s="23"/>
      <c r="J182" s="40"/>
      <c r="K182" s="114"/>
    </row>
    <row r="183" spans="1:13" ht="15" customHeight="1">
      <c r="A183" s="18"/>
      <c r="B183" s="36" t="s">
        <v>40</v>
      </c>
      <c r="C183" s="19"/>
      <c r="D183" s="20"/>
      <c r="E183" s="21"/>
      <c r="F183" s="21"/>
      <c r="G183" s="23">
        <f>SUM(G180:G182)</f>
        <v>91.48</v>
      </c>
      <c r="H183" s="22" t="s">
        <v>90</v>
      </c>
      <c r="I183" s="23">
        <v>181.17</v>
      </c>
      <c r="J183" s="40">
        <f>G183*I183</f>
        <v>16573.4316</v>
      </c>
      <c r="K183" s="21"/>
    </row>
    <row r="184" spans="1:13" ht="15" customHeight="1">
      <c r="A184" s="18"/>
      <c r="B184" s="36" t="s">
        <v>38</v>
      </c>
      <c r="C184" s="19"/>
      <c r="D184" s="20"/>
      <c r="E184" s="21"/>
      <c r="F184" s="21"/>
      <c r="G184" s="23"/>
      <c r="H184" s="22"/>
      <c r="I184" s="23"/>
      <c r="J184" s="40">
        <f>0.13*G183*1871.42/18.94</f>
        <v>1175.0620489968321</v>
      </c>
      <c r="K184" s="21"/>
    </row>
    <row r="185" spans="1:13" ht="15" customHeight="1">
      <c r="A185" s="18"/>
      <c r="B185" s="36"/>
      <c r="C185" s="19"/>
      <c r="D185" s="20"/>
      <c r="E185" s="21"/>
      <c r="F185" s="21"/>
      <c r="G185" s="23"/>
      <c r="H185" s="22"/>
      <c r="I185" s="23"/>
      <c r="J185" s="40"/>
      <c r="K185" s="21"/>
    </row>
    <row r="186" spans="1:13" ht="30.6">
      <c r="A186" s="18">
        <v>16</v>
      </c>
      <c r="B186" s="60" t="s">
        <v>93</v>
      </c>
      <c r="C186" s="19"/>
      <c r="D186" s="20"/>
      <c r="E186" s="21"/>
      <c r="F186" s="21"/>
      <c r="G186" s="23"/>
      <c r="H186" s="22"/>
      <c r="I186" s="23"/>
      <c r="J186" s="40"/>
      <c r="K186" s="21"/>
    </row>
    <row r="187" spans="1:13" ht="15" customHeight="1">
      <c r="A187" s="18"/>
      <c r="B187" s="36" t="s">
        <v>94</v>
      </c>
      <c r="C187" s="19">
        <v>0</v>
      </c>
      <c r="D187" s="20">
        <v>3.23</v>
      </c>
      <c r="E187" s="21"/>
      <c r="F187" s="21">
        <v>2.5350000000000001</v>
      </c>
      <c r="G187" s="38">
        <f t="shared" ref="G187" si="22">PRODUCT(C187:F187)</f>
        <v>0</v>
      </c>
      <c r="H187" s="22"/>
      <c r="I187" s="23"/>
      <c r="J187" s="40"/>
      <c r="K187" s="21"/>
    </row>
    <row r="188" spans="1:13" ht="15" customHeight="1">
      <c r="A188" s="18"/>
      <c r="B188" s="36" t="s">
        <v>40</v>
      </c>
      <c r="C188" s="19"/>
      <c r="D188" s="20"/>
      <c r="E188" s="21"/>
      <c r="F188" s="21"/>
      <c r="G188" s="23">
        <f>SUM(G187:G187)</f>
        <v>0</v>
      </c>
      <c r="H188" s="22" t="s">
        <v>62</v>
      </c>
      <c r="I188" s="23">
        <v>6391.43</v>
      </c>
      <c r="J188" s="40">
        <f>G188*I188</f>
        <v>0</v>
      </c>
      <c r="K188" s="21"/>
    </row>
    <row r="189" spans="1:13" ht="15" customHeight="1">
      <c r="A189" s="18"/>
      <c r="B189" s="36" t="s">
        <v>38</v>
      </c>
      <c r="C189" s="19"/>
      <c r="D189" s="20"/>
      <c r="E189" s="21"/>
      <c r="F189" s="21"/>
      <c r="G189" s="23"/>
      <c r="H189" s="22"/>
      <c r="I189" s="23"/>
      <c r="J189" s="40">
        <f>0.13*J188</f>
        <v>0</v>
      </c>
      <c r="K189" s="21"/>
    </row>
    <row r="190" spans="1:13" ht="15" customHeight="1">
      <c r="A190" s="18"/>
      <c r="B190" s="36"/>
      <c r="C190" s="19"/>
      <c r="D190" s="20"/>
      <c r="E190" s="21"/>
      <c r="F190" s="21"/>
      <c r="G190" s="23"/>
      <c r="H190" s="22"/>
      <c r="I190" s="23"/>
      <c r="J190" s="40"/>
      <c r="K190" s="21"/>
    </row>
    <row r="191" spans="1:13" ht="15" customHeight="1">
      <c r="A191" s="18">
        <v>17</v>
      </c>
      <c r="B191" s="30" t="s">
        <v>66</v>
      </c>
      <c r="C191" s="19">
        <v>0</v>
      </c>
      <c r="D191" s="20"/>
      <c r="E191" s="21"/>
      <c r="F191" s="21"/>
      <c r="G191" s="33">
        <f t="shared" ref="G191" si="23">PRODUCT(C191:F191)</f>
        <v>0</v>
      </c>
      <c r="H191" s="22" t="s">
        <v>67</v>
      </c>
      <c r="I191" s="23">
        <v>5000</v>
      </c>
      <c r="J191" s="33">
        <f>G191*I191</f>
        <v>0</v>
      </c>
      <c r="K191" s="21"/>
    </row>
    <row r="192" spans="1:13" ht="15" customHeight="1">
      <c r="A192" s="18"/>
      <c r="B192" s="36"/>
      <c r="C192" s="19"/>
      <c r="D192" s="20"/>
      <c r="E192" s="21"/>
      <c r="F192" s="21"/>
      <c r="G192" s="23"/>
      <c r="H192" s="22"/>
      <c r="I192" s="23"/>
      <c r="J192" s="40"/>
      <c r="K192" s="21"/>
    </row>
    <row r="193" spans="1:17" ht="15" customHeight="1">
      <c r="A193" s="18">
        <v>18</v>
      </c>
      <c r="B193" s="30" t="s">
        <v>30</v>
      </c>
      <c r="C193" s="19">
        <v>1</v>
      </c>
      <c r="D193" s="20"/>
      <c r="E193" s="21"/>
      <c r="F193" s="21"/>
      <c r="G193" s="33">
        <f t="shared" ref="G193" si="24">PRODUCT(C193:F193)</f>
        <v>1</v>
      </c>
      <c r="H193" s="22" t="s">
        <v>31</v>
      </c>
      <c r="I193" s="23">
        <v>500</v>
      </c>
      <c r="J193" s="33">
        <f>G193*I193</f>
        <v>500</v>
      </c>
      <c r="K193" s="21"/>
    </row>
    <row r="194" spans="1:17" ht="15" customHeight="1">
      <c r="A194" s="18"/>
      <c r="B194" s="24"/>
      <c r="C194" s="19"/>
      <c r="D194" s="20"/>
      <c r="E194" s="21"/>
      <c r="F194" s="21"/>
      <c r="G194" s="23"/>
      <c r="H194" s="22"/>
      <c r="I194" s="23"/>
      <c r="J194" s="40"/>
      <c r="K194" s="21"/>
    </row>
    <row r="195" spans="1:17">
      <c r="A195" s="39"/>
      <c r="B195" s="41" t="s">
        <v>17</v>
      </c>
      <c r="C195" s="42"/>
      <c r="D195" s="37"/>
      <c r="E195" s="37"/>
      <c r="F195" s="37"/>
      <c r="G195" s="40"/>
      <c r="H195" s="40"/>
      <c r="I195" s="40"/>
      <c r="J195" s="40">
        <f>SUM(J10:J193)</f>
        <v>558216.49689214339</v>
      </c>
      <c r="K195" s="35"/>
    </row>
    <row r="196" spans="1:17">
      <c r="A196" s="53"/>
      <c r="B196" s="56"/>
      <c r="C196" s="57"/>
      <c r="D196" s="54"/>
      <c r="E196" s="54"/>
      <c r="F196" s="54"/>
      <c r="G196" s="55"/>
      <c r="H196" s="55"/>
      <c r="I196" s="55"/>
      <c r="J196" s="55"/>
      <c r="K196" s="52"/>
    </row>
    <row r="197" spans="1:17" s="1" customFormat="1">
      <c r="A197" s="45"/>
      <c r="B197" s="29" t="s">
        <v>27</v>
      </c>
      <c r="C197" s="119">
        <f>J195</f>
        <v>558216.49689214339</v>
      </c>
      <c r="D197" s="119"/>
      <c r="E197" s="38">
        <v>100</v>
      </c>
      <c r="F197" s="46"/>
      <c r="G197" s="47"/>
      <c r="H197" s="46"/>
      <c r="I197" s="48"/>
      <c r="J197" s="49"/>
      <c r="K197" s="50"/>
    </row>
    <row r="198" spans="1:17">
      <c r="A198" s="51"/>
      <c r="B198" s="29" t="s">
        <v>32</v>
      </c>
      <c r="C198" s="122">
        <v>500000</v>
      </c>
      <c r="D198" s="122"/>
      <c r="E198" s="38"/>
      <c r="F198" s="44"/>
      <c r="G198" s="43"/>
      <c r="H198" s="53"/>
      <c r="I198" s="53"/>
      <c r="J198" s="53"/>
      <c r="K198" s="52"/>
      <c r="L198" s="34"/>
      <c r="M198" s="34"/>
      <c r="N198" s="34"/>
      <c r="O198" s="34"/>
      <c r="P198" s="34"/>
      <c r="Q198" s="34"/>
    </row>
    <row r="199" spans="1:17" ht="14.4" customHeight="1">
      <c r="A199" s="51"/>
      <c r="B199" s="29" t="s">
        <v>33</v>
      </c>
      <c r="C199" s="122">
        <f>C198-C201-C202</f>
        <v>475000</v>
      </c>
      <c r="D199" s="122"/>
      <c r="E199" s="38">
        <f>C199/C197*100</f>
        <v>85.092433248488859</v>
      </c>
      <c r="F199" s="44"/>
      <c r="G199" s="43"/>
      <c r="H199" s="53"/>
      <c r="I199" s="25"/>
      <c r="J199" s="25"/>
      <c r="K199" s="25"/>
      <c r="L199" s="25"/>
      <c r="M199" s="25"/>
      <c r="N199" s="25"/>
      <c r="O199" s="25"/>
      <c r="P199" s="25"/>
      <c r="Q199" s="34"/>
    </row>
    <row r="200" spans="1:17" ht="14.4" customHeight="1">
      <c r="A200" s="51"/>
      <c r="B200" s="29" t="s">
        <v>34</v>
      </c>
      <c r="C200" s="119">
        <f>C197-C199</f>
        <v>83216.49689214339</v>
      </c>
      <c r="D200" s="119"/>
      <c r="E200" s="38">
        <f>100-E199</f>
        <v>14.907566751511141</v>
      </c>
      <c r="F200" s="44"/>
      <c r="G200" s="43"/>
      <c r="H200" s="53"/>
      <c r="I200" s="25"/>
      <c r="J200" s="25"/>
      <c r="K200" s="25"/>
      <c r="L200" s="25"/>
      <c r="M200" s="25"/>
      <c r="N200" s="25"/>
      <c r="O200" s="25"/>
      <c r="P200" s="25"/>
      <c r="Q200" s="34"/>
    </row>
    <row r="201" spans="1:17">
      <c r="A201" s="51"/>
      <c r="B201" s="29" t="s">
        <v>35</v>
      </c>
      <c r="C201" s="119">
        <f>C198*0.03</f>
        <v>15000</v>
      </c>
      <c r="D201" s="119"/>
      <c r="E201" s="38">
        <v>3</v>
      </c>
      <c r="F201" s="44"/>
      <c r="G201" s="43"/>
      <c r="H201" s="53"/>
      <c r="I201" s="53"/>
      <c r="J201" s="53"/>
      <c r="K201" s="52"/>
      <c r="L201" s="34"/>
      <c r="M201" s="34"/>
      <c r="N201" s="34"/>
      <c r="O201" s="34"/>
      <c r="P201" s="34"/>
      <c r="Q201" s="34"/>
    </row>
    <row r="202" spans="1:17">
      <c r="A202" s="51"/>
      <c r="B202" s="29" t="s">
        <v>36</v>
      </c>
      <c r="C202" s="119">
        <f>C198*0.02</f>
        <v>10000</v>
      </c>
      <c r="D202" s="119"/>
      <c r="E202" s="38">
        <v>2</v>
      </c>
      <c r="F202" s="44"/>
      <c r="G202" s="43"/>
      <c r="H202" s="53"/>
      <c r="I202" s="53"/>
      <c r="J202" s="53"/>
      <c r="K202" s="52"/>
      <c r="L202" s="34"/>
      <c r="M202" s="34"/>
      <c r="N202" s="34"/>
      <c r="O202" s="34"/>
      <c r="P202" s="34"/>
      <c r="Q202" s="34"/>
    </row>
    <row r="203" spans="1:17" s="34" customFormat="1">
      <c r="A203" s="52"/>
      <c r="B203" s="52"/>
      <c r="C203" s="52"/>
      <c r="D203" s="52"/>
      <c r="E203" s="52"/>
      <c r="F203" s="52"/>
      <c r="G203" s="52"/>
      <c r="H203" s="52"/>
      <c r="I203" s="52"/>
      <c r="J203" s="52"/>
      <c r="K203" s="52"/>
    </row>
    <row r="204" spans="1:17" s="34" customFormat="1"/>
    <row r="205" spans="1:17" s="34" customFormat="1"/>
    <row r="206" spans="1:17" s="34" customFormat="1"/>
    <row r="207" spans="1:17" s="34" customFormat="1"/>
    <row r="208" spans="1:17"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sheetData>
  <mergeCells count="19">
    <mergeCell ref="C202:D202"/>
    <mergeCell ref="A7:F7"/>
    <mergeCell ref="H7:K7"/>
    <mergeCell ref="N11:T11"/>
    <mergeCell ref="D174:E174"/>
    <mergeCell ref="D175:E175"/>
    <mergeCell ref="K179:K181"/>
    <mergeCell ref="C197:D197"/>
    <mergeCell ref="C198:D198"/>
    <mergeCell ref="C199:D199"/>
    <mergeCell ref="C200:D200"/>
    <mergeCell ref="C201:D20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4" max="10"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ColWidth="8.88671875" defaultRowHeight="14.4"/>
  <cols>
    <col min="1" max="1" width="8.88671875" style="76"/>
    <col min="2" max="2" width="58.33203125" style="1" customWidth="1"/>
    <col min="3" max="16384" width="8.88671875" style="76"/>
  </cols>
  <sheetData>
    <row r="1" spans="1:2" s="70" customFormat="1" ht="15.6">
      <c r="A1" s="77" t="s">
        <v>21</v>
      </c>
      <c r="B1" s="78" t="s">
        <v>6</v>
      </c>
    </row>
    <row r="2" spans="1:2" ht="15">
      <c r="A2" s="75">
        <v>1</v>
      </c>
      <c r="B2" s="71" t="s">
        <v>46</v>
      </c>
    </row>
    <row r="3" spans="1:2" ht="69">
      <c r="A3" s="75">
        <v>2</v>
      </c>
      <c r="B3" s="30" t="s">
        <v>42</v>
      </c>
    </row>
    <row r="4" spans="1:2" ht="15">
      <c r="A4" s="75">
        <v>3</v>
      </c>
      <c r="B4" s="71" t="s">
        <v>57</v>
      </c>
    </row>
    <row r="5" spans="1:2" ht="15">
      <c r="A5" s="75">
        <v>4</v>
      </c>
      <c r="B5" s="71" t="s">
        <v>72</v>
      </c>
    </row>
    <row r="6" spans="1:2" ht="15">
      <c r="A6" s="75">
        <v>5</v>
      </c>
      <c r="B6" s="71" t="s">
        <v>73</v>
      </c>
    </row>
    <row r="7" spans="1:2" ht="18.600000000000001">
      <c r="A7" s="75">
        <v>6</v>
      </c>
      <c r="B7" s="71" t="s">
        <v>74</v>
      </c>
    </row>
    <row r="8" spans="1:2" ht="15">
      <c r="A8" s="75">
        <v>7</v>
      </c>
      <c r="B8" s="71" t="s">
        <v>75</v>
      </c>
    </row>
    <row r="9" spans="1:2" ht="15">
      <c r="A9" s="75">
        <v>8</v>
      </c>
      <c r="B9" s="71" t="s">
        <v>76</v>
      </c>
    </row>
    <row r="10" spans="1:2" ht="15">
      <c r="A10" s="75">
        <v>9</v>
      </c>
      <c r="B10" s="71" t="s">
        <v>48</v>
      </c>
    </row>
    <row r="11" spans="1:2" ht="15">
      <c r="A11" s="75">
        <v>10</v>
      </c>
      <c r="B11" s="73" t="s">
        <v>50</v>
      </c>
    </row>
    <row r="12" spans="1:2" ht="30">
      <c r="A12" s="75">
        <v>11</v>
      </c>
      <c r="B12" s="74" t="s">
        <v>98</v>
      </c>
    </row>
    <row r="13" spans="1:2" ht="15">
      <c r="A13" s="75">
        <v>12</v>
      </c>
      <c r="B13" s="73" t="s">
        <v>63</v>
      </c>
    </row>
    <row r="14" spans="1:2" ht="60">
      <c r="A14" s="75">
        <v>13</v>
      </c>
      <c r="B14" s="74" t="s">
        <v>68</v>
      </c>
    </row>
    <row r="15" spans="1:2" ht="15">
      <c r="A15" s="75">
        <v>14</v>
      </c>
      <c r="B15" s="73" t="s">
        <v>87</v>
      </c>
    </row>
    <row r="16" spans="1:2" ht="15">
      <c r="A16" s="75">
        <v>15</v>
      </c>
      <c r="B16" s="73" t="s">
        <v>88</v>
      </c>
    </row>
    <row r="17" spans="1:2" ht="15">
      <c r="A17" s="75">
        <v>16</v>
      </c>
      <c r="B17" s="73" t="s">
        <v>93</v>
      </c>
    </row>
    <row r="18" spans="1:2">
      <c r="A18" s="75">
        <v>17</v>
      </c>
      <c r="B18" s="72" t="s">
        <v>66</v>
      </c>
    </row>
    <row r="19" spans="1:2">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re-estimate</vt:lpstr>
      <vt:lpstr>grill item changed</vt:lpstr>
      <vt:lpstr>callapsible gate added</vt:lpstr>
      <vt:lpstr>WCR</vt:lpstr>
      <vt:lpstr>V</vt:lpstr>
      <vt:lpstr>Sheet2</vt:lpstr>
      <vt:lpstr>after valuated created for rees</vt:lpstr>
      <vt:lpstr>Sheet1</vt:lpstr>
      <vt:lpstr>'after valuated created for rees'!Print_Area</vt:lpstr>
      <vt:lpstr>'callapsible gate added'!Print_Area</vt:lpstr>
      <vt:lpstr>'grill item changed'!Print_Area</vt:lpstr>
      <vt:lpstr>'re-estimate'!Print_Area</vt:lpstr>
      <vt:lpstr>V!Print_Area</vt:lpstr>
      <vt:lpstr>'after valuated created for rees'!Print_Titles</vt:lpstr>
      <vt:lpstr>'callapsible gate added'!Print_Titles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2025-07-08T00:43:18Z</dcterms:modified>
</cp:coreProperties>
</file>