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3" activeTab="5"/>
  </bookViews>
  <sheets>
    <sheet name="800000" sheetId="3" state="hidden" r:id="rId1"/>
    <sheet name="1000000" sheetId="5" state="hidden" r:id="rId2"/>
    <sheet name="roof only" sheetId="6" state="hidden" r:id="rId3"/>
    <sheet name="F_estimate" sheetId="9" r:id="rId4"/>
    <sheet name="WCR" sheetId="8" r:id="rId5"/>
    <sheet name="valuated roof only" sheetId="7" r:id="rId6"/>
    <sheet name="M" sheetId="11" r:id="rId7"/>
  </sheets>
  <externalReferences>
    <externalReference r:id="rId8"/>
    <externalReference r:id="rId9"/>
    <externalReference r:id="rId10"/>
    <externalReference r:id="rId11"/>
  </externalReferences>
  <definedNames>
    <definedName name="description_103">[1]Abstract!$B$16</definedName>
    <definedName name="description_124" localSheetId="1">#REF!</definedName>
    <definedName name="description_124" localSheetId="0">#REF!</definedName>
    <definedName name="description_124" localSheetId="3">#REF!</definedName>
    <definedName name="description_124" localSheetId="6">#REF!</definedName>
    <definedName name="description_124" localSheetId="2">#REF!</definedName>
    <definedName name="description_124" localSheetId="5">#REF!</definedName>
    <definedName name="description_124" localSheetId="4">[2]Abstract!$B$18</definedName>
    <definedName name="description_124">#REF!</definedName>
    <definedName name="description_2">[3]Abstract!$B$168</definedName>
    <definedName name="description_247">[1]Abstract!$B$22</definedName>
    <definedName name="description_261">[4]Abstract!$B$33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description_784">[3]Abstract!$B$300</definedName>
    <definedName name="_xlnm.Print_Area" localSheetId="1">'1000000'!$A$1:$K$274</definedName>
    <definedName name="_xlnm.Print_Area" localSheetId="0">'800000'!$A$1:$K$264</definedName>
    <definedName name="_xlnm.Print_Area" localSheetId="3">F_estimate!$A$1:$K$295</definedName>
    <definedName name="_xlnm.Print_Area" localSheetId="6">M!$A$1:$K$299</definedName>
    <definedName name="_xlnm.Print_Area" localSheetId="2">'roof only'!$A$1:$K$265</definedName>
    <definedName name="_xlnm.Print_Area" localSheetId="5">'valuated roof only'!$A$1:$K$300</definedName>
    <definedName name="_xlnm.Print_Area" localSheetId="4">WCR!$A$1:$K$36</definedName>
    <definedName name="_xlnm.Print_Titles" localSheetId="1">'1000000'!$1:$8</definedName>
    <definedName name="_xlnm.Print_Titles" localSheetId="0">'800000'!$1:$8</definedName>
    <definedName name="_xlnm.Print_Titles" localSheetId="3">F_estimate!$1:$8</definedName>
    <definedName name="_xlnm.Print_Titles" localSheetId="6">M!$1:$8</definedName>
    <definedName name="_xlnm.Print_Titles" localSheetId="2">'roof only'!$1:$8</definedName>
    <definedName name="_xlnm.Print_Titles" localSheetId="5">'valuated roof only'!$1:$8</definedName>
    <definedName name="_xlnm.Print_Titles" localSheetId="4">WCR!$1:$12</definedName>
  </definedNames>
  <calcPr calcId="152511"/>
</workbook>
</file>

<file path=xl/calcChain.xml><?xml version="1.0" encoding="utf-8"?>
<calcChain xmlns="http://schemas.openxmlformats.org/spreadsheetml/2006/main">
  <c r="D255" i="9" l="1"/>
  <c r="F253" i="9"/>
  <c r="O284" i="9"/>
  <c r="N284" i="9"/>
  <c r="F252" i="9"/>
  <c r="D252" i="9"/>
  <c r="D257" i="9"/>
  <c r="D256" i="9"/>
  <c r="D254" i="9"/>
  <c r="F257" i="9"/>
  <c r="F255" i="9"/>
  <c r="C262" i="7" l="1"/>
  <c r="G262" i="7"/>
  <c r="F262" i="7"/>
  <c r="E262" i="7"/>
  <c r="D262" i="7"/>
  <c r="M257" i="7"/>
  <c r="F256" i="7"/>
  <c r="D180" i="7" l="1"/>
  <c r="D178" i="7"/>
  <c r="D180" i="11"/>
  <c r="D178" i="11"/>
  <c r="M182" i="11"/>
  <c r="N181" i="11"/>
  <c r="N182" i="11" s="1"/>
  <c r="M181" i="11"/>
  <c r="N180" i="11"/>
  <c r="M180" i="11"/>
  <c r="M17" i="8" l="1"/>
  <c r="C299" i="11" l="1"/>
  <c r="C298" i="11"/>
  <c r="J290" i="11"/>
  <c r="G290" i="11"/>
  <c r="C288" i="11"/>
  <c r="G288" i="11" s="1"/>
  <c r="J288" i="11" s="1"/>
  <c r="G284" i="11"/>
  <c r="G285" i="11" s="1"/>
  <c r="J286" i="11" s="1"/>
  <c r="C284" i="11"/>
  <c r="C280" i="11"/>
  <c r="G280" i="11" s="1"/>
  <c r="G281" i="11" s="1"/>
  <c r="J281" i="11" s="1"/>
  <c r="J282" i="11" s="1"/>
  <c r="C275" i="11"/>
  <c r="I271" i="11"/>
  <c r="E270" i="11"/>
  <c r="D270" i="11"/>
  <c r="D275" i="11" s="1"/>
  <c r="G275" i="11" s="1"/>
  <c r="G276" i="11" s="1"/>
  <c r="C270" i="11"/>
  <c r="G270" i="11" s="1"/>
  <c r="G271" i="11" s="1"/>
  <c r="I267" i="11"/>
  <c r="G266" i="11"/>
  <c r="G267" i="11" s="1"/>
  <c r="J267" i="11" s="1"/>
  <c r="F266" i="11"/>
  <c r="E266" i="11"/>
  <c r="C266" i="11"/>
  <c r="G261" i="11"/>
  <c r="F261" i="11"/>
  <c r="D261" i="11"/>
  <c r="C261" i="11"/>
  <c r="F260" i="11"/>
  <c r="D260" i="11"/>
  <c r="G260" i="11" s="1"/>
  <c r="G259" i="11"/>
  <c r="F259" i="11"/>
  <c r="D259" i="11"/>
  <c r="C259" i="11"/>
  <c r="M258" i="11"/>
  <c r="F258" i="11"/>
  <c r="G258" i="11"/>
  <c r="D258" i="11"/>
  <c r="G257" i="11"/>
  <c r="F257" i="11"/>
  <c r="N256" i="11"/>
  <c r="F256" i="11"/>
  <c r="D256" i="11"/>
  <c r="G256" i="11" s="1"/>
  <c r="C256" i="11"/>
  <c r="F251" i="11"/>
  <c r="E251" i="11"/>
  <c r="C251" i="11"/>
  <c r="G251" i="11" s="1"/>
  <c r="G252" i="11" s="1"/>
  <c r="I247" i="11"/>
  <c r="F246" i="11"/>
  <c r="E246" i="11"/>
  <c r="C246" i="11"/>
  <c r="G246" i="11" s="1"/>
  <c r="E245" i="11"/>
  <c r="D245" i="11"/>
  <c r="C245" i="11"/>
  <c r="G245" i="11" s="1"/>
  <c r="I242" i="11"/>
  <c r="E241" i="11"/>
  <c r="C241" i="11"/>
  <c r="G240" i="11"/>
  <c r="D240" i="11"/>
  <c r="C240" i="11"/>
  <c r="D239" i="11"/>
  <c r="C239" i="11"/>
  <c r="B239" i="11"/>
  <c r="G238" i="11"/>
  <c r="D238" i="11"/>
  <c r="C238" i="11"/>
  <c r="I234" i="11"/>
  <c r="D233" i="11"/>
  <c r="D241" i="11" s="1"/>
  <c r="G241" i="11" s="1"/>
  <c r="C233" i="11"/>
  <c r="D232" i="11"/>
  <c r="C232" i="11"/>
  <c r="G232" i="11" s="1"/>
  <c r="D231" i="11"/>
  <c r="G231" i="11" s="1"/>
  <c r="C231" i="11"/>
  <c r="G230" i="11"/>
  <c r="D230" i="11"/>
  <c r="C230" i="11"/>
  <c r="G229" i="11"/>
  <c r="D229" i="11"/>
  <c r="F239" i="11" s="1"/>
  <c r="G239" i="11" s="1"/>
  <c r="C229" i="11"/>
  <c r="D228" i="11"/>
  <c r="C228" i="11"/>
  <c r="G228" i="11" s="1"/>
  <c r="I224" i="11"/>
  <c r="C223" i="11"/>
  <c r="G223" i="11" s="1"/>
  <c r="G224" i="11" s="1"/>
  <c r="J224" i="11" s="1"/>
  <c r="J225" i="11" s="1"/>
  <c r="I219" i="11"/>
  <c r="E218" i="11"/>
  <c r="C218" i="11"/>
  <c r="B218" i="11"/>
  <c r="I214" i="11"/>
  <c r="F213" i="11"/>
  <c r="E213" i="11"/>
  <c r="D213" i="11"/>
  <c r="G213" i="11" s="1"/>
  <c r="C213" i="11"/>
  <c r="F212" i="11"/>
  <c r="E212" i="11"/>
  <c r="G212" i="11" s="1"/>
  <c r="D212" i="11"/>
  <c r="G211" i="11"/>
  <c r="F211" i="11"/>
  <c r="E211" i="11"/>
  <c r="F210" i="11"/>
  <c r="E210" i="11"/>
  <c r="D210" i="11"/>
  <c r="G210" i="11" s="1"/>
  <c r="O209" i="11"/>
  <c r="P209" i="11" s="1"/>
  <c r="N209" i="11"/>
  <c r="M209" i="11"/>
  <c r="F209" i="11"/>
  <c r="E209" i="11"/>
  <c r="D209" i="11"/>
  <c r="G209" i="11" s="1"/>
  <c r="F208" i="11"/>
  <c r="E208" i="11"/>
  <c r="D208" i="11"/>
  <c r="G208" i="11" s="1"/>
  <c r="C208" i="11"/>
  <c r="F207" i="11"/>
  <c r="E207" i="11"/>
  <c r="D207" i="11"/>
  <c r="C207" i="11"/>
  <c r="G207" i="11" s="1"/>
  <c r="F206" i="11"/>
  <c r="E206" i="11"/>
  <c r="D206" i="11"/>
  <c r="G206" i="11" s="1"/>
  <c r="Q205" i="11"/>
  <c r="N205" i="11"/>
  <c r="F205" i="11"/>
  <c r="E205" i="11"/>
  <c r="D205" i="11"/>
  <c r="G205" i="11" s="1"/>
  <c r="M204" i="11"/>
  <c r="F204" i="11"/>
  <c r="E204" i="11"/>
  <c r="G204" i="11" s="1"/>
  <c r="D204" i="11"/>
  <c r="P203" i="11"/>
  <c r="N203" i="11"/>
  <c r="O203" i="11" s="1"/>
  <c r="M203" i="11"/>
  <c r="F203" i="11"/>
  <c r="E203" i="11"/>
  <c r="G203" i="11" s="1"/>
  <c r="G214" i="11" s="1"/>
  <c r="D203" i="11"/>
  <c r="O202" i="11"/>
  <c r="N202" i="11"/>
  <c r="M202" i="11"/>
  <c r="M201" i="11"/>
  <c r="N201" i="11" s="1"/>
  <c r="I199" i="11"/>
  <c r="Q198" i="11"/>
  <c r="R198" i="11" s="1"/>
  <c r="P198" i="11"/>
  <c r="O198" i="11"/>
  <c r="N198" i="11"/>
  <c r="G198" i="11"/>
  <c r="D198" i="11"/>
  <c r="G197" i="11"/>
  <c r="D196" i="11"/>
  <c r="G196" i="11" s="1"/>
  <c r="N195" i="11"/>
  <c r="G195" i="11"/>
  <c r="G194" i="11"/>
  <c r="G193" i="11"/>
  <c r="D192" i="11"/>
  <c r="G192" i="11" s="1"/>
  <c r="G191" i="11"/>
  <c r="G190" i="11"/>
  <c r="G189" i="11"/>
  <c r="I185" i="11"/>
  <c r="F184" i="11"/>
  <c r="E184" i="11"/>
  <c r="D184" i="11"/>
  <c r="G184" i="11" s="1"/>
  <c r="G183" i="11"/>
  <c r="F183" i="11"/>
  <c r="E183" i="11"/>
  <c r="D183" i="11"/>
  <c r="F182" i="11"/>
  <c r="E182" i="11"/>
  <c r="D182" i="11"/>
  <c r="G182" i="11" s="1"/>
  <c r="G181" i="11"/>
  <c r="F181" i="11"/>
  <c r="E181" i="11"/>
  <c r="D181" i="11"/>
  <c r="F180" i="11"/>
  <c r="E180" i="11"/>
  <c r="C180" i="11"/>
  <c r="G180" i="11" s="1"/>
  <c r="F179" i="11"/>
  <c r="E179" i="11"/>
  <c r="D179" i="11"/>
  <c r="G179" i="11" s="1"/>
  <c r="N178" i="11"/>
  <c r="M178" i="11"/>
  <c r="G178" i="11"/>
  <c r="F178" i="11"/>
  <c r="E178" i="11"/>
  <c r="C178" i="11"/>
  <c r="F177" i="11"/>
  <c r="E177" i="11"/>
  <c r="D177" i="11"/>
  <c r="G177" i="11" s="1"/>
  <c r="F176" i="11"/>
  <c r="E176" i="11"/>
  <c r="D176" i="11"/>
  <c r="G176" i="11" s="1"/>
  <c r="F175" i="11"/>
  <c r="E175" i="11"/>
  <c r="D175" i="11"/>
  <c r="G175" i="11" s="1"/>
  <c r="F174" i="11"/>
  <c r="E174" i="11"/>
  <c r="D174" i="11"/>
  <c r="G174" i="11" s="1"/>
  <c r="I170" i="11"/>
  <c r="C169" i="11"/>
  <c r="G169" i="11" s="1"/>
  <c r="D168" i="11"/>
  <c r="G168" i="11" s="1"/>
  <c r="G170" i="11" s="1"/>
  <c r="C168" i="11"/>
  <c r="I164" i="11"/>
  <c r="G163" i="11"/>
  <c r="E163" i="11"/>
  <c r="C163" i="11"/>
  <c r="D162" i="11"/>
  <c r="C162" i="11"/>
  <c r="G162" i="11" s="1"/>
  <c r="G164" i="11" s="1"/>
  <c r="I158" i="11"/>
  <c r="D157" i="11"/>
  <c r="C157" i="11"/>
  <c r="G157" i="11" s="1"/>
  <c r="C156" i="11"/>
  <c r="I152" i="11"/>
  <c r="D151" i="11"/>
  <c r="C151" i="11"/>
  <c r="G151" i="11" s="1"/>
  <c r="C150" i="11"/>
  <c r="I146" i="11"/>
  <c r="G145" i="11"/>
  <c r="D145" i="11"/>
  <c r="C145" i="11"/>
  <c r="C144" i="11"/>
  <c r="I140" i="11"/>
  <c r="G139" i="11"/>
  <c r="D139" i="11"/>
  <c r="C139" i="11"/>
  <c r="C138" i="11"/>
  <c r="I134" i="11"/>
  <c r="D133" i="11"/>
  <c r="C133" i="11"/>
  <c r="G133" i="11" s="1"/>
  <c r="C132" i="11"/>
  <c r="I128" i="11"/>
  <c r="D127" i="11"/>
  <c r="C127" i="11"/>
  <c r="G127" i="11" s="1"/>
  <c r="C126" i="11"/>
  <c r="O122" i="11"/>
  <c r="I122" i="11"/>
  <c r="D121" i="11"/>
  <c r="G121" i="11" s="1"/>
  <c r="C121" i="11"/>
  <c r="D120" i="11"/>
  <c r="C120" i="11"/>
  <c r="G120" i="11" s="1"/>
  <c r="G119" i="11"/>
  <c r="D119" i="11"/>
  <c r="C119" i="11"/>
  <c r="C118" i="11"/>
  <c r="I114" i="11"/>
  <c r="D113" i="11"/>
  <c r="G113" i="11" s="1"/>
  <c r="C113" i="11"/>
  <c r="G112" i="11"/>
  <c r="D112" i="11"/>
  <c r="C112" i="11"/>
  <c r="G111" i="11"/>
  <c r="D111" i="11"/>
  <c r="C111" i="11"/>
  <c r="C110" i="11"/>
  <c r="I106" i="11"/>
  <c r="D105" i="11"/>
  <c r="G105" i="11" s="1"/>
  <c r="C105" i="11"/>
  <c r="C104" i="11"/>
  <c r="I100" i="11"/>
  <c r="D99" i="11"/>
  <c r="G99" i="11" s="1"/>
  <c r="C99" i="11"/>
  <c r="D98" i="11"/>
  <c r="D104" i="11" s="1"/>
  <c r="C98" i="11"/>
  <c r="G98" i="11" s="1"/>
  <c r="I94" i="11"/>
  <c r="F93" i="11"/>
  <c r="D93" i="11"/>
  <c r="C93" i="11"/>
  <c r="G93" i="11" s="1"/>
  <c r="F92" i="11"/>
  <c r="D92" i="11"/>
  <c r="C92" i="11"/>
  <c r="G92" i="11" s="1"/>
  <c r="F91" i="11"/>
  <c r="D91" i="11"/>
  <c r="C91" i="11"/>
  <c r="G91" i="11" s="1"/>
  <c r="F90" i="11"/>
  <c r="D90" i="11"/>
  <c r="C90" i="11"/>
  <c r="G90" i="11" s="1"/>
  <c r="F89" i="11"/>
  <c r="E89" i="11"/>
  <c r="C89" i="11"/>
  <c r="G89" i="11" s="1"/>
  <c r="C88" i="11"/>
  <c r="G88" i="11" s="1"/>
  <c r="C87" i="11"/>
  <c r="E86" i="11"/>
  <c r="C86" i="11"/>
  <c r="G86" i="11" s="1"/>
  <c r="D85" i="11"/>
  <c r="G85" i="11" s="1"/>
  <c r="C85" i="11"/>
  <c r="F84" i="11"/>
  <c r="D84" i="11"/>
  <c r="C84" i="11"/>
  <c r="G84" i="11" s="1"/>
  <c r="F83" i="11"/>
  <c r="D83" i="11"/>
  <c r="G83" i="11" s="1"/>
  <c r="C83" i="11"/>
  <c r="F82" i="11"/>
  <c r="D82" i="11"/>
  <c r="D87" i="11" s="1"/>
  <c r="C82" i="11"/>
  <c r="G82" i="11" s="1"/>
  <c r="G81" i="11"/>
  <c r="E81" i="11"/>
  <c r="D81" i="11"/>
  <c r="C81" i="11"/>
  <c r="F80" i="11"/>
  <c r="D80" i="11"/>
  <c r="C80" i="11"/>
  <c r="G80" i="11" s="1"/>
  <c r="G79" i="11"/>
  <c r="F79" i="11"/>
  <c r="D79" i="11"/>
  <c r="C79" i="11"/>
  <c r="F78" i="11"/>
  <c r="C78" i="11"/>
  <c r="F77" i="11"/>
  <c r="C77" i="11"/>
  <c r="F76" i="11"/>
  <c r="E76" i="11"/>
  <c r="C76" i="11"/>
  <c r="G76" i="11" s="1"/>
  <c r="G75" i="11"/>
  <c r="F75" i="11"/>
  <c r="D75" i="11"/>
  <c r="C75" i="11"/>
  <c r="F74" i="11"/>
  <c r="D74" i="11"/>
  <c r="C74" i="11"/>
  <c r="G74" i="11" s="1"/>
  <c r="G73" i="11"/>
  <c r="F73" i="11"/>
  <c r="E73" i="11"/>
  <c r="D77" i="11" s="1"/>
  <c r="C73" i="11"/>
  <c r="G68" i="11"/>
  <c r="F68" i="11"/>
  <c r="E68" i="11"/>
  <c r="D68" i="11"/>
  <c r="C68" i="11"/>
  <c r="F67" i="11"/>
  <c r="E67" i="11"/>
  <c r="D67" i="11"/>
  <c r="C67" i="11"/>
  <c r="G67" i="11" s="1"/>
  <c r="G69" i="11" s="1"/>
  <c r="F62" i="11"/>
  <c r="E62" i="11"/>
  <c r="D62" i="11"/>
  <c r="C62" i="11"/>
  <c r="G62" i="11" s="1"/>
  <c r="D61" i="11"/>
  <c r="G61" i="11" s="1"/>
  <c r="C61" i="11"/>
  <c r="E60" i="11"/>
  <c r="D60" i="11"/>
  <c r="C60" i="11"/>
  <c r="G60" i="11" s="1"/>
  <c r="G63" i="11" s="1"/>
  <c r="N59" i="11"/>
  <c r="E55" i="11"/>
  <c r="D55" i="11"/>
  <c r="D218" i="11" s="1"/>
  <c r="G218" i="11" s="1"/>
  <c r="G219" i="11" s="1"/>
  <c r="C55" i="11"/>
  <c r="G55" i="11" s="1"/>
  <c r="G54" i="11"/>
  <c r="F54" i="11"/>
  <c r="C54" i="11"/>
  <c r="F49" i="11"/>
  <c r="G49" i="11" s="1"/>
  <c r="E49" i="11"/>
  <c r="D49" i="11"/>
  <c r="C49" i="11"/>
  <c r="E48" i="11"/>
  <c r="D48" i="11"/>
  <c r="C48" i="11"/>
  <c r="F48" i="11" s="1"/>
  <c r="G48" i="11" s="1"/>
  <c r="E47" i="11"/>
  <c r="D47" i="11"/>
  <c r="C47" i="11"/>
  <c r="F47" i="11" s="1"/>
  <c r="G47" i="11" s="1"/>
  <c r="E46" i="11"/>
  <c r="D46" i="11"/>
  <c r="F46" i="11" s="1"/>
  <c r="G46" i="11" s="1"/>
  <c r="C46" i="11"/>
  <c r="E45" i="11"/>
  <c r="D45" i="11"/>
  <c r="C45" i="11"/>
  <c r="F45" i="11" s="1"/>
  <c r="G45" i="11" s="1"/>
  <c r="E35" i="11"/>
  <c r="E40" i="11" s="1"/>
  <c r="C35" i="11"/>
  <c r="I32" i="11"/>
  <c r="G32" i="11"/>
  <c r="J32" i="11" s="1"/>
  <c r="G31" i="11"/>
  <c r="D31" i="11"/>
  <c r="D35" i="11" s="1"/>
  <c r="D40" i="11" s="1"/>
  <c r="C31" i="11"/>
  <c r="I28" i="11"/>
  <c r="D27" i="11"/>
  <c r="G27" i="11" s="1"/>
  <c r="G26" i="11"/>
  <c r="E26" i="11"/>
  <c r="D26" i="11"/>
  <c r="F25" i="11"/>
  <c r="D25" i="11"/>
  <c r="C25" i="11"/>
  <c r="G25" i="11" s="1"/>
  <c r="I22" i="11"/>
  <c r="F21" i="11"/>
  <c r="E21" i="11"/>
  <c r="D21" i="11"/>
  <c r="C21" i="11"/>
  <c r="G21" i="11" s="1"/>
  <c r="G20" i="11"/>
  <c r="F20" i="11"/>
  <c r="E20" i="11"/>
  <c r="D20" i="11"/>
  <c r="C20" i="11"/>
  <c r="G19" i="11"/>
  <c r="D19" i="11"/>
  <c r="F18" i="11"/>
  <c r="D18" i="11"/>
  <c r="G18" i="11" s="1"/>
  <c r="C18" i="11"/>
  <c r="E17" i="11"/>
  <c r="D17" i="11"/>
  <c r="G17" i="11" s="1"/>
  <c r="C17" i="11"/>
  <c r="I14" i="11"/>
  <c r="F13" i="11"/>
  <c r="G13" i="11" s="1"/>
  <c r="E13" i="11"/>
  <c r="F12" i="11"/>
  <c r="D12" i="11"/>
  <c r="G12" i="11" s="1"/>
  <c r="G11" i="11"/>
  <c r="D11" i="11"/>
  <c r="F10" i="11"/>
  <c r="G10" i="11" s="1"/>
  <c r="G14" i="11" s="1"/>
  <c r="J14" i="11" s="1"/>
  <c r="E10" i="11"/>
  <c r="G234" i="7"/>
  <c r="G214" i="7"/>
  <c r="G22" i="7"/>
  <c r="G28" i="7"/>
  <c r="D181" i="7"/>
  <c r="D204" i="7"/>
  <c r="D203" i="7"/>
  <c r="N201" i="7"/>
  <c r="M201" i="7"/>
  <c r="N195" i="7"/>
  <c r="D179" i="7"/>
  <c r="O202" i="7"/>
  <c r="N202" i="7"/>
  <c r="G190" i="7"/>
  <c r="G191" i="7"/>
  <c r="G192" i="7"/>
  <c r="G193" i="7"/>
  <c r="G194" i="7"/>
  <c r="G195" i="7"/>
  <c r="G196" i="7"/>
  <c r="G197" i="7"/>
  <c r="G199" i="7" s="1"/>
  <c r="G198" i="7"/>
  <c r="D196" i="7"/>
  <c r="D192" i="7"/>
  <c r="G185" i="11" l="1"/>
  <c r="G22" i="11"/>
  <c r="J22" i="11" s="1"/>
  <c r="G199" i="11"/>
  <c r="J199" i="11" s="1"/>
  <c r="J64" i="11"/>
  <c r="J63" i="11"/>
  <c r="J215" i="11"/>
  <c r="J214" i="11"/>
  <c r="J70" i="11"/>
  <c r="J69" i="11"/>
  <c r="G28" i="11"/>
  <c r="J28" i="11" s="1"/>
  <c r="G78" i="11"/>
  <c r="G56" i="11"/>
  <c r="G77" i="11"/>
  <c r="G94" i="11" s="1"/>
  <c r="D78" i="11"/>
  <c r="G50" i="11"/>
  <c r="G87" i="11"/>
  <c r="J171" i="11"/>
  <c r="J170" i="11"/>
  <c r="J200" i="11"/>
  <c r="J253" i="11"/>
  <c r="J252" i="11"/>
  <c r="G100" i="11"/>
  <c r="G242" i="11"/>
  <c r="J242" i="11" s="1"/>
  <c r="G247" i="11"/>
  <c r="J277" i="11"/>
  <c r="J276" i="11"/>
  <c r="J220" i="11"/>
  <c r="J219" i="11"/>
  <c r="J164" i="11"/>
  <c r="J165" i="11"/>
  <c r="J272" i="11"/>
  <c r="J271" i="11"/>
  <c r="G35" i="11"/>
  <c r="G36" i="11" s="1"/>
  <c r="D110" i="11"/>
  <c r="G104" i="11"/>
  <c r="G106" i="11" s="1"/>
  <c r="G262" i="11"/>
  <c r="J285" i="11"/>
  <c r="C40" i="11"/>
  <c r="G40" i="11" s="1"/>
  <c r="G41" i="11" s="1"/>
  <c r="G233" i="11"/>
  <c r="G234" i="11" s="1"/>
  <c r="A9" i="8"/>
  <c r="A8" i="8"/>
  <c r="H34" i="8"/>
  <c r="E34" i="8"/>
  <c r="C34" i="8"/>
  <c r="H32" i="8"/>
  <c r="E32" i="8"/>
  <c r="D32" i="8"/>
  <c r="C32" i="8"/>
  <c r="B34" i="8"/>
  <c r="A34" i="8"/>
  <c r="B32" i="8"/>
  <c r="A32" i="8"/>
  <c r="H29" i="8"/>
  <c r="E29" i="8"/>
  <c r="C29" i="8"/>
  <c r="B30" i="8"/>
  <c r="B29" i="8"/>
  <c r="A29" i="8"/>
  <c r="C26" i="8"/>
  <c r="B27" i="8"/>
  <c r="B26" i="8"/>
  <c r="A26" i="8"/>
  <c r="C23" i="8"/>
  <c r="B24" i="8"/>
  <c r="B23" i="8"/>
  <c r="A23" i="8"/>
  <c r="C20" i="8"/>
  <c r="B21" i="8"/>
  <c r="B20" i="8"/>
  <c r="A20" i="8"/>
  <c r="B17" i="8"/>
  <c r="C17" i="8"/>
  <c r="B18" i="8"/>
  <c r="A17" i="8"/>
  <c r="C15" i="8"/>
  <c r="B15" i="8"/>
  <c r="A15" i="8"/>
  <c r="C13" i="8"/>
  <c r="B13" i="8"/>
  <c r="A13" i="8"/>
  <c r="C295" i="9"/>
  <c r="C294" i="9"/>
  <c r="C292" i="9" s="1"/>
  <c r="D26" i="9"/>
  <c r="D27" i="9"/>
  <c r="F26" i="9"/>
  <c r="M26" i="9"/>
  <c r="F27" i="9"/>
  <c r="G27" i="9" s="1"/>
  <c r="E27" i="9"/>
  <c r="C31" i="9"/>
  <c r="C35" i="9" s="1"/>
  <c r="C40" i="9" s="1"/>
  <c r="C247" i="9"/>
  <c r="C236" i="9"/>
  <c r="C235" i="9"/>
  <c r="C225" i="9"/>
  <c r="C224" i="9"/>
  <c r="G224" i="9" s="1"/>
  <c r="C262" i="9"/>
  <c r="G262" i="9" s="1"/>
  <c r="G263" i="9" s="1"/>
  <c r="J263" i="9" s="1"/>
  <c r="C284" i="9"/>
  <c r="G286" i="9"/>
  <c r="J286" i="9" s="1"/>
  <c r="G284" i="9"/>
  <c r="J284" i="9" s="1"/>
  <c r="C280" i="9"/>
  <c r="G280" i="9" s="1"/>
  <c r="C276" i="9"/>
  <c r="G276" i="9" s="1"/>
  <c r="G277" i="9" s="1"/>
  <c r="J277" i="9" s="1"/>
  <c r="J278" i="9" s="1"/>
  <c r="C271" i="9"/>
  <c r="I267" i="9"/>
  <c r="E266" i="9"/>
  <c r="D266" i="9"/>
  <c r="D271" i="9" s="1"/>
  <c r="C266" i="9"/>
  <c r="I263" i="9"/>
  <c r="F262" i="9"/>
  <c r="E262" i="9"/>
  <c r="C257" i="9"/>
  <c r="F256" i="9"/>
  <c r="G256" i="9"/>
  <c r="C255" i="9"/>
  <c r="M254" i="9"/>
  <c r="F254" i="9"/>
  <c r="G254" i="9"/>
  <c r="G253" i="9"/>
  <c r="D253" i="9"/>
  <c r="N252" i="9"/>
  <c r="C252" i="9"/>
  <c r="G252" i="9" s="1"/>
  <c r="F247" i="9"/>
  <c r="G247" i="9" s="1"/>
  <c r="G248" i="9" s="1"/>
  <c r="E247" i="9"/>
  <c r="I243" i="9"/>
  <c r="F242" i="9"/>
  <c r="E242" i="9"/>
  <c r="C242" i="9"/>
  <c r="G242" i="9" s="1"/>
  <c r="E241" i="9"/>
  <c r="D241" i="9"/>
  <c r="C241" i="9"/>
  <c r="I238" i="9"/>
  <c r="E237" i="9"/>
  <c r="C237" i="9"/>
  <c r="D236" i="9"/>
  <c r="G236" i="9"/>
  <c r="D235" i="9"/>
  <c r="B235" i="9"/>
  <c r="D234" i="9"/>
  <c r="C234" i="9"/>
  <c r="I230" i="9"/>
  <c r="E26" i="8" s="1"/>
  <c r="D229" i="9"/>
  <c r="D237" i="9" s="1"/>
  <c r="C229" i="9"/>
  <c r="G229" i="9" s="1"/>
  <c r="G228" i="9"/>
  <c r="D228" i="9"/>
  <c r="C228" i="9"/>
  <c r="D227" i="9"/>
  <c r="C227" i="9"/>
  <c r="G227" i="9" s="1"/>
  <c r="D226" i="9"/>
  <c r="C226" i="9"/>
  <c r="G226" i="9" s="1"/>
  <c r="D225" i="9"/>
  <c r="F235" i="9" s="1"/>
  <c r="D224" i="9"/>
  <c r="I220" i="9"/>
  <c r="C219" i="9"/>
  <c r="G219" i="9" s="1"/>
  <c r="G220" i="9" s="1"/>
  <c r="J220" i="9" s="1"/>
  <c r="J221" i="9" s="1"/>
  <c r="I215" i="9"/>
  <c r="C214" i="9"/>
  <c r="B214" i="9"/>
  <c r="I210" i="9"/>
  <c r="E23" i="8" s="1"/>
  <c r="F209" i="9"/>
  <c r="E209" i="9"/>
  <c r="D209" i="9"/>
  <c r="C209" i="9"/>
  <c r="F208" i="9"/>
  <c r="E208" i="9"/>
  <c r="D208" i="9"/>
  <c r="G208" i="9" s="1"/>
  <c r="G207" i="9"/>
  <c r="F207" i="9"/>
  <c r="E207" i="9"/>
  <c r="F206" i="9"/>
  <c r="E206" i="9"/>
  <c r="D206" i="9"/>
  <c r="O205" i="9"/>
  <c r="P205" i="9" s="1"/>
  <c r="N205" i="9"/>
  <c r="M205" i="9"/>
  <c r="F205" i="9"/>
  <c r="E205" i="9"/>
  <c r="D205" i="9"/>
  <c r="F204" i="9"/>
  <c r="E204" i="9"/>
  <c r="D204" i="9"/>
  <c r="C204" i="9"/>
  <c r="F203" i="9"/>
  <c r="E203" i="9"/>
  <c r="D203" i="9"/>
  <c r="C203" i="9"/>
  <c r="G203" i="9" s="1"/>
  <c r="F202" i="9"/>
  <c r="E202" i="9"/>
  <c r="D202" i="9"/>
  <c r="G202" i="9" s="1"/>
  <c r="Q201" i="9"/>
  <c r="N201" i="9"/>
  <c r="F201" i="9"/>
  <c r="E201" i="9"/>
  <c r="D201" i="9"/>
  <c r="M200" i="9"/>
  <c r="F200" i="9"/>
  <c r="E200" i="9"/>
  <c r="G200" i="9" s="1"/>
  <c r="D200" i="9"/>
  <c r="P199" i="9"/>
  <c r="N199" i="9"/>
  <c r="O199" i="9" s="1"/>
  <c r="M199" i="9"/>
  <c r="M198" i="9" s="1"/>
  <c r="F199" i="9"/>
  <c r="E199" i="9"/>
  <c r="G199" i="9" s="1"/>
  <c r="D199" i="9"/>
  <c r="I195" i="9"/>
  <c r="E20" i="8" s="1"/>
  <c r="R194" i="9"/>
  <c r="Q194" i="9"/>
  <c r="P194" i="9"/>
  <c r="O194" i="9"/>
  <c r="N194" i="9"/>
  <c r="E194" i="9"/>
  <c r="D194" i="9"/>
  <c r="E193" i="9"/>
  <c r="D193" i="9"/>
  <c r="G193" i="9" s="1"/>
  <c r="E192" i="9"/>
  <c r="D192" i="9"/>
  <c r="G192" i="9" s="1"/>
  <c r="E191" i="9"/>
  <c r="D191" i="9"/>
  <c r="E190" i="9"/>
  <c r="D190" i="9"/>
  <c r="G190" i="9" s="1"/>
  <c r="E189" i="9"/>
  <c r="D189" i="9"/>
  <c r="G189" i="9" s="1"/>
  <c r="I185" i="9"/>
  <c r="E17" i="8" s="1"/>
  <c r="F184" i="9"/>
  <c r="E184" i="9"/>
  <c r="D184" i="9"/>
  <c r="F183" i="9"/>
  <c r="E183" i="9"/>
  <c r="D183" i="9"/>
  <c r="F182" i="9"/>
  <c r="E182" i="9"/>
  <c r="D182" i="9"/>
  <c r="G182" i="9" s="1"/>
  <c r="F181" i="9"/>
  <c r="E181" i="9"/>
  <c r="C181" i="9"/>
  <c r="F180" i="9"/>
  <c r="E180" i="9"/>
  <c r="D180" i="9"/>
  <c r="D181" i="9" s="1"/>
  <c r="C180" i="9"/>
  <c r="F179" i="9"/>
  <c r="E179" i="9"/>
  <c r="C179" i="9"/>
  <c r="N178" i="9"/>
  <c r="M178" i="9"/>
  <c r="F178" i="9"/>
  <c r="E178" i="9"/>
  <c r="D178" i="9"/>
  <c r="D179" i="9" s="1"/>
  <c r="C178" i="9"/>
  <c r="F177" i="9"/>
  <c r="E177" i="9"/>
  <c r="D177" i="9"/>
  <c r="F176" i="9"/>
  <c r="E176" i="9"/>
  <c r="D176" i="9"/>
  <c r="G176" i="9" s="1"/>
  <c r="F175" i="9"/>
  <c r="E175" i="9"/>
  <c r="D175" i="9"/>
  <c r="F174" i="9"/>
  <c r="E174" i="9"/>
  <c r="D174" i="9"/>
  <c r="I170" i="9"/>
  <c r="C169" i="9"/>
  <c r="G169" i="9" s="1"/>
  <c r="G168" i="9"/>
  <c r="D168" i="9"/>
  <c r="C168" i="9"/>
  <c r="I164" i="9"/>
  <c r="E163" i="9"/>
  <c r="C163" i="9"/>
  <c r="G163" i="9" s="1"/>
  <c r="D162" i="9"/>
  <c r="C162" i="9"/>
  <c r="G162" i="9" s="1"/>
  <c r="I158" i="9"/>
  <c r="D157" i="9"/>
  <c r="C157" i="9"/>
  <c r="C156" i="9"/>
  <c r="I152" i="9"/>
  <c r="D151" i="9"/>
  <c r="C151" i="9"/>
  <c r="G151" i="9" s="1"/>
  <c r="C150" i="9"/>
  <c r="I146" i="9"/>
  <c r="D145" i="9"/>
  <c r="C145" i="9"/>
  <c r="G145" i="9" s="1"/>
  <c r="C144" i="9"/>
  <c r="I140" i="9"/>
  <c r="D139" i="9"/>
  <c r="G139" i="9" s="1"/>
  <c r="C139" i="9"/>
  <c r="C138" i="9"/>
  <c r="I134" i="9"/>
  <c r="D133" i="9"/>
  <c r="C133" i="9"/>
  <c r="C132" i="9"/>
  <c r="I128" i="9"/>
  <c r="G127" i="9"/>
  <c r="D127" i="9"/>
  <c r="C127" i="9"/>
  <c r="C126" i="9"/>
  <c r="O122" i="9"/>
  <c r="I122" i="9"/>
  <c r="D121" i="9"/>
  <c r="C121" i="9"/>
  <c r="D120" i="9"/>
  <c r="C120" i="9"/>
  <c r="D119" i="9"/>
  <c r="C119" i="9"/>
  <c r="G119" i="9" s="1"/>
  <c r="C118" i="9"/>
  <c r="I114" i="9"/>
  <c r="D113" i="9"/>
  <c r="C113" i="9"/>
  <c r="G113" i="9" s="1"/>
  <c r="D112" i="9"/>
  <c r="C112" i="9"/>
  <c r="D111" i="9"/>
  <c r="G111" i="9" s="1"/>
  <c r="C111" i="9"/>
  <c r="C110" i="9"/>
  <c r="I106" i="9"/>
  <c r="D105" i="9"/>
  <c r="C105" i="9"/>
  <c r="C104" i="9"/>
  <c r="I100" i="9"/>
  <c r="D99" i="9"/>
  <c r="C99" i="9"/>
  <c r="G99" i="9" s="1"/>
  <c r="C98" i="9"/>
  <c r="I94" i="9"/>
  <c r="F93" i="9"/>
  <c r="D93" i="9"/>
  <c r="C93" i="9"/>
  <c r="D92" i="9"/>
  <c r="C92" i="9"/>
  <c r="F91" i="9"/>
  <c r="D91" i="9"/>
  <c r="C91" i="9"/>
  <c r="F90" i="9"/>
  <c r="D90" i="9"/>
  <c r="C90" i="9"/>
  <c r="F89" i="9"/>
  <c r="E89" i="9"/>
  <c r="C89" i="9"/>
  <c r="G89" i="9" s="1"/>
  <c r="C88" i="9"/>
  <c r="G88" i="9" s="1"/>
  <c r="C87" i="9"/>
  <c r="C86" i="9"/>
  <c r="D85" i="9"/>
  <c r="C85" i="9"/>
  <c r="G85" i="9" s="1"/>
  <c r="F84" i="9"/>
  <c r="D84" i="9"/>
  <c r="C84" i="9"/>
  <c r="F83" i="9"/>
  <c r="C83" i="9"/>
  <c r="F82" i="9"/>
  <c r="D82" i="9"/>
  <c r="D87" i="9" s="1"/>
  <c r="G87" i="9" s="1"/>
  <c r="C82" i="9"/>
  <c r="E81" i="9"/>
  <c r="D81" i="9"/>
  <c r="C81" i="9"/>
  <c r="G81" i="9" s="1"/>
  <c r="F80" i="9"/>
  <c r="D80" i="9"/>
  <c r="C80" i="9"/>
  <c r="F79" i="9"/>
  <c r="D79" i="9"/>
  <c r="C79" i="9"/>
  <c r="G79" i="9" s="1"/>
  <c r="F78" i="9"/>
  <c r="C78" i="9"/>
  <c r="F77" i="9"/>
  <c r="C77" i="9"/>
  <c r="F76" i="9"/>
  <c r="E76" i="9"/>
  <c r="C76" i="9"/>
  <c r="F75" i="9"/>
  <c r="D75" i="9"/>
  <c r="C75" i="9"/>
  <c r="F74" i="9"/>
  <c r="D74" i="9"/>
  <c r="C74" i="9"/>
  <c r="F73" i="9"/>
  <c r="F92" i="9" s="1"/>
  <c r="E73" i="9"/>
  <c r="C73" i="9"/>
  <c r="F68" i="9"/>
  <c r="E68" i="9"/>
  <c r="D68" i="9"/>
  <c r="C68" i="9"/>
  <c r="F67" i="9"/>
  <c r="E67" i="9"/>
  <c r="D67" i="9"/>
  <c r="C67" i="9"/>
  <c r="G67" i="9" s="1"/>
  <c r="F62" i="9"/>
  <c r="E62" i="9"/>
  <c r="D62" i="9"/>
  <c r="C62" i="9"/>
  <c r="D61" i="9"/>
  <c r="C61" i="9"/>
  <c r="G61" i="9" s="1"/>
  <c r="E60" i="9"/>
  <c r="D60" i="9"/>
  <c r="C60" i="9"/>
  <c r="N59" i="9"/>
  <c r="E55" i="9"/>
  <c r="E214" i="9" s="1"/>
  <c r="D55" i="9"/>
  <c r="C55" i="9"/>
  <c r="F54" i="9"/>
  <c r="C54" i="9"/>
  <c r="G54" i="9" s="1"/>
  <c r="E49" i="9"/>
  <c r="D49" i="9"/>
  <c r="C49" i="9"/>
  <c r="F49" i="9" s="1"/>
  <c r="G49" i="9" s="1"/>
  <c r="E48" i="9"/>
  <c r="D48" i="9"/>
  <c r="C48" i="9"/>
  <c r="F48" i="9" s="1"/>
  <c r="G48" i="9" s="1"/>
  <c r="E47" i="9"/>
  <c r="D47" i="9"/>
  <c r="C47" i="9"/>
  <c r="E46" i="9"/>
  <c r="D46" i="9"/>
  <c r="C46" i="9"/>
  <c r="E45" i="9"/>
  <c r="D45" i="9"/>
  <c r="C45" i="9"/>
  <c r="F45" i="9" s="1"/>
  <c r="G45" i="9" s="1"/>
  <c r="E35" i="9"/>
  <c r="E40" i="9" s="1"/>
  <c r="D35" i="9"/>
  <c r="D40" i="9" s="1"/>
  <c r="I32" i="9"/>
  <c r="D31" i="9"/>
  <c r="G31" i="9"/>
  <c r="G32" i="9" s="1"/>
  <c r="J32" i="9" s="1"/>
  <c r="I28" i="9"/>
  <c r="E15" i="8" s="1"/>
  <c r="E26" i="9"/>
  <c r="G26" i="9" s="1"/>
  <c r="F25" i="9"/>
  <c r="G25" i="9" s="1"/>
  <c r="D25" i="9"/>
  <c r="C25" i="9"/>
  <c r="I22" i="9"/>
  <c r="E13" i="8" s="1"/>
  <c r="F21" i="9"/>
  <c r="E21" i="9"/>
  <c r="D21" i="9"/>
  <c r="C21" i="9"/>
  <c r="G21" i="9" s="1"/>
  <c r="F20" i="9"/>
  <c r="E20" i="9"/>
  <c r="D20" i="9"/>
  <c r="C20" i="9"/>
  <c r="D19" i="9"/>
  <c r="G19" i="9" s="1"/>
  <c r="F18" i="9"/>
  <c r="D18" i="9"/>
  <c r="C18" i="9"/>
  <c r="E17" i="9"/>
  <c r="D17" i="9"/>
  <c r="C17" i="9"/>
  <c r="I14" i="9"/>
  <c r="F13" i="9"/>
  <c r="E13" i="9"/>
  <c r="F12" i="9"/>
  <c r="D12" i="9"/>
  <c r="G12" i="9" s="1"/>
  <c r="G11" i="9"/>
  <c r="D11" i="9"/>
  <c r="F10" i="9"/>
  <c r="E10" i="9"/>
  <c r="G10" i="9" s="1"/>
  <c r="J235" i="11" l="1"/>
  <c r="J234" i="11"/>
  <c r="J95" i="11"/>
  <c r="J94" i="11"/>
  <c r="J41" i="11"/>
  <c r="J42" i="11"/>
  <c r="J248" i="11"/>
  <c r="J247" i="11"/>
  <c r="J263" i="11"/>
  <c r="J262" i="11"/>
  <c r="J101" i="11"/>
  <c r="J100" i="11"/>
  <c r="J51" i="11"/>
  <c r="J50" i="11"/>
  <c r="J57" i="11"/>
  <c r="J56" i="11"/>
  <c r="J186" i="11"/>
  <c r="J185" i="11"/>
  <c r="J107" i="11"/>
  <c r="J106" i="11"/>
  <c r="G110" i="11"/>
  <c r="G114" i="11" s="1"/>
  <c r="D118" i="11"/>
  <c r="J36" i="11"/>
  <c r="J37" i="11"/>
  <c r="G75" i="9"/>
  <c r="G82" i="9"/>
  <c r="G133" i="9"/>
  <c r="G183" i="9"/>
  <c r="G206" i="9"/>
  <c r="G237" i="9"/>
  <c r="G164" i="9"/>
  <c r="J164" i="9" s="1"/>
  <c r="F46" i="9"/>
  <c r="G46" i="9" s="1"/>
  <c r="G60" i="9"/>
  <c r="G63" i="9" s="1"/>
  <c r="J64" i="9" s="1"/>
  <c r="G18" i="9"/>
  <c r="G20" i="9"/>
  <c r="G93" i="9"/>
  <c r="G157" i="9"/>
  <c r="G179" i="9"/>
  <c r="G234" i="9"/>
  <c r="G257" i="9"/>
  <c r="G225" i="9"/>
  <c r="G230" i="9" s="1"/>
  <c r="D26" i="8" s="1"/>
  <c r="G17" i="9"/>
  <c r="G62" i="9"/>
  <c r="G68" i="9"/>
  <c r="G69" i="9" s="1"/>
  <c r="G74" i="9"/>
  <c r="G112" i="9"/>
  <c r="G184" i="9"/>
  <c r="G194" i="9"/>
  <c r="G255" i="9"/>
  <c r="G271" i="9"/>
  <c r="G272" i="9" s="1"/>
  <c r="D34" i="8"/>
  <c r="G92" i="9"/>
  <c r="D83" i="9"/>
  <c r="G105" i="9"/>
  <c r="G120" i="9"/>
  <c r="G241" i="9"/>
  <c r="G22" i="9"/>
  <c r="G83" i="9"/>
  <c r="G28" i="9"/>
  <c r="E86" i="9"/>
  <c r="G86" i="9" s="1"/>
  <c r="G76" i="9"/>
  <c r="J248" i="9"/>
  <c r="J249" i="9"/>
  <c r="J273" i="9"/>
  <c r="J272" i="9"/>
  <c r="G243" i="9"/>
  <c r="F47" i="9"/>
  <c r="G47" i="9" s="1"/>
  <c r="G50" i="9" s="1"/>
  <c r="G91" i="9"/>
  <c r="G170" i="9"/>
  <c r="G175" i="9"/>
  <c r="G178" i="9"/>
  <c r="G191" i="9"/>
  <c r="G195" i="9" s="1"/>
  <c r="D20" i="8" s="1"/>
  <c r="G201" i="9"/>
  <c r="G210" i="9" s="1"/>
  <c r="D23" i="8" s="1"/>
  <c r="G204" i="9"/>
  <c r="G209" i="9"/>
  <c r="G235" i="9"/>
  <c r="G238" i="9" s="1"/>
  <c r="J238" i="9" s="1"/>
  <c r="G281" i="9"/>
  <c r="J282" i="9" s="1"/>
  <c r="J281" i="9"/>
  <c r="G13" i="9"/>
  <c r="G14" i="9" s="1"/>
  <c r="J14" i="9" s="1"/>
  <c r="G55" i="9"/>
  <c r="G56" i="9" s="1"/>
  <c r="D214" i="9"/>
  <c r="G214" i="9" s="1"/>
  <c r="G215" i="9" s="1"/>
  <c r="D98" i="9"/>
  <c r="G73" i="9"/>
  <c r="D77" i="9"/>
  <c r="G80" i="9"/>
  <c r="G84" i="9"/>
  <c r="G90" i="9"/>
  <c r="G121" i="9"/>
  <c r="J165" i="9"/>
  <c r="G174" i="9"/>
  <c r="G177" i="9"/>
  <c r="G180" i="9"/>
  <c r="G181" i="9"/>
  <c r="G205" i="9"/>
  <c r="G266" i="9"/>
  <c r="G267" i="9" s="1"/>
  <c r="G258" i="9" l="1"/>
  <c r="D29" i="8" s="1"/>
  <c r="M213" i="11"/>
  <c r="N190" i="11"/>
  <c r="D156" i="11"/>
  <c r="D126" i="11"/>
  <c r="G126" i="11" s="1"/>
  <c r="G128" i="11" s="1"/>
  <c r="G118" i="11"/>
  <c r="G122" i="11" s="1"/>
  <c r="J115" i="11"/>
  <c r="J114" i="11"/>
  <c r="J69" i="9"/>
  <c r="J70" i="9"/>
  <c r="J22" i="9"/>
  <c r="D13" i="8"/>
  <c r="J63" i="9"/>
  <c r="G185" i="9"/>
  <c r="D17" i="8" s="1"/>
  <c r="J28" i="9"/>
  <c r="D15" i="8"/>
  <c r="J51" i="9"/>
  <c r="J50" i="9"/>
  <c r="J196" i="9"/>
  <c r="F21" i="8" s="1"/>
  <c r="J195" i="9"/>
  <c r="J57" i="9"/>
  <c r="J56" i="9"/>
  <c r="J186" i="9"/>
  <c r="F18" i="8" s="1"/>
  <c r="J171" i="9"/>
  <c r="J170" i="9"/>
  <c r="G40" i="9"/>
  <c r="G41" i="9" s="1"/>
  <c r="G35" i="9"/>
  <c r="G36" i="9" s="1"/>
  <c r="G77" i="9"/>
  <c r="D78" i="9"/>
  <c r="G78" i="9" s="1"/>
  <c r="J211" i="9"/>
  <c r="F24" i="8" s="1"/>
  <c r="J210" i="9"/>
  <c r="J216" i="9"/>
  <c r="J215" i="9"/>
  <c r="D104" i="9"/>
  <c r="G98" i="9"/>
  <c r="G100" i="9" s="1"/>
  <c r="J244" i="9"/>
  <c r="J243" i="9"/>
  <c r="G94" i="9"/>
  <c r="J268" i="9"/>
  <c r="J267" i="9"/>
  <c r="J231" i="9"/>
  <c r="F27" i="8" s="1"/>
  <c r="J230" i="9"/>
  <c r="C213" i="7"/>
  <c r="F261" i="7"/>
  <c r="F259" i="7"/>
  <c r="D198" i="7"/>
  <c r="Q198" i="7"/>
  <c r="R198" i="7"/>
  <c r="P198" i="7"/>
  <c r="O209" i="7"/>
  <c r="P209" i="7" s="1"/>
  <c r="D208" i="7"/>
  <c r="M204" i="7"/>
  <c r="P203" i="7"/>
  <c r="Q205" i="7"/>
  <c r="E204" i="7"/>
  <c r="F204" i="7"/>
  <c r="G19" i="7"/>
  <c r="D19" i="7"/>
  <c r="E181" i="7"/>
  <c r="F181" i="7"/>
  <c r="E179" i="7"/>
  <c r="F179" i="7"/>
  <c r="C180" i="7"/>
  <c r="C178" i="7"/>
  <c r="N178" i="7"/>
  <c r="M178" i="7"/>
  <c r="D183" i="7"/>
  <c r="O198" i="7"/>
  <c r="N198" i="7"/>
  <c r="N256" i="7"/>
  <c r="J258" i="9" l="1"/>
  <c r="J259" i="9"/>
  <c r="F30" i="8" s="1"/>
  <c r="J123" i="11"/>
  <c r="J122" i="11"/>
  <c r="J129" i="11"/>
  <c r="J128" i="11"/>
  <c r="G156" i="11"/>
  <c r="G158" i="11" s="1"/>
  <c r="D132" i="11"/>
  <c r="G204" i="7"/>
  <c r="J185" i="9"/>
  <c r="M209" i="9" s="1"/>
  <c r="J41" i="9"/>
  <c r="J42" i="9"/>
  <c r="J95" i="9"/>
  <c r="J94" i="9"/>
  <c r="D110" i="9"/>
  <c r="G104" i="9"/>
  <c r="G106" i="9" s="1"/>
  <c r="J101" i="9"/>
  <c r="J100" i="9"/>
  <c r="J37" i="9"/>
  <c r="J36" i="9"/>
  <c r="F210" i="7"/>
  <c r="D210" i="7"/>
  <c r="E210" i="7"/>
  <c r="G210" i="7"/>
  <c r="G132" i="11" l="1"/>
  <c r="G134" i="11" s="1"/>
  <c r="D138" i="11"/>
  <c r="J159" i="11"/>
  <c r="J158" i="11"/>
  <c r="N190" i="9"/>
  <c r="J107" i="9"/>
  <c r="J106" i="9"/>
  <c r="D118" i="9"/>
  <c r="G110" i="9"/>
  <c r="G114" i="9" s="1"/>
  <c r="F257" i="7"/>
  <c r="F260" i="7"/>
  <c r="F258" i="7"/>
  <c r="C261" i="7"/>
  <c r="C259" i="7"/>
  <c r="D261" i="7"/>
  <c r="D259" i="7"/>
  <c r="D260" i="7"/>
  <c r="D258" i="7"/>
  <c r="D213" i="7"/>
  <c r="F213" i="7"/>
  <c r="E213" i="7"/>
  <c r="F212" i="7"/>
  <c r="E212" i="7"/>
  <c r="D212" i="7"/>
  <c r="F183" i="7"/>
  <c r="E183" i="7"/>
  <c r="F184" i="7"/>
  <c r="E184" i="7"/>
  <c r="C207" i="7"/>
  <c r="D184" i="7"/>
  <c r="F182" i="7"/>
  <c r="E182" i="7"/>
  <c r="D182" i="7"/>
  <c r="M258" i="7"/>
  <c r="G181" i="7"/>
  <c r="E180" i="7"/>
  <c r="F180" i="7"/>
  <c r="E178" i="7"/>
  <c r="F178" i="7"/>
  <c r="G179" i="7"/>
  <c r="N205" i="7"/>
  <c r="N203" i="7"/>
  <c r="O203" i="7" s="1"/>
  <c r="M203" i="7"/>
  <c r="M202" i="7" s="1"/>
  <c r="D256" i="7"/>
  <c r="D177" i="7"/>
  <c r="D209" i="7"/>
  <c r="N209" i="7"/>
  <c r="M209" i="7"/>
  <c r="D205" i="7"/>
  <c r="D174" i="7"/>
  <c r="C289" i="7"/>
  <c r="D144" i="11" l="1"/>
  <c r="G138" i="11"/>
  <c r="G140" i="11" s="1"/>
  <c r="J135" i="11"/>
  <c r="J134" i="11"/>
  <c r="D156" i="9"/>
  <c r="D126" i="9"/>
  <c r="G126" i="9" s="1"/>
  <c r="G128" i="9" s="1"/>
  <c r="G118" i="9"/>
  <c r="G122" i="9" s="1"/>
  <c r="J115" i="9"/>
  <c r="J114" i="9"/>
  <c r="G183" i="7"/>
  <c r="G213" i="7"/>
  <c r="G184" i="7"/>
  <c r="G180" i="7"/>
  <c r="G212" i="7"/>
  <c r="G261" i="7"/>
  <c r="G259" i="7"/>
  <c r="J140" i="11" l="1"/>
  <c r="J141" i="11"/>
  <c r="D150" i="11"/>
  <c r="G150" i="11" s="1"/>
  <c r="G152" i="11" s="1"/>
  <c r="G144" i="11"/>
  <c r="G146" i="11" s="1"/>
  <c r="J123" i="9"/>
  <c r="J122" i="9"/>
  <c r="J128" i="9"/>
  <c r="J129" i="9"/>
  <c r="G156" i="9"/>
  <c r="G158" i="9" s="1"/>
  <c r="D132" i="9"/>
  <c r="C68" i="7"/>
  <c r="C67" i="7"/>
  <c r="C62" i="7"/>
  <c r="C61" i="7"/>
  <c r="C60" i="7"/>
  <c r="J147" i="11" l="1"/>
  <c r="J146" i="11"/>
  <c r="J153" i="11"/>
  <c r="J292" i="11" s="1"/>
  <c r="J152" i="11"/>
  <c r="G132" i="9"/>
  <c r="G134" i="9" s="1"/>
  <c r="D138" i="9"/>
  <c r="J159" i="9"/>
  <c r="J158" i="9"/>
  <c r="F209" i="7"/>
  <c r="E209" i="7"/>
  <c r="F211" i="7"/>
  <c r="E211" i="7"/>
  <c r="F208" i="7"/>
  <c r="E208" i="7"/>
  <c r="C208" i="7"/>
  <c r="E207" i="7"/>
  <c r="F207" i="7"/>
  <c r="D207" i="7"/>
  <c r="G257" i="7"/>
  <c r="E175" i="7"/>
  <c r="F175" i="7"/>
  <c r="E176" i="7"/>
  <c r="F176" i="7"/>
  <c r="E177" i="7"/>
  <c r="F177" i="7"/>
  <c r="D176" i="7"/>
  <c r="D175" i="7"/>
  <c r="D206" i="7"/>
  <c r="E205" i="7"/>
  <c r="F205" i="7"/>
  <c r="E206" i="7"/>
  <c r="F206" i="7"/>
  <c r="E174" i="7"/>
  <c r="F174" i="7"/>
  <c r="F203" i="7"/>
  <c r="E203" i="7"/>
  <c r="G260" i="7"/>
  <c r="G258" i="7"/>
  <c r="C256" i="7"/>
  <c r="G263" i="7" l="1"/>
  <c r="J296" i="11"/>
  <c r="C294" i="11"/>
  <c r="G211" i="7"/>
  <c r="D144" i="9"/>
  <c r="G138" i="9"/>
  <c r="G140" i="9" s="1"/>
  <c r="J135" i="9"/>
  <c r="J134" i="9"/>
  <c r="G209" i="7"/>
  <c r="G208" i="7"/>
  <c r="G207" i="7"/>
  <c r="G176" i="7"/>
  <c r="G256" i="7"/>
  <c r="G29" i="8" l="1"/>
  <c r="C296" i="11"/>
  <c r="E296" i="11" s="1"/>
  <c r="E297" i="11" s="1"/>
  <c r="J140" i="9"/>
  <c r="J141" i="9"/>
  <c r="G144" i="9"/>
  <c r="G146" i="9" s="1"/>
  <c r="D150" i="9"/>
  <c r="G150" i="9" s="1"/>
  <c r="G152" i="9" s="1"/>
  <c r="J264" i="7"/>
  <c r="I30" i="8" s="1"/>
  <c r="J263" i="7"/>
  <c r="D27" i="7"/>
  <c r="G27" i="7" s="1"/>
  <c r="C18" i="7"/>
  <c r="F18" i="7"/>
  <c r="D18" i="7"/>
  <c r="C21" i="7"/>
  <c r="C20" i="7"/>
  <c r="C31" i="7"/>
  <c r="C35" i="7" s="1"/>
  <c r="C40" i="7" s="1"/>
  <c r="C47" i="7"/>
  <c r="C46" i="7"/>
  <c r="C45" i="7"/>
  <c r="C54" i="7"/>
  <c r="C91" i="7"/>
  <c r="C90" i="7"/>
  <c r="C99" i="7"/>
  <c r="C105" i="7"/>
  <c r="C113" i="7"/>
  <c r="C121" i="7"/>
  <c r="C127" i="7"/>
  <c r="C133" i="7"/>
  <c r="C139" i="7"/>
  <c r="C145" i="7"/>
  <c r="C151" i="7"/>
  <c r="C157" i="7"/>
  <c r="C229" i="7"/>
  <c r="C230" i="7"/>
  <c r="C231" i="7"/>
  <c r="C232" i="7"/>
  <c r="C233" i="7"/>
  <c r="C228" i="7"/>
  <c r="C240" i="7"/>
  <c r="C239" i="7"/>
  <c r="C251" i="7"/>
  <c r="C267" i="7"/>
  <c r="C300" i="7"/>
  <c r="C299" i="7"/>
  <c r="G291" i="7"/>
  <c r="G34" i="8" s="1"/>
  <c r="G289" i="7"/>
  <c r="G32" i="8" s="1"/>
  <c r="C285" i="7"/>
  <c r="G285" i="7" s="1"/>
  <c r="J286" i="7" s="1"/>
  <c r="C281" i="7"/>
  <c r="G281" i="7" s="1"/>
  <c r="G282" i="7" s="1"/>
  <c r="J282" i="7" s="1"/>
  <c r="J283" i="7" s="1"/>
  <c r="C276" i="7"/>
  <c r="I272" i="7"/>
  <c r="E271" i="7"/>
  <c r="D271" i="7"/>
  <c r="D276" i="7" s="1"/>
  <c r="C271" i="7"/>
  <c r="I268" i="7"/>
  <c r="F267" i="7"/>
  <c r="E267" i="7"/>
  <c r="F251" i="7"/>
  <c r="E251" i="7"/>
  <c r="I247" i="7"/>
  <c r="F246" i="7"/>
  <c r="E246" i="7"/>
  <c r="C246" i="7"/>
  <c r="E245" i="7"/>
  <c r="D245" i="7"/>
  <c r="C245" i="7"/>
  <c r="I242" i="7"/>
  <c r="E241" i="7"/>
  <c r="C241" i="7"/>
  <c r="D240" i="7"/>
  <c r="D239" i="7"/>
  <c r="B239" i="7"/>
  <c r="D238" i="7"/>
  <c r="C238" i="7"/>
  <c r="I234" i="7"/>
  <c r="H26" i="8" s="1"/>
  <c r="D233" i="7"/>
  <c r="D241" i="7" s="1"/>
  <c r="D232" i="7"/>
  <c r="D231" i="7"/>
  <c r="D230" i="7"/>
  <c r="D229" i="7"/>
  <c r="F239" i="7" s="1"/>
  <c r="D228" i="7"/>
  <c r="I224" i="7"/>
  <c r="C223" i="7"/>
  <c r="G223" i="7" s="1"/>
  <c r="G224" i="7" s="1"/>
  <c r="I219" i="7"/>
  <c r="C218" i="7"/>
  <c r="B218" i="7"/>
  <c r="I214" i="7"/>
  <c r="H23" i="8" s="1"/>
  <c r="G206" i="7"/>
  <c r="G205" i="7"/>
  <c r="G174" i="7"/>
  <c r="G203" i="7"/>
  <c r="I199" i="7"/>
  <c r="H20" i="8" s="1"/>
  <c r="I185" i="7"/>
  <c r="H17" i="8" s="1"/>
  <c r="G182" i="7"/>
  <c r="G178" i="7"/>
  <c r="G185" i="7" s="1"/>
  <c r="G177" i="7"/>
  <c r="G175" i="7"/>
  <c r="I170" i="7"/>
  <c r="C169" i="7"/>
  <c r="G169" i="7" s="1"/>
  <c r="D168" i="7"/>
  <c r="C168" i="7"/>
  <c r="I164" i="7"/>
  <c r="E163" i="7"/>
  <c r="C163" i="7"/>
  <c r="D162" i="7"/>
  <c r="C162" i="7"/>
  <c r="I158" i="7"/>
  <c r="D157" i="7"/>
  <c r="C156" i="7"/>
  <c r="I152" i="7"/>
  <c r="D151" i="7"/>
  <c r="C150" i="7"/>
  <c r="I146" i="7"/>
  <c r="D145" i="7"/>
  <c r="C144" i="7"/>
  <c r="I140" i="7"/>
  <c r="D139" i="7"/>
  <c r="C138" i="7"/>
  <c r="I134" i="7"/>
  <c r="D133" i="7"/>
  <c r="C132" i="7"/>
  <c r="I128" i="7"/>
  <c r="D127" i="7"/>
  <c r="C126" i="7"/>
  <c r="O122" i="7"/>
  <c r="I122" i="7"/>
  <c r="D121" i="7"/>
  <c r="D120" i="7"/>
  <c r="C120" i="7"/>
  <c r="D119" i="7"/>
  <c r="C119" i="7"/>
  <c r="C118" i="7"/>
  <c r="I114" i="7"/>
  <c r="D113" i="7"/>
  <c r="D112" i="7"/>
  <c r="C112" i="7"/>
  <c r="D111" i="7"/>
  <c r="C111" i="7"/>
  <c r="C110" i="7"/>
  <c r="I106" i="7"/>
  <c r="D105" i="7"/>
  <c r="C104" i="7"/>
  <c r="I100" i="7"/>
  <c r="D99" i="7"/>
  <c r="C98" i="7"/>
  <c r="I94" i="7"/>
  <c r="F93" i="7"/>
  <c r="D93" i="7"/>
  <c r="C93" i="7"/>
  <c r="D92" i="7"/>
  <c r="C92" i="7"/>
  <c r="F91" i="7"/>
  <c r="D91" i="7"/>
  <c r="F90" i="7"/>
  <c r="D90" i="7"/>
  <c r="F89" i="7"/>
  <c r="E89" i="7"/>
  <c r="C89" i="7"/>
  <c r="C88" i="7"/>
  <c r="G88" i="7" s="1"/>
  <c r="C87" i="7"/>
  <c r="C86" i="7"/>
  <c r="D85" i="7"/>
  <c r="C85" i="7"/>
  <c r="F84" i="7"/>
  <c r="D84" i="7"/>
  <c r="C84" i="7"/>
  <c r="F83" i="7"/>
  <c r="C83" i="7"/>
  <c r="F82" i="7"/>
  <c r="D82" i="7"/>
  <c r="D83" i="7" s="1"/>
  <c r="C82" i="7"/>
  <c r="E81" i="7"/>
  <c r="D81" i="7"/>
  <c r="C81" i="7"/>
  <c r="F80" i="7"/>
  <c r="D80" i="7"/>
  <c r="C80" i="7"/>
  <c r="F79" i="7"/>
  <c r="D79" i="7"/>
  <c r="C79" i="7"/>
  <c r="F78" i="7"/>
  <c r="C78" i="7"/>
  <c r="F77" i="7"/>
  <c r="C77" i="7"/>
  <c r="F76" i="7"/>
  <c r="E76" i="7"/>
  <c r="E86" i="7" s="1"/>
  <c r="C76" i="7"/>
  <c r="F75" i="7"/>
  <c r="D75" i="7"/>
  <c r="C75" i="7"/>
  <c r="F74" i="7"/>
  <c r="D74" i="7"/>
  <c r="C74" i="7"/>
  <c r="F73" i="7"/>
  <c r="F92" i="7" s="1"/>
  <c r="E73" i="7"/>
  <c r="C73" i="7"/>
  <c r="F68" i="7"/>
  <c r="E68" i="7"/>
  <c r="D68" i="7"/>
  <c r="F67" i="7"/>
  <c r="E67" i="7"/>
  <c r="D67" i="7"/>
  <c r="F62" i="7"/>
  <c r="D62" i="7"/>
  <c r="D61" i="7"/>
  <c r="G61" i="7" s="1"/>
  <c r="E60" i="7"/>
  <c r="E62" i="7" s="1"/>
  <c r="D60" i="7"/>
  <c r="N59" i="7"/>
  <c r="E55" i="7"/>
  <c r="E218" i="7" s="1"/>
  <c r="D55" i="7"/>
  <c r="D218" i="7" s="1"/>
  <c r="C55" i="7"/>
  <c r="F54" i="7"/>
  <c r="E49" i="7"/>
  <c r="D49" i="7"/>
  <c r="C49" i="7"/>
  <c r="E48" i="7"/>
  <c r="D48" i="7"/>
  <c r="C48" i="7"/>
  <c r="E47" i="7"/>
  <c r="D47" i="7"/>
  <c r="E46" i="7"/>
  <c r="D46" i="7"/>
  <c r="E45" i="7"/>
  <c r="D45" i="7"/>
  <c r="E35" i="7"/>
  <c r="E40" i="7" s="1"/>
  <c r="I32" i="7"/>
  <c r="D31" i="7"/>
  <c r="D35" i="7" s="1"/>
  <c r="D40" i="7" s="1"/>
  <c r="I28" i="7"/>
  <c r="H15" i="8" s="1"/>
  <c r="E26" i="7"/>
  <c r="D26" i="7"/>
  <c r="F25" i="7"/>
  <c r="D25" i="7"/>
  <c r="C25" i="7"/>
  <c r="I22" i="7"/>
  <c r="H13" i="8" s="1"/>
  <c r="F21" i="7"/>
  <c r="E21" i="7"/>
  <c r="D21" i="7"/>
  <c r="F20" i="7"/>
  <c r="E20" i="7"/>
  <c r="D20" i="7"/>
  <c r="E17" i="7"/>
  <c r="D17" i="7"/>
  <c r="C17" i="7"/>
  <c r="I14" i="7"/>
  <c r="F13" i="7"/>
  <c r="E13" i="7"/>
  <c r="F12" i="7"/>
  <c r="D12" i="7"/>
  <c r="D11" i="7"/>
  <c r="G11" i="7" s="1"/>
  <c r="F10" i="7"/>
  <c r="E10" i="7"/>
  <c r="C297" i="11" l="1"/>
  <c r="G139" i="7"/>
  <c r="G23" i="8"/>
  <c r="G17" i="8"/>
  <c r="G13" i="7"/>
  <c r="G26" i="7"/>
  <c r="J152" i="9"/>
  <c r="J153" i="9"/>
  <c r="J147" i="9"/>
  <c r="J146" i="9"/>
  <c r="J288" i="9" s="1"/>
  <c r="C290" i="9" s="1"/>
  <c r="G157" i="7"/>
  <c r="F49" i="7"/>
  <c r="G49" i="7" s="1"/>
  <c r="G55" i="7"/>
  <c r="G121" i="7"/>
  <c r="G133" i="7"/>
  <c r="G231" i="7"/>
  <c r="G230" i="7"/>
  <c r="J289" i="7"/>
  <c r="F45" i="7"/>
  <c r="G45" i="7" s="1"/>
  <c r="G31" i="7"/>
  <c r="G32" i="7" s="1"/>
  <c r="G127" i="7"/>
  <c r="G145" i="7"/>
  <c r="J291" i="7"/>
  <c r="G12" i="7"/>
  <c r="G60" i="7"/>
  <c r="G151" i="7"/>
  <c r="G228" i="7"/>
  <c r="G80" i="7"/>
  <c r="G99" i="7"/>
  <c r="G233" i="7"/>
  <c r="G111" i="7"/>
  <c r="G113" i="7"/>
  <c r="G163" i="7"/>
  <c r="G189" i="7"/>
  <c r="G20" i="8" s="1"/>
  <c r="G238" i="7"/>
  <c r="F46" i="7"/>
  <c r="G46" i="7" s="1"/>
  <c r="D77" i="7"/>
  <c r="D78" i="7" s="1"/>
  <c r="G78" i="7" s="1"/>
  <c r="G85" i="7"/>
  <c r="G119" i="7"/>
  <c r="J224" i="7"/>
  <c r="J225" i="7" s="1"/>
  <c r="G240" i="7"/>
  <c r="G83" i="7"/>
  <c r="G10" i="7"/>
  <c r="G54" i="7"/>
  <c r="G75" i="7"/>
  <c r="G105" i="7"/>
  <c r="G162" i="7"/>
  <c r="G241" i="7"/>
  <c r="G68" i="7"/>
  <c r="G79" i="7"/>
  <c r="G91" i="7"/>
  <c r="G67" i="7"/>
  <c r="G84" i="7"/>
  <c r="G112" i="7"/>
  <c r="G168" i="7"/>
  <c r="G170" i="7" s="1"/>
  <c r="G267" i="7"/>
  <c r="G268" i="7" s="1"/>
  <c r="G81" i="7"/>
  <c r="G89" i="7"/>
  <c r="G74" i="7"/>
  <c r="G246" i="7"/>
  <c r="G251" i="7"/>
  <c r="G252" i="7" s="1"/>
  <c r="J253" i="7" s="1"/>
  <c r="G18" i="7"/>
  <c r="G21" i="7"/>
  <c r="F48" i="7"/>
  <c r="G48" i="7" s="1"/>
  <c r="G62" i="7"/>
  <c r="G63" i="7" s="1"/>
  <c r="I32" i="8" s="1"/>
  <c r="G73" i="7"/>
  <c r="G76" i="7"/>
  <c r="G82" i="7"/>
  <c r="D87" i="7"/>
  <c r="G87" i="7" s="1"/>
  <c r="G229" i="7"/>
  <c r="G40" i="7"/>
  <c r="G41" i="7" s="1"/>
  <c r="G20" i="7"/>
  <c r="G93" i="7"/>
  <c r="G120" i="7"/>
  <c r="G17" i="7"/>
  <c r="G245" i="7"/>
  <c r="G90" i="7"/>
  <c r="G92" i="7"/>
  <c r="G271" i="7"/>
  <c r="G272" i="7" s="1"/>
  <c r="J273" i="7" s="1"/>
  <c r="G276" i="7"/>
  <c r="G277" i="7" s="1"/>
  <c r="J277" i="7" s="1"/>
  <c r="G232" i="7"/>
  <c r="G25" i="7"/>
  <c r="F47" i="7"/>
  <c r="G47" i="7" s="1"/>
  <c r="G86" i="7"/>
  <c r="G218" i="7"/>
  <c r="G219" i="7" s="1"/>
  <c r="G239" i="7"/>
  <c r="G35" i="7"/>
  <c r="G36" i="7" s="1"/>
  <c r="D98" i="7"/>
  <c r="D104" i="7" s="1"/>
  <c r="G286" i="7"/>
  <c r="J287" i="7" s="1"/>
  <c r="I137" i="6"/>
  <c r="O119" i="6"/>
  <c r="I125" i="6"/>
  <c r="G13" i="8" l="1"/>
  <c r="G15" i="8"/>
  <c r="I20" i="8"/>
  <c r="I17" i="8"/>
  <c r="C293" i="9"/>
  <c r="E292" i="9"/>
  <c r="E293" i="9" s="1"/>
  <c r="J298" i="9"/>
  <c r="G77" i="7"/>
  <c r="G94" i="7" s="1"/>
  <c r="J95" i="7" s="1"/>
  <c r="G56" i="7"/>
  <c r="I29" i="8" s="1"/>
  <c r="G26" i="8"/>
  <c r="G164" i="7"/>
  <c r="J164" i="7" s="1"/>
  <c r="G14" i="7"/>
  <c r="J14" i="7" s="1"/>
  <c r="J199" i="7"/>
  <c r="J200" i="7"/>
  <c r="I21" i="8" s="1"/>
  <c r="J214" i="7"/>
  <c r="J186" i="7"/>
  <c r="I18" i="8" s="1"/>
  <c r="J18" i="8" s="1"/>
  <c r="J42" i="7"/>
  <c r="I23" i="8"/>
  <c r="J268" i="7"/>
  <c r="J165" i="7"/>
  <c r="G50" i="7"/>
  <c r="J278" i="7"/>
  <c r="J32" i="7"/>
  <c r="J252" i="7"/>
  <c r="G69" i="7"/>
  <c r="J41" i="7"/>
  <c r="G247" i="7"/>
  <c r="J247" i="7" s="1"/>
  <c r="J185" i="7"/>
  <c r="G242" i="7"/>
  <c r="J272" i="7"/>
  <c r="J215" i="7"/>
  <c r="I24" i="8" s="1"/>
  <c r="G98" i="7"/>
  <c r="G100" i="7" s="1"/>
  <c r="J220" i="7"/>
  <c r="J219" i="7"/>
  <c r="J56" i="7"/>
  <c r="J57" i="7"/>
  <c r="D110" i="7"/>
  <c r="G104" i="7"/>
  <c r="G106" i="7" s="1"/>
  <c r="J36" i="7"/>
  <c r="J37" i="7"/>
  <c r="J171" i="7"/>
  <c r="J170" i="7"/>
  <c r="J64" i="7"/>
  <c r="J63" i="7"/>
  <c r="C162" i="5"/>
  <c r="C155" i="5"/>
  <c r="C148" i="5"/>
  <c r="C141" i="5"/>
  <c r="C134" i="5"/>
  <c r="C127" i="5"/>
  <c r="B111" i="5"/>
  <c r="B120" i="5" s="1"/>
  <c r="B127" i="5" s="1"/>
  <c r="B134" i="5" s="1"/>
  <c r="B141" i="5" s="1"/>
  <c r="B148" i="5" s="1"/>
  <c r="B155" i="5" s="1"/>
  <c r="B162" i="5" s="1"/>
  <c r="C111" i="5"/>
  <c r="C102" i="5"/>
  <c r="C95" i="5"/>
  <c r="C101" i="5"/>
  <c r="C94" i="5"/>
  <c r="C158" i="3"/>
  <c r="C88" i="5"/>
  <c r="C169" i="5"/>
  <c r="E169" i="5"/>
  <c r="I26" i="8" l="1"/>
  <c r="J234" i="7"/>
  <c r="J235" i="7"/>
  <c r="I27" i="8" s="1"/>
  <c r="N190" i="7"/>
  <c r="J50" i="7"/>
  <c r="M213" i="7"/>
  <c r="J248" i="7"/>
  <c r="J69" i="7"/>
  <c r="I34" i="8"/>
  <c r="J101" i="7"/>
  <c r="J51" i="7"/>
  <c r="J242" i="7"/>
  <c r="J28" i="7"/>
  <c r="I15" i="8"/>
  <c r="J22" i="7"/>
  <c r="I13" i="8"/>
  <c r="J100" i="7"/>
  <c r="J94" i="7"/>
  <c r="J70" i="7"/>
  <c r="J107" i="7"/>
  <c r="J106" i="7"/>
  <c r="D118" i="7"/>
  <c r="G110" i="7"/>
  <c r="G114" i="7" s="1"/>
  <c r="C222" i="6"/>
  <c r="C217" i="6"/>
  <c r="C209" i="6"/>
  <c r="C221" i="6"/>
  <c r="C214" i="6"/>
  <c r="F59" i="6"/>
  <c r="D59" i="6"/>
  <c r="C208" i="6"/>
  <c r="C207" i="6"/>
  <c r="C246" i="6"/>
  <c r="G246" i="6" s="1"/>
  <c r="G247" i="6" s="1"/>
  <c r="J247" i="6" s="1"/>
  <c r="J248" i="6" s="1"/>
  <c r="C241" i="6"/>
  <c r="C236" i="6"/>
  <c r="C194" i="6"/>
  <c r="C250" i="6"/>
  <c r="C70" i="6"/>
  <c r="C17" i="6"/>
  <c r="C199" i="6"/>
  <c r="G199" i="6" s="1"/>
  <c r="G200" i="6" s="1"/>
  <c r="C188" i="6"/>
  <c r="C187" i="6"/>
  <c r="C186" i="6"/>
  <c r="C181" i="6"/>
  <c r="C176" i="6"/>
  <c r="C175" i="6"/>
  <c r="C174" i="6"/>
  <c r="G174" i="6" s="1"/>
  <c r="C173" i="6"/>
  <c r="C172" i="6"/>
  <c r="C171" i="6"/>
  <c r="C166" i="6"/>
  <c r="G166" i="6" s="1"/>
  <c r="C165" i="6"/>
  <c r="C159" i="6"/>
  <c r="C153" i="6"/>
  <c r="C147" i="6"/>
  <c r="C141" i="6"/>
  <c r="C135" i="6"/>
  <c r="C129" i="6"/>
  <c r="C123" i="6"/>
  <c r="C117" i="6"/>
  <c r="C116" i="6"/>
  <c r="C115" i="6"/>
  <c r="C109" i="6"/>
  <c r="C108" i="6"/>
  <c r="C107" i="6"/>
  <c r="C101" i="6"/>
  <c r="C95" i="6"/>
  <c r="C81" i="6"/>
  <c r="C80" i="6"/>
  <c r="C79" i="6"/>
  <c r="C78" i="6"/>
  <c r="C77" i="6"/>
  <c r="C76" i="6"/>
  <c r="C75" i="6"/>
  <c r="C74" i="6"/>
  <c r="C73" i="6"/>
  <c r="C72" i="6"/>
  <c r="C71" i="6"/>
  <c r="C46" i="6"/>
  <c r="C45" i="6"/>
  <c r="C265" i="6"/>
  <c r="C264" i="6"/>
  <c r="G256" i="6"/>
  <c r="G254" i="6"/>
  <c r="G250" i="6"/>
  <c r="J251" i="6" s="1"/>
  <c r="I237" i="6"/>
  <c r="E236" i="6"/>
  <c r="D236" i="6"/>
  <c r="D241" i="6" s="1"/>
  <c r="I233" i="6"/>
  <c r="F232" i="6"/>
  <c r="E232" i="6"/>
  <c r="F227" i="6"/>
  <c r="E227" i="6"/>
  <c r="I223" i="6"/>
  <c r="F222" i="6"/>
  <c r="E222" i="6"/>
  <c r="E221" i="6"/>
  <c r="D221" i="6"/>
  <c r="I218" i="6"/>
  <c r="E217" i="6"/>
  <c r="D216" i="6"/>
  <c r="G216" i="6" s="1"/>
  <c r="D215" i="6"/>
  <c r="B215" i="6"/>
  <c r="D214" i="6"/>
  <c r="I210" i="6"/>
  <c r="D209" i="6"/>
  <c r="D217" i="6" s="1"/>
  <c r="D208" i="6"/>
  <c r="G208" i="6" s="1"/>
  <c r="D207" i="6"/>
  <c r="D206" i="6"/>
  <c r="G206" i="6" s="1"/>
  <c r="D205" i="6"/>
  <c r="G205" i="6" s="1"/>
  <c r="D204" i="6"/>
  <c r="G204" i="6" s="1"/>
  <c r="I200" i="6"/>
  <c r="I195" i="6"/>
  <c r="B194" i="6"/>
  <c r="I190" i="6"/>
  <c r="E189" i="6"/>
  <c r="D189" i="6"/>
  <c r="F188" i="6"/>
  <c r="E188" i="6"/>
  <c r="D188" i="6"/>
  <c r="F187" i="6"/>
  <c r="E187" i="6"/>
  <c r="D187" i="6"/>
  <c r="F186" i="6"/>
  <c r="E186" i="6"/>
  <c r="D186" i="6"/>
  <c r="I182" i="6"/>
  <c r="E181" i="6"/>
  <c r="D181" i="6"/>
  <c r="I177" i="6"/>
  <c r="F176" i="6"/>
  <c r="E176" i="6"/>
  <c r="D176" i="6"/>
  <c r="F175" i="6"/>
  <c r="E175" i="6"/>
  <c r="D175" i="6"/>
  <c r="F174" i="6"/>
  <c r="E174" i="6"/>
  <c r="D174" i="6"/>
  <c r="F173" i="6"/>
  <c r="E173" i="6"/>
  <c r="D173" i="6"/>
  <c r="F172" i="6"/>
  <c r="E172" i="6"/>
  <c r="D172" i="6"/>
  <c r="F171" i="6"/>
  <c r="E171" i="6"/>
  <c r="D171" i="6"/>
  <c r="I167" i="6"/>
  <c r="D165" i="6"/>
  <c r="I161" i="6"/>
  <c r="E160" i="6"/>
  <c r="C160" i="6"/>
  <c r="D159" i="6"/>
  <c r="G159" i="6" s="1"/>
  <c r="I155" i="6"/>
  <c r="D154" i="6"/>
  <c r="C154" i="6"/>
  <c r="I149" i="6"/>
  <c r="D148" i="6"/>
  <c r="C148" i="6"/>
  <c r="I143" i="6"/>
  <c r="D142" i="6"/>
  <c r="C142" i="6"/>
  <c r="D136" i="6"/>
  <c r="C136" i="6"/>
  <c r="I131" i="6"/>
  <c r="D130" i="6"/>
  <c r="C130" i="6"/>
  <c r="G130" i="6" s="1"/>
  <c r="D124" i="6"/>
  <c r="C124" i="6"/>
  <c r="I119" i="6"/>
  <c r="D118" i="6"/>
  <c r="G118" i="6" s="1"/>
  <c r="C118" i="6"/>
  <c r="D117" i="6"/>
  <c r="D116" i="6"/>
  <c r="G116" i="6" s="1"/>
  <c r="I111" i="6"/>
  <c r="D110" i="6"/>
  <c r="C110" i="6"/>
  <c r="D109" i="6"/>
  <c r="D108" i="6"/>
  <c r="I103" i="6"/>
  <c r="D102" i="6"/>
  <c r="G102" i="6" s="1"/>
  <c r="I97" i="6"/>
  <c r="D96" i="6"/>
  <c r="G96" i="6" s="1"/>
  <c r="I91" i="6"/>
  <c r="F90" i="6"/>
  <c r="D90" i="6"/>
  <c r="C90" i="6"/>
  <c r="D89" i="6"/>
  <c r="C89" i="6"/>
  <c r="F88" i="6"/>
  <c r="D88" i="6"/>
  <c r="C88" i="6"/>
  <c r="F87" i="6"/>
  <c r="D87" i="6"/>
  <c r="C87" i="6"/>
  <c r="F86" i="6"/>
  <c r="E86" i="6"/>
  <c r="C86" i="6"/>
  <c r="G85" i="6"/>
  <c r="C85" i="6"/>
  <c r="C84" i="6"/>
  <c r="C83" i="6"/>
  <c r="D82" i="6"/>
  <c r="G82" i="6" s="1"/>
  <c r="C82" i="6"/>
  <c r="F81" i="6"/>
  <c r="D81" i="6"/>
  <c r="F80" i="6"/>
  <c r="F79" i="6"/>
  <c r="D79" i="6"/>
  <c r="D80" i="6" s="1"/>
  <c r="E78" i="6"/>
  <c r="D78" i="6"/>
  <c r="G78" i="6" s="1"/>
  <c r="F77" i="6"/>
  <c r="D77" i="6"/>
  <c r="F76" i="6"/>
  <c r="D76" i="6"/>
  <c r="F75" i="6"/>
  <c r="F74" i="6"/>
  <c r="F73" i="6"/>
  <c r="E73" i="6"/>
  <c r="E83" i="6" s="1"/>
  <c r="F72" i="6"/>
  <c r="D72" i="6"/>
  <c r="F71" i="6"/>
  <c r="D71" i="6"/>
  <c r="F70" i="6"/>
  <c r="F89" i="6" s="1"/>
  <c r="E70" i="6"/>
  <c r="F65" i="6"/>
  <c r="E65" i="6"/>
  <c r="D65" i="6"/>
  <c r="F64" i="6"/>
  <c r="E64" i="6"/>
  <c r="D64" i="6"/>
  <c r="D58" i="6"/>
  <c r="G58" i="6" s="1"/>
  <c r="E57" i="6"/>
  <c r="D57" i="6"/>
  <c r="N56" i="6"/>
  <c r="E52" i="6"/>
  <c r="E194" i="6" s="1"/>
  <c r="D52" i="6"/>
  <c r="D194" i="6" s="1"/>
  <c r="C52" i="6"/>
  <c r="F51" i="6"/>
  <c r="G51" i="6" s="1"/>
  <c r="F46" i="6"/>
  <c r="G46" i="6" s="1"/>
  <c r="E46" i="6"/>
  <c r="D46" i="6"/>
  <c r="E45" i="6"/>
  <c r="D45" i="6"/>
  <c r="F45" i="6"/>
  <c r="G45" i="6" s="1"/>
  <c r="E44" i="6"/>
  <c r="D44" i="6"/>
  <c r="C44" i="6"/>
  <c r="E43" i="6"/>
  <c r="D43" i="6"/>
  <c r="C43" i="6"/>
  <c r="E42" i="6"/>
  <c r="D42" i="6"/>
  <c r="F42" i="6" s="1"/>
  <c r="G42" i="6" s="1"/>
  <c r="C42" i="6"/>
  <c r="E32" i="6"/>
  <c r="E37" i="6" s="1"/>
  <c r="C32" i="6"/>
  <c r="C37" i="6" s="1"/>
  <c r="I29" i="6"/>
  <c r="D28" i="6"/>
  <c r="D32" i="6" s="1"/>
  <c r="D37" i="6" s="1"/>
  <c r="I25" i="6"/>
  <c r="E24" i="6"/>
  <c r="D24" i="6"/>
  <c r="G24" i="6" s="1"/>
  <c r="F23" i="6"/>
  <c r="D23" i="6"/>
  <c r="C23" i="6"/>
  <c r="I20" i="6"/>
  <c r="F19" i="6"/>
  <c r="E19" i="6"/>
  <c r="D19" i="6"/>
  <c r="F18" i="6"/>
  <c r="E18" i="6"/>
  <c r="D18" i="6"/>
  <c r="E17" i="6"/>
  <c r="G17" i="6" s="1"/>
  <c r="D17" i="6"/>
  <c r="I14" i="6"/>
  <c r="F13" i="6"/>
  <c r="E13" i="6"/>
  <c r="F12" i="6"/>
  <c r="D12" i="6"/>
  <c r="D11" i="6"/>
  <c r="G11" i="6" s="1"/>
  <c r="G10" i="6"/>
  <c r="F10" i="6"/>
  <c r="E10" i="6"/>
  <c r="C168" i="5"/>
  <c r="C159" i="3"/>
  <c r="C80" i="5"/>
  <c r="C79" i="5"/>
  <c r="C78" i="5"/>
  <c r="C274" i="5"/>
  <c r="C273" i="5"/>
  <c r="G265" i="5"/>
  <c r="J265" i="5" s="1"/>
  <c r="G263" i="5"/>
  <c r="J263" i="5" s="1"/>
  <c r="C259" i="5"/>
  <c r="G259" i="5" s="1"/>
  <c r="C255" i="5"/>
  <c r="G255" i="5" s="1"/>
  <c r="G256" i="5" s="1"/>
  <c r="J256" i="5" s="1"/>
  <c r="J257" i="5" s="1"/>
  <c r="C250" i="5"/>
  <c r="I246" i="5"/>
  <c r="E245" i="5"/>
  <c r="D245" i="5"/>
  <c r="D250" i="5" s="1"/>
  <c r="C245" i="5"/>
  <c r="I242" i="5"/>
  <c r="F241" i="5"/>
  <c r="E241" i="5"/>
  <c r="G241" i="5" s="1"/>
  <c r="G242" i="5" s="1"/>
  <c r="J242" i="5" s="1"/>
  <c r="F236" i="5"/>
  <c r="E236" i="5"/>
  <c r="I232" i="5"/>
  <c r="F231" i="5"/>
  <c r="E231" i="5"/>
  <c r="C231" i="5"/>
  <c r="E230" i="5"/>
  <c r="D230" i="5"/>
  <c r="G230" i="5" s="1"/>
  <c r="I227" i="5"/>
  <c r="E226" i="5"/>
  <c r="C226" i="5"/>
  <c r="D225" i="5"/>
  <c r="G225" i="5" s="1"/>
  <c r="D224" i="5"/>
  <c r="B224" i="5"/>
  <c r="D223" i="5"/>
  <c r="G223" i="5" s="1"/>
  <c r="I219" i="5"/>
  <c r="D218" i="5"/>
  <c r="D226" i="5" s="1"/>
  <c r="C218" i="5"/>
  <c r="D217" i="5"/>
  <c r="G217" i="5" s="1"/>
  <c r="D216" i="5"/>
  <c r="G216" i="5" s="1"/>
  <c r="D215" i="5"/>
  <c r="G215" i="5" s="1"/>
  <c r="D214" i="5"/>
  <c r="G214" i="5" s="1"/>
  <c r="D213" i="5"/>
  <c r="G213" i="5" s="1"/>
  <c r="I209" i="5"/>
  <c r="G208" i="5"/>
  <c r="G209" i="5" s="1"/>
  <c r="I204" i="5"/>
  <c r="B203" i="5"/>
  <c r="I199" i="5"/>
  <c r="E198" i="5"/>
  <c r="D198" i="5"/>
  <c r="F197" i="5"/>
  <c r="E197" i="5"/>
  <c r="D197" i="5"/>
  <c r="C197" i="5"/>
  <c r="F196" i="5"/>
  <c r="E196" i="5"/>
  <c r="D196" i="5"/>
  <c r="C196" i="5"/>
  <c r="F195" i="5"/>
  <c r="E195" i="5"/>
  <c r="D195" i="5"/>
  <c r="C195" i="5"/>
  <c r="I191" i="5"/>
  <c r="E190" i="5"/>
  <c r="D190" i="5"/>
  <c r="C190" i="5"/>
  <c r="I186" i="5"/>
  <c r="F185" i="5"/>
  <c r="E185" i="5"/>
  <c r="D185" i="5"/>
  <c r="C185" i="5"/>
  <c r="F184" i="5"/>
  <c r="E184" i="5"/>
  <c r="D184" i="5"/>
  <c r="C184" i="5"/>
  <c r="F183" i="5"/>
  <c r="E183" i="5"/>
  <c r="D183" i="5"/>
  <c r="C183" i="5"/>
  <c r="F182" i="5"/>
  <c r="E182" i="5"/>
  <c r="D182" i="5"/>
  <c r="C182" i="5"/>
  <c r="F181" i="5"/>
  <c r="E181" i="5"/>
  <c r="D181" i="5"/>
  <c r="C181" i="5"/>
  <c r="F180" i="5"/>
  <c r="E180" i="5"/>
  <c r="D180" i="5"/>
  <c r="C180" i="5"/>
  <c r="I176" i="5"/>
  <c r="G175" i="5"/>
  <c r="D174" i="5"/>
  <c r="G174" i="5" s="1"/>
  <c r="G176" i="5" s="1"/>
  <c r="J177" i="5" s="1"/>
  <c r="I170" i="5"/>
  <c r="G169" i="5"/>
  <c r="D168" i="5"/>
  <c r="G168" i="5"/>
  <c r="I164" i="5"/>
  <c r="D163" i="5"/>
  <c r="C163" i="5"/>
  <c r="C161" i="5"/>
  <c r="I157" i="5"/>
  <c r="D156" i="5"/>
  <c r="C156" i="5"/>
  <c r="G156" i="5" s="1"/>
  <c r="C154" i="5"/>
  <c r="I150" i="5"/>
  <c r="D149" i="5"/>
  <c r="C149" i="5"/>
  <c r="C147" i="5"/>
  <c r="D142" i="5"/>
  <c r="C142" i="5"/>
  <c r="C140" i="5"/>
  <c r="I136" i="5"/>
  <c r="D135" i="5"/>
  <c r="C135" i="5"/>
  <c r="C133" i="5"/>
  <c r="D128" i="5"/>
  <c r="C128" i="5"/>
  <c r="G128" i="5" s="1"/>
  <c r="C126" i="5"/>
  <c r="I122" i="5"/>
  <c r="D121" i="5"/>
  <c r="C121" i="5"/>
  <c r="D119" i="5"/>
  <c r="G119" i="5" s="1"/>
  <c r="D118" i="5"/>
  <c r="I113" i="5"/>
  <c r="D112" i="5"/>
  <c r="C112" i="5"/>
  <c r="D110" i="5"/>
  <c r="G110" i="5" s="1"/>
  <c r="D109" i="5"/>
  <c r="G109" i="5" s="1"/>
  <c r="C108" i="5"/>
  <c r="I104" i="5"/>
  <c r="D103" i="5"/>
  <c r="G103" i="5" s="1"/>
  <c r="I97" i="5"/>
  <c r="D96" i="5"/>
  <c r="G96" i="5" s="1"/>
  <c r="I90" i="5"/>
  <c r="F89" i="5"/>
  <c r="D89" i="5"/>
  <c r="C89" i="5"/>
  <c r="D88" i="5"/>
  <c r="F87" i="5"/>
  <c r="D87" i="5"/>
  <c r="C87" i="5"/>
  <c r="F86" i="5"/>
  <c r="D86" i="5"/>
  <c r="C86" i="5"/>
  <c r="F85" i="5"/>
  <c r="E85" i="5"/>
  <c r="C85" i="5"/>
  <c r="C84" i="5"/>
  <c r="G84" i="5" s="1"/>
  <c r="C83" i="5"/>
  <c r="C82" i="5"/>
  <c r="D81" i="5"/>
  <c r="C81" i="5"/>
  <c r="F80" i="5"/>
  <c r="D80" i="5"/>
  <c r="F79" i="5"/>
  <c r="F78" i="5"/>
  <c r="D78" i="5"/>
  <c r="D79" i="5" s="1"/>
  <c r="G79" i="5" s="1"/>
  <c r="E77" i="5"/>
  <c r="D77" i="5"/>
  <c r="C77" i="5"/>
  <c r="F76" i="5"/>
  <c r="D76" i="5"/>
  <c r="F75" i="5"/>
  <c r="D75" i="5"/>
  <c r="F74" i="5"/>
  <c r="F73" i="5"/>
  <c r="F72" i="5"/>
  <c r="E72" i="5"/>
  <c r="F71" i="5"/>
  <c r="D71" i="5"/>
  <c r="F70" i="5"/>
  <c r="D70" i="5"/>
  <c r="G70" i="5" s="1"/>
  <c r="F69" i="5"/>
  <c r="E69" i="5"/>
  <c r="F64" i="5"/>
  <c r="E64" i="5"/>
  <c r="D64" i="5"/>
  <c r="F63" i="5"/>
  <c r="E63" i="5"/>
  <c r="D63" i="5"/>
  <c r="D58" i="5"/>
  <c r="G58" i="5" s="1"/>
  <c r="E57" i="5"/>
  <c r="D57" i="5"/>
  <c r="N56" i="5"/>
  <c r="E52" i="5"/>
  <c r="E203" i="5" s="1"/>
  <c r="D52" i="5"/>
  <c r="D203" i="5" s="1"/>
  <c r="C52" i="5"/>
  <c r="F51" i="5"/>
  <c r="G51" i="5" s="1"/>
  <c r="E46" i="5"/>
  <c r="D46" i="5"/>
  <c r="C46" i="5"/>
  <c r="E45" i="5"/>
  <c r="D45" i="5"/>
  <c r="C45" i="5"/>
  <c r="E44" i="5"/>
  <c r="D44" i="5"/>
  <c r="C44" i="5"/>
  <c r="F44" i="5" s="1"/>
  <c r="G44" i="5" s="1"/>
  <c r="E43" i="5"/>
  <c r="D43" i="5"/>
  <c r="C43" i="5"/>
  <c r="E42" i="5"/>
  <c r="D42" i="5"/>
  <c r="C42" i="5"/>
  <c r="E32" i="5"/>
  <c r="E37" i="5" s="1"/>
  <c r="C32" i="5"/>
  <c r="I29" i="5"/>
  <c r="D28" i="5"/>
  <c r="G28" i="5" s="1"/>
  <c r="G29" i="5" s="1"/>
  <c r="I25" i="5"/>
  <c r="E24" i="5"/>
  <c r="D24" i="5"/>
  <c r="F23" i="5"/>
  <c r="D23" i="5"/>
  <c r="C23" i="5"/>
  <c r="I20" i="5"/>
  <c r="F19" i="5"/>
  <c r="E19" i="5"/>
  <c r="D19" i="5"/>
  <c r="F18" i="5"/>
  <c r="E18" i="5"/>
  <c r="D18" i="5"/>
  <c r="E17" i="5"/>
  <c r="D17" i="5"/>
  <c r="C17" i="5"/>
  <c r="I14" i="5"/>
  <c r="F13" i="5"/>
  <c r="E13" i="5"/>
  <c r="F12" i="5"/>
  <c r="D12" i="5"/>
  <c r="D11" i="5"/>
  <c r="G11" i="5" s="1"/>
  <c r="F10" i="5"/>
  <c r="E10" i="5"/>
  <c r="G117" i="6" l="1"/>
  <c r="G221" i="6"/>
  <c r="G223" i="6" s="1"/>
  <c r="J224" i="6" s="1"/>
  <c r="G65" i="6"/>
  <c r="G165" i="6"/>
  <c r="G167" i="6" s="1"/>
  <c r="G77" i="6"/>
  <c r="G108" i="6"/>
  <c r="G173" i="6"/>
  <c r="J200" i="6"/>
  <c r="J201" i="6" s="1"/>
  <c r="G73" i="6"/>
  <c r="G109" i="6"/>
  <c r="F215" i="6"/>
  <c r="G70" i="6"/>
  <c r="G112" i="5"/>
  <c r="G142" i="5"/>
  <c r="G57" i="6"/>
  <c r="D95" i="6"/>
  <c r="D101" i="6" s="1"/>
  <c r="D107" i="6" s="1"/>
  <c r="G107" i="6" s="1"/>
  <c r="G111" i="6" s="1"/>
  <c r="G110" i="6"/>
  <c r="G124" i="6"/>
  <c r="G227" i="6"/>
  <c r="G228" i="6" s="1"/>
  <c r="G163" i="5"/>
  <c r="J209" i="5"/>
  <c r="J210" i="5" s="1"/>
  <c r="G19" i="6"/>
  <c r="G13" i="6"/>
  <c r="G81" i="6"/>
  <c r="G87" i="6"/>
  <c r="G209" i="6"/>
  <c r="E59" i="6"/>
  <c r="G59" i="6" s="1"/>
  <c r="G19" i="5"/>
  <c r="G186" i="6"/>
  <c r="F45" i="5"/>
  <c r="G45" i="5" s="1"/>
  <c r="G18" i="6"/>
  <c r="G20" i="6" s="1"/>
  <c r="J20" i="6" s="1"/>
  <c r="G80" i="6"/>
  <c r="G187" i="6"/>
  <c r="G77" i="5"/>
  <c r="G207" i="6"/>
  <c r="G210" i="6" s="1"/>
  <c r="J211" i="6" s="1"/>
  <c r="G121" i="5"/>
  <c r="G12" i="6"/>
  <c r="G71" i="6"/>
  <c r="G76" i="6"/>
  <c r="G142" i="6"/>
  <c r="G189" i="6"/>
  <c r="F13" i="8"/>
  <c r="J13" i="8" s="1"/>
  <c r="J228" i="6"/>
  <c r="G215" i="6"/>
  <c r="D94" i="5"/>
  <c r="G94" i="5" s="1"/>
  <c r="D95" i="5"/>
  <c r="J256" i="6"/>
  <c r="G28" i="6"/>
  <c r="G29" i="6" s="1"/>
  <c r="G118" i="5"/>
  <c r="D162" i="5"/>
  <c r="G162" i="5" s="1"/>
  <c r="F224" i="5"/>
  <c r="G224" i="5" s="1"/>
  <c r="G227" i="5" s="1"/>
  <c r="J227" i="5" s="1"/>
  <c r="D84" i="6"/>
  <c r="G90" i="6"/>
  <c r="G148" i="6"/>
  <c r="G160" i="6"/>
  <c r="G161" i="6" s="1"/>
  <c r="J162" i="6" s="1"/>
  <c r="G86" i="5"/>
  <c r="G241" i="6"/>
  <c r="G242" i="6" s="1"/>
  <c r="J242" i="6" s="1"/>
  <c r="F42" i="5"/>
  <c r="G42" i="5" s="1"/>
  <c r="G80" i="5"/>
  <c r="G149" i="5"/>
  <c r="G245" i="5"/>
  <c r="G246" i="5" s="1"/>
  <c r="J246" i="5" s="1"/>
  <c r="F43" i="6"/>
  <c r="G43" i="6" s="1"/>
  <c r="G88" i="6"/>
  <c r="F88" i="5"/>
  <c r="G88" i="5" s="1"/>
  <c r="G136" i="6"/>
  <c r="G154" i="6"/>
  <c r="G181" i="6"/>
  <c r="G182" i="6" s="1"/>
  <c r="G214" i="6"/>
  <c r="G198" i="5"/>
  <c r="G222" i="6"/>
  <c r="G79" i="6"/>
  <c r="J29" i="5"/>
  <c r="G57" i="5"/>
  <c r="G226" i="5"/>
  <c r="C271" i="5"/>
  <c r="G86" i="6"/>
  <c r="G232" i="6"/>
  <c r="G233" i="6" s="1"/>
  <c r="J254" i="6"/>
  <c r="J115" i="7"/>
  <c r="J114" i="7"/>
  <c r="D156" i="7"/>
  <c r="D126" i="7"/>
  <c r="G126" i="7" s="1"/>
  <c r="G128" i="7" s="1"/>
  <c r="G118" i="7"/>
  <c r="G122" i="7" s="1"/>
  <c r="G17" i="5"/>
  <c r="G23" i="5"/>
  <c r="G10" i="5"/>
  <c r="G12" i="5"/>
  <c r="G64" i="5"/>
  <c r="G69" i="5"/>
  <c r="G71" i="5"/>
  <c r="G76" i="5"/>
  <c r="G85" i="5"/>
  <c r="G89" i="5"/>
  <c r="G135" i="5"/>
  <c r="G181" i="5"/>
  <c r="G182" i="5"/>
  <c r="G218" i="5"/>
  <c r="G219" i="5" s="1"/>
  <c r="D32" i="5"/>
  <c r="D37" i="5" s="1"/>
  <c r="G13" i="5"/>
  <c r="G18" i="5"/>
  <c r="G24" i="5"/>
  <c r="G63" i="5"/>
  <c r="G65" i="5" s="1"/>
  <c r="J65" i="5" s="1"/>
  <c r="G190" i="5"/>
  <c r="G191" i="5" s="1"/>
  <c r="F46" i="5"/>
  <c r="G46" i="5" s="1"/>
  <c r="G75" i="5"/>
  <c r="G81" i="5"/>
  <c r="G87" i="5"/>
  <c r="G195" i="5"/>
  <c r="G231" i="5"/>
  <c r="G232" i="5" s="1"/>
  <c r="J233" i="5" s="1"/>
  <c r="G236" i="5"/>
  <c r="G237" i="5" s="1"/>
  <c r="G84" i="6"/>
  <c r="C262" i="6"/>
  <c r="G251" i="6"/>
  <c r="J252" i="6" s="1"/>
  <c r="G37" i="6"/>
  <c r="G38" i="6" s="1"/>
  <c r="G89" i="6"/>
  <c r="G101" i="6"/>
  <c r="G103" i="6" s="1"/>
  <c r="G217" i="6"/>
  <c r="D115" i="6"/>
  <c r="J39" i="6"/>
  <c r="J243" i="6"/>
  <c r="G14" i="6"/>
  <c r="J14" i="6" s="1"/>
  <c r="G194" i="6"/>
  <c r="G195" i="6" s="1"/>
  <c r="G188" i="6"/>
  <c r="G64" i="6"/>
  <c r="G66" i="6" s="1"/>
  <c r="F34" i="8" s="1"/>
  <c r="M34" i="8" s="1"/>
  <c r="G171" i="6"/>
  <c r="G172" i="6"/>
  <c r="J229" i="6"/>
  <c r="G23" i="6"/>
  <c r="F44" i="6"/>
  <c r="G44" i="6" s="1"/>
  <c r="G72" i="6"/>
  <c r="G83" i="6"/>
  <c r="G175" i="6"/>
  <c r="G176" i="6"/>
  <c r="G236" i="6"/>
  <c r="G237" i="6" s="1"/>
  <c r="G32" i="6"/>
  <c r="G33" i="6" s="1"/>
  <c r="F20" i="8" s="1"/>
  <c r="G52" i="6"/>
  <c r="G53" i="6" s="1"/>
  <c r="F29" i="8" s="1"/>
  <c r="D74" i="6"/>
  <c r="G59" i="5"/>
  <c r="J60" i="5" s="1"/>
  <c r="G170" i="5"/>
  <c r="J170" i="5" s="1"/>
  <c r="J176" i="5"/>
  <c r="C37" i="5"/>
  <c r="J192" i="5"/>
  <c r="J191" i="5"/>
  <c r="G260" i="5"/>
  <c r="J261" i="5" s="1"/>
  <c r="J260" i="5"/>
  <c r="E82" i="5"/>
  <c r="G82" i="5" s="1"/>
  <c r="G72" i="5"/>
  <c r="J247" i="5"/>
  <c r="C203" i="5"/>
  <c r="G203" i="5" s="1"/>
  <c r="G204" i="5" s="1"/>
  <c r="G52" i="5"/>
  <c r="G53" i="5" s="1"/>
  <c r="G180" i="5"/>
  <c r="F43" i="5"/>
  <c r="G43" i="5" s="1"/>
  <c r="D83" i="5"/>
  <c r="G83" i="5" s="1"/>
  <c r="G78" i="5"/>
  <c r="G183" i="5"/>
  <c r="G184" i="5"/>
  <c r="G185" i="5"/>
  <c r="G196" i="5"/>
  <c r="G197" i="5"/>
  <c r="G250" i="5"/>
  <c r="G251" i="5" s="1"/>
  <c r="D73" i="5"/>
  <c r="J167" i="6" l="1"/>
  <c r="J168" i="6"/>
  <c r="G25" i="5"/>
  <c r="J25" i="5" s="1"/>
  <c r="G95" i="6"/>
  <c r="G97" i="6" s="1"/>
  <c r="G14" i="5"/>
  <c r="J14" i="5" s="1"/>
  <c r="G60" i="6"/>
  <c r="F32" i="8"/>
  <c r="J61" i="6"/>
  <c r="J60" i="6"/>
  <c r="G190" i="6"/>
  <c r="J190" i="6" s="1"/>
  <c r="J182" i="6"/>
  <c r="G218" i="6"/>
  <c r="J66" i="5"/>
  <c r="J183" i="6"/>
  <c r="D101" i="5"/>
  <c r="D108" i="5" s="1"/>
  <c r="D117" i="5" s="1"/>
  <c r="J232" i="5"/>
  <c r="G117" i="5"/>
  <c r="G20" i="5"/>
  <c r="J20" i="5" s="1"/>
  <c r="G47" i="6"/>
  <c r="F26" i="8" s="1"/>
  <c r="J210" i="6"/>
  <c r="J29" i="6"/>
  <c r="F17" i="8"/>
  <c r="G108" i="5"/>
  <c r="M29" i="8"/>
  <c r="J29" i="8"/>
  <c r="M24" i="8"/>
  <c r="J24" i="8"/>
  <c r="G32" i="5"/>
  <c r="G33" i="5" s="1"/>
  <c r="M20" i="8"/>
  <c r="J20" i="8"/>
  <c r="J161" i="6"/>
  <c r="J38" i="6"/>
  <c r="F23" i="8"/>
  <c r="J233" i="6"/>
  <c r="D102" i="5"/>
  <c r="G95" i="5"/>
  <c r="G97" i="5" s="1"/>
  <c r="M13" i="8"/>
  <c r="J218" i="6"/>
  <c r="J34" i="8"/>
  <c r="G101" i="5"/>
  <c r="G37" i="5"/>
  <c r="G38" i="5" s="1"/>
  <c r="J39" i="5" s="1"/>
  <c r="J128" i="7"/>
  <c r="J129" i="7"/>
  <c r="G156" i="7"/>
  <c r="G158" i="7" s="1"/>
  <c r="D132" i="7"/>
  <c r="J123" i="7"/>
  <c r="J122" i="7"/>
  <c r="J171" i="5"/>
  <c r="G47" i="5"/>
  <c r="J48" i="5" s="1"/>
  <c r="J238" i="5"/>
  <c r="J237" i="5"/>
  <c r="J223" i="6"/>
  <c r="G25" i="6"/>
  <c r="J104" i="6"/>
  <c r="J103" i="6"/>
  <c r="J191" i="6"/>
  <c r="J54" i="6"/>
  <c r="J53" i="6"/>
  <c r="D75" i="6"/>
  <c r="G75" i="6" s="1"/>
  <c r="G74" i="6"/>
  <c r="J238" i="6"/>
  <c r="J237" i="6"/>
  <c r="J67" i="6"/>
  <c r="J66" i="6"/>
  <c r="G177" i="6"/>
  <c r="J111" i="6"/>
  <c r="J112" i="6"/>
  <c r="J34" i="6"/>
  <c r="J33" i="6"/>
  <c r="J98" i="6"/>
  <c r="J97" i="6"/>
  <c r="J196" i="6"/>
  <c r="J195" i="6"/>
  <c r="G115" i="6"/>
  <c r="G119" i="6" s="1"/>
  <c r="D153" i="6"/>
  <c r="D123" i="6"/>
  <c r="G123" i="6" s="1"/>
  <c r="G125" i="6" s="1"/>
  <c r="J59" i="5"/>
  <c r="G199" i="5"/>
  <c r="J200" i="5" s="1"/>
  <c r="J54" i="5"/>
  <c r="J53" i="5"/>
  <c r="J204" i="5"/>
  <c r="J205" i="5"/>
  <c r="D74" i="5"/>
  <c r="G74" i="5" s="1"/>
  <c r="G73" i="5"/>
  <c r="J219" i="5"/>
  <c r="J220" i="5"/>
  <c r="J252" i="5"/>
  <c r="J251" i="5"/>
  <c r="G186" i="5"/>
  <c r="J34" i="5"/>
  <c r="J33" i="5"/>
  <c r="J47" i="6" l="1"/>
  <c r="D126" i="5"/>
  <c r="G126" i="5" s="1"/>
  <c r="D161" i="5"/>
  <c r="M32" i="8"/>
  <c r="J32" i="8"/>
  <c r="J97" i="5"/>
  <c r="J98" i="5"/>
  <c r="M23" i="8"/>
  <c r="J23" i="8"/>
  <c r="J38" i="5"/>
  <c r="J25" i="6"/>
  <c r="F15" i="8"/>
  <c r="M30" i="8"/>
  <c r="J30" i="8"/>
  <c r="M26" i="8"/>
  <c r="J26" i="8"/>
  <c r="D111" i="5"/>
  <c r="G102" i="5"/>
  <c r="G104" i="5" s="1"/>
  <c r="M21" i="8"/>
  <c r="J21" i="8"/>
  <c r="N20" i="8" s="1"/>
  <c r="J17" i="8"/>
  <c r="J48" i="6"/>
  <c r="G132" i="7"/>
  <c r="G134" i="7" s="1"/>
  <c r="D138" i="7"/>
  <c r="J159" i="7"/>
  <c r="J158" i="7"/>
  <c r="J199" i="5"/>
  <c r="J47" i="5"/>
  <c r="G91" i="6"/>
  <c r="J120" i="6"/>
  <c r="J119" i="6"/>
  <c r="J126" i="6"/>
  <c r="J125" i="6"/>
  <c r="J178" i="6"/>
  <c r="J177" i="6"/>
  <c r="G153" i="6"/>
  <c r="G155" i="6" s="1"/>
  <c r="D129" i="6"/>
  <c r="J187" i="5"/>
  <c r="J186" i="5"/>
  <c r="G90" i="5"/>
  <c r="G161" i="5" l="1"/>
  <c r="G164" i="5" s="1"/>
  <c r="D133" i="5"/>
  <c r="J104" i="5"/>
  <c r="J105" i="5"/>
  <c r="M15" i="8"/>
  <c r="J15" i="8"/>
  <c r="J92" i="6"/>
  <c r="M27" i="8"/>
  <c r="J27" i="8"/>
  <c r="N21" i="8" s="1"/>
  <c r="D120" i="5"/>
  <c r="G111" i="5"/>
  <c r="G113" i="5" s="1"/>
  <c r="J135" i="7"/>
  <c r="J134" i="7"/>
  <c r="D144" i="7"/>
  <c r="G138" i="7"/>
  <c r="G140" i="7" s="1"/>
  <c r="J91" i="6"/>
  <c r="D135" i="6"/>
  <c r="G129" i="6"/>
  <c r="G131" i="6" s="1"/>
  <c r="J155" i="6"/>
  <c r="J156" i="6"/>
  <c r="J91" i="5"/>
  <c r="J90" i="5"/>
  <c r="G133" i="5" l="1"/>
  <c r="D140" i="5"/>
  <c r="J165" i="5"/>
  <c r="J164" i="5"/>
  <c r="J114" i="5"/>
  <c r="J113" i="5"/>
  <c r="G120" i="5"/>
  <c r="G122" i="5" s="1"/>
  <c r="D127" i="5"/>
  <c r="J140" i="7"/>
  <c r="J141" i="7"/>
  <c r="G144" i="7"/>
  <c r="G146" i="7" s="1"/>
  <c r="D150" i="7"/>
  <c r="G150" i="7" s="1"/>
  <c r="G152" i="7" s="1"/>
  <c r="J131" i="6"/>
  <c r="J132" i="6"/>
  <c r="D141" i="6"/>
  <c r="G135" i="6"/>
  <c r="G137" i="6" s="1"/>
  <c r="D147" i="5" l="1"/>
  <c r="G140" i="5"/>
  <c r="D134" i="5"/>
  <c r="G127" i="5"/>
  <c r="G129" i="5" s="1"/>
  <c r="J123" i="5"/>
  <c r="J122" i="5"/>
  <c r="J152" i="7"/>
  <c r="J153" i="7"/>
  <c r="J147" i="7"/>
  <c r="J146" i="7"/>
  <c r="J138" i="6"/>
  <c r="J137" i="6"/>
  <c r="D147" i="6"/>
  <c r="G147" i="6" s="1"/>
  <c r="G149" i="6" s="1"/>
  <c r="G141" i="6"/>
  <c r="G143" i="6" s="1"/>
  <c r="D154" i="5" l="1"/>
  <c r="G154" i="5" s="1"/>
  <c r="G147" i="5"/>
  <c r="J130" i="5"/>
  <c r="J129" i="5"/>
  <c r="D141" i="5"/>
  <c r="G134" i="5"/>
  <c r="G136" i="5" s="1"/>
  <c r="I36" i="8"/>
  <c r="J293" i="7"/>
  <c r="J150" i="6"/>
  <c r="J149" i="6"/>
  <c r="J143" i="6"/>
  <c r="J258" i="6" s="1"/>
  <c r="J144" i="6"/>
  <c r="J137" i="5" l="1"/>
  <c r="J136" i="5"/>
  <c r="G141" i="5"/>
  <c r="G143" i="5" s="1"/>
  <c r="D148" i="5"/>
  <c r="F36" i="8"/>
  <c r="C6" i="8" s="1"/>
  <c r="J6" i="8"/>
  <c r="C295" i="7"/>
  <c r="J304" i="7"/>
  <c r="C260" i="6"/>
  <c r="E262" i="6" s="1"/>
  <c r="E263" i="6" s="1"/>
  <c r="C297" i="7" l="1"/>
  <c r="C298" i="7" s="1"/>
  <c r="J143" i="5"/>
  <c r="J144" i="5"/>
  <c r="J36" i="8"/>
  <c r="D155" i="5"/>
  <c r="G155" i="5" s="1"/>
  <c r="G157" i="5" s="1"/>
  <c r="G148" i="5"/>
  <c r="G150" i="5" s="1"/>
  <c r="C263" i="6"/>
  <c r="E297" i="7" l="1"/>
  <c r="E298" i="7" s="1"/>
  <c r="J150" i="5"/>
  <c r="J151" i="5"/>
  <c r="J158" i="5"/>
  <c r="J157" i="5"/>
  <c r="C17" i="3"/>
  <c r="C249" i="3"/>
  <c r="C245" i="3"/>
  <c r="C240" i="3"/>
  <c r="C235" i="3"/>
  <c r="C221" i="3"/>
  <c r="C216" i="3"/>
  <c r="C208" i="3"/>
  <c r="C187" i="3"/>
  <c r="C186" i="3"/>
  <c r="C185" i="3"/>
  <c r="E188" i="3"/>
  <c r="D188" i="3"/>
  <c r="G188" i="3" s="1"/>
  <c r="C180" i="3"/>
  <c r="I181" i="3"/>
  <c r="E180" i="3"/>
  <c r="D180" i="3"/>
  <c r="J267" i="5" l="1"/>
  <c r="C269" i="5" s="1"/>
  <c r="C175" i="3"/>
  <c r="C174" i="3"/>
  <c r="C173" i="3"/>
  <c r="C172" i="3"/>
  <c r="C171" i="3"/>
  <c r="C170" i="3"/>
  <c r="C152" i="3"/>
  <c r="C146" i="3"/>
  <c r="C140" i="3"/>
  <c r="C134" i="3"/>
  <c r="C128" i="3"/>
  <c r="C122" i="3"/>
  <c r="C106" i="3"/>
  <c r="C94" i="3"/>
  <c r="C88" i="3"/>
  <c r="C89" i="3"/>
  <c r="F89" i="3"/>
  <c r="D89" i="3"/>
  <c r="C85" i="3"/>
  <c r="C84" i="3"/>
  <c r="C83" i="3"/>
  <c r="C82" i="3"/>
  <c r="C81" i="3"/>
  <c r="C80" i="3"/>
  <c r="C79" i="3"/>
  <c r="C78" i="3"/>
  <c r="G89" i="3" l="1"/>
  <c r="C272" i="5"/>
  <c r="E271" i="5"/>
  <c r="E272" i="5" s="1"/>
  <c r="C264" i="3"/>
  <c r="C263" i="3"/>
  <c r="C261" i="3"/>
  <c r="G255" i="3"/>
  <c r="J255" i="3" s="1"/>
  <c r="G253" i="3"/>
  <c r="J253" i="3" s="1"/>
  <c r="G249" i="3"/>
  <c r="J250" i="3" s="1"/>
  <c r="G245" i="3"/>
  <c r="G246" i="3" s="1"/>
  <c r="J246" i="3" s="1"/>
  <c r="J247" i="3" s="1"/>
  <c r="I236" i="3"/>
  <c r="E235" i="3"/>
  <c r="D235" i="3"/>
  <c r="D240" i="3" s="1"/>
  <c r="G240" i="3" s="1"/>
  <c r="G241" i="3" s="1"/>
  <c r="I232" i="3"/>
  <c r="F231" i="3"/>
  <c r="E231" i="3"/>
  <c r="F226" i="3"/>
  <c r="E226" i="3"/>
  <c r="I222" i="3"/>
  <c r="F221" i="3"/>
  <c r="E221" i="3"/>
  <c r="G221" i="3" s="1"/>
  <c r="E220" i="3"/>
  <c r="D220" i="3"/>
  <c r="I217" i="3"/>
  <c r="E216" i="3"/>
  <c r="D215" i="3"/>
  <c r="G215" i="3" s="1"/>
  <c r="D214" i="3"/>
  <c r="B214" i="3"/>
  <c r="D213" i="3"/>
  <c r="G213" i="3" s="1"/>
  <c r="I209" i="3"/>
  <c r="D208" i="3"/>
  <c r="D216" i="3" s="1"/>
  <c r="D207" i="3"/>
  <c r="G207" i="3" s="1"/>
  <c r="D206" i="3"/>
  <c r="G206" i="3" s="1"/>
  <c r="G205" i="3"/>
  <c r="D205" i="3"/>
  <c r="D204" i="3"/>
  <c r="F214" i="3" s="1"/>
  <c r="D203" i="3"/>
  <c r="G203" i="3" s="1"/>
  <c r="I199" i="3"/>
  <c r="G198" i="3"/>
  <c r="G199" i="3" s="1"/>
  <c r="I194" i="3"/>
  <c r="B193" i="3"/>
  <c r="I189" i="3"/>
  <c r="F187" i="3"/>
  <c r="E187" i="3"/>
  <c r="D187" i="3"/>
  <c r="F186" i="3"/>
  <c r="E186" i="3"/>
  <c r="D186" i="3"/>
  <c r="F185" i="3"/>
  <c r="G185" i="3" s="1"/>
  <c r="E185" i="3"/>
  <c r="D185" i="3"/>
  <c r="I176" i="3"/>
  <c r="F175" i="3"/>
  <c r="E175" i="3"/>
  <c r="D175" i="3"/>
  <c r="F174" i="3"/>
  <c r="E174" i="3"/>
  <c r="D174" i="3"/>
  <c r="F173" i="3"/>
  <c r="E173" i="3"/>
  <c r="D173" i="3"/>
  <c r="F172" i="3"/>
  <c r="E172" i="3"/>
  <c r="D172" i="3"/>
  <c r="F171" i="3"/>
  <c r="E171" i="3"/>
  <c r="D171" i="3"/>
  <c r="F170" i="3"/>
  <c r="E170" i="3"/>
  <c r="D170" i="3"/>
  <c r="G170" i="3" s="1"/>
  <c r="I166" i="3"/>
  <c r="G165" i="3"/>
  <c r="G164" i="3"/>
  <c r="D164" i="3"/>
  <c r="I160" i="3"/>
  <c r="E159" i="3"/>
  <c r="G159" i="3" s="1"/>
  <c r="D158" i="3"/>
  <c r="G158" i="3"/>
  <c r="I154" i="3"/>
  <c r="D153" i="3"/>
  <c r="C153" i="3"/>
  <c r="I148" i="3"/>
  <c r="D147" i="3"/>
  <c r="C147" i="3"/>
  <c r="I142" i="3"/>
  <c r="D141" i="3"/>
  <c r="G141" i="3" s="1"/>
  <c r="C141" i="3"/>
  <c r="D135" i="3"/>
  <c r="C135" i="3"/>
  <c r="I130" i="3"/>
  <c r="D129" i="3"/>
  <c r="C129" i="3"/>
  <c r="D123" i="3"/>
  <c r="C123" i="3"/>
  <c r="I118" i="3"/>
  <c r="D117" i="3"/>
  <c r="C117" i="3"/>
  <c r="D116" i="3"/>
  <c r="G116" i="3" s="1"/>
  <c r="D115" i="3"/>
  <c r="G115" i="3" s="1"/>
  <c r="I110" i="3"/>
  <c r="D109" i="3"/>
  <c r="C109" i="3"/>
  <c r="D108" i="3"/>
  <c r="G108" i="3" s="1"/>
  <c r="D107" i="3"/>
  <c r="G107" i="3" s="1"/>
  <c r="I102" i="3"/>
  <c r="D101" i="3"/>
  <c r="G101" i="3" s="1"/>
  <c r="C100" i="3"/>
  <c r="I96" i="3"/>
  <c r="D95" i="3"/>
  <c r="G95" i="3" s="1"/>
  <c r="I90" i="3"/>
  <c r="D88" i="3"/>
  <c r="F87" i="3"/>
  <c r="D87" i="3"/>
  <c r="C87" i="3"/>
  <c r="F86" i="3"/>
  <c r="D86" i="3"/>
  <c r="C86" i="3"/>
  <c r="F85" i="3"/>
  <c r="E85" i="3"/>
  <c r="G84" i="3"/>
  <c r="D83" i="3"/>
  <c r="G83" i="3" s="1"/>
  <c r="D81" i="3"/>
  <c r="G81" i="3" s="1"/>
  <c r="F80" i="3"/>
  <c r="D80" i="3"/>
  <c r="F79" i="3"/>
  <c r="F78" i="3"/>
  <c r="D78" i="3"/>
  <c r="E77" i="3"/>
  <c r="D77" i="3"/>
  <c r="C77" i="3"/>
  <c r="F76" i="3"/>
  <c r="D76" i="3"/>
  <c r="G76" i="3" s="1"/>
  <c r="F75" i="3"/>
  <c r="D75" i="3"/>
  <c r="G75" i="3" s="1"/>
  <c r="F74" i="3"/>
  <c r="F73" i="3"/>
  <c r="F72" i="3"/>
  <c r="G72" i="3" s="1"/>
  <c r="E72" i="3"/>
  <c r="E82" i="3" s="1"/>
  <c r="G82" i="3" s="1"/>
  <c r="F71" i="3"/>
  <c r="D71" i="3"/>
  <c r="F70" i="3"/>
  <c r="D70" i="3"/>
  <c r="F69" i="3"/>
  <c r="F88" i="3" s="1"/>
  <c r="E69" i="3"/>
  <c r="F64" i="3"/>
  <c r="E64" i="3"/>
  <c r="D64" i="3"/>
  <c r="F63" i="3"/>
  <c r="E63" i="3"/>
  <c r="D63" i="3"/>
  <c r="D58" i="3"/>
  <c r="G58" i="3" s="1"/>
  <c r="E57" i="3"/>
  <c r="D57" i="3"/>
  <c r="G57" i="3" s="1"/>
  <c r="N56" i="3"/>
  <c r="E52" i="3"/>
  <c r="E193" i="3" s="1"/>
  <c r="D52" i="3"/>
  <c r="D193" i="3" s="1"/>
  <c r="C52" i="3"/>
  <c r="F51" i="3"/>
  <c r="G51" i="3" s="1"/>
  <c r="E46" i="3"/>
  <c r="D46" i="3"/>
  <c r="C46" i="3"/>
  <c r="E45" i="3"/>
  <c r="D45" i="3"/>
  <c r="C45" i="3"/>
  <c r="E44" i="3"/>
  <c r="D44" i="3"/>
  <c r="C44" i="3"/>
  <c r="E43" i="3"/>
  <c r="D43" i="3"/>
  <c r="C43" i="3"/>
  <c r="E42" i="3"/>
  <c r="D42" i="3"/>
  <c r="C42" i="3"/>
  <c r="E32" i="3"/>
  <c r="E37" i="3" s="1"/>
  <c r="C32" i="3"/>
  <c r="C37" i="3" s="1"/>
  <c r="I29" i="3"/>
  <c r="D28" i="3"/>
  <c r="D32" i="3" s="1"/>
  <c r="D37" i="3" s="1"/>
  <c r="I25" i="3"/>
  <c r="E24" i="3"/>
  <c r="D24" i="3"/>
  <c r="F23" i="3"/>
  <c r="D23" i="3"/>
  <c r="C23" i="3"/>
  <c r="I20" i="3"/>
  <c r="F19" i="3"/>
  <c r="E19" i="3"/>
  <c r="D19" i="3"/>
  <c r="F18" i="3"/>
  <c r="E18" i="3"/>
  <c r="D18" i="3"/>
  <c r="E17" i="3"/>
  <c r="D17" i="3"/>
  <c r="I14" i="3"/>
  <c r="F13" i="3"/>
  <c r="E13" i="3"/>
  <c r="F12" i="3"/>
  <c r="D12" i="3"/>
  <c r="G12" i="3" s="1"/>
  <c r="D11" i="3"/>
  <c r="G11" i="3" s="1"/>
  <c r="F10" i="3"/>
  <c r="E10" i="3"/>
  <c r="G10" i="3" s="1"/>
  <c r="G175" i="3" l="1"/>
  <c r="G123" i="3"/>
  <c r="G13" i="3"/>
  <c r="G19" i="3"/>
  <c r="F43" i="3"/>
  <c r="G43" i="3" s="1"/>
  <c r="G129" i="3"/>
  <c r="G173" i="3"/>
  <c r="G208" i="3"/>
  <c r="G209" i="3" s="1"/>
  <c r="G220" i="3"/>
  <c r="D94" i="3"/>
  <c r="G77" i="3"/>
  <c r="G171" i="3"/>
  <c r="G204" i="3"/>
  <c r="G78" i="3"/>
  <c r="G85" i="3"/>
  <c r="G153" i="3"/>
  <c r="G226" i="3"/>
  <c r="G227" i="3" s="1"/>
  <c r="J228" i="3" s="1"/>
  <c r="G87" i="3"/>
  <c r="D79" i="3"/>
  <c r="G79" i="3" s="1"/>
  <c r="G235" i="3"/>
  <c r="G236" i="3" s="1"/>
  <c r="J237" i="3" s="1"/>
  <c r="G109" i="3"/>
  <c r="G174" i="3"/>
  <c r="G216" i="3"/>
  <c r="G88" i="3"/>
  <c r="G80" i="3"/>
  <c r="G222" i="3"/>
  <c r="J222" i="3" s="1"/>
  <c r="G23" i="3"/>
  <c r="F44" i="3"/>
  <c r="G44" i="3" s="1"/>
  <c r="G59" i="3"/>
  <c r="J60" i="3" s="1"/>
  <c r="G172" i="3"/>
  <c r="G18" i="3"/>
  <c r="F42" i="3"/>
  <c r="G42" i="3" s="1"/>
  <c r="G64" i="3"/>
  <c r="G71" i="3"/>
  <c r="G135" i="3"/>
  <c r="G186" i="3"/>
  <c r="G187" i="3"/>
  <c r="G189" i="3" s="1"/>
  <c r="J199" i="3"/>
  <c r="J200" i="3" s="1"/>
  <c r="G17" i="3"/>
  <c r="G20" i="3" s="1"/>
  <c r="F46" i="3"/>
  <c r="G46" i="3" s="1"/>
  <c r="G63" i="3"/>
  <c r="G65" i="3" s="1"/>
  <c r="J65" i="3" s="1"/>
  <c r="G52" i="3"/>
  <c r="G53" i="3" s="1"/>
  <c r="G69" i="3"/>
  <c r="G24" i="3"/>
  <c r="G28" i="3"/>
  <c r="G29" i="3" s="1"/>
  <c r="J29" i="3" s="1"/>
  <c r="F45" i="3"/>
  <c r="G45" i="3" s="1"/>
  <c r="G70" i="3"/>
  <c r="G86" i="3"/>
  <c r="G117" i="3"/>
  <c r="G147" i="3"/>
  <c r="G180" i="3"/>
  <c r="C193" i="3"/>
  <c r="G231" i="3"/>
  <c r="G232" i="3" s="1"/>
  <c r="J232" i="3" s="1"/>
  <c r="G166" i="3"/>
  <c r="J167" i="3" s="1"/>
  <c r="J166" i="3"/>
  <c r="J223" i="3"/>
  <c r="D100" i="3"/>
  <c r="G94" i="3"/>
  <c r="G96" i="3" s="1"/>
  <c r="G14" i="3"/>
  <c r="J14" i="3" s="1"/>
  <c r="G160" i="3"/>
  <c r="J242" i="3"/>
  <c r="J241" i="3"/>
  <c r="G37" i="3"/>
  <c r="G38" i="3" s="1"/>
  <c r="G193" i="3"/>
  <c r="G194" i="3" s="1"/>
  <c r="G214" i="3"/>
  <c r="G32" i="3"/>
  <c r="G33" i="3" s="1"/>
  <c r="D73" i="3"/>
  <c r="G250" i="3"/>
  <c r="J251" i="3" s="1"/>
  <c r="J227" i="3"/>
  <c r="J209" i="3" l="1"/>
  <c r="J210" i="3"/>
  <c r="G47" i="3"/>
  <c r="J236" i="3"/>
  <c r="G176" i="3"/>
  <c r="J66" i="3"/>
  <c r="G25" i="3"/>
  <c r="J25" i="3" s="1"/>
  <c r="J59" i="3"/>
  <c r="G217" i="3"/>
  <c r="J217" i="3" s="1"/>
  <c r="G181" i="3"/>
  <c r="J181" i="3" s="1"/>
  <c r="J190" i="3"/>
  <c r="J189" i="3"/>
  <c r="J20" i="3"/>
  <c r="G73" i="3"/>
  <c r="D74" i="3"/>
  <c r="G74" i="3" s="1"/>
  <c r="J160" i="3"/>
  <c r="J161" i="3"/>
  <c r="J33" i="3"/>
  <c r="J34" i="3"/>
  <c r="J39" i="3"/>
  <c r="J38" i="3"/>
  <c r="J53" i="3"/>
  <c r="J54" i="3"/>
  <c r="J96" i="3"/>
  <c r="J97" i="3"/>
  <c r="J195" i="3"/>
  <c r="J194" i="3"/>
  <c r="J48" i="3"/>
  <c r="J47" i="3"/>
  <c r="D106" i="3"/>
  <c r="G100" i="3"/>
  <c r="G102" i="3" s="1"/>
  <c r="J182" i="3" l="1"/>
  <c r="G90" i="3"/>
  <c r="J103" i="3"/>
  <c r="J102" i="3"/>
  <c r="D114" i="3"/>
  <c r="G106" i="3"/>
  <c r="G110" i="3" s="1"/>
  <c r="D152" i="3" l="1"/>
  <c r="D122" i="3"/>
  <c r="G122" i="3" s="1"/>
  <c r="G124" i="3" s="1"/>
  <c r="G114" i="3"/>
  <c r="G118" i="3" s="1"/>
  <c r="J90" i="3"/>
  <c r="J91" i="3"/>
  <c r="J110" i="3"/>
  <c r="J111" i="3"/>
  <c r="J118" i="3" l="1"/>
  <c r="J119" i="3"/>
  <c r="J125" i="3"/>
  <c r="J124" i="3"/>
  <c r="G152" i="3"/>
  <c r="G154" i="3" s="1"/>
  <c r="D128" i="3"/>
  <c r="D134" i="3" l="1"/>
  <c r="G128" i="3"/>
  <c r="G130" i="3" s="1"/>
  <c r="J155" i="3"/>
  <c r="J154" i="3"/>
  <c r="J130" i="3" l="1"/>
  <c r="J131" i="3"/>
  <c r="D140" i="3"/>
  <c r="G134" i="3"/>
  <c r="G136" i="3" s="1"/>
  <c r="G140" i="3" l="1"/>
  <c r="G142" i="3" s="1"/>
  <c r="D146" i="3"/>
  <c r="G146" i="3" s="1"/>
  <c r="G148" i="3" s="1"/>
  <c r="J137" i="3"/>
  <c r="J136" i="3"/>
  <c r="J143" i="3" l="1"/>
  <c r="J142" i="3"/>
  <c r="J148" i="3"/>
  <c r="J149" i="3"/>
  <c r="J177" i="3"/>
  <c r="J176" i="3"/>
  <c r="J257" i="3"/>
  <c r="C259" i="3" s="1"/>
  <c r="C262" i="3" l="1"/>
  <c r="E261" i="3"/>
  <c r="E262" i="3" s="1"/>
</calcChain>
</file>

<file path=xl/comments1.xml><?xml version="1.0" encoding="utf-8"?>
<comments xmlns="http://schemas.openxmlformats.org/spreadsheetml/2006/main">
  <authors>
    <author>Author</author>
  </authors>
  <commentList>
    <comment ref="D184" authorId="0" shapeId="0">
      <text>
        <r>
          <rPr>
            <b/>
            <sz val="9"/>
            <color indexed="81"/>
            <rFont val="Tahoma"/>
            <family val="2"/>
          </rPr>
          <t>Author:</t>
        </r>
        <r>
          <rPr>
            <sz val="9"/>
            <color indexed="81"/>
            <rFont val="Tahoma"/>
          </rPr>
          <t xml:space="preserve">
10' wala base mid ko column lai</t>
        </r>
      </text>
    </comment>
    <comment ref="C205" authorId="0" shapeId="0">
      <text>
        <r>
          <rPr>
            <b/>
            <sz val="9"/>
            <color indexed="81"/>
            <rFont val="Tahoma"/>
            <family val="2"/>
          </rPr>
          <t>Author:</t>
        </r>
        <r>
          <rPr>
            <sz val="9"/>
            <color indexed="81"/>
            <rFont val="Tahoma"/>
            <family val="2"/>
          </rPr>
          <t xml:space="preserve">
2 matra huna parne</t>
        </r>
      </text>
    </comment>
    <comment ref="D255" authorId="0" shapeId="0">
      <text>
        <r>
          <rPr>
            <b/>
            <sz val="9"/>
            <color indexed="81"/>
            <rFont val="Tahoma"/>
          </rPr>
          <t>Author:</t>
        </r>
        <r>
          <rPr>
            <sz val="9"/>
            <color indexed="81"/>
            <rFont val="Tahoma"/>
          </rPr>
          <t xml:space="preserve">
fixed area for correction in estimate</t>
        </r>
      </text>
    </comment>
  </commentList>
</comments>
</file>

<file path=xl/comments2.xml><?xml version="1.0" encoding="utf-8"?>
<comments xmlns="http://schemas.openxmlformats.org/spreadsheetml/2006/main">
  <authors>
    <author>Author</author>
  </authors>
  <commentList>
    <comment ref="D184" authorId="0" shapeId="0">
      <text>
        <r>
          <rPr>
            <b/>
            <sz val="9"/>
            <color indexed="81"/>
            <rFont val="Tahoma"/>
            <family val="2"/>
          </rPr>
          <t>Author:</t>
        </r>
        <r>
          <rPr>
            <sz val="9"/>
            <color indexed="81"/>
            <rFont val="Tahoma"/>
          </rPr>
          <t xml:space="preserve">
10' wala base mid ko column lai</t>
        </r>
      </text>
    </comment>
    <comment ref="C209" authorId="0" shapeId="0">
      <text>
        <r>
          <rPr>
            <b/>
            <sz val="9"/>
            <color indexed="81"/>
            <rFont val="Tahoma"/>
            <family val="2"/>
          </rPr>
          <t>Author:</t>
        </r>
        <r>
          <rPr>
            <sz val="9"/>
            <color indexed="81"/>
            <rFont val="Tahoma"/>
            <family val="2"/>
          </rPr>
          <t xml:space="preserve">
2 matra huna parne</t>
        </r>
      </text>
    </comment>
  </commentList>
</comments>
</file>

<file path=xl/comments3.xml><?xml version="1.0" encoding="utf-8"?>
<comments xmlns="http://schemas.openxmlformats.org/spreadsheetml/2006/main">
  <authors>
    <author>Author</author>
  </authors>
  <commentList>
    <comment ref="D184" authorId="0" shapeId="0">
      <text>
        <r>
          <rPr>
            <b/>
            <sz val="9"/>
            <color indexed="81"/>
            <rFont val="Tahoma"/>
            <family val="2"/>
          </rPr>
          <t>Author:</t>
        </r>
        <r>
          <rPr>
            <sz val="9"/>
            <color indexed="81"/>
            <rFont val="Tahoma"/>
          </rPr>
          <t xml:space="preserve">
10' wala base mid ko column lai</t>
        </r>
      </text>
    </comment>
    <comment ref="C209" authorId="0" shapeId="0">
      <text>
        <r>
          <rPr>
            <b/>
            <sz val="9"/>
            <color indexed="81"/>
            <rFont val="Tahoma"/>
            <family val="2"/>
          </rPr>
          <t>Author:</t>
        </r>
        <r>
          <rPr>
            <sz val="9"/>
            <color indexed="81"/>
            <rFont val="Tahoma"/>
            <family val="2"/>
          </rPr>
          <t xml:space="preserve">
2 matra huna parne</t>
        </r>
      </text>
    </comment>
  </commentList>
</comments>
</file>

<file path=xl/sharedStrings.xml><?xml version="1.0" encoding="utf-8"?>
<sst xmlns="http://schemas.openxmlformats.org/spreadsheetml/2006/main" count="1651" uniqueCount="168">
  <si>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</si>
  <si>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</si>
  <si>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</si>
  <si>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</si>
  <si>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</si>
  <si>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</si>
  <si>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</si>
  <si>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</si>
  <si>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</si>
  <si>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</si>
  <si>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</si>
  <si>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</si>
  <si>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</si>
  <si>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</si>
  <si>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</si>
  <si>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</si>
  <si>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</si>
  <si>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</si>
  <si>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</si>
  <si>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</si>
  <si>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</si>
  <si>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</si>
  <si>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</si>
  <si>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</si>
  <si>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</si>
  <si>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</si>
  <si>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</si>
  <si>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</si>
  <si>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-at upper roof</t>
  </si>
  <si>
    <t>-Bell</t>
  </si>
  <si>
    <t>cum</t>
  </si>
  <si>
    <t>Dismantling R.C.C. or R.B.C work and throwing away.</t>
  </si>
  <si>
    <t>-upper roof</t>
  </si>
  <si>
    <t>-lower roof</t>
  </si>
  <si>
    <t>Earth work in Exacavation---soft and silty clay</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</si>
  <si>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</si>
  <si>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</si>
  <si>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</si>
  <si>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</si>
  <si>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</si>
  <si>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</si>
  <si>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</si>
  <si>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</si>
  <si>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</si>
  <si>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</si>
  <si>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</si>
  <si>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</si>
  <si>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</si>
  <si>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</si>
  <si>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</si>
  <si>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</si>
  <si>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</si>
  <si>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</si>
  <si>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</si>
  <si>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</si>
  <si>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</si>
  <si>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</si>
  <si>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</si>
  <si>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</si>
  <si>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</si>
  <si>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</si>
  <si>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</si>
  <si>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</si>
  <si>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</si>
  <si>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</si>
  <si>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</si>
  <si>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</si>
  <si>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</si>
  <si>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</si>
  <si>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</si>
  <si>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</si>
  <si>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</si>
  <si>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</si>
  <si>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</si>
  <si>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</si>
  <si>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</si>
  <si>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</si>
  <si>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</si>
  <si>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</si>
  <si>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</si>
  <si>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</si>
  <si>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</si>
  <si>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</si>
  <si>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</si>
  <si>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</si>
  <si>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</si>
  <si>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</si>
  <si>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</si>
  <si>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</si>
  <si>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</si>
  <si>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</si>
  <si>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</si>
  <si>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</si>
  <si>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</si>
  <si>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</si>
  <si>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</si>
  <si>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</si>
  <si>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</si>
  <si>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</si>
  <si>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Wooden Column carving work excluding wood</t>
  </si>
  <si>
    <t>-Window</t>
  </si>
  <si>
    <t>Carved salwood Lattice (jali) of Carved Window (second type) including wood</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</si>
  <si>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</si>
  <si>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</si>
  <si>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</si>
  <si>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</si>
  <si>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</si>
  <si>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</si>
  <si>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</si>
  <si>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</si>
  <si>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</si>
  <si>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20/22 /26 gauge brass sheet of 1mm thickness gajur making and fixing on roof with Gajur size height 24"</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</si>
  <si>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</si>
  <si>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</si>
  <si>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</si>
  <si>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</si>
  <si>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</si>
  <si>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</si>
  <si>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</si>
  <si>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</si>
  <si>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</si>
  <si>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</si>
  <si>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</si>
  <si>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Telia Brick (Machine made) 6"x6" in (1:1:1) lime, surkhi, sand mortar with (1:1) lime surkhi pointing</t>
  </si>
  <si>
    <t>1"thick Nepali Sal wood planking works</t>
  </si>
  <si>
    <t>-for roofing</t>
  </si>
  <si>
    <t>-For bell</t>
  </si>
  <si>
    <t>-backside wall</t>
  </si>
  <si>
    <t>-beam</t>
  </si>
  <si>
    <t>e'O{+tNnfeGbf dfly lrDgL e§fsf] O{+6fsf] uf/f] l;d]G6 d;nf -!M^_ df</t>
  </si>
  <si>
    <t>-Purlins</t>
  </si>
  <si>
    <t>-Front side short horizontal members</t>
  </si>
  <si>
    <t>-Back side short horizontal members</t>
  </si>
  <si>
    <t>-support for front roof edge</t>
  </si>
  <si>
    <t>-support for back roof edge</t>
  </si>
  <si>
    <t>-tundal</t>
  </si>
  <si>
    <t>-base for tundal</t>
  </si>
  <si>
    <t>-vertical member</t>
  </si>
  <si>
    <t>Work Completion Report</t>
  </si>
  <si>
    <t>Total Estimated Amount:</t>
  </si>
  <si>
    <t>Total Valuated Amount :</t>
  </si>
  <si>
    <t xml:space="preserve">Work Started : </t>
  </si>
  <si>
    <t xml:space="preserve">Work Finished:           </t>
  </si>
  <si>
    <t>F.Y:2080/2081</t>
  </si>
  <si>
    <t>S.No.</t>
  </si>
  <si>
    <t>Description</t>
  </si>
  <si>
    <t>Estimated</t>
  </si>
  <si>
    <t>Valuated</t>
  </si>
  <si>
    <t>Difference</t>
  </si>
  <si>
    <t xml:space="preserve">Quantity </t>
  </si>
  <si>
    <t>Total</t>
  </si>
  <si>
    <t>-inclined members</t>
  </si>
  <si>
    <t>-base for vertical member</t>
  </si>
  <si>
    <t xml:space="preserve">-mid horizontal support </t>
  </si>
  <si>
    <t>-top ridge</t>
  </si>
  <si>
    <t>-inclined braces</t>
  </si>
  <si>
    <t>-chukul</t>
  </si>
  <si>
    <t>-for roofing back face</t>
  </si>
  <si>
    <t>-for roofing front face</t>
  </si>
  <si>
    <t>-above wooden beam at base</t>
  </si>
  <si>
    <t xml:space="preserve">Date:                 </t>
  </si>
  <si>
    <t>Detail Valuated Sheet</t>
  </si>
  <si>
    <t>Total Valuated</t>
  </si>
  <si>
    <t>Detail Quantity Measurement Sheet</t>
  </si>
  <si>
    <t xml:space="preserve">F.Y.: 2080/081      </t>
  </si>
  <si>
    <t>-cantilever</t>
  </si>
  <si>
    <t>-eaves</t>
  </si>
  <si>
    <t>-deduction for wood portion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</si>
</sst>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0.0"/>
    <numFmt numFmtId="166" formatCode="0.000"/>
  </numFmts>
  <fonts count="2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1"/>
      <name val="Calibri"/>
      <family val="2"/>
      <scheme val="minor"/>
    </font>
    <font>
      <b/>
      <sz val="11"/>
      <name val="Calibri"/>
      <family val="2"/>
      <scheme val="minor"/>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9"/>
      <color indexed="81"/>
      <name val="Tahoma"/>
    </font>
    <font>
      <sz val="9"/>
      <color indexed="81"/>
      <name val="Tahoma"/>
      <family val="2"/>
    </font>
    <font>
      <b/>
      <sz val="9"/>
      <color indexed="81"/>
      <name val="Tahoma"/>
      <family val="2"/>
    </font>
    <font>
      <b/>
      <sz val="9"/>
      <color indexed="81"/>
      <name val="Tahoma"/>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00">
    <xf numFmtId="0" fontId="0" fillId="0" borderId="0" xfId="0"/>
    <xf numFmtId="0" fontId="0" fillId="0" borderId="0" xfId="0" applyAlignment="1">
      <alignment vertical="center"/>
    </xf>
    <xf numFmtId="0" fontId="8" fillId="0" borderId="0" xfId="0" applyFont="1" applyAlignment="1">
      <alignment horizontal="center"/>
    </xf>
    <xf numFmtId="43"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43"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43" fontId="0" fillId="0" borderId="0" xfId="0" applyNumberFormat="1"/>
    <xf numFmtId="0" fontId="0" fillId="0" borderId="1" xfId="0" applyBorder="1" applyAlignment="1">
      <alignment wrapText="1"/>
    </xf>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0" fillId="0" borderId="1" xfId="0" quotePrefix="1" applyBorder="1" applyAlignment="1">
      <alignment horizontal="right" wrapText="1"/>
    </xf>
    <xf numFmtId="0" fontId="13" fillId="0" borderId="1" xfId="0" applyFont="1" applyBorder="1" applyAlignment="1">
      <alignment horizontal="center" vertical="center"/>
    </xf>
    <xf numFmtId="0" fontId="13" fillId="0" borderId="1" xfId="0" applyFont="1" applyBorder="1" applyAlignment="1">
      <alignment horizontal="center" vertical="top" wrapText="1"/>
    </xf>
    <xf numFmtId="0" fontId="13" fillId="0" borderId="1" xfId="0" applyFont="1" applyBorder="1" applyAlignment="1">
      <alignment horizontal="center"/>
    </xf>
    <xf numFmtId="43" fontId="13" fillId="0" borderId="1" xfId="1" applyFont="1" applyBorder="1" applyAlignment="1">
      <alignment horizontal="center"/>
    </xf>
    <xf numFmtId="0" fontId="13" fillId="0" borderId="1" xfId="0" applyFont="1" applyBorder="1" applyAlignment="1">
      <alignment horizontal="center" wrapText="1"/>
    </xf>
    <xf numFmtId="0" fontId="13" fillId="0" borderId="1" xfId="0" applyFont="1" applyBorder="1" applyAlignment="1">
      <alignment vertical="center"/>
    </xf>
    <xf numFmtId="2" fontId="18" fillId="0" borderId="1" xfId="0" applyNumberFormat="1" applyFont="1" applyBorder="1" applyAlignment="1"/>
    <xf numFmtId="2" fontId="19" fillId="0" borderId="1" xfId="0" applyNumberFormat="1" applyFont="1" applyBorder="1"/>
    <xf numFmtId="0" fontId="18" fillId="0" borderId="1" xfId="0" quotePrefix="1" applyFont="1" applyBorder="1" applyAlignment="1">
      <alignment horizontal="right" wrapText="1"/>
    </xf>
    <xf numFmtId="0" fontId="18" fillId="0" borderId="1" xfId="0" quotePrefix="1" applyFont="1" applyBorder="1" applyAlignment="1">
      <alignment wrapText="1"/>
    </xf>
    <xf numFmtId="0" fontId="19" fillId="0" borderId="1" xfId="0" applyFont="1" applyBorder="1" applyAlignment="1">
      <alignment vertical="center"/>
    </xf>
    <xf numFmtId="165" fontId="18" fillId="0" borderId="1" xfId="0" applyNumberFormat="1" applyFont="1" applyBorder="1" applyAlignment="1"/>
    <xf numFmtId="2" fontId="19" fillId="0" borderId="1" xfId="0" applyNumberFormat="1" applyFont="1" applyBorder="1" applyAlignment="1"/>
    <xf numFmtId="2" fontId="10" fillId="0" borderId="1" xfId="0" applyNumberFormat="1" applyFont="1" applyBorder="1" applyAlignment="1"/>
    <xf numFmtId="2" fontId="19" fillId="0" borderId="1" xfId="1" applyNumberFormat="1" applyFont="1" applyBorder="1" applyAlignment="1"/>
    <xf numFmtId="0" fontId="18" fillId="0" borderId="1" xfId="0" applyFont="1" applyBorder="1"/>
    <xf numFmtId="165" fontId="18" fillId="0" borderId="1" xfId="0" applyNumberFormat="1" applyFont="1" applyBorder="1" applyAlignment="1">
      <alignment vertical="center"/>
    </xf>
    <xf numFmtId="2" fontId="18" fillId="0" borderId="1" xfId="0" applyNumberFormat="1" applyFont="1" applyBorder="1" applyAlignment="1">
      <alignment vertical="center"/>
    </xf>
    <xf numFmtId="0" fontId="18" fillId="0" borderId="1" xfId="0" applyFont="1" applyBorder="1" applyAlignment="1">
      <alignment vertical="center"/>
    </xf>
    <xf numFmtId="0" fontId="18" fillId="0" borderId="1" xfId="0" quotePrefix="1" applyFont="1" applyBorder="1" applyAlignment="1">
      <alignment horizontal="right" vertical="center"/>
    </xf>
    <xf numFmtId="0" fontId="18" fillId="0" borderId="1" xfId="0" applyFont="1" applyBorder="1" applyAlignment="1">
      <alignment horizontal="right" vertical="center"/>
    </xf>
    <xf numFmtId="2" fontId="19" fillId="0" borderId="1" xfId="0" applyNumberFormat="1" applyFont="1" applyBorder="1" applyAlignment="1">
      <alignment vertical="center"/>
    </xf>
    <xf numFmtId="2" fontId="10" fillId="0" borderId="1" xfId="0" applyNumberFormat="1" applyFont="1" applyBorder="1" applyAlignment="1">
      <alignment vertical="center"/>
    </xf>
    <xf numFmtId="2" fontId="19" fillId="0" borderId="1" xfId="1" applyNumberFormat="1" applyFont="1" applyBorder="1" applyAlignment="1">
      <alignment vertical="center"/>
    </xf>
    <xf numFmtId="2" fontId="18" fillId="0" borderId="1" xfId="0" applyNumberFormat="1" applyFont="1" applyBorder="1" applyAlignment="1">
      <alignment vertical="center" wrapText="1"/>
    </xf>
    <xf numFmtId="0" fontId="18" fillId="0" borderId="1" xfId="0" quotePrefix="1" applyFont="1" applyBorder="1" applyAlignment="1">
      <alignment horizontal="right" vertical="center" wrapText="1"/>
    </xf>
    <xf numFmtId="166" fontId="18" fillId="0" borderId="1" xfId="0" applyNumberFormat="1" applyFont="1" applyBorder="1" applyAlignment="1">
      <alignment vertical="center"/>
    </xf>
    <xf numFmtId="0" fontId="19" fillId="0" borderId="1" xfId="0" applyFont="1" applyBorder="1"/>
    <xf numFmtId="0" fontId="18" fillId="0" borderId="1" xfId="0" quotePrefix="1" applyFont="1" applyBorder="1" applyAlignment="1">
      <alignment vertical="center" wrapText="1"/>
    </xf>
    <xf numFmtId="0" fontId="18" fillId="0" borderId="1" xfId="0" applyFont="1" applyBorder="1" applyAlignment="1">
      <alignment wrapText="1"/>
    </xf>
    <xf numFmtId="0" fontId="18" fillId="0" borderId="1" xfId="0" applyFont="1" applyBorder="1" applyAlignment="1">
      <alignment vertical="center" wrapText="1"/>
    </xf>
    <xf numFmtId="0" fontId="19" fillId="0" borderId="1" xfId="0" applyFont="1" applyBorder="1" applyAlignment="1">
      <alignment horizontal="right" wrapText="1"/>
    </xf>
    <xf numFmtId="165" fontId="18" fillId="0" borderId="1" xfId="0" applyNumberFormat="1" applyFont="1" applyBorder="1"/>
    <xf numFmtId="2" fontId="18" fillId="0" borderId="1" xfId="0" applyNumberFormat="1" applyFont="1" applyBorder="1"/>
    <xf numFmtId="0" fontId="19" fillId="0" borderId="0" xfId="0" applyFont="1" applyAlignment="1">
      <alignment vertical="center"/>
    </xf>
    <xf numFmtId="0" fontId="18" fillId="0" borderId="0" xfId="0" applyFont="1"/>
    <xf numFmtId="0" fontId="19" fillId="0" borderId="0" xfId="0" applyFont="1"/>
    <xf numFmtId="0" fontId="18" fillId="0" borderId="0" xfId="0" applyFont="1" applyAlignment="1">
      <alignment vertical="center"/>
    </xf>
    <xf numFmtId="0" fontId="18" fillId="0" borderId="0" xfId="0" applyFont="1" applyBorder="1" applyAlignment="1">
      <alignment vertical="center"/>
    </xf>
    <xf numFmtId="2" fontId="18" fillId="0" borderId="0" xfId="0" applyNumberFormat="1" applyFont="1" applyBorder="1" applyAlignment="1">
      <alignment vertical="center"/>
    </xf>
    <xf numFmtId="0" fontId="19" fillId="0" borderId="0" xfId="0" applyFont="1" applyBorder="1" applyAlignment="1">
      <alignment horizontal="right" vertical="center"/>
    </xf>
    <xf numFmtId="43" fontId="19" fillId="0" borderId="0" xfId="1" applyFont="1" applyBorder="1" applyAlignment="1">
      <alignment vertical="center"/>
    </xf>
    <xf numFmtId="0" fontId="19" fillId="0" borderId="0" xfId="0" applyFont="1" applyBorder="1" applyAlignment="1">
      <alignment vertical="center"/>
    </xf>
    <xf numFmtId="0" fontId="22" fillId="0" borderId="0" xfId="0" applyFont="1"/>
    <xf numFmtId="0" fontId="23" fillId="0" borderId="0" xfId="0" applyFont="1" applyAlignment="1">
      <alignment horizontal="center"/>
    </xf>
    <xf numFmtId="0" fontId="0" fillId="0" borderId="0" xfId="0" applyAlignment="1">
      <alignment horizontal="left"/>
    </xf>
    <xf numFmtId="43" fontId="0" fillId="0" borderId="0" xfId="0" applyNumberFormat="1" applyAlignment="1">
      <alignment vertical="center"/>
    </xf>
    <xf numFmtId="2" fontId="0" fillId="0" borderId="0" xfId="0" applyNumberFormat="1"/>
    <xf numFmtId="0" fontId="0" fillId="0" borderId="0" xfId="0" applyAlignment="1">
      <alignment horizontal="center"/>
    </xf>
    <xf numFmtId="0" fontId="0" fillId="0" borderId="0" xfId="0" applyAlignment="1">
      <alignment horizont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top" wrapText="1"/>
    </xf>
    <xf numFmtId="0" fontId="13" fillId="0" borderId="1" xfId="0" applyFont="1" applyFill="1" applyBorder="1" applyAlignment="1">
      <alignment horizontal="center"/>
    </xf>
    <xf numFmtId="43" fontId="13" fillId="0" borderId="1" xfId="1" applyFont="1" applyFill="1" applyBorder="1" applyAlignment="1">
      <alignment horizontal="center"/>
    </xf>
    <xf numFmtId="0" fontId="13" fillId="0" borderId="1" xfId="0" applyFont="1" applyFill="1" applyBorder="1" applyAlignment="1">
      <alignment horizontal="center" wrapText="1"/>
    </xf>
    <xf numFmtId="0" fontId="13" fillId="0" borderId="1" xfId="0" applyFont="1" applyFill="1" applyBorder="1" applyAlignment="1">
      <alignment vertical="center"/>
    </xf>
    <xf numFmtId="0" fontId="9" fillId="0" borderId="1" xfId="0" applyFont="1" applyFill="1" applyBorder="1" applyAlignment="1">
      <alignment wrapText="1"/>
    </xf>
    <xf numFmtId="2" fontId="18" fillId="0" borderId="1" xfId="0" applyNumberFormat="1" applyFont="1" applyFill="1" applyBorder="1" applyAlignment="1"/>
    <xf numFmtId="2" fontId="19" fillId="0" borderId="1" xfId="0" applyNumberFormat="1" applyFont="1" applyFill="1" applyBorder="1"/>
    <xf numFmtId="0" fontId="18" fillId="0" borderId="1" xfId="0" quotePrefix="1" applyFont="1" applyFill="1" applyBorder="1" applyAlignment="1">
      <alignment horizontal="right" wrapText="1"/>
    </xf>
    <xf numFmtId="0" fontId="13" fillId="0" borderId="1" xfId="0" applyFont="1" applyFill="1" applyBorder="1" applyAlignment="1">
      <alignment wrapText="1"/>
    </xf>
    <xf numFmtId="0" fontId="18" fillId="0" borderId="1" xfId="0" quotePrefix="1" applyFont="1" applyFill="1" applyBorder="1" applyAlignment="1">
      <alignment wrapText="1"/>
    </xf>
    <xf numFmtId="0" fontId="19" fillId="0" borderId="1" xfId="0" applyFont="1" applyFill="1" applyBorder="1" applyAlignment="1">
      <alignment vertical="center"/>
    </xf>
    <xf numFmtId="165" fontId="18" fillId="0" borderId="1" xfId="0" applyNumberFormat="1" applyFont="1" applyFill="1" applyBorder="1" applyAlignment="1"/>
    <xf numFmtId="2" fontId="19" fillId="0" borderId="1" xfId="0" applyNumberFormat="1" applyFont="1" applyFill="1" applyBorder="1" applyAlignment="1"/>
    <xf numFmtId="2" fontId="10" fillId="0" borderId="1" xfId="0" applyNumberFormat="1" applyFont="1" applyFill="1" applyBorder="1" applyAlignment="1"/>
    <xf numFmtId="2" fontId="19" fillId="0" borderId="1" xfId="1" applyNumberFormat="1" applyFont="1" applyFill="1" applyBorder="1" applyAlignment="1"/>
    <xf numFmtId="0" fontId="18" fillId="0" borderId="1" xfId="0" applyFont="1" applyFill="1" applyBorder="1"/>
    <xf numFmtId="0" fontId="14" fillId="0" borderId="1" xfId="0" applyFont="1" applyFill="1" applyBorder="1" applyAlignment="1">
      <alignment vertical="center" wrapText="1"/>
    </xf>
    <xf numFmtId="165" fontId="18" fillId="0" borderId="1" xfId="0" applyNumberFormat="1" applyFont="1" applyFill="1" applyBorder="1" applyAlignment="1">
      <alignment vertical="center"/>
    </xf>
    <xf numFmtId="2" fontId="18" fillId="0" borderId="1" xfId="0" applyNumberFormat="1" applyFont="1" applyFill="1" applyBorder="1" applyAlignment="1">
      <alignment vertical="center"/>
    </xf>
    <xf numFmtId="0" fontId="18" fillId="0" borderId="1" xfId="0" applyFont="1" applyFill="1" applyBorder="1" applyAlignment="1">
      <alignment vertical="center"/>
    </xf>
    <xf numFmtId="0" fontId="18" fillId="0" borderId="1" xfId="0" quotePrefix="1" applyFont="1" applyFill="1" applyBorder="1" applyAlignment="1">
      <alignment horizontal="right" vertical="center"/>
    </xf>
    <xf numFmtId="0" fontId="18" fillId="0" borderId="1" xfId="0" applyFont="1" applyFill="1" applyBorder="1" applyAlignment="1">
      <alignment horizontal="right" vertical="center"/>
    </xf>
    <xf numFmtId="2" fontId="19" fillId="0" borderId="1" xfId="0" applyNumberFormat="1" applyFont="1" applyFill="1" applyBorder="1" applyAlignment="1">
      <alignment vertical="center"/>
    </xf>
    <xf numFmtId="2" fontId="19" fillId="0" borderId="1" xfId="1" applyNumberFormat="1" applyFont="1" applyFill="1" applyBorder="1" applyAlignment="1">
      <alignment vertical="center"/>
    </xf>
    <xf numFmtId="0" fontId="9" fillId="0" borderId="1" xfId="0" applyFont="1" applyFill="1" applyBorder="1" applyAlignment="1">
      <alignment vertical="center" wrapText="1"/>
    </xf>
    <xf numFmtId="2" fontId="18" fillId="0" borderId="1" xfId="0" applyNumberFormat="1" applyFont="1" applyFill="1" applyBorder="1" applyAlignment="1">
      <alignment vertical="center" wrapText="1"/>
    </xf>
    <xf numFmtId="0" fontId="18" fillId="0" borderId="1" xfId="0" quotePrefix="1" applyFont="1" applyFill="1" applyBorder="1" applyAlignment="1">
      <alignment horizontal="right" vertical="center" wrapText="1"/>
    </xf>
    <xf numFmtId="166" fontId="18" fillId="0" borderId="1" xfId="0" applyNumberFormat="1" applyFont="1" applyFill="1" applyBorder="1" applyAlignment="1">
      <alignment vertical="center"/>
    </xf>
    <xf numFmtId="0" fontId="19" fillId="0" borderId="1" xfId="0" applyFont="1" applyFill="1" applyBorder="1"/>
    <xf numFmtId="0" fontId="18" fillId="0" borderId="1" xfId="0" quotePrefix="1" applyFont="1" applyFill="1" applyBorder="1" applyAlignment="1">
      <alignment vertical="center" wrapText="1"/>
    </xf>
    <xf numFmtId="0" fontId="18" fillId="0" borderId="1" xfId="0" applyFont="1" applyFill="1" applyBorder="1" applyAlignment="1">
      <alignment wrapText="1"/>
    </xf>
    <xf numFmtId="0" fontId="18" fillId="0" borderId="1" xfId="0" applyFont="1" applyFill="1" applyBorder="1" applyAlignment="1">
      <alignment vertical="center" wrapText="1"/>
    </xf>
    <xf numFmtId="0" fontId="19" fillId="0" borderId="1" xfId="0" applyFont="1" applyFill="1" applyBorder="1" applyAlignment="1">
      <alignment horizontal="right" wrapText="1"/>
    </xf>
    <xf numFmtId="165" fontId="18" fillId="0" borderId="1" xfId="0" applyNumberFormat="1" applyFont="1" applyFill="1" applyBorder="1"/>
    <xf numFmtId="2" fontId="18" fillId="0" borderId="1" xfId="0" applyNumberFormat="1" applyFont="1" applyFill="1" applyBorder="1"/>
    <xf numFmtId="1" fontId="11" fillId="0" borderId="1" xfId="0" applyNumberFormat="1" applyFont="1" applyFill="1" applyBorder="1" applyAlignment="1">
      <alignment vertical="center"/>
    </xf>
    <xf numFmtId="43" fontId="19" fillId="0" borderId="1" xfId="1" applyFont="1" applyFill="1" applyBorder="1" applyAlignment="1">
      <alignment vertical="center"/>
    </xf>
    <xf numFmtId="0" fontId="11" fillId="0" borderId="1" xfId="0" applyFont="1" applyFill="1" applyBorder="1" applyAlignment="1">
      <alignment vertical="center"/>
    </xf>
    <xf numFmtId="0" fontId="19" fillId="0" borderId="1" xfId="0" applyFont="1" applyFill="1" applyBorder="1" applyAlignment="1">
      <alignment horizontal="right"/>
    </xf>
    <xf numFmtId="43" fontId="19" fillId="0" borderId="1" xfId="1" applyFont="1" applyFill="1" applyBorder="1"/>
    <xf numFmtId="166" fontId="18" fillId="0" borderId="1" xfId="0" applyNumberFormat="1" applyFont="1" applyFill="1" applyBorder="1" applyAlignment="1"/>
    <xf numFmtId="166" fontId="19" fillId="0" borderId="1" xfId="0" applyNumberFormat="1" applyFont="1" applyFill="1" applyBorder="1" applyAlignment="1"/>
    <xf numFmtId="164" fontId="0" fillId="0" borderId="0" xfId="0" applyNumberForma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0" fontId="7"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7"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18" fillId="0" borderId="2" xfId="0" applyNumberFormat="1" applyFont="1" applyBorder="1" applyAlignment="1">
      <alignment horizontal="center" vertical="center"/>
    </xf>
    <xf numFmtId="2" fontId="18" fillId="0" borderId="3" xfId="0" applyNumberFormat="1" applyFont="1" applyBorder="1" applyAlignment="1">
      <alignment horizontal="center" vertical="center"/>
    </xf>
    <xf numFmtId="2" fontId="18" fillId="0" borderId="2" xfId="1" applyNumberFormat="1" applyFont="1" applyBorder="1" applyAlignment="1">
      <alignment horizontal="center" vertical="center"/>
    </xf>
    <xf numFmtId="2" fontId="18" fillId="0" borderId="3" xfId="1" applyNumberFormat="1" applyFont="1" applyBorder="1" applyAlignment="1">
      <alignment horizontal="center" vertical="center"/>
    </xf>
    <xf numFmtId="2" fontId="18" fillId="0" borderId="1" xfId="0" applyNumberFormat="1" applyFont="1" applyBorder="1" applyAlignment="1">
      <alignment horizontal="center" vertical="center"/>
    </xf>
    <xf numFmtId="2" fontId="18" fillId="0" borderId="1" xfId="0" applyNumberFormat="1" applyFont="1" applyFill="1" applyBorder="1" applyAlignment="1">
      <alignment horizontal="center" vertical="center"/>
    </xf>
    <xf numFmtId="2" fontId="18" fillId="0" borderId="1" xfId="1" applyNumberFormat="1" applyFont="1" applyFill="1" applyBorder="1" applyAlignment="1">
      <alignment horizontal="center" vertical="center"/>
    </xf>
    <xf numFmtId="43" fontId="22" fillId="0" borderId="0" xfId="0" applyNumberFormat="1" applyFont="1" applyAlignment="1">
      <alignment horizontal="center"/>
    </xf>
    <xf numFmtId="0" fontId="22" fillId="0" borderId="0" xfId="0" applyFont="1" applyAlignment="1">
      <alignment horizontal="center"/>
    </xf>
    <xf numFmtId="0" fontId="4"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18"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0" applyFont="1" applyFill="1" applyBorder="1" applyAlignment="1">
      <alignment horizontal="center"/>
    </xf>
    <xf numFmtId="0" fontId="7" fillId="0" borderId="0" xfId="0" applyFont="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8">
          <cell r="B168" t="str">
            <v>Providing and laying of Plain Cement Concrete M 10 ( or 1:3:6 for nominal mix) in Foundation complete as per Drawing and Technical Specifications., Manual Mixing</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4"/>
  <sheetViews>
    <sheetView topLeftCell="A6" zoomScaleNormal="100" zoomScaleSheetLayoutView="80" workbookViewId="0">
      <selection activeCell="I212" sqref="I212"/>
    </sheetView>
  </sheetViews>
  <sheetFormatPr defaultRowHeight="15" x14ac:dyDescent="0.25"/>
  <cols>
    <col min="1" max="1" width="4.42578125" style="71" customWidth="1"/>
    <col min="2" max="2" width="31.28515625" customWidth="1"/>
    <col min="3" max="3" width="4.5703125" bestFit="1" customWidth="1"/>
    <col min="4" max="4" width="9.28515625" customWidth="1"/>
    <col min="5" max="5" width="7.85546875" customWidth="1"/>
    <col min="6" max="6" width="8.28515625" customWidth="1"/>
    <col min="7" max="7" width="8.5703125" style="72" customWidth="1"/>
    <col min="8" max="8" width="5.28515625" style="72" bestFit="1" customWidth="1"/>
    <col min="9" max="9" width="10.42578125" style="72" customWidth="1"/>
    <col min="10" max="10" width="10.5703125" style="72" bestFit="1" customWidth="1"/>
    <col min="11" max="11" width="8.85546875" customWidth="1"/>
  </cols>
  <sheetData>
    <row r="1" spans="1:14" s="1" customFormat="1" x14ac:dyDescent="0.25">
      <c r="A1" s="177" t="s">
        <v>0</v>
      </c>
      <c r="B1" s="177"/>
      <c r="C1" s="177"/>
      <c r="D1" s="177"/>
      <c r="E1" s="177"/>
      <c r="F1" s="177"/>
      <c r="G1" s="177"/>
      <c r="H1" s="177"/>
      <c r="I1" s="177"/>
      <c r="J1" s="177"/>
      <c r="K1" s="177"/>
    </row>
    <row r="2" spans="1:14" s="1" customFormat="1" ht="22.5" x14ac:dyDescent="0.25">
      <c r="A2" s="178" t="s">
        <v>1</v>
      </c>
      <c r="B2" s="178"/>
      <c r="C2" s="178"/>
      <c r="D2" s="178"/>
      <c r="E2" s="178"/>
      <c r="F2" s="178"/>
      <c r="G2" s="178"/>
      <c r="H2" s="178"/>
      <c r="I2" s="178"/>
      <c r="J2" s="178"/>
      <c r="K2" s="178"/>
    </row>
    <row r="3" spans="1:14" s="1" customFormat="1" x14ac:dyDescent="0.25">
      <c r="A3" s="179" t="s">
        <v>2</v>
      </c>
      <c r="B3" s="179"/>
      <c r="C3" s="179"/>
      <c r="D3" s="179"/>
      <c r="E3" s="179"/>
      <c r="F3" s="179"/>
      <c r="G3" s="179"/>
      <c r="H3" s="179"/>
      <c r="I3" s="179"/>
      <c r="J3" s="179"/>
      <c r="K3" s="179"/>
    </row>
    <row r="4" spans="1:14" s="1" customFormat="1" x14ac:dyDescent="0.25">
      <c r="A4" s="179" t="s">
        <v>3</v>
      </c>
      <c r="B4" s="179"/>
      <c r="C4" s="179"/>
      <c r="D4" s="179"/>
      <c r="E4" s="179"/>
      <c r="F4" s="179"/>
      <c r="G4" s="179"/>
      <c r="H4" s="179"/>
      <c r="I4" s="179"/>
      <c r="J4" s="179"/>
      <c r="K4" s="179"/>
    </row>
    <row r="5" spans="1:14" ht="18.75" x14ac:dyDescent="0.3">
      <c r="A5" s="180" t="s">
        <v>4</v>
      </c>
      <c r="B5" s="180"/>
      <c r="C5" s="180"/>
      <c r="D5" s="180"/>
      <c r="E5" s="180"/>
      <c r="F5" s="180"/>
      <c r="G5" s="180"/>
      <c r="H5" s="180"/>
      <c r="I5" s="180"/>
      <c r="J5" s="180"/>
      <c r="K5" s="180"/>
    </row>
    <row r="6" spans="1:14" ht="15.75" x14ac:dyDescent="0.25">
      <c r="A6" s="176" t="s">
        <v>5</v>
      </c>
      <c r="B6" s="176"/>
      <c r="C6" s="176"/>
      <c r="D6" s="176"/>
      <c r="E6" s="176"/>
      <c r="F6" s="176"/>
      <c r="G6" s="2"/>
      <c r="H6" s="172" t="s">
        <v>6</v>
      </c>
      <c r="I6" s="172"/>
      <c r="J6" s="172"/>
      <c r="K6" s="172"/>
    </row>
    <row r="7" spans="1:14" ht="15.75" x14ac:dyDescent="0.25">
      <c r="A7" s="171" t="s">
        <v>7</v>
      </c>
      <c r="B7" s="171"/>
      <c r="C7" s="171"/>
      <c r="D7" s="171"/>
      <c r="E7" s="171"/>
      <c r="F7" s="171"/>
      <c r="G7" s="3"/>
      <c r="H7" s="172" t="s">
        <v>8</v>
      </c>
      <c r="I7" s="172"/>
      <c r="J7" s="172"/>
      <c r="K7" s="172"/>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hidden="1" x14ac:dyDescent="0.25">
      <c r="A9" s="10">
        <v>1</v>
      </c>
      <c r="B9" s="11" t="s">
        <v>20</v>
      </c>
      <c r="C9" s="6"/>
      <c r="D9" s="7"/>
      <c r="E9" s="7"/>
      <c r="F9" s="7"/>
      <c r="G9" s="7"/>
      <c r="H9" s="6"/>
      <c r="I9" s="7"/>
      <c r="J9" s="7"/>
      <c r="K9" s="8"/>
    </row>
    <row r="10" spans="1:14" ht="15" hidden="1" customHeight="1" x14ac:dyDescent="0.25">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hidden="1" customHeight="1" x14ac:dyDescent="0.25">
      <c r="A11" s="12"/>
      <c r="B11" s="13" t="s">
        <v>22</v>
      </c>
      <c r="C11" s="14">
        <v>-1</v>
      </c>
      <c r="D11" s="15">
        <f>3.5/3.281</f>
        <v>1.0667479427003961</v>
      </c>
      <c r="E11" s="16"/>
      <c r="F11" s="16">
        <v>1.5</v>
      </c>
      <c r="G11" s="17">
        <f t="shared" si="0"/>
        <v>-1.600121914050594</v>
      </c>
      <c r="H11" s="18"/>
      <c r="I11" s="19"/>
      <c r="J11" s="20"/>
      <c r="K11" s="16"/>
      <c r="M11" s="21"/>
      <c r="N11" s="21"/>
    </row>
    <row r="12" spans="1:14" ht="15" hidden="1" customHeight="1" x14ac:dyDescent="0.25">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hidden="1" customHeight="1" x14ac:dyDescent="0.25">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hidden="1" customHeight="1" x14ac:dyDescent="0.25">
      <c r="A14" s="12"/>
      <c r="B14" s="22" t="s">
        <v>25</v>
      </c>
      <c r="C14" s="14"/>
      <c r="D14" s="15"/>
      <c r="E14" s="16"/>
      <c r="F14" s="16"/>
      <c r="G14" s="19">
        <f>0*SUM(G10:G13)</f>
        <v>0</v>
      </c>
      <c r="H14" s="18" t="s">
        <v>26</v>
      </c>
      <c r="I14" s="19">
        <f>97.2</f>
        <v>97.2</v>
      </c>
      <c r="J14" s="20">
        <f>G14*I14</f>
        <v>0</v>
      </c>
      <c r="K14" s="16"/>
      <c r="M14" s="21"/>
      <c r="N14" s="21"/>
    </row>
    <row r="15" spans="1:14" ht="15" hidden="1" customHeight="1" x14ac:dyDescent="0.25">
      <c r="A15" s="12"/>
      <c r="B15" s="22"/>
      <c r="C15" s="14"/>
      <c r="D15" s="15"/>
      <c r="E15" s="16"/>
      <c r="F15" s="16"/>
      <c r="G15" s="19"/>
      <c r="H15" s="18"/>
      <c r="I15" s="19"/>
      <c r="J15" s="20"/>
      <c r="K15" s="16"/>
      <c r="M15" s="21"/>
      <c r="N15" s="21"/>
    </row>
    <row r="16" spans="1:14" ht="32.25" customHeight="1" x14ac:dyDescent="0.25">
      <c r="A16" s="12">
        <v>1</v>
      </c>
      <c r="B16" s="11" t="s">
        <v>27</v>
      </c>
      <c r="C16" s="14"/>
      <c r="D16" s="15"/>
      <c r="E16" s="16"/>
      <c r="F16" s="16"/>
      <c r="G16" s="19"/>
      <c r="H16" s="18"/>
      <c r="I16" s="19"/>
      <c r="J16" s="20"/>
      <c r="K16" s="16"/>
      <c r="M16" s="21"/>
      <c r="N16" s="21"/>
    </row>
    <row r="17" spans="1:14" ht="15" hidden="1" customHeight="1" x14ac:dyDescent="0.25">
      <c r="A17" s="12"/>
      <c r="B17" s="22" t="s">
        <v>28</v>
      </c>
      <c r="C17" s="14">
        <f>0*4</f>
        <v>0</v>
      </c>
      <c r="D17" s="15">
        <f>4.5/3.281</f>
        <v>1.3715330691862238</v>
      </c>
      <c r="E17" s="15">
        <f>4.5/3.281</f>
        <v>1.3715330691862238</v>
      </c>
      <c r="F17" s="16">
        <v>0.115</v>
      </c>
      <c r="G17" s="17">
        <f t="shared" ref="G17" si="1">PRODUCT(C17:F17)</f>
        <v>0</v>
      </c>
      <c r="H17" s="18"/>
      <c r="I17" s="19"/>
      <c r="J17" s="20"/>
      <c r="K17" s="16"/>
      <c r="M17" s="21"/>
      <c r="N17" s="21"/>
    </row>
    <row r="18" spans="1:14" ht="15" customHeight="1" x14ac:dyDescent="0.25">
      <c r="A18" s="12"/>
      <c r="B18" s="13" t="s">
        <v>29</v>
      </c>
      <c r="C18" s="14">
        <v>2</v>
      </c>
      <c r="D18" s="15">
        <f>0.833/3.281</f>
        <v>0.25388601036269426</v>
      </c>
      <c r="E18" s="15">
        <f>0.833/3.281</f>
        <v>0.25388601036269426</v>
      </c>
      <c r="F18" s="16">
        <f>6.25/3.281</f>
        <v>1.9049070405364217</v>
      </c>
      <c r="G18" s="17">
        <f>PRODUCT(C18:F18)</f>
        <v>0.24557340086058405</v>
      </c>
      <c r="H18" s="18"/>
      <c r="I18" s="19"/>
      <c r="J18" s="20"/>
      <c r="K18" s="16"/>
      <c r="M18" s="21"/>
      <c r="N18" s="21"/>
    </row>
    <row r="19" spans="1:14" ht="15" customHeight="1" x14ac:dyDescent="0.25">
      <c r="A19" s="12"/>
      <c r="B19" s="13"/>
      <c r="C19" s="14">
        <v>1</v>
      </c>
      <c r="D19" s="15">
        <f>0.833/3.281</f>
        <v>0.25388601036269426</v>
      </c>
      <c r="E19" s="15">
        <f>0.833/3.281</f>
        <v>0.25388601036269426</v>
      </c>
      <c r="F19" s="15">
        <f>0.833/3.281</f>
        <v>0.25388601036269426</v>
      </c>
      <c r="G19" s="17">
        <f>PRODUCT(C19:F19)</f>
        <v>1.6365011433349317E-2</v>
      </c>
      <c r="H19" s="18"/>
      <c r="I19" s="19"/>
      <c r="J19" s="20"/>
      <c r="K19" s="16"/>
      <c r="M19" s="21"/>
      <c r="N19" s="21"/>
    </row>
    <row r="20" spans="1:14" ht="15" customHeight="1" x14ac:dyDescent="0.25">
      <c r="A20" s="12"/>
      <c r="B20" s="22" t="s">
        <v>25</v>
      </c>
      <c r="C20" s="14"/>
      <c r="D20" s="15"/>
      <c r="E20" s="16"/>
      <c r="F20" s="16"/>
      <c r="G20" s="19">
        <f>SUM(G17:G19)</f>
        <v>0.26193841229393339</v>
      </c>
      <c r="H20" s="18" t="s">
        <v>30</v>
      </c>
      <c r="I20" s="19">
        <f>1908</f>
        <v>1908</v>
      </c>
      <c r="J20" s="20">
        <f>G20*I20</f>
        <v>499.77849065682489</v>
      </c>
      <c r="K20" s="16"/>
      <c r="M20" s="21"/>
      <c r="N20" s="21"/>
    </row>
    <row r="21" spans="1:14" ht="15" customHeight="1" x14ac:dyDescent="0.25">
      <c r="A21" s="12"/>
      <c r="B21" s="22"/>
      <c r="C21" s="14"/>
      <c r="D21" s="15"/>
      <c r="E21" s="16"/>
      <c r="F21" s="16"/>
      <c r="G21" s="19"/>
      <c r="H21" s="18"/>
      <c r="I21" s="19"/>
      <c r="J21" s="20"/>
      <c r="K21" s="16"/>
      <c r="M21" s="21"/>
      <c r="N21" s="21"/>
    </row>
    <row r="22" spans="1:14" ht="31.5" hidden="1" x14ac:dyDescent="0.25">
      <c r="A22" s="12">
        <v>2</v>
      </c>
      <c r="B22" s="23" t="s">
        <v>31</v>
      </c>
      <c r="C22" s="14"/>
      <c r="D22" s="15"/>
      <c r="E22" s="16"/>
      <c r="F22" s="16"/>
      <c r="G22" s="19"/>
      <c r="H22" s="18"/>
      <c r="I22" s="19"/>
      <c r="J22" s="20"/>
      <c r="K22" s="16"/>
      <c r="M22" s="21"/>
      <c r="N22" s="21"/>
    </row>
    <row r="23" spans="1:14" ht="15" hidden="1" customHeight="1" x14ac:dyDescent="0.25">
      <c r="A23" s="12"/>
      <c r="B23" s="13" t="s">
        <v>32</v>
      </c>
      <c r="C23" s="14">
        <f>4</f>
        <v>4</v>
      </c>
      <c r="D23" s="15">
        <f>(5.25/2)/3.281</f>
        <v>0.80006095702529711</v>
      </c>
      <c r="E23" s="16">
        <v>7.4999999999999997E-2</v>
      </c>
      <c r="F23" s="16">
        <f>3.75/3.281</f>
        <v>1.1429442243218531</v>
      </c>
      <c r="G23" s="17">
        <f>PRODUCT(C23:F23)</f>
        <v>0.2743275149812433</v>
      </c>
      <c r="H23" s="18"/>
      <c r="I23" s="19"/>
      <c r="J23" s="20"/>
      <c r="K23" s="16"/>
      <c r="M23" s="21"/>
      <c r="N23" s="21"/>
    </row>
    <row r="24" spans="1:14" ht="15" hidden="1" customHeight="1" x14ac:dyDescent="0.25">
      <c r="A24" s="12"/>
      <c r="B24" s="13" t="s">
        <v>33</v>
      </c>
      <c r="C24" s="14">
        <v>1</v>
      </c>
      <c r="D24" s="15">
        <f>(10.75+1.25+3+11.5)/3.281</f>
        <v>8.076805851874429</v>
      </c>
      <c r="E24" s="16">
        <f>10.75/3.281</f>
        <v>3.2764401097226452</v>
      </c>
      <c r="F24" s="16">
        <v>7.4999999999999997E-2</v>
      </c>
      <c r="G24" s="17">
        <f t="shared" ref="G24" si="2">PRODUCT(C24:F24)</f>
        <v>1.9847377988642967</v>
      </c>
      <c r="H24" s="18"/>
      <c r="I24" s="19"/>
      <c r="J24" s="20"/>
      <c r="K24" s="16"/>
      <c r="M24" s="21"/>
      <c r="N24" s="21"/>
    </row>
    <row r="25" spans="1:14" ht="15" hidden="1" customHeight="1" x14ac:dyDescent="0.25">
      <c r="A25" s="12"/>
      <c r="B25" s="22" t="s">
        <v>25</v>
      </c>
      <c r="C25" s="14"/>
      <c r="D25" s="15"/>
      <c r="E25" s="16"/>
      <c r="F25" s="16"/>
      <c r="G25" s="19">
        <f>0*SUM(G23:G24)</f>
        <v>0</v>
      </c>
      <c r="H25" s="18" t="s">
        <v>30</v>
      </c>
      <c r="I25" s="19">
        <f>11385/1.15</f>
        <v>9900</v>
      </c>
      <c r="J25" s="20">
        <f>G25*I25</f>
        <v>0</v>
      </c>
      <c r="K25" s="16"/>
      <c r="M25" s="21"/>
      <c r="N25" s="21"/>
    </row>
    <row r="26" spans="1:14" ht="15" hidden="1" customHeight="1" x14ac:dyDescent="0.25">
      <c r="A26" s="10"/>
      <c r="B26" s="5"/>
      <c r="C26" s="6"/>
      <c r="D26" s="7"/>
      <c r="E26" s="7"/>
      <c r="F26" s="7"/>
      <c r="G26" s="7"/>
      <c r="H26" s="6"/>
      <c r="I26" s="7"/>
      <c r="J26" s="7"/>
      <c r="K26" s="8"/>
    </row>
    <row r="27" spans="1:14" ht="30" x14ac:dyDescent="0.25">
      <c r="A27" s="12">
        <v>2</v>
      </c>
      <c r="B27" s="24" t="s">
        <v>34</v>
      </c>
      <c r="C27" s="14"/>
      <c r="D27" s="15"/>
      <c r="E27" s="16"/>
      <c r="F27" s="16"/>
      <c r="G27" s="19"/>
      <c r="H27" s="18"/>
      <c r="I27" s="19"/>
      <c r="J27" s="20"/>
      <c r="K27" s="16"/>
      <c r="M27" s="21"/>
      <c r="N27" s="21"/>
    </row>
    <row r="28" spans="1:14" ht="15" customHeight="1" x14ac:dyDescent="0.25">
      <c r="A28" s="12"/>
      <c r="B28" s="22" t="s">
        <v>35</v>
      </c>
      <c r="C28" s="14">
        <v>2</v>
      </c>
      <c r="D28" s="15">
        <f>0.6</f>
        <v>0.6</v>
      </c>
      <c r="E28" s="16">
        <v>0.6</v>
      </c>
      <c r="F28" s="16">
        <v>0.9</v>
      </c>
      <c r="G28" s="17">
        <f>PRODUCT(C28:F28)</f>
        <v>0.64800000000000002</v>
      </c>
      <c r="H28" s="18"/>
      <c r="I28" s="19"/>
      <c r="J28" s="20"/>
      <c r="K28" s="16"/>
      <c r="M28" s="21"/>
      <c r="N28" s="21"/>
    </row>
    <row r="29" spans="1:14" ht="15" customHeight="1" x14ac:dyDescent="0.25">
      <c r="A29" s="25"/>
      <c r="B29" s="22" t="s">
        <v>25</v>
      </c>
      <c r="C29" s="26"/>
      <c r="D29" s="17"/>
      <c r="E29" s="17"/>
      <c r="F29" s="17"/>
      <c r="G29" s="27">
        <f>SUM(G28:G28)</f>
        <v>0.64800000000000002</v>
      </c>
      <c r="H29" s="27" t="s">
        <v>30</v>
      </c>
      <c r="I29" s="28">
        <f>746.24/1.15</f>
        <v>648.90434782608702</v>
      </c>
      <c r="J29" s="29">
        <f>G29*I29</f>
        <v>420.49001739130438</v>
      </c>
      <c r="K29" s="30"/>
    </row>
    <row r="30" spans="1:14" ht="15" customHeight="1" x14ac:dyDescent="0.25">
      <c r="A30" s="25"/>
      <c r="B30" s="22"/>
      <c r="C30" s="26"/>
      <c r="D30" s="17"/>
      <c r="E30" s="17"/>
      <c r="F30" s="17"/>
      <c r="G30" s="27"/>
      <c r="H30" s="27"/>
      <c r="I30" s="28"/>
      <c r="J30" s="29"/>
      <c r="K30" s="30"/>
    </row>
    <row r="31" spans="1:14" ht="15.75" x14ac:dyDescent="0.25">
      <c r="A31" s="25">
        <v>3</v>
      </c>
      <c r="B31" s="31" t="s">
        <v>36</v>
      </c>
      <c r="C31" s="32"/>
      <c r="D31" s="33"/>
      <c r="E31" s="33"/>
      <c r="F31" s="33"/>
      <c r="G31" s="33"/>
      <c r="H31" s="34"/>
      <c r="I31" s="33"/>
      <c r="J31" s="33"/>
      <c r="K31" s="34"/>
    </row>
    <row r="32" spans="1:14" x14ac:dyDescent="0.25">
      <c r="A32" s="25"/>
      <c r="B32" s="35" t="s">
        <v>37</v>
      </c>
      <c r="C32" s="32">
        <f>C28</f>
        <v>2</v>
      </c>
      <c r="D32" s="33">
        <f>D28</f>
        <v>0.6</v>
      </c>
      <c r="E32" s="33">
        <f>E28</f>
        <v>0.6</v>
      </c>
      <c r="F32" s="33"/>
      <c r="G32" s="33">
        <f>PRODUCT(C32:F32)</f>
        <v>0.72</v>
      </c>
      <c r="H32" s="34"/>
      <c r="I32" s="34"/>
      <c r="J32" s="33"/>
      <c r="K32" s="34"/>
    </row>
    <row r="33" spans="1:11" x14ac:dyDescent="0.25">
      <c r="A33" s="25"/>
      <c r="B33" s="36" t="s">
        <v>25</v>
      </c>
      <c r="C33" s="32"/>
      <c r="D33" s="33"/>
      <c r="E33" s="33"/>
      <c r="F33" s="33"/>
      <c r="G33" s="37">
        <f>SUM(G32)</f>
        <v>0.72</v>
      </c>
      <c r="H33" s="18" t="s">
        <v>26</v>
      </c>
      <c r="I33" s="38">
        <v>985.37</v>
      </c>
      <c r="J33" s="39">
        <f>G33*I33</f>
        <v>709.46640000000002</v>
      </c>
      <c r="K33" s="34"/>
    </row>
    <row r="34" spans="1:11" x14ac:dyDescent="0.25">
      <c r="A34" s="25"/>
      <c r="B34" s="36" t="s">
        <v>38</v>
      </c>
      <c r="C34" s="32"/>
      <c r="D34" s="33"/>
      <c r="E34" s="33"/>
      <c r="F34" s="33"/>
      <c r="G34" s="33"/>
      <c r="H34" s="18"/>
      <c r="I34" s="40"/>
      <c r="J34" s="39">
        <f>0.13*G33*(8353.81)/10</f>
        <v>78.191661600000003</v>
      </c>
      <c r="K34" s="34"/>
    </row>
    <row r="35" spans="1:11" x14ac:dyDescent="0.25">
      <c r="A35" s="25"/>
      <c r="B35" s="34"/>
      <c r="C35" s="32"/>
      <c r="D35" s="33"/>
      <c r="E35" s="33"/>
      <c r="F35" s="33"/>
      <c r="G35" s="33"/>
      <c r="H35" s="34"/>
      <c r="I35" s="33"/>
      <c r="J35" s="33"/>
      <c r="K35" s="34"/>
    </row>
    <row r="36" spans="1:11" s="1" customFormat="1" ht="30" x14ac:dyDescent="0.25">
      <c r="A36" s="25">
        <v>4</v>
      </c>
      <c r="B36" s="41" t="s">
        <v>39</v>
      </c>
      <c r="C36" s="32"/>
      <c r="D36" s="33"/>
      <c r="E36" s="33"/>
      <c r="F36" s="33"/>
      <c r="G36" s="33"/>
      <c r="H36" s="34"/>
      <c r="I36" s="33"/>
      <c r="J36" s="33"/>
      <c r="K36" s="34"/>
    </row>
    <row r="37" spans="1:11" x14ac:dyDescent="0.25">
      <c r="A37" s="25"/>
      <c r="B37" s="35" t="s">
        <v>37</v>
      </c>
      <c r="C37" s="32">
        <f>C32</f>
        <v>2</v>
      </c>
      <c r="D37" s="33">
        <f>D32</f>
        <v>0.6</v>
      </c>
      <c r="E37" s="33">
        <f>E32</f>
        <v>0.6</v>
      </c>
      <c r="F37" s="33">
        <v>0.05</v>
      </c>
      <c r="G37" s="33">
        <f>PRODUCT(C37:F37)</f>
        <v>3.5999999999999997E-2</v>
      </c>
      <c r="H37" s="34"/>
      <c r="I37" s="34"/>
      <c r="J37" s="33"/>
      <c r="K37" s="34"/>
    </row>
    <row r="38" spans="1:11" x14ac:dyDescent="0.25">
      <c r="A38" s="25"/>
      <c r="B38" s="36" t="s">
        <v>25</v>
      </c>
      <c r="C38" s="32"/>
      <c r="D38" s="33"/>
      <c r="E38" s="33"/>
      <c r="F38" s="33"/>
      <c r="G38" s="37">
        <f>SUM(G37:G37)</f>
        <v>3.5999999999999997E-2</v>
      </c>
      <c r="H38" s="25" t="s">
        <v>30</v>
      </c>
      <c r="I38" s="38">
        <v>13509.07</v>
      </c>
      <c r="J38" s="39">
        <f>G38*I38</f>
        <v>486.32651999999996</v>
      </c>
      <c r="K38" s="34"/>
    </row>
    <row r="39" spans="1:11" x14ac:dyDescent="0.25">
      <c r="A39" s="25"/>
      <c r="B39" s="36" t="s">
        <v>38</v>
      </c>
      <c r="C39" s="32"/>
      <c r="D39" s="33"/>
      <c r="E39" s="33"/>
      <c r="F39" s="33"/>
      <c r="G39" s="33"/>
      <c r="H39" s="34"/>
      <c r="I39" s="40"/>
      <c r="J39" s="39">
        <f>0.13*G38*(8709.07)</f>
        <v>40.758447599999997</v>
      </c>
      <c r="K39" s="34"/>
    </row>
    <row r="40" spans="1:11" x14ac:dyDescent="0.25">
      <c r="A40" s="25"/>
      <c r="B40" s="36"/>
      <c r="C40" s="32"/>
      <c r="D40" s="33"/>
      <c r="E40" s="33"/>
      <c r="F40" s="33"/>
      <c r="G40" s="33"/>
      <c r="H40" s="34"/>
      <c r="I40" s="40"/>
      <c r="J40" s="39"/>
      <c r="K40" s="34"/>
    </row>
    <row r="41" spans="1:11" ht="45" x14ac:dyDescent="0.25">
      <c r="A41" s="12">
        <v>5</v>
      </c>
      <c r="B41" s="41" t="s">
        <v>40</v>
      </c>
      <c r="C41" s="32" t="s">
        <v>11</v>
      </c>
      <c r="D41" s="42" t="s">
        <v>41</v>
      </c>
      <c r="E41" s="42" t="s">
        <v>42</v>
      </c>
      <c r="F41" s="42" t="s">
        <v>43</v>
      </c>
      <c r="G41" s="42" t="s">
        <v>44</v>
      </c>
      <c r="H41" s="25"/>
      <c r="I41" s="37"/>
      <c r="J41" s="37"/>
      <c r="K41" s="16"/>
    </row>
    <row r="42" spans="1:11" ht="15" customHeight="1" x14ac:dyDescent="0.25">
      <c r="A42" s="12"/>
      <c r="B42" s="43" t="s">
        <v>37</v>
      </c>
      <c r="C42" s="14">
        <f>2*2*(TRUNC(22/6,0)+1)</f>
        <v>16</v>
      </c>
      <c r="D42" s="33">
        <f>24/12/3.281</f>
        <v>0.6095702529716549</v>
      </c>
      <c r="E42" s="33">
        <f>12*12/162</f>
        <v>0.88888888888888884</v>
      </c>
      <c r="F42" s="33">
        <f t="shared" ref="F42:F46" si="3">PRODUCT(C42:E42)</f>
        <v>8.6694435978190914</v>
      </c>
      <c r="G42" s="44">
        <f t="shared" ref="G42:G46" si="4">F42/1000</f>
        <v>8.6694435978190917E-3</v>
      </c>
      <c r="H42" s="18"/>
      <c r="I42" s="19"/>
      <c r="J42" s="37"/>
      <c r="K42" s="16"/>
    </row>
    <row r="43" spans="1:11" ht="15" customHeight="1" x14ac:dyDescent="0.25">
      <c r="A43" s="12"/>
      <c r="B43" s="43" t="s">
        <v>45</v>
      </c>
      <c r="C43" s="14">
        <f>4*2</f>
        <v>8</v>
      </c>
      <c r="D43" s="33">
        <f>(6.5+0.583)/3.281</f>
        <v>2.1587930508991162</v>
      </c>
      <c r="E43" s="33">
        <f>12*12/162</f>
        <v>0.88888888888888884</v>
      </c>
      <c r="F43" s="33">
        <f t="shared" si="3"/>
        <v>15.351417250838159</v>
      </c>
      <c r="G43" s="44">
        <f t="shared" si="4"/>
        <v>1.5351417250838158E-2</v>
      </c>
      <c r="H43" s="18"/>
      <c r="I43" s="19"/>
      <c r="J43" s="37"/>
      <c r="K43" s="16"/>
    </row>
    <row r="44" spans="1:11" ht="15" customHeight="1" x14ac:dyDescent="0.25">
      <c r="A44" s="12"/>
      <c r="B44" s="43" t="s">
        <v>46</v>
      </c>
      <c r="C44" s="14">
        <f>TRUNC((6.12/0.5),0)</f>
        <v>12</v>
      </c>
      <c r="D44" s="33">
        <f>(0.33+0.33+0.33+0.33+0.083*2)/3.281</f>
        <v>0.45291069795793965</v>
      </c>
      <c r="E44" s="33">
        <f>8*8/162</f>
        <v>0.39506172839506171</v>
      </c>
      <c r="F44" s="33">
        <f t="shared" si="3"/>
        <v>2.1471321977265285</v>
      </c>
      <c r="G44" s="44">
        <f t="shared" si="4"/>
        <v>2.1471321977265287E-3</v>
      </c>
      <c r="H44" s="18"/>
      <c r="I44" s="19"/>
      <c r="J44" s="37"/>
      <c r="K44" s="16"/>
    </row>
    <row r="45" spans="1:11" ht="15" hidden="1" customHeight="1" x14ac:dyDescent="0.25">
      <c r="A45" s="12"/>
      <c r="B45" s="43" t="s">
        <v>47</v>
      </c>
      <c r="C45" s="14">
        <f>0*TRUNC(10.75/0.5,0)</f>
        <v>0</v>
      </c>
      <c r="D45" s="33">
        <f>30/3.281</f>
        <v>9.1435537945748244</v>
      </c>
      <c r="E45" s="33">
        <f>8*8/162</f>
        <v>0.39506172839506171</v>
      </c>
      <c r="F45" s="33">
        <f t="shared" si="3"/>
        <v>0</v>
      </c>
      <c r="G45" s="44">
        <f t="shared" si="4"/>
        <v>0</v>
      </c>
      <c r="H45" s="18"/>
      <c r="I45" s="19"/>
      <c r="J45" s="37"/>
      <c r="K45" s="16"/>
    </row>
    <row r="46" spans="1:11" ht="15" hidden="1" customHeight="1" x14ac:dyDescent="0.25">
      <c r="A46" s="12"/>
      <c r="B46" s="43"/>
      <c r="C46" s="14">
        <f>0*TRUNC(30/0.5,0)</f>
        <v>0</v>
      </c>
      <c r="D46" s="33">
        <f>10.75/3.281</f>
        <v>3.2764401097226452</v>
      </c>
      <c r="E46" s="33">
        <f>8*8/162</f>
        <v>0.39506172839506171</v>
      </c>
      <c r="F46" s="33">
        <f t="shared" si="3"/>
        <v>0</v>
      </c>
      <c r="G46" s="44">
        <f t="shared" si="4"/>
        <v>0</v>
      </c>
      <c r="H46" s="18"/>
      <c r="I46" s="19"/>
      <c r="J46" s="37"/>
      <c r="K46" s="16"/>
    </row>
    <row r="47" spans="1:11" ht="15" customHeight="1" x14ac:dyDescent="0.25">
      <c r="A47" s="25"/>
      <c r="B47" s="43" t="s">
        <v>25</v>
      </c>
      <c r="C47" s="32"/>
      <c r="D47" s="33"/>
      <c r="E47" s="33"/>
      <c r="F47" s="33"/>
      <c r="G47" s="37">
        <f>SUM(G42:G46)</f>
        <v>2.6167993046383779E-2</v>
      </c>
      <c r="H47" s="37" t="s">
        <v>48</v>
      </c>
      <c r="I47" s="38">
        <v>130210</v>
      </c>
      <c r="J47" s="39">
        <f>G47*I47</f>
        <v>3407.334374569632</v>
      </c>
      <c r="K47" s="34"/>
    </row>
    <row r="48" spans="1:11" ht="15" customHeight="1" x14ac:dyDescent="0.25">
      <c r="A48" s="12"/>
      <c r="B48" s="43" t="s">
        <v>49</v>
      </c>
      <c r="C48" s="14"/>
      <c r="D48" s="15"/>
      <c r="E48" s="16"/>
      <c r="F48" s="16"/>
      <c r="G48" s="19"/>
      <c r="H48" s="18"/>
      <c r="I48" s="19"/>
      <c r="J48" s="37">
        <f>0.13*G47*105010</f>
        <v>357.2271234740989</v>
      </c>
      <c r="K48" s="16"/>
    </row>
    <row r="49" spans="1:14" ht="15" customHeight="1" x14ac:dyDescent="0.25">
      <c r="A49" s="12"/>
      <c r="B49" s="43"/>
      <c r="C49" s="14"/>
      <c r="D49" s="15"/>
      <c r="E49" s="16"/>
      <c r="F49" s="16"/>
      <c r="G49" s="19"/>
      <c r="H49" s="18"/>
      <c r="I49" s="19"/>
      <c r="J49" s="37"/>
      <c r="K49" s="16"/>
    </row>
    <row r="50" spans="1:14" s="1" customFormat="1" ht="30" x14ac:dyDescent="0.25">
      <c r="A50" s="12">
        <v>6</v>
      </c>
      <c r="B50" s="41" t="s">
        <v>50</v>
      </c>
      <c r="C50" s="14"/>
      <c r="D50" s="15"/>
      <c r="E50" s="16"/>
      <c r="F50" s="16"/>
      <c r="G50" s="19"/>
      <c r="H50" s="18"/>
      <c r="I50" s="19"/>
      <c r="J50" s="37"/>
      <c r="K50" s="16"/>
    </row>
    <row r="51" spans="1:14" x14ac:dyDescent="0.25">
      <c r="A51" s="25"/>
      <c r="B51" s="35" t="s">
        <v>45</v>
      </c>
      <c r="C51" s="32">
        <v>2</v>
      </c>
      <c r="D51" s="33">
        <v>0.15</v>
      </c>
      <c r="E51" s="33">
        <v>0.15</v>
      </c>
      <c r="F51" s="33">
        <f>6.5/3.281</f>
        <v>1.9811033221578787</v>
      </c>
      <c r="G51" s="33">
        <f>PRODUCT(C51:F51)</f>
        <v>8.9149649497104536E-2</v>
      </c>
      <c r="H51" s="34"/>
      <c r="I51" s="34"/>
      <c r="J51" s="33"/>
      <c r="K51" s="34"/>
    </row>
    <row r="52" spans="1:14" hidden="1" x14ac:dyDescent="0.25">
      <c r="A52" s="25"/>
      <c r="B52" s="35" t="s">
        <v>51</v>
      </c>
      <c r="C52" s="32">
        <f>0*2</f>
        <v>0</v>
      </c>
      <c r="D52" s="33">
        <f>15/3.281</f>
        <v>4.5717768972874122</v>
      </c>
      <c r="E52" s="33">
        <f>10.75/3.281</f>
        <v>3.2764401097226452</v>
      </c>
      <c r="F52" s="33">
        <v>0.05</v>
      </c>
      <c r="G52" s="33">
        <f>PRODUCT(C52:F52)</f>
        <v>0</v>
      </c>
      <c r="H52" s="34"/>
      <c r="I52" s="34"/>
      <c r="J52" s="33"/>
      <c r="K52" s="34"/>
    </row>
    <row r="53" spans="1:14" ht="15" customHeight="1" x14ac:dyDescent="0.25">
      <c r="A53" s="25"/>
      <c r="B53" s="43" t="s">
        <v>25</v>
      </c>
      <c r="C53" s="32"/>
      <c r="D53" s="33"/>
      <c r="E53" s="33"/>
      <c r="F53" s="33"/>
      <c r="G53" s="37">
        <f>SUM(G51:G52)</f>
        <v>8.9149649497104536E-2</v>
      </c>
      <c r="H53" s="37" t="s">
        <v>30</v>
      </c>
      <c r="I53" s="38">
        <v>14200.82</v>
      </c>
      <c r="J53" s="39">
        <f>G53*I53</f>
        <v>1265.998125571472</v>
      </c>
      <c r="K53" s="34"/>
    </row>
    <row r="54" spans="1:14" ht="15" customHeight="1" x14ac:dyDescent="0.25">
      <c r="A54" s="12"/>
      <c r="B54" s="43" t="s">
        <v>52</v>
      </c>
      <c r="C54" s="14"/>
      <c r="D54" s="15"/>
      <c r="E54" s="16"/>
      <c r="F54" s="16"/>
      <c r="G54" s="19"/>
      <c r="H54" s="18"/>
      <c r="I54" s="19"/>
      <c r="J54" s="37">
        <f>0.13*G53*10250.02</f>
        <v>118.79213974398048</v>
      </c>
      <c r="K54" s="16"/>
    </row>
    <row r="55" spans="1:14" ht="15" customHeight="1" x14ac:dyDescent="0.25">
      <c r="A55" s="12"/>
      <c r="B55" s="43"/>
      <c r="C55" s="14"/>
      <c r="D55" s="15"/>
      <c r="E55" s="16"/>
      <c r="F55" s="16"/>
      <c r="G55" s="19"/>
      <c r="H55" s="18"/>
      <c r="I55" s="19"/>
      <c r="J55" s="37"/>
      <c r="K55" s="16"/>
    </row>
    <row r="56" spans="1:14" ht="30.75" hidden="1" x14ac:dyDescent="0.25">
      <c r="A56" s="25">
        <v>8</v>
      </c>
      <c r="B56" s="11" t="s">
        <v>53</v>
      </c>
      <c r="C56" s="26"/>
      <c r="D56" s="17"/>
      <c r="E56" s="17"/>
      <c r="F56" s="17"/>
      <c r="G56" s="27"/>
      <c r="H56" s="27"/>
      <c r="I56" s="28"/>
      <c r="J56" s="29"/>
      <c r="K56" s="30"/>
      <c r="N56">
        <f>6.2*3.281+0.23*2</f>
        <v>20.802200000000003</v>
      </c>
    </row>
    <row r="57" spans="1:14" ht="15" hidden="1" customHeight="1" x14ac:dyDescent="0.25">
      <c r="A57" s="25"/>
      <c r="B57" s="22" t="s">
        <v>54</v>
      </c>
      <c r="C57" s="26">
        <v>2</v>
      </c>
      <c r="D57" s="17">
        <f>(10.75/3.281)</f>
        <v>3.2764401097226452</v>
      </c>
      <c r="E57" s="17">
        <f>0.1</f>
        <v>0.1</v>
      </c>
      <c r="F57" s="17">
        <v>0.9</v>
      </c>
      <c r="G57" s="17">
        <f>PRODUCT(C57:F57)</f>
        <v>0.58975921975007617</v>
      </c>
      <c r="H57" s="45"/>
      <c r="I57" s="45"/>
      <c r="J57" s="39"/>
      <c r="K57" s="30"/>
    </row>
    <row r="58" spans="1:14" ht="15" hidden="1" customHeight="1" x14ac:dyDescent="0.25">
      <c r="A58" s="25"/>
      <c r="B58" s="22"/>
      <c r="C58" s="26">
        <v>2</v>
      </c>
      <c r="D58" s="17">
        <f>(6.2)</f>
        <v>6.2</v>
      </c>
      <c r="E58" s="17">
        <v>0.23</v>
      </c>
      <c r="F58" s="17">
        <v>0.9</v>
      </c>
      <c r="G58" s="17">
        <f>PRODUCT(C58:F58)</f>
        <v>2.5668000000000002</v>
      </c>
      <c r="H58" s="45"/>
      <c r="I58" s="45"/>
      <c r="J58" s="39"/>
      <c r="K58" s="30"/>
    </row>
    <row r="59" spans="1:14" ht="15" hidden="1" customHeight="1" x14ac:dyDescent="0.25">
      <c r="A59" s="25"/>
      <c r="B59" s="22" t="s">
        <v>25</v>
      </c>
      <c r="C59" s="26"/>
      <c r="D59" s="17"/>
      <c r="E59" s="17"/>
      <c r="F59" s="17"/>
      <c r="G59" s="27">
        <f>0*SUM(G57:G58)</f>
        <v>0</v>
      </c>
      <c r="H59" s="27" t="s">
        <v>30</v>
      </c>
      <c r="I59" s="28">
        <v>15375.48</v>
      </c>
      <c r="J59" s="29">
        <f>G59*I59</f>
        <v>0</v>
      </c>
      <c r="K59" s="30"/>
    </row>
    <row r="60" spans="1:14" ht="15" hidden="1" customHeight="1" x14ac:dyDescent="0.25">
      <c r="A60" s="12"/>
      <c r="B60" s="22" t="s">
        <v>49</v>
      </c>
      <c r="C60" s="14"/>
      <c r="D60" s="15"/>
      <c r="E60" s="16"/>
      <c r="F60" s="16"/>
      <c r="G60" s="19"/>
      <c r="H60" s="18"/>
      <c r="I60" s="19"/>
      <c r="J60" s="20">
        <f>0.13*G59*10946.58</f>
        <v>0</v>
      </c>
      <c r="K60" s="16"/>
      <c r="M60" s="21"/>
      <c r="N60" s="21"/>
    </row>
    <row r="61" spans="1:14" ht="15" hidden="1" customHeight="1" x14ac:dyDescent="0.25">
      <c r="A61" s="25"/>
      <c r="B61" s="22"/>
      <c r="C61" s="26"/>
      <c r="D61" s="17"/>
      <c r="E61" s="17"/>
      <c r="F61" s="17"/>
      <c r="G61" s="27"/>
      <c r="H61" s="27"/>
      <c r="I61" s="28"/>
      <c r="J61" s="29"/>
      <c r="K61" s="30"/>
    </row>
    <row r="62" spans="1:14" ht="30.75" x14ac:dyDescent="0.25">
      <c r="A62" s="25">
        <v>7</v>
      </c>
      <c r="B62" s="11" t="s">
        <v>55</v>
      </c>
      <c r="C62" s="26"/>
      <c r="D62" s="17"/>
      <c r="E62" s="17"/>
      <c r="F62" s="17"/>
      <c r="G62" s="27"/>
      <c r="H62" s="27"/>
      <c r="I62" s="28"/>
      <c r="J62" s="29"/>
      <c r="K62" s="30"/>
    </row>
    <row r="63" spans="1:14" ht="15" customHeight="1" x14ac:dyDescent="0.25">
      <c r="A63" s="25"/>
      <c r="B63" s="22" t="s">
        <v>56</v>
      </c>
      <c r="C63" s="26">
        <v>2</v>
      </c>
      <c r="D63" s="17">
        <f>24/12/3.281</f>
        <v>0.6095702529716549</v>
      </c>
      <c r="E63" s="17">
        <f>24/12/3.281</f>
        <v>0.6095702529716549</v>
      </c>
      <c r="F63" s="17">
        <f>24/12/3.281</f>
        <v>0.6095702529716549</v>
      </c>
      <c r="G63" s="17">
        <f>PRODUCT(C63:F63)</f>
        <v>0.45300322256376385</v>
      </c>
      <c r="H63" s="45"/>
      <c r="I63" s="45"/>
      <c r="J63" s="39"/>
      <c r="K63" s="30"/>
    </row>
    <row r="64" spans="1:14" ht="15" customHeight="1" x14ac:dyDescent="0.25">
      <c r="A64" s="25"/>
      <c r="B64" s="22" t="s">
        <v>57</v>
      </c>
      <c r="C64" s="26">
        <v>-2</v>
      </c>
      <c r="D64" s="17">
        <f>0.15</f>
        <v>0.15</v>
      </c>
      <c r="E64" s="17">
        <f>0.15</f>
        <v>0.15</v>
      </c>
      <c r="F64" s="17">
        <f>24/12/3.281</f>
        <v>0.6095702529716549</v>
      </c>
      <c r="G64" s="17">
        <f>PRODUCT(C64:F64)</f>
        <v>-2.7430661383724471E-2</v>
      </c>
      <c r="H64" s="45"/>
      <c r="I64" s="45"/>
      <c r="J64" s="39"/>
      <c r="K64" s="30"/>
    </row>
    <row r="65" spans="1:14" ht="15" customHeight="1" x14ac:dyDescent="0.25">
      <c r="A65" s="25"/>
      <c r="B65" s="22" t="s">
        <v>25</v>
      </c>
      <c r="C65" s="26"/>
      <c r="D65" s="17"/>
      <c r="E65" s="17"/>
      <c r="F65" s="17"/>
      <c r="G65" s="27">
        <f>SUM(G63:G64)</f>
        <v>0.42557256118003939</v>
      </c>
      <c r="H65" s="27" t="s">
        <v>30</v>
      </c>
      <c r="I65" s="28">
        <v>14520.78</v>
      </c>
      <c r="J65" s="29">
        <f>G65*I65</f>
        <v>6179.6455349318931</v>
      </c>
      <c r="K65" s="30"/>
    </row>
    <row r="66" spans="1:14" ht="15" customHeight="1" x14ac:dyDescent="0.25">
      <c r="A66" s="12"/>
      <c r="B66" s="22" t="s">
        <v>49</v>
      </c>
      <c r="C66" s="14"/>
      <c r="D66" s="15"/>
      <c r="E66" s="16"/>
      <c r="F66" s="16"/>
      <c r="G66" s="19"/>
      <c r="H66" s="18"/>
      <c r="I66" s="19"/>
      <c r="J66" s="20">
        <f>0.13*G65*10555.39</f>
        <v>583.97096635204286</v>
      </c>
      <c r="K66" s="16"/>
      <c r="M66" s="21"/>
      <c r="N66" s="21"/>
    </row>
    <row r="67" spans="1:14" ht="15" customHeight="1" x14ac:dyDescent="0.25">
      <c r="A67" s="25"/>
      <c r="B67" s="22"/>
      <c r="C67" s="26"/>
      <c r="D67" s="17"/>
      <c r="E67" s="17"/>
      <c r="F67" s="17"/>
      <c r="G67" s="27"/>
      <c r="H67" s="27"/>
      <c r="I67" s="28"/>
      <c r="J67" s="29"/>
      <c r="K67" s="30"/>
    </row>
    <row r="68" spans="1:14" ht="47.25" x14ac:dyDescent="0.25">
      <c r="A68" s="12">
        <v>8</v>
      </c>
      <c r="B68" s="23" t="s">
        <v>58</v>
      </c>
      <c r="C68" s="30"/>
      <c r="D68" s="30"/>
      <c r="E68" s="30"/>
      <c r="F68" s="30"/>
      <c r="G68" s="46"/>
      <c r="H68" s="18"/>
      <c r="I68" s="19"/>
      <c r="J68" s="19"/>
      <c r="K68" s="16"/>
      <c r="M68" s="21"/>
    </row>
    <row r="69" spans="1:14" ht="15" customHeight="1" x14ac:dyDescent="0.25">
      <c r="A69" s="12"/>
      <c r="B69" s="13" t="s">
        <v>59</v>
      </c>
      <c r="C69" s="14">
        <v>1</v>
      </c>
      <c r="D69" s="15"/>
      <c r="E69" s="16">
        <f>10.75/3.281</f>
        <v>3.2764401097226452</v>
      </c>
      <c r="F69" s="16">
        <f>(9.42+7.75)/3.281</f>
        <v>5.233160621761658</v>
      </c>
      <c r="G69" s="17">
        <f t="shared" ref="G69:G74" si="5">PRODUCT(C69:F69)</f>
        <v>17.146137361760992</v>
      </c>
      <c r="H69" s="18"/>
      <c r="I69" s="19"/>
      <c r="J69" s="20"/>
      <c r="K69" s="16"/>
      <c r="M69" s="21"/>
      <c r="N69" s="21"/>
    </row>
    <row r="70" spans="1:14" ht="15" customHeight="1" x14ac:dyDescent="0.25">
      <c r="A70" s="12"/>
      <c r="B70" s="13" t="s">
        <v>22</v>
      </c>
      <c r="C70" s="14">
        <v>-1</v>
      </c>
      <c r="D70" s="15">
        <f>3.5/3.281</f>
        <v>1.0667479427003961</v>
      </c>
      <c r="E70" s="16"/>
      <c r="F70" s="16">
        <f>4.5/3.281</f>
        <v>1.3715330691862238</v>
      </c>
      <c r="G70" s="17">
        <f t="shared" si="5"/>
        <v>-1.4630800798999641</v>
      </c>
      <c r="H70" s="18"/>
      <c r="I70" s="19"/>
      <c r="J70" s="20"/>
      <c r="K70" s="16"/>
      <c r="M70" s="21"/>
      <c r="N70" s="21"/>
    </row>
    <row r="71" spans="1:14" ht="15" customHeight="1" x14ac:dyDescent="0.25">
      <c r="A71" s="12"/>
      <c r="B71" s="13" t="s">
        <v>23</v>
      </c>
      <c r="C71" s="14">
        <v>-1</v>
      </c>
      <c r="D71" s="15">
        <f>3.833/3.281</f>
        <v>1.1682413898201769</v>
      </c>
      <c r="E71" s="16"/>
      <c r="F71" s="16">
        <f>6.5/3.281</f>
        <v>1.9811033221578787</v>
      </c>
      <c r="G71" s="17">
        <f t="shared" si="5"/>
        <v>-2.3144068984550898</v>
      </c>
      <c r="H71" s="18"/>
      <c r="I71" s="19"/>
      <c r="J71" s="20"/>
      <c r="K71" s="16"/>
      <c r="M71" s="21"/>
      <c r="N71" s="21"/>
    </row>
    <row r="72" spans="1:14" ht="15" customHeight="1" x14ac:dyDescent="0.25">
      <c r="A72" s="12"/>
      <c r="B72" s="13" t="s">
        <v>60</v>
      </c>
      <c r="C72" s="14">
        <v>1</v>
      </c>
      <c r="D72" s="15"/>
      <c r="E72" s="16">
        <f>(5.75)/3.281</f>
        <v>1.752514477293508</v>
      </c>
      <c r="F72" s="16">
        <f>(9.42+7.75)/3.281</f>
        <v>5.233160621761658</v>
      </c>
      <c r="G72" s="17">
        <f t="shared" si="5"/>
        <v>9.1711897516396004</v>
      </c>
      <c r="H72" s="18"/>
      <c r="I72" s="19"/>
      <c r="J72" s="20"/>
      <c r="K72" s="16"/>
      <c r="M72" s="21"/>
      <c r="N72" s="21"/>
    </row>
    <row r="73" spans="1:14" ht="15" customHeight="1" x14ac:dyDescent="0.25">
      <c r="A73" s="12"/>
      <c r="B73" s="13" t="s">
        <v>61</v>
      </c>
      <c r="C73" s="14">
        <v>-1</v>
      </c>
      <c r="D73" s="15">
        <f>E69+E72</f>
        <v>5.0289545870161536</v>
      </c>
      <c r="E73" s="16"/>
      <c r="F73" s="16">
        <f>13*0.15</f>
        <v>1.95</v>
      </c>
      <c r="G73" s="17">
        <f t="shared" si="5"/>
        <v>-9.8064614446814993</v>
      </c>
      <c r="H73" s="18"/>
      <c r="I73" s="19"/>
      <c r="J73" s="20"/>
      <c r="K73" s="16"/>
      <c r="M73" s="21"/>
      <c r="N73" s="21"/>
    </row>
    <row r="74" spans="1:14" ht="15" customHeight="1" x14ac:dyDescent="0.25">
      <c r="A74" s="12"/>
      <c r="B74" s="13"/>
      <c r="C74" s="14">
        <v>-1</v>
      </c>
      <c r="D74" s="15">
        <f>D73</f>
        <v>5.0289545870161536</v>
      </c>
      <c r="E74" s="16"/>
      <c r="F74" s="16">
        <f>8/12/3.281</f>
        <v>0.20319008432388497</v>
      </c>
      <c r="G74" s="17">
        <f t="shared" si="5"/>
        <v>-1.0218337065968004</v>
      </c>
      <c r="H74" s="18"/>
      <c r="I74" s="19"/>
      <c r="J74" s="20"/>
      <c r="K74" s="16"/>
      <c r="M74" s="21"/>
      <c r="N74" s="21"/>
    </row>
    <row r="75" spans="1:14" s="53" customFormat="1" ht="15" customHeight="1" x14ac:dyDescent="0.25">
      <c r="A75" s="47"/>
      <c r="B75" s="48" t="s">
        <v>62</v>
      </c>
      <c r="C75" s="49">
        <v>1</v>
      </c>
      <c r="D75" s="50">
        <f>2.75+6.2+6.2+2.6</f>
        <v>17.75</v>
      </c>
      <c r="E75" s="50"/>
      <c r="F75" s="50">
        <f>2.6</f>
        <v>2.6</v>
      </c>
      <c r="G75" s="50">
        <f>PRODUCT(C75:F75)</f>
        <v>46.15</v>
      </c>
      <c r="H75" s="50"/>
      <c r="I75" s="50"/>
      <c r="J75" s="51"/>
      <c r="K75" s="52"/>
    </row>
    <row r="76" spans="1:14" s="53" customFormat="1" ht="15" customHeight="1" x14ac:dyDescent="0.25">
      <c r="A76" s="47"/>
      <c r="B76" s="48" t="s">
        <v>63</v>
      </c>
      <c r="C76" s="49">
        <v>-1</v>
      </c>
      <c r="D76" s="50">
        <f>4/3.281</f>
        <v>1.2191405059433098</v>
      </c>
      <c r="E76" s="50"/>
      <c r="F76" s="50">
        <f>6.5/3.281</f>
        <v>1.9811033221578787</v>
      </c>
      <c r="G76" s="50">
        <f t="shared" ref="G76:G88" si="6">PRODUCT(C76:F76)</f>
        <v>-2.415243306501528</v>
      </c>
      <c r="H76" s="50"/>
      <c r="I76" s="50"/>
      <c r="J76" s="51"/>
      <c r="K76" s="52"/>
    </row>
    <row r="77" spans="1:14" s="53" customFormat="1" ht="15" customHeight="1" x14ac:dyDescent="0.25">
      <c r="A77" s="47"/>
      <c r="B77" s="48" t="s">
        <v>64</v>
      </c>
      <c r="C77" s="49">
        <f>-0.5*8</f>
        <v>-4</v>
      </c>
      <c r="D77" s="50">
        <f>0.667/3.281</f>
        <v>0.20329167936604695</v>
      </c>
      <c r="E77" s="50">
        <f>0.667/3.281</f>
        <v>0.20329167936604695</v>
      </c>
      <c r="F77" s="50"/>
      <c r="G77" s="50">
        <f t="shared" si="6"/>
        <v>-0.16531002759787056</v>
      </c>
      <c r="H77" s="50"/>
      <c r="I77" s="50"/>
      <c r="J77" s="51"/>
      <c r="K77" s="52"/>
    </row>
    <row r="78" spans="1:14" s="53" customFormat="1" ht="15" hidden="1" customHeight="1" x14ac:dyDescent="0.25">
      <c r="A78" s="47"/>
      <c r="B78" s="48" t="s">
        <v>65</v>
      </c>
      <c r="C78" s="49">
        <f>0*2</f>
        <v>0</v>
      </c>
      <c r="D78" s="50">
        <f>2.6</f>
        <v>2.6</v>
      </c>
      <c r="E78" s="50"/>
      <c r="F78" s="50">
        <f>2.6</f>
        <v>2.6</v>
      </c>
      <c r="G78" s="50">
        <f t="shared" si="6"/>
        <v>0</v>
      </c>
      <c r="H78" s="50"/>
      <c r="I78" s="50"/>
      <c r="J78" s="51"/>
      <c r="K78" s="52"/>
    </row>
    <row r="79" spans="1:14" s="53" customFormat="1" ht="15" hidden="1" customHeight="1" x14ac:dyDescent="0.25">
      <c r="A79" s="47"/>
      <c r="B79" s="48"/>
      <c r="C79" s="49">
        <f>0*2</f>
        <v>0</v>
      </c>
      <c r="D79" s="50">
        <f>6.2-D78</f>
        <v>3.6</v>
      </c>
      <c r="E79" s="50"/>
      <c r="F79" s="50">
        <f>2.6</f>
        <v>2.6</v>
      </c>
      <c r="G79" s="50">
        <f t="shared" si="6"/>
        <v>0</v>
      </c>
      <c r="H79" s="50"/>
      <c r="I79" s="50"/>
      <c r="J79" s="51"/>
      <c r="K79" s="52"/>
    </row>
    <row r="80" spans="1:14" s="53" customFormat="1" ht="15" hidden="1" customHeight="1" x14ac:dyDescent="0.25">
      <c r="A80" s="47"/>
      <c r="B80" s="48" t="s">
        <v>22</v>
      </c>
      <c r="C80" s="49">
        <f>0*-1</f>
        <v>0</v>
      </c>
      <c r="D80" s="50">
        <f>3.5/3.281</f>
        <v>1.0667479427003961</v>
      </c>
      <c r="E80" s="50"/>
      <c r="F80" s="50">
        <f>4.5/3.281</f>
        <v>1.3715330691862238</v>
      </c>
      <c r="G80" s="50">
        <f t="shared" si="6"/>
        <v>0</v>
      </c>
      <c r="H80" s="50"/>
      <c r="I80" s="50"/>
      <c r="J80" s="51"/>
      <c r="K80" s="52"/>
    </row>
    <row r="81" spans="1:14" s="53" customFormat="1" ht="15" hidden="1" customHeight="1" x14ac:dyDescent="0.25">
      <c r="A81" s="47"/>
      <c r="B81" s="48" t="s">
        <v>66</v>
      </c>
      <c r="C81" s="49">
        <f>0*1</f>
        <v>0</v>
      </c>
      <c r="D81" s="50">
        <f>10.75/3.281</f>
        <v>3.2764401097226452</v>
      </c>
      <c r="E81" s="50"/>
      <c r="F81" s="50">
        <v>0.9</v>
      </c>
      <c r="G81" s="50">
        <f t="shared" si="6"/>
        <v>0</v>
      </c>
      <c r="H81" s="50"/>
      <c r="I81" s="50"/>
      <c r="J81" s="51"/>
      <c r="K81" s="52"/>
    </row>
    <row r="82" spans="1:14" s="53" customFormat="1" ht="15" hidden="1" customHeight="1" x14ac:dyDescent="0.25">
      <c r="A82" s="47"/>
      <c r="B82" s="48"/>
      <c r="C82" s="49">
        <f>0*1</f>
        <v>0</v>
      </c>
      <c r="D82" s="50"/>
      <c r="E82" s="50">
        <f>E72</f>
        <v>1.752514477293508</v>
      </c>
      <c r="F82" s="50">
        <v>0.9</v>
      </c>
      <c r="G82" s="50">
        <f t="shared" si="6"/>
        <v>0</v>
      </c>
      <c r="H82" s="50"/>
      <c r="I82" s="50"/>
      <c r="J82" s="51"/>
      <c r="K82" s="52"/>
    </row>
    <row r="83" spans="1:14" s="53" customFormat="1" ht="15" hidden="1" customHeight="1" x14ac:dyDescent="0.25">
      <c r="A83" s="47"/>
      <c r="B83" s="48" t="s">
        <v>67</v>
      </c>
      <c r="C83" s="49">
        <f>0*2</f>
        <v>0</v>
      </c>
      <c r="D83" s="50">
        <f>D78</f>
        <v>2.6</v>
      </c>
      <c r="E83" s="50"/>
      <c r="F83" s="50">
        <v>0.9</v>
      </c>
      <c r="G83" s="50">
        <f t="shared" si="6"/>
        <v>0</v>
      </c>
      <c r="H83" s="50"/>
      <c r="I83" s="50"/>
      <c r="J83" s="51"/>
      <c r="K83" s="52"/>
    </row>
    <row r="84" spans="1:14" s="53" customFormat="1" ht="15" hidden="1" customHeight="1" x14ac:dyDescent="0.25">
      <c r="A84" s="47"/>
      <c r="B84" s="48"/>
      <c r="C84" s="49">
        <f>0*2</f>
        <v>0</v>
      </c>
      <c r="D84" s="50"/>
      <c r="E84" s="50">
        <v>6.2</v>
      </c>
      <c r="F84" s="50">
        <v>0.9</v>
      </c>
      <c r="G84" s="50">
        <f t="shared" si="6"/>
        <v>0</v>
      </c>
      <c r="H84" s="50"/>
      <c r="I84" s="50"/>
      <c r="J84" s="51"/>
      <c r="K84" s="52"/>
    </row>
    <row r="85" spans="1:14" s="53" customFormat="1" ht="15" hidden="1" customHeight="1" x14ac:dyDescent="0.25">
      <c r="A85" s="47"/>
      <c r="B85" s="48" t="s">
        <v>68</v>
      </c>
      <c r="C85" s="49">
        <f>0*-2</f>
        <v>0</v>
      </c>
      <c r="D85" s="50"/>
      <c r="E85" s="50">
        <f>3/3.281</f>
        <v>0.91435537945748246</v>
      </c>
      <c r="F85" s="50">
        <f>2/3.281</f>
        <v>0.6095702529716549</v>
      </c>
      <c r="G85" s="50">
        <f t="shared" si="6"/>
        <v>0</v>
      </c>
      <c r="H85" s="50"/>
      <c r="I85" s="50"/>
      <c r="J85" s="51"/>
      <c r="K85" s="52"/>
    </row>
    <row r="86" spans="1:14" s="53" customFormat="1" ht="15" customHeight="1" x14ac:dyDescent="0.25">
      <c r="A86" s="47"/>
      <c r="B86" s="48" t="s">
        <v>69</v>
      </c>
      <c r="C86" s="49">
        <f>2*4</f>
        <v>8</v>
      </c>
      <c r="D86" s="50">
        <f>16/12/3.281</f>
        <v>0.40638016864776993</v>
      </c>
      <c r="E86" s="50"/>
      <c r="F86" s="50">
        <f>5/3.281</f>
        <v>1.5239256324291375</v>
      </c>
      <c r="G86" s="50">
        <f t="shared" si="6"/>
        <v>4.9543452441056983</v>
      </c>
      <c r="H86" s="50"/>
      <c r="I86" s="50"/>
      <c r="J86" s="51"/>
      <c r="K86" s="52"/>
    </row>
    <row r="87" spans="1:14" s="53" customFormat="1" ht="15" customHeight="1" x14ac:dyDescent="0.25">
      <c r="A87" s="47"/>
      <c r="B87" s="48" t="s">
        <v>70</v>
      </c>
      <c r="C87" s="49">
        <f>-2*4</f>
        <v>-8</v>
      </c>
      <c r="D87" s="50">
        <f>16/12/3.281</f>
        <v>0.40638016864776993</v>
      </c>
      <c r="E87" s="50"/>
      <c r="F87" s="50">
        <f>8/12/3.281</f>
        <v>0.20319008432388497</v>
      </c>
      <c r="G87" s="50">
        <f t="shared" si="6"/>
        <v>-0.66057936588075972</v>
      </c>
      <c r="H87" s="50"/>
      <c r="I87" s="50"/>
      <c r="J87" s="51"/>
      <c r="K87" s="52"/>
    </row>
    <row r="88" spans="1:14" s="53" customFormat="1" ht="15" hidden="1" customHeight="1" x14ac:dyDescent="0.25">
      <c r="A88" s="47"/>
      <c r="B88" s="48" t="s">
        <v>71</v>
      </c>
      <c r="C88" s="49">
        <f>0*1</f>
        <v>0</v>
      </c>
      <c r="D88" s="50">
        <f>10.75/3.281</f>
        <v>3.2764401097226452</v>
      </c>
      <c r="E88" s="50"/>
      <c r="F88" s="50">
        <f>F69</f>
        <v>5.233160621761658</v>
      </c>
      <c r="G88" s="50">
        <f t="shared" si="6"/>
        <v>0</v>
      </c>
      <c r="H88" s="50"/>
      <c r="I88" s="50"/>
      <c r="J88" s="51"/>
      <c r="K88" s="52"/>
    </row>
    <row r="89" spans="1:14" s="53" customFormat="1" ht="15" hidden="1" customHeight="1" x14ac:dyDescent="0.25">
      <c r="A89" s="47"/>
      <c r="B89" s="48"/>
      <c r="C89" s="49">
        <f>0*1</f>
        <v>0</v>
      </c>
      <c r="D89" s="50">
        <f>10.75/3.281</f>
        <v>3.2764401097226452</v>
      </c>
      <c r="E89" s="50"/>
      <c r="F89" s="50">
        <f>F81</f>
        <v>0.9</v>
      </c>
      <c r="G89" s="50">
        <f t="shared" ref="G89" si="7">PRODUCT(C89:F89)</f>
        <v>0</v>
      </c>
      <c r="H89" s="50"/>
      <c r="I89" s="50"/>
      <c r="J89" s="51"/>
      <c r="K89" s="52"/>
    </row>
    <row r="90" spans="1:14" ht="15" customHeight="1" x14ac:dyDescent="0.25">
      <c r="A90" s="12"/>
      <c r="B90" s="22" t="s">
        <v>25</v>
      </c>
      <c r="C90" s="14"/>
      <c r="D90" s="15"/>
      <c r="E90" s="16"/>
      <c r="F90" s="16"/>
      <c r="G90" s="19">
        <f>SUM(G69:G89)</f>
        <v>59.574757527892778</v>
      </c>
      <c r="H90" s="18" t="s">
        <v>26</v>
      </c>
      <c r="I90" s="19">
        <f>515448.67/100</f>
        <v>5154.4866999999995</v>
      </c>
      <c r="J90" s="20">
        <f>G90*I90</f>
        <v>307077.29533324816</v>
      </c>
      <c r="K90" s="16"/>
      <c r="M90" s="21"/>
      <c r="N90" s="21"/>
    </row>
    <row r="91" spans="1:14" ht="15" customHeight="1" x14ac:dyDescent="0.25">
      <c r="A91" s="12"/>
      <c r="B91" s="22" t="s">
        <v>49</v>
      </c>
      <c r="C91" s="14"/>
      <c r="D91" s="15"/>
      <c r="E91" s="16"/>
      <c r="F91" s="16"/>
      <c r="G91" s="19"/>
      <c r="H91" s="18"/>
      <c r="I91" s="19"/>
      <c r="J91" s="20">
        <f>G90*0.13*(328838.67/100)</f>
        <v>25467.629240358176</v>
      </c>
      <c r="K91" s="16"/>
      <c r="M91" s="21"/>
      <c r="N91" s="21"/>
    </row>
    <row r="92" spans="1:14" ht="15" customHeight="1" x14ac:dyDescent="0.25">
      <c r="A92" s="12"/>
      <c r="B92" s="22"/>
      <c r="C92" s="14"/>
      <c r="D92" s="15"/>
      <c r="E92" s="16"/>
      <c r="F92" s="16"/>
      <c r="G92" s="19"/>
      <c r="H92" s="18"/>
      <c r="I92" s="19"/>
      <c r="J92" s="20"/>
      <c r="K92" s="16"/>
      <c r="M92" s="21"/>
      <c r="N92" s="21"/>
    </row>
    <row r="93" spans="1:14" ht="47.25" x14ac:dyDescent="0.25">
      <c r="A93" s="12">
        <v>9</v>
      </c>
      <c r="B93" s="23" t="s">
        <v>72</v>
      </c>
      <c r="C93" s="14"/>
      <c r="D93" s="15"/>
      <c r="E93" s="16"/>
      <c r="F93" s="16"/>
      <c r="G93" s="19"/>
      <c r="H93" s="18"/>
      <c r="I93" s="19"/>
      <c r="J93" s="20"/>
      <c r="K93" s="16"/>
      <c r="M93" s="21"/>
      <c r="N93" s="21"/>
    </row>
    <row r="94" spans="1:14" ht="15" customHeight="1" x14ac:dyDescent="0.25">
      <c r="A94" s="12"/>
      <c r="B94" s="22" t="s">
        <v>54</v>
      </c>
      <c r="C94" s="14">
        <f>0*1+1*2</f>
        <v>2</v>
      </c>
      <c r="D94" s="15">
        <f>E69+E72</f>
        <v>5.0289545870161536</v>
      </c>
      <c r="E94" s="16"/>
      <c r="F94" s="16"/>
      <c r="G94" s="17">
        <f>PRODUCT(C94:F94)</f>
        <v>10.057909174032307</v>
      </c>
      <c r="H94" s="18"/>
      <c r="I94" s="19"/>
      <c r="J94" s="20"/>
      <c r="K94" s="16"/>
      <c r="M94" s="21"/>
      <c r="N94" s="21"/>
    </row>
    <row r="95" spans="1:14" ht="15" customHeight="1" x14ac:dyDescent="0.25">
      <c r="A95" s="12"/>
      <c r="B95" s="22" t="s">
        <v>56</v>
      </c>
      <c r="C95" s="14">
        <v>2</v>
      </c>
      <c r="D95" s="15">
        <f>(24/12/3.281)*4</f>
        <v>2.4382810118866196</v>
      </c>
      <c r="E95" s="16"/>
      <c r="F95" s="16"/>
      <c r="G95" s="17">
        <f>PRODUCT(C95:F95)</f>
        <v>4.8765620237732392</v>
      </c>
      <c r="H95" s="18"/>
      <c r="I95" s="19"/>
      <c r="J95" s="20"/>
      <c r="K95" s="16"/>
      <c r="M95" s="21"/>
      <c r="N95" s="21"/>
    </row>
    <row r="96" spans="1:14" ht="15" customHeight="1" x14ac:dyDescent="0.25">
      <c r="A96" s="12"/>
      <c r="B96" s="22" t="s">
        <v>25</v>
      </c>
      <c r="C96" s="14"/>
      <c r="D96" s="15"/>
      <c r="E96" s="16"/>
      <c r="F96" s="16"/>
      <c r="G96" s="19">
        <f>SUM(G94:G95)</f>
        <v>14.934471197805546</v>
      </c>
      <c r="H96" s="18" t="s">
        <v>73</v>
      </c>
      <c r="I96" s="19">
        <f>3932.81/10</f>
        <v>393.28100000000001</v>
      </c>
      <c r="J96" s="20">
        <f>G96*I96</f>
        <v>5873.4437671441628</v>
      </c>
      <c r="K96" s="16"/>
      <c r="M96" s="21"/>
      <c r="N96" s="21"/>
    </row>
    <row r="97" spans="1:14" ht="15" customHeight="1" x14ac:dyDescent="0.25">
      <c r="A97" s="12"/>
      <c r="B97" s="22" t="s">
        <v>49</v>
      </c>
      <c r="C97" s="14"/>
      <c r="D97" s="15"/>
      <c r="E97" s="16"/>
      <c r="F97" s="16"/>
      <c r="G97" s="19"/>
      <c r="H97" s="18"/>
      <c r="I97" s="19"/>
      <c r="J97" s="20">
        <f>G96*0.13*(2165.31/10)</f>
        <v>420.39087778116431</v>
      </c>
      <c r="K97" s="16"/>
      <c r="M97" s="21"/>
      <c r="N97" s="21"/>
    </row>
    <row r="98" spans="1:14" ht="15" customHeight="1" x14ac:dyDescent="0.25">
      <c r="A98" s="12"/>
      <c r="B98" s="22"/>
      <c r="C98" s="14"/>
      <c r="D98" s="15"/>
      <c r="E98" s="16"/>
      <c r="F98" s="16"/>
      <c r="G98" s="19"/>
      <c r="H98" s="18"/>
      <c r="I98" s="19"/>
      <c r="J98" s="20"/>
      <c r="K98" s="16"/>
      <c r="M98" s="21"/>
      <c r="N98" s="21"/>
    </row>
    <row r="99" spans="1:14" ht="30.75" customHeight="1" x14ac:dyDescent="0.25">
      <c r="A99" s="47">
        <v>10</v>
      </c>
      <c r="B99" s="23" t="s">
        <v>74</v>
      </c>
      <c r="C99" s="49"/>
      <c r="D99" s="50"/>
      <c r="E99" s="50"/>
      <c r="F99" s="50"/>
      <c r="G99" s="50"/>
      <c r="H99" s="50"/>
      <c r="I99" s="50"/>
      <c r="J99" s="51"/>
      <c r="K99" s="52"/>
    </row>
    <row r="100" spans="1:14" ht="15" customHeight="1" x14ac:dyDescent="0.25">
      <c r="A100" s="12"/>
      <c r="B100" s="22" t="s">
        <v>54</v>
      </c>
      <c r="C100" s="14">
        <f>1</f>
        <v>1</v>
      </c>
      <c r="D100" s="15">
        <f>D94</f>
        <v>5.0289545870161536</v>
      </c>
      <c r="E100" s="16"/>
      <c r="F100" s="16"/>
      <c r="G100" s="17">
        <f t="shared" ref="G100" si="8">PRODUCT(C100:F100)</f>
        <v>5.0289545870161536</v>
      </c>
      <c r="H100" s="18"/>
      <c r="I100" s="19"/>
      <c r="J100" s="20"/>
      <c r="K100" s="16"/>
      <c r="M100" s="21"/>
      <c r="N100" s="21"/>
    </row>
    <row r="101" spans="1:14" ht="15" customHeight="1" x14ac:dyDescent="0.25">
      <c r="A101" s="12"/>
      <c r="B101" s="22" t="s">
        <v>56</v>
      </c>
      <c r="C101" s="14">
        <v>2</v>
      </c>
      <c r="D101" s="15">
        <f>(24/12/3.281)*4</f>
        <v>2.4382810118866196</v>
      </c>
      <c r="E101" s="16"/>
      <c r="F101" s="16"/>
      <c r="G101" s="17">
        <f>PRODUCT(C101:F101)</f>
        <v>4.8765620237732392</v>
      </c>
      <c r="H101" s="18"/>
      <c r="I101" s="19"/>
      <c r="J101" s="20"/>
      <c r="K101" s="16"/>
      <c r="M101" s="21"/>
      <c r="N101" s="21"/>
    </row>
    <row r="102" spans="1:14" ht="15" customHeight="1" x14ac:dyDescent="0.25">
      <c r="A102" s="12"/>
      <c r="B102" s="22" t="s">
        <v>25</v>
      </c>
      <c r="C102" s="14"/>
      <c r="D102" s="15"/>
      <c r="E102" s="16"/>
      <c r="F102" s="16"/>
      <c r="G102" s="19">
        <f>SUM(G100:G101)</f>
        <v>9.9055166107893928</v>
      </c>
      <c r="H102" s="18" t="s">
        <v>73</v>
      </c>
      <c r="I102" s="19">
        <f>4676.81/10</f>
        <v>467.68100000000004</v>
      </c>
      <c r="J102" s="20">
        <f>G102*I102</f>
        <v>4632.6219140505946</v>
      </c>
      <c r="K102" s="16"/>
      <c r="M102" s="21"/>
      <c r="N102" s="21"/>
    </row>
    <row r="103" spans="1:14" ht="15" customHeight="1" x14ac:dyDescent="0.25">
      <c r="A103" s="12"/>
      <c r="B103" s="22" t="s">
        <v>49</v>
      </c>
      <c r="C103" s="14"/>
      <c r="D103" s="15"/>
      <c r="E103" s="16"/>
      <c r="F103" s="16"/>
      <c r="G103" s="19"/>
      <c r="H103" s="18"/>
      <c r="I103" s="19"/>
      <c r="J103" s="20">
        <f>G102*0.13*(2909.31/10)</f>
        <v>374.63684090216395</v>
      </c>
      <c r="K103" s="16"/>
      <c r="M103" s="21"/>
      <c r="N103" s="21"/>
    </row>
    <row r="104" spans="1:14" ht="15" customHeight="1" x14ac:dyDescent="0.25">
      <c r="A104" s="12"/>
      <c r="B104" s="22"/>
      <c r="C104" s="14"/>
      <c r="D104" s="15"/>
      <c r="E104" s="16"/>
      <c r="F104" s="16"/>
      <c r="G104" s="19"/>
      <c r="H104" s="18"/>
      <c r="I104" s="19"/>
      <c r="J104" s="20"/>
      <c r="K104" s="16"/>
      <c r="M104" s="21"/>
      <c r="N104" s="21"/>
    </row>
    <row r="105" spans="1:14" ht="47.25" x14ac:dyDescent="0.25">
      <c r="A105" s="12">
        <v>11</v>
      </c>
      <c r="B105" s="23" t="s">
        <v>75</v>
      </c>
      <c r="C105" s="14"/>
      <c r="D105" s="15"/>
      <c r="E105" s="16"/>
      <c r="F105" s="16"/>
      <c r="G105" s="19"/>
      <c r="H105" s="18"/>
      <c r="I105" s="19"/>
      <c r="J105" s="20"/>
      <c r="K105" s="16"/>
      <c r="M105" s="21"/>
      <c r="N105" s="21"/>
    </row>
    <row r="106" spans="1:14" ht="15" customHeight="1" x14ac:dyDescent="0.25">
      <c r="A106" s="12"/>
      <c r="B106" s="22" t="s">
        <v>54</v>
      </c>
      <c r="C106" s="14">
        <f>1*2+1*2</f>
        <v>4</v>
      </c>
      <c r="D106" s="15">
        <f>D100</f>
        <v>5.0289545870161536</v>
      </c>
      <c r="E106" s="16"/>
      <c r="F106" s="16"/>
      <c r="G106" s="17">
        <f t="shared" ref="G106:G108" si="9">PRODUCT(C106:F106)</f>
        <v>20.115818348064614</v>
      </c>
      <c r="H106" s="18"/>
      <c r="I106" s="19"/>
      <c r="J106" s="20"/>
      <c r="K106" s="16"/>
      <c r="M106" s="21"/>
      <c r="N106" s="21"/>
    </row>
    <row r="107" spans="1:14" ht="15" customHeight="1" x14ac:dyDescent="0.25">
      <c r="A107" s="12"/>
      <c r="B107" s="13" t="s">
        <v>22</v>
      </c>
      <c r="C107" s="14">
        <v>-1</v>
      </c>
      <c r="D107" s="15">
        <f>3.5/3.281</f>
        <v>1.0667479427003961</v>
      </c>
      <c r="E107" s="16"/>
      <c r="F107" s="16"/>
      <c r="G107" s="17">
        <f t="shared" si="9"/>
        <v>-1.0667479427003961</v>
      </c>
      <c r="H107" s="18"/>
      <c r="I107" s="19"/>
      <c r="J107" s="20"/>
      <c r="K107" s="16"/>
      <c r="M107" s="21"/>
      <c r="N107" s="21"/>
    </row>
    <row r="108" spans="1:14" ht="15" customHeight="1" x14ac:dyDescent="0.25">
      <c r="A108" s="12"/>
      <c r="B108" s="13" t="s">
        <v>23</v>
      </c>
      <c r="C108" s="14">
        <v>-1</v>
      </c>
      <c r="D108" s="15">
        <f>3.833/3.281</f>
        <v>1.1682413898201769</v>
      </c>
      <c r="E108" s="16"/>
      <c r="F108" s="16"/>
      <c r="G108" s="17">
        <f t="shared" si="9"/>
        <v>-1.1682413898201769</v>
      </c>
      <c r="H108" s="18"/>
      <c r="I108" s="19"/>
      <c r="J108" s="20"/>
      <c r="K108" s="16"/>
      <c r="M108" s="21"/>
      <c r="N108" s="21"/>
    </row>
    <row r="109" spans="1:14" ht="15" customHeight="1" x14ac:dyDescent="0.25">
      <c r="A109" s="12"/>
      <c r="B109" s="22" t="s">
        <v>56</v>
      </c>
      <c r="C109" s="14">
        <f>2*2</f>
        <v>4</v>
      </c>
      <c r="D109" s="15">
        <f>(24/12/3.281)*4</f>
        <v>2.4382810118866196</v>
      </c>
      <c r="E109" s="16"/>
      <c r="F109" s="16"/>
      <c r="G109" s="17">
        <f>PRODUCT(C109:F109)</f>
        <v>9.7531240475464784</v>
      </c>
      <c r="H109" s="18"/>
      <c r="I109" s="19"/>
      <c r="J109" s="20"/>
      <c r="K109" s="16"/>
      <c r="M109" s="21"/>
      <c r="N109" s="21"/>
    </row>
    <row r="110" spans="1:14" ht="15" customHeight="1" x14ac:dyDescent="0.25">
      <c r="A110" s="12"/>
      <c r="B110" s="22" t="s">
        <v>25</v>
      </c>
      <c r="C110" s="14"/>
      <c r="D110" s="15"/>
      <c r="E110" s="16"/>
      <c r="F110" s="16"/>
      <c r="G110" s="19">
        <f>SUM(G106:G109)</f>
        <v>27.633953063090519</v>
      </c>
      <c r="H110" s="18" t="s">
        <v>73</v>
      </c>
      <c r="I110" s="19">
        <f>4118.81/10</f>
        <v>411.88100000000003</v>
      </c>
      <c r="J110" s="20">
        <f>G110*I110</f>
        <v>11381.900221578788</v>
      </c>
      <c r="K110" s="16"/>
      <c r="M110" s="21"/>
      <c r="N110" s="21"/>
    </row>
    <row r="111" spans="1:14" ht="15" customHeight="1" x14ac:dyDescent="0.25">
      <c r="A111" s="12"/>
      <c r="B111" s="22" t="s">
        <v>49</v>
      </c>
      <c r="C111" s="14"/>
      <c r="D111" s="15"/>
      <c r="E111" s="16"/>
      <c r="F111" s="16"/>
      <c r="G111" s="19"/>
      <c r="H111" s="18"/>
      <c r="I111" s="19"/>
      <c r="J111" s="20">
        <f>G110*0.13*(2351.31/10)</f>
        <v>844.68787229807981</v>
      </c>
      <c r="K111" s="16"/>
      <c r="M111" s="21"/>
      <c r="N111" s="21"/>
    </row>
    <row r="112" spans="1:14" ht="15" customHeight="1" x14ac:dyDescent="0.25">
      <c r="A112" s="12"/>
      <c r="B112" s="22"/>
      <c r="C112" s="14"/>
      <c r="D112" s="15"/>
      <c r="E112" s="16"/>
      <c r="F112" s="16"/>
      <c r="G112" s="19"/>
      <c r="H112" s="18"/>
      <c r="I112" s="19"/>
      <c r="J112" s="20"/>
      <c r="K112" s="16"/>
      <c r="M112" s="21"/>
      <c r="N112" s="21"/>
    </row>
    <row r="113" spans="1:14" ht="47.25" x14ac:dyDescent="0.25">
      <c r="A113" s="12">
        <v>12</v>
      </c>
      <c r="B113" s="23" t="s">
        <v>76</v>
      </c>
      <c r="C113" s="14"/>
      <c r="D113" s="15"/>
      <c r="E113" s="16"/>
      <c r="F113" s="16"/>
      <c r="G113" s="19"/>
      <c r="H113" s="18"/>
      <c r="I113" s="19"/>
      <c r="J113" s="20"/>
      <c r="K113" s="16"/>
      <c r="M113" s="21"/>
      <c r="N113" s="21"/>
    </row>
    <row r="114" spans="1:14" ht="15" customHeight="1" x14ac:dyDescent="0.25">
      <c r="A114" s="12"/>
      <c r="B114" s="22" t="s">
        <v>54</v>
      </c>
      <c r="C114" s="14">
        <v>2</v>
      </c>
      <c r="D114" s="15">
        <f>D106</f>
        <v>5.0289545870161536</v>
      </c>
      <c r="E114" s="16"/>
      <c r="F114" s="16"/>
      <c r="G114" s="17">
        <f t="shared" ref="G114:G116" si="10">PRODUCT(C114:F114)</f>
        <v>10.057909174032307</v>
      </c>
      <c r="H114" s="18"/>
      <c r="I114" s="19"/>
      <c r="J114" s="20"/>
      <c r="K114" s="16"/>
      <c r="M114" s="21"/>
      <c r="N114" s="21"/>
    </row>
    <row r="115" spans="1:14" ht="15" customHeight="1" x14ac:dyDescent="0.25">
      <c r="A115" s="12"/>
      <c r="B115" s="13" t="s">
        <v>22</v>
      </c>
      <c r="C115" s="14">
        <v>-1</v>
      </c>
      <c r="D115" s="15">
        <f>3.5/3.281</f>
        <v>1.0667479427003961</v>
      </c>
      <c r="E115" s="16"/>
      <c r="F115" s="16"/>
      <c r="G115" s="17">
        <f t="shared" si="10"/>
        <v>-1.0667479427003961</v>
      </c>
      <c r="H115" s="18"/>
      <c r="I115" s="19"/>
      <c r="J115" s="20"/>
      <c r="K115" s="16"/>
      <c r="M115" s="21"/>
      <c r="N115" s="21"/>
    </row>
    <row r="116" spans="1:14" ht="15" customHeight="1" x14ac:dyDescent="0.25">
      <c r="A116" s="12"/>
      <c r="B116" s="13" t="s">
        <v>23</v>
      </c>
      <c r="C116" s="14">
        <v>-1</v>
      </c>
      <c r="D116" s="15">
        <f>3.833/3.281</f>
        <v>1.1682413898201769</v>
      </c>
      <c r="E116" s="16"/>
      <c r="F116" s="16"/>
      <c r="G116" s="17">
        <f t="shared" si="10"/>
        <v>-1.1682413898201769</v>
      </c>
      <c r="H116" s="18"/>
      <c r="I116" s="19"/>
      <c r="J116" s="20"/>
      <c r="K116" s="16"/>
      <c r="M116" s="21"/>
      <c r="N116" s="21"/>
    </row>
    <row r="117" spans="1:14" ht="15" customHeight="1" x14ac:dyDescent="0.25">
      <c r="A117" s="12"/>
      <c r="B117" s="22" t="s">
        <v>56</v>
      </c>
      <c r="C117" s="14">
        <f>2</f>
        <v>2</v>
      </c>
      <c r="D117" s="15">
        <f>(24/12/3.281)*4</f>
        <v>2.4382810118866196</v>
      </c>
      <c r="E117" s="16"/>
      <c r="F117" s="16"/>
      <c r="G117" s="17">
        <f>PRODUCT(C117:F117)</f>
        <v>4.8765620237732392</v>
      </c>
      <c r="H117" s="18"/>
      <c r="I117" s="19"/>
      <c r="J117" s="20"/>
      <c r="K117" s="16"/>
      <c r="M117" s="21"/>
      <c r="N117" s="21"/>
    </row>
    <row r="118" spans="1:14" ht="15" customHeight="1" x14ac:dyDescent="0.25">
      <c r="A118" s="12"/>
      <c r="B118" s="22" t="s">
        <v>25</v>
      </c>
      <c r="C118" s="14"/>
      <c r="D118" s="15"/>
      <c r="E118" s="16"/>
      <c r="F118" s="16"/>
      <c r="G118" s="19">
        <f>SUM(G114:G117)</f>
        <v>12.699481865284973</v>
      </c>
      <c r="H118" s="18" t="s">
        <v>73</v>
      </c>
      <c r="I118" s="19">
        <f>4490.81/10</f>
        <v>449.08100000000002</v>
      </c>
      <c r="J118" s="20">
        <f>G118*I118</f>
        <v>5703.0960155440416</v>
      </c>
      <c r="K118" s="16"/>
      <c r="M118" s="21"/>
      <c r="N118" s="21"/>
    </row>
    <row r="119" spans="1:14" ht="15" customHeight="1" x14ac:dyDescent="0.25">
      <c r="A119" s="12"/>
      <c r="B119" s="22" t="s">
        <v>49</v>
      </c>
      <c r="C119" s="14"/>
      <c r="D119" s="15"/>
      <c r="E119" s="16"/>
      <c r="F119" s="16"/>
      <c r="G119" s="19"/>
      <c r="H119" s="18"/>
      <c r="I119" s="19"/>
      <c r="J119" s="20">
        <f>G118*0.13*(2723.31/10)</f>
        <v>449.60013746113987</v>
      </c>
      <c r="K119" s="16"/>
      <c r="M119" s="21"/>
      <c r="N119" s="21"/>
    </row>
    <row r="120" spans="1:14" ht="15" customHeight="1" x14ac:dyDescent="0.25">
      <c r="A120" s="12"/>
      <c r="B120" s="22"/>
      <c r="C120" s="14"/>
      <c r="D120" s="15"/>
      <c r="E120" s="16"/>
      <c r="F120" s="16"/>
      <c r="G120" s="19"/>
      <c r="H120" s="18"/>
      <c r="I120" s="19"/>
      <c r="J120" s="20"/>
      <c r="K120" s="16"/>
      <c r="M120" s="21"/>
      <c r="N120" s="21"/>
    </row>
    <row r="121" spans="1:14" ht="30.75" customHeight="1" x14ac:dyDescent="0.25">
      <c r="A121" s="47">
        <v>13</v>
      </c>
      <c r="B121" s="23" t="s">
        <v>77</v>
      </c>
      <c r="C121" s="49"/>
      <c r="D121" s="50"/>
      <c r="E121" s="50"/>
      <c r="F121" s="50"/>
      <c r="G121" s="50"/>
      <c r="H121" s="50"/>
      <c r="I121" s="50"/>
      <c r="J121" s="51"/>
      <c r="K121" s="52"/>
    </row>
    <row r="122" spans="1:14" ht="15" customHeight="1" x14ac:dyDescent="0.25">
      <c r="A122" s="12"/>
      <c r="B122" s="22" t="s">
        <v>54</v>
      </c>
      <c r="C122" s="14">
        <f>1*2-1</f>
        <v>1</v>
      </c>
      <c r="D122" s="15">
        <f>D114</f>
        <v>5.0289545870161536</v>
      </c>
      <c r="E122" s="16"/>
      <c r="F122" s="16"/>
      <c r="G122" s="17">
        <f t="shared" ref="G122" si="11">PRODUCT(C122:F122)</f>
        <v>5.0289545870161536</v>
      </c>
      <c r="H122" s="18"/>
      <c r="I122" s="19"/>
      <c r="J122" s="20"/>
      <c r="K122" s="16"/>
      <c r="M122" s="21"/>
      <c r="N122" s="21"/>
    </row>
    <row r="123" spans="1:14" ht="15" customHeight="1" x14ac:dyDescent="0.25">
      <c r="A123" s="12"/>
      <c r="B123" s="22" t="s">
        <v>56</v>
      </c>
      <c r="C123" s="14">
        <f>2</f>
        <v>2</v>
      </c>
      <c r="D123" s="15">
        <f>(24/12/3.281)*4</f>
        <v>2.4382810118866196</v>
      </c>
      <c r="E123" s="16"/>
      <c r="F123" s="16"/>
      <c r="G123" s="17">
        <f>PRODUCT(C123:F123)</f>
        <v>4.8765620237732392</v>
      </c>
      <c r="H123" s="18"/>
      <c r="I123" s="19"/>
      <c r="J123" s="20"/>
      <c r="K123" s="16"/>
      <c r="M123" s="21"/>
      <c r="N123" s="21"/>
    </row>
    <row r="124" spans="1:14" ht="15" customHeight="1" x14ac:dyDescent="0.25">
      <c r="A124" s="12"/>
      <c r="B124" s="22" t="s">
        <v>25</v>
      </c>
      <c r="C124" s="14"/>
      <c r="D124" s="15"/>
      <c r="E124" s="16"/>
      <c r="F124" s="16"/>
      <c r="G124" s="19">
        <f>SUM(G122:G123)</f>
        <v>9.9055166107893928</v>
      </c>
      <c r="H124" s="18" t="s">
        <v>73</v>
      </c>
      <c r="I124" s="19">
        <v>462.97</v>
      </c>
      <c r="J124" s="20">
        <f>G124*I124</f>
        <v>4585.9570252971653</v>
      </c>
      <c r="K124" s="16"/>
      <c r="M124" s="21"/>
      <c r="N124" s="21"/>
    </row>
    <row r="125" spans="1:14" ht="15" customHeight="1" x14ac:dyDescent="0.25">
      <c r="A125" s="12"/>
      <c r="B125" s="22" t="s">
        <v>49</v>
      </c>
      <c r="C125" s="14"/>
      <c r="D125" s="15"/>
      <c r="E125" s="16"/>
      <c r="F125" s="16"/>
      <c r="G125" s="19"/>
      <c r="H125" s="18"/>
      <c r="I125" s="19"/>
      <c r="J125" s="20">
        <f>G124*0.13*(2258.31/10)</f>
        <v>290.80645382505332</v>
      </c>
      <c r="K125" s="16"/>
      <c r="M125" s="21"/>
      <c r="N125" s="21"/>
    </row>
    <row r="126" spans="1:14" ht="15" customHeight="1" x14ac:dyDescent="0.25">
      <c r="A126" s="12"/>
      <c r="B126" s="30"/>
      <c r="C126" s="14"/>
      <c r="D126" s="15"/>
      <c r="E126" s="16"/>
      <c r="F126" s="16"/>
      <c r="G126" s="19"/>
      <c r="H126" s="18"/>
      <c r="I126" s="19"/>
      <c r="J126" s="20"/>
      <c r="K126" s="16"/>
      <c r="M126" s="21"/>
      <c r="N126" s="21"/>
    </row>
    <row r="127" spans="1:14" ht="47.25" x14ac:dyDescent="0.25">
      <c r="A127" s="12">
        <v>14</v>
      </c>
      <c r="B127" s="23" t="s">
        <v>78</v>
      </c>
      <c r="C127" s="14"/>
      <c r="D127" s="15"/>
      <c r="E127" s="16"/>
      <c r="F127" s="16"/>
      <c r="G127" s="19"/>
      <c r="H127" s="18"/>
      <c r="I127" s="19"/>
      <c r="J127" s="20"/>
      <c r="K127" s="16"/>
      <c r="M127" s="21"/>
      <c r="N127" s="21"/>
    </row>
    <row r="128" spans="1:14" ht="15" customHeight="1" x14ac:dyDescent="0.25">
      <c r="A128" s="12"/>
      <c r="B128" s="22" t="s">
        <v>54</v>
      </c>
      <c r="C128" s="14">
        <f>1*2-1</f>
        <v>1</v>
      </c>
      <c r="D128" s="15">
        <f>D152</f>
        <v>5.0289545870161536</v>
      </c>
      <c r="E128" s="16"/>
      <c r="F128" s="16"/>
      <c r="G128" s="17">
        <f t="shared" ref="G128" si="12">PRODUCT(C128:F128)</f>
        <v>5.0289545870161536</v>
      </c>
      <c r="H128" s="18"/>
      <c r="I128" s="19"/>
      <c r="J128" s="20"/>
      <c r="K128" s="16"/>
      <c r="M128" s="21"/>
      <c r="N128" s="21"/>
    </row>
    <row r="129" spans="1:14" ht="15" customHeight="1" x14ac:dyDescent="0.25">
      <c r="A129" s="12"/>
      <c r="B129" s="22" t="s">
        <v>56</v>
      </c>
      <c r="C129" s="14">
        <f>2</f>
        <v>2</v>
      </c>
      <c r="D129" s="15">
        <f>(24/12/3.281)*4</f>
        <v>2.4382810118866196</v>
      </c>
      <c r="E129" s="16"/>
      <c r="F129" s="16"/>
      <c r="G129" s="17">
        <f>PRODUCT(C129:F129)</f>
        <v>4.8765620237732392</v>
      </c>
      <c r="H129" s="18"/>
      <c r="I129" s="19"/>
      <c r="J129" s="20"/>
      <c r="K129" s="16"/>
      <c r="M129" s="21"/>
      <c r="N129" s="21"/>
    </row>
    <row r="130" spans="1:14" ht="15" customHeight="1" x14ac:dyDescent="0.25">
      <c r="A130" s="12"/>
      <c r="B130" s="22" t="s">
        <v>25</v>
      </c>
      <c r="C130" s="14"/>
      <c r="D130" s="15"/>
      <c r="E130" s="16"/>
      <c r="F130" s="16"/>
      <c r="G130" s="19">
        <f>SUM(G128:G129)</f>
        <v>9.9055166107893928</v>
      </c>
      <c r="H130" s="18" t="s">
        <v>73</v>
      </c>
      <c r="I130" s="19">
        <f>4738.81/10</f>
        <v>473.88100000000003</v>
      </c>
      <c r="J130" s="20">
        <f>G130*I130</f>
        <v>4694.0361170374881</v>
      </c>
      <c r="K130" s="16"/>
      <c r="M130" s="21"/>
      <c r="N130" s="21"/>
    </row>
    <row r="131" spans="1:14" ht="15" customHeight="1" x14ac:dyDescent="0.25">
      <c r="A131" s="12"/>
      <c r="B131" s="22" t="s">
        <v>49</v>
      </c>
      <c r="C131" s="14"/>
      <c r="D131" s="15"/>
      <c r="E131" s="16"/>
      <c r="F131" s="16"/>
      <c r="G131" s="19"/>
      <c r="H131" s="18"/>
      <c r="I131" s="19"/>
      <c r="J131" s="20">
        <f>G130*0.13*(2971.31/10)</f>
        <v>382.62068729046018</v>
      </c>
      <c r="K131" s="16"/>
      <c r="M131" s="21"/>
      <c r="N131" s="21"/>
    </row>
    <row r="132" spans="1:14" ht="15" customHeight="1" x14ac:dyDescent="0.25">
      <c r="A132" s="12"/>
      <c r="B132" s="22"/>
      <c r="C132" s="14"/>
      <c r="D132" s="15"/>
      <c r="E132" s="16"/>
      <c r="F132" s="16"/>
      <c r="G132" s="19"/>
      <c r="H132" s="18"/>
      <c r="I132" s="19"/>
      <c r="J132" s="20"/>
      <c r="K132" s="16"/>
      <c r="M132" s="21"/>
      <c r="N132" s="21"/>
    </row>
    <row r="133" spans="1:14" ht="47.25" x14ac:dyDescent="0.25">
      <c r="A133" s="12">
        <v>15</v>
      </c>
      <c r="B133" s="23" t="s">
        <v>79</v>
      </c>
      <c r="C133" s="14"/>
      <c r="D133" s="15"/>
      <c r="E133" s="16"/>
      <c r="F133" s="16"/>
      <c r="G133" s="19"/>
      <c r="H133" s="18"/>
      <c r="I133" s="19"/>
      <c r="J133" s="20"/>
      <c r="K133" s="16"/>
      <c r="M133" s="21"/>
      <c r="N133" s="21"/>
    </row>
    <row r="134" spans="1:14" ht="15" customHeight="1" x14ac:dyDescent="0.25">
      <c r="A134" s="12"/>
      <c r="B134" s="22" t="s">
        <v>54</v>
      </c>
      <c r="C134" s="14">
        <f>1*2-1</f>
        <v>1</v>
      </c>
      <c r="D134" s="15">
        <f>D128</f>
        <v>5.0289545870161536</v>
      </c>
      <c r="E134" s="16"/>
      <c r="F134" s="16"/>
      <c r="G134" s="17">
        <f>PRODUCT(C134:F134)</f>
        <v>5.0289545870161536</v>
      </c>
      <c r="H134" s="18"/>
      <c r="I134" s="19"/>
      <c r="J134" s="20"/>
      <c r="K134" s="16"/>
      <c r="M134" s="21"/>
      <c r="N134" s="21"/>
    </row>
    <row r="135" spans="1:14" ht="15" customHeight="1" x14ac:dyDescent="0.25">
      <c r="A135" s="12"/>
      <c r="B135" s="22" t="s">
        <v>56</v>
      </c>
      <c r="C135" s="14">
        <f>2</f>
        <v>2</v>
      </c>
      <c r="D135" s="15">
        <f>(24/12/3.281)*4</f>
        <v>2.4382810118866196</v>
      </c>
      <c r="E135" s="16"/>
      <c r="F135" s="16"/>
      <c r="G135" s="17">
        <f>PRODUCT(C135:F135)</f>
        <v>4.8765620237732392</v>
      </c>
      <c r="H135" s="18"/>
      <c r="I135" s="19"/>
      <c r="J135" s="20"/>
      <c r="K135" s="16"/>
      <c r="M135" s="21"/>
      <c r="N135" s="21"/>
    </row>
    <row r="136" spans="1:14" ht="15" customHeight="1" x14ac:dyDescent="0.25">
      <c r="A136" s="12"/>
      <c r="B136" s="22" t="s">
        <v>25</v>
      </c>
      <c r="C136" s="14"/>
      <c r="D136" s="15"/>
      <c r="E136" s="16"/>
      <c r="F136" s="16"/>
      <c r="G136" s="19">
        <f>SUM(G134:G135)</f>
        <v>9.9055166107893928</v>
      </c>
      <c r="H136" s="18" t="s">
        <v>73</v>
      </c>
      <c r="I136" s="19">
        <v>623.04999999999995</v>
      </c>
      <c r="J136" s="20">
        <f>G136*I136</f>
        <v>6171.6321243523307</v>
      </c>
      <c r="K136" s="16"/>
      <c r="M136" s="21"/>
      <c r="N136" s="21"/>
    </row>
    <row r="137" spans="1:14" ht="15" customHeight="1" x14ac:dyDescent="0.25">
      <c r="A137" s="12"/>
      <c r="B137" s="22" t="s">
        <v>49</v>
      </c>
      <c r="C137" s="14"/>
      <c r="D137" s="15"/>
      <c r="E137" s="16"/>
      <c r="F137" s="16"/>
      <c r="G137" s="19"/>
      <c r="H137" s="18"/>
      <c r="I137" s="19"/>
      <c r="J137" s="20">
        <f>G136*0.13*(3650.31/10)</f>
        <v>470.05668241389822</v>
      </c>
      <c r="K137" s="16"/>
      <c r="M137" s="21"/>
      <c r="N137" s="21"/>
    </row>
    <row r="138" spans="1:14" ht="15" customHeight="1" x14ac:dyDescent="0.25">
      <c r="A138" s="12"/>
      <c r="B138" s="22"/>
      <c r="C138" s="14"/>
      <c r="D138" s="15"/>
      <c r="E138" s="16"/>
      <c r="F138" s="16"/>
      <c r="G138" s="19"/>
      <c r="H138" s="18"/>
      <c r="I138" s="19"/>
      <c r="J138" s="20"/>
      <c r="K138" s="16"/>
      <c r="M138" s="21"/>
      <c r="N138" s="21"/>
    </row>
    <row r="139" spans="1:14" ht="47.25" x14ac:dyDescent="0.25">
      <c r="A139" s="12">
        <v>16</v>
      </c>
      <c r="B139" s="23" t="s">
        <v>80</v>
      </c>
      <c r="C139" s="14"/>
      <c r="D139" s="15"/>
      <c r="E139" s="16"/>
      <c r="F139" s="16"/>
      <c r="G139" s="19"/>
      <c r="H139" s="18"/>
      <c r="I139" s="19"/>
      <c r="J139" s="20"/>
      <c r="K139" s="16"/>
      <c r="M139" s="21"/>
      <c r="N139" s="21"/>
    </row>
    <row r="140" spans="1:14" ht="15" customHeight="1" x14ac:dyDescent="0.25">
      <c r="A140" s="12"/>
      <c r="B140" s="22" t="s">
        <v>54</v>
      </c>
      <c r="C140" s="14">
        <f>1*2-1</f>
        <v>1</v>
      </c>
      <c r="D140" s="15">
        <f>D134</f>
        <v>5.0289545870161536</v>
      </c>
      <c r="E140" s="16"/>
      <c r="F140" s="16"/>
      <c r="G140" s="17">
        <f t="shared" ref="G140" si="13">PRODUCT(C140:F140)</f>
        <v>5.0289545870161536</v>
      </c>
      <c r="H140" s="18"/>
      <c r="I140" s="19"/>
      <c r="J140" s="20"/>
      <c r="K140" s="16"/>
      <c r="M140" s="21"/>
      <c r="N140" s="21"/>
    </row>
    <row r="141" spans="1:14" ht="15" customHeight="1" x14ac:dyDescent="0.25">
      <c r="A141" s="12"/>
      <c r="B141" s="22" t="s">
        <v>56</v>
      </c>
      <c r="C141" s="14">
        <f>2</f>
        <v>2</v>
      </c>
      <c r="D141" s="15">
        <f>(24/12/3.281)*4</f>
        <v>2.4382810118866196</v>
      </c>
      <c r="E141" s="16"/>
      <c r="F141" s="16"/>
      <c r="G141" s="17">
        <f>PRODUCT(C141:F141)</f>
        <v>4.8765620237732392</v>
      </c>
      <c r="H141" s="18"/>
      <c r="I141" s="19"/>
      <c r="J141" s="20"/>
      <c r="K141" s="16"/>
      <c r="M141" s="21"/>
      <c r="N141" s="21"/>
    </row>
    <row r="142" spans="1:14" ht="15" customHeight="1" x14ac:dyDescent="0.25">
      <c r="A142" s="12"/>
      <c r="B142" s="22" t="s">
        <v>25</v>
      </c>
      <c r="C142" s="14"/>
      <c r="D142" s="15"/>
      <c r="E142" s="16"/>
      <c r="F142" s="16"/>
      <c r="G142" s="19">
        <f>SUM(G140:G141)</f>
        <v>9.9055166107893928</v>
      </c>
      <c r="H142" s="18" t="s">
        <v>73</v>
      </c>
      <c r="I142" s="19">
        <f>4862.81/10</f>
        <v>486.28100000000006</v>
      </c>
      <c r="J142" s="20">
        <f>G142*I142</f>
        <v>4816.864523011277</v>
      </c>
      <c r="K142" s="16"/>
      <c r="M142" s="21"/>
      <c r="N142" s="21"/>
    </row>
    <row r="143" spans="1:14" ht="15" customHeight="1" x14ac:dyDescent="0.25">
      <c r="A143" s="12"/>
      <c r="B143" s="22" t="s">
        <v>49</v>
      </c>
      <c r="C143" s="14"/>
      <c r="D143" s="15"/>
      <c r="E143" s="16"/>
      <c r="F143" s="16"/>
      <c r="G143" s="19"/>
      <c r="H143" s="18"/>
      <c r="I143" s="19"/>
      <c r="J143" s="20">
        <f>G142*0.13*(3095.31/10)</f>
        <v>398.5883800670527</v>
      </c>
      <c r="K143" s="16"/>
      <c r="M143" s="21"/>
      <c r="N143" s="21"/>
    </row>
    <row r="144" spans="1:14" ht="15" customHeight="1" x14ac:dyDescent="0.25">
      <c r="A144" s="12"/>
      <c r="B144" s="22"/>
      <c r="C144" s="14"/>
      <c r="D144" s="15"/>
      <c r="E144" s="16"/>
      <c r="F144" s="16"/>
      <c r="G144" s="19"/>
      <c r="H144" s="18"/>
      <c r="I144" s="19"/>
      <c r="J144" s="20"/>
      <c r="K144" s="16"/>
      <c r="M144" s="21"/>
      <c r="N144" s="21"/>
    </row>
    <row r="145" spans="1:14" ht="47.25" x14ac:dyDescent="0.25">
      <c r="A145" s="12">
        <v>17</v>
      </c>
      <c r="B145" s="23" t="s">
        <v>81</v>
      </c>
      <c r="C145" s="14"/>
      <c r="D145" s="15"/>
      <c r="E145" s="16"/>
      <c r="F145" s="16"/>
      <c r="G145" s="19"/>
      <c r="H145" s="18"/>
      <c r="I145" s="19"/>
      <c r="J145" s="20"/>
      <c r="K145" s="16"/>
      <c r="M145" s="21"/>
      <c r="N145" s="21"/>
    </row>
    <row r="146" spans="1:14" ht="15" customHeight="1" x14ac:dyDescent="0.25">
      <c r="A146" s="12"/>
      <c r="B146" s="22" t="s">
        <v>54</v>
      </c>
      <c r="C146" s="14">
        <f>1*2-1</f>
        <v>1</v>
      </c>
      <c r="D146" s="15">
        <f>D140</f>
        <v>5.0289545870161536</v>
      </c>
      <c r="E146" s="16"/>
      <c r="F146" s="16"/>
      <c r="G146" s="17">
        <f t="shared" ref="G146" si="14">PRODUCT(C146:F146)</f>
        <v>5.0289545870161536</v>
      </c>
      <c r="H146" s="18"/>
      <c r="I146" s="19"/>
      <c r="J146" s="20"/>
      <c r="K146" s="16"/>
      <c r="M146" s="21"/>
      <c r="N146" s="21"/>
    </row>
    <row r="147" spans="1:14" ht="15" customHeight="1" x14ac:dyDescent="0.25">
      <c r="A147" s="12"/>
      <c r="B147" s="22" t="s">
        <v>56</v>
      </c>
      <c r="C147" s="14">
        <f>2</f>
        <v>2</v>
      </c>
      <c r="D147" s="15">
        <f>(24/12/3.281)*4</f>
        <v>2.4382810118866196</v>
      </c>
      <c r="E147" s="16"/>
      <c r="F147" s="16"/>
      <c r="G147" s="17">
        <f>PRODUCT(C147:F147)</f>
        <v>4.8765620237732392</v>
      </c>
      <c r="H147" s="18"/>
      <c r="I147" s="19"/>
      <c r="J147" s="20"/>
      <c r="K147" s="16"/>
      <c r="M147" s="21"/>
      <c r="N147" s="21"/>
    </row>
    <row r="148" spans="1:14" ht="15" customHeight="1" x14ac:dyDescent="0.25">
      <c r="A148" s="12"/>
      <c r="B148" s="22" t="s">
        <v>25</v>
      </c>
      <c r="C148" s="14"/>
      <c r="D148" s="15"/>
      <c r="E148" s="16"/>
      <c r="F148" s="16"/>
      <c r="G148" s="19">
        <f>SUM(G146:G147)</f>
        <v>9.9055166107893928</v>
      </c>
      <c r="H148" s="18" t="s">
        <v>73</v>
      </c>
      <c r="I148" s="19">
        <f>4676.81/10</f>
        <v>467.68100000000004</v>
      </c>
      <c r="J148" s="20">
        <f>G148*I148</f>
        <v>4632.6219140505946</v>
      </c>
      <c r="K148" s="16"/>
      <c r="M148" s="21"/>
      <c r="N148" s="21"/>
    </row>
    <row r="149" spans="1:14" ht="15" customHeight="1" x14ac:dyDescent="0.25">
      <c r="A149" s="12"/>
      <c r="B149" s="22" t="s">
        <v>49</v>
      </c>
      <c r="C149" s="14"/>
      <c r="D149" s="15"/>
      <c r="E149" s="16"/>
      <c r="F149" s="16"/>
      <c r="G149" s="19"/>
      <c r="H149" s="18"/>
      <c r="I149" s="19"/>
      <c r="J149" s="20">
        <f>G148*0.13*(2909.31/10)</f>
        <v>374.63684090216395</v>
      </c>
      <c r="K149" s="16"/>
      <c r="M149" s="21"/>
      <c r="N149" s="21"/>
    </row>
    <row r="150" spans="1:14" ht="15" customHeight="1" x14ac:dyDescent="0.25">
      <c r="A150" s="12"/>
      <c r="B150" s="22"/>
      <c r="C150" s="14"/>
      <c r="D150" s="15"/>
      <c r="E150" s="16"/>
      <c r="F150" s="16"/>
      <c r="G150" s="19"/>
      <c r="H150" s="18"/>
      <c r="I150" s="19"/>
      <c r="J150" s="20"/>
      <c r="K150" s="16"/>
      <c r="M150" s="21"/>
      <c r="N150" s="21"/>
    </row>
    <row r="151" spans="1:14" ht="30.75" customHeight="1" x14ac:dyDescent="0.25">
      <c r="A151" s="47">
        <v>18</v>
      </c>
      <c r="B151" s="23" t="s">
        <v>82</v>
      </c>
      <c r="C151" s="49"/>
      <c r="D151" s="50"/>
      <c r="E151" s="50"/>
      <c r="F151" s="50"/>
      <c r="G151" s="50"/>
      <c r="H151" s="50"/>
      <c r="I151" s="50"/>
      <c r="J151" s="51"/>
      <c r="K151" s="52"/>
    </row>
    <row r="152" spans="1:14" ht="15" customHeight="1" x14ac:dyDescent="0.25">
      <c r="A152" s="12"/>
      <c r="B152" s="22" t="s">
        <v>54</v>
      </c>
      <c r="C152" s="14">
        <f>2*2-2</f>
        <v>2</v>
      </c>
      <c r="D152" s="15">
        <f>D114</f>
        <v>5.0289545870161536</v>
      </c>
      <c r="E152" s="16"/>
      <c r="F152" s="16"/>
      <c r="G152" s="17">
        <f t="shared" ref="G152" si="15">PRODUCT(C152:F152)</f>
        <v>10.057909174032307</v>
      </c>
      <c r="H152" s="18"/>
      <c r="I152" s="19"/>
      <c r="J152" s="20"/>
      <c r="K152" s="16"/>
      <c r="M152" s="21"/>
      <c r="N152" s="21"/>
    </row>
    <row r="153" spans="1:14" ht="15" customHeight="1" x14ac:dyDescent="0.25">
      <c r="A153" s="12"/>
      <c r="B153" s="22" t="s">
        <v>56</v>
      </c>
      <c r="C153" s="14">
        <f>2</f>
        <v>2</v>
      </c>
      <c r="D153" s="15">
        <f>(24/12/3.281)*4</f>
        <v>2.4382810118866196</v>
      </c>
      <c r="E153" s="16"/>
      <c r="F153" s="16"/>
      <c r="G153" s="17">
        <f>PRODUCT(C153:F153)</f>
        <v>4.8765620237732392</v>
      </c>
      <c r="H153" s="18"/>
      <c r="I153" s="19"/>
      <c r="J153" s="20"/>
      <c r="K153" s="16"/>
      <c r="M153" s="21"/>
      <c r="N153" s="21"/>
    </row>
    <row r="154" spans="1:14" ht="15" customHeight="1" x14ac:dyDescent="0.25">
      <c r="A154" s="12"/>
      <c r="B154" s="22" t="s">
        <v>25</v>
      </c>
      <c r="C154" s="14"/>
      <c r="D154" s="15"/>
      <c r="E154" s="16"/>
      <c r="F154" s="16"/>
      <c r="G154" s="19">
        <f>SUM(G152:G153)</f>
        <v>14.934471197805546</v>
      </c>
      <c r="H154" s="18" t="s">
        <v>73</v>
      </c>
      <c r="I154" s="19">
        <f>3932.81/10</f>
        <v>393.28100000000001</v>
      </c>
      <c r="J154" s="20">
        <f>G154*I154</f>
        <v>5873.4437671441628</v>
      </c>
      <c r="K154" s="16"/>
      <c r="M154" s="21"/>
      <c r="N154" s="21"/>
    </row>
    <row r="155" spans="1:14" ht="15" customHeight="1" x14ac:dyDescent="0.25">
      <c r="A155" s="12"/>
      <c r="B155" s="22" t="s">
        <v>49</v>
      </c>
      <c r="C155" s="14"/>
      <c r="D155" s="15"/>
      <c r="E155" s="16"/>
      <c r="F155" s="16"/>
      <c r="G155" s="19"/>
      <c r="H155" s="18"/>
      <c r="I155" s="19"/>
      <c r="J155" s="20">
        <f>G154*0.13*(2165.31/10)</f>
        <v>420.39087778116431</v>
      </c>
      <c r="K155" s="16"/>
      <c r="M155" s="21"/>
      <c r="N155" s="21"/>
    </row>
    <row r="156" spans="1:14" ht="15" customHeight="1" x14ac:dyDescent="0.25">
      <c r="A156" s="12"/>
      <c r="B156" s="22"/>
      <c r="C156" s="14"/>
      <c r="D156" s="15"/>
      <c r="E156" s="16"/>
      <c r="F156" s="16"/>
      <c r="G156" s="19"/>
      <c r="H156" s="18"/>
      <c r="I156" s="19"/>
      <c r="J156" s="20"/>
      <c r="K156" s="16"/>
      <c r="M156" s="21"/>
      <c r="N156" s="21"/>
    </row>
    <row r="157" spans="1:14" ht="45" customHeight="1" x14ac:dyDescent="0.25">
      <c r="A157" s="25">
        <v>19</v>
      </c>
      <c r="B157" s="54" t="s">
        <v>123</v>
      </c>
      <c r="C157" s="26"/>
      <c r="D157" s="17"/>
      <c r="E157" s="17"/>
      <c r="F157" s="17"/>
      <c r="G157" s="45"/>
      <c r="H157" s="45"/>
      <c r="I157" s="45"/>
      <c r="J157" s="39"/>
      <c r="K157" s="30"/>
    </row>
    <row r="158" spans="1:14" ht="15" customHeight="1" x14ac:dyDescent="0.25">
      <c r="A158" s="25"/>
      <c r="B158" s="22" t="s">
        <v>83</v>
      </c>
      <c r="C158" s="26">
        <f>1*2</f>
        <v>2</v>
      </c>
      <c r="D158" s="17">
        <f>(2.75+2.6)/2</f>
        <v>2.6749999999999998</v>
      </c>
      <c r="E158" s="17">
        <v>6.2</v>
      </c>
      <c r="F158" s="17"/>
      <c r="G158" s="17">
        <f>PRODUCT(C158:F158)</f>
        <v>33.17</v>
      </c>
      <c r="H158" s="45"/>
      <c r="I158" s="45"/>
      <c r="J158" s="39"/>
      <c r="K158" s="30"/>
    </row>
    <row r="159" spans="1:14" ht="15" hidden="1" customHeight="1" x14ac:dyDescent="0.25">
      <c r="A159" s="25"/>
      <c r="B159" s="22"/>
      <c r="C159" s="26">
        <f>1*0</f>
        <v>0</v>
      </c>
      <c r="D159" s="17">
        <v>2.5</v>
      </c>
      <c r="E159" s="17">
        <f>3+0.675</f>
        <v>3.6749999999999998</v>
      </c>
      <c r="F159" s="17"/>
      <c r="G159" s="17">
        <f>PRODUCT(C159:F159)</f>
        <v>0</v>
      </c>
      <c r="H159" s="45"/>
      <c r="I159" s="45"/>
      <c r="J159" s="39"/>
      <c r="K159" s="30"/>
    </row>
    <row r="160" spans="1:14" ht="15" customHeight="1" x14ac:dyDescent="0.25">
      <c r="A160" s="25"/>
      <c r="B160" s="22" t="s">
        <v>25</v>
      </c>
      <c r="C160" s="26"/>
      <c r="D160" s="17"/>
      <c r="E160" s="17"/>
      <c r="F160" s="17"/>
      <c r="G160" s="27">
        <f>SUM(G158:G159)</f>
        <v>33.17</v>
      </c>
      <c r="H160" s="27" t="s">
        <v>26</v>
      </c>
      <c r="I160" s="28">
        <f>27795.91/10</f>
        <v>2779.5909999999999</v>
      </c>
      <c r="J160" s="29">
        <f>G160*I160</f>
        <v>92199.033469999995</v>
      </c>
      <c r="K160" s="30"/>
    </row>
    <row r="161" spans="1:14" ht="15" customHeight="1" x14ac:dyDescent="0.25">
      <c r="A161" s="12"/>
      <c r="B161" s="22" t="s">
        <v>49</v>
      </c>
      <c r="C161" s="14"/>
      <c r="D161" s="15"/>
      <c r="E161" s="16"/>
      <c r="F161" s="16"/>
      <c r="G161" s="19"/>
      <c r="H161" s="18"/>
      <c r="I161" s="19"/>
      <c r="J161" s="20">
        <f>G160*0.13*(17805.91/10)</f>
        <v>7678.0864511</v>
      </c>
      <c r="K161" s="16"/>
      <c r="M161" s="21"/>
      <c r="N161" s="21"/>
    </row>
    <row r="162" spans="1:14" ht="15" customHeight="1" x14ac:dyDescent="0.25">
      <c r="A162" s="25"/>
      <c r="B162" s="22"/>
      <c r="C162" s="26"/>
      <c r="D162" s="17"/>
      <c r="E162" s="17"/>
      <c r="F162" s="17"/>
      <c r="G162" s="27"/>
      <c r="H162" s="27"/>
      <c r="I162" s="28"/>
      <c r="J162" s="29"/>
      <c r="K162" s="30"/>
    </row>
    <row r="163" spans="1:14" ht="31.5" x14ac:dyDescent="0.25">
      <c r="A163" s="47">
        <v>20</v>
      </c>
      <c r="B163" s="23" t="s">
        <v>84</v>
      </c>
      <c r="C163" s="49"/>
      <c r="D163" s="50"/>
      <c r="E163" s="50"/>
      <c r="F163" s="50"/>
      <c r="G163" s="50"/>
      <c r="H163" s="50"/>
      <c r="I163" s="50"/>
      <c r="J163" s="51"/>
      <c r="K163" s="52"/>
    </row>
    <row r="164" spans="1:14" ht="15" customHeight="1" x14ac:dyDescent="0.25">
      <c r="A164" s="47"/>
      <c r="B164" s="48" t="s">
        <v>85</v>
      </c>
      <c r="C164" s="49">
        <v>1</v>
      </c>
      <c r="D164" s="50">
        <f>(2.75+2.6)/2</f>
        <v>2.6749999999999998</v>
      </c>
      <c r="E164" s="50">
        <v>6.2</v>
      </c>
      <c r="F164" s="50"/>
      <c r="G164" s="50">
        <f>PRODUCT(C164:F164)</f>
        <v>16.585000000000001</v>
      </c>
      <c r="H164" s="50"/>
      <c r="I164" s="50"/>
      <c r="J164" s="51"/>
      <c r="K164" s="52"/>
    </row>
    <row r="165" spans="1:14" ht="15" customHeight="1" x14ac:dyDescent="0.25">
      <c r="A165" s="47"/>
      <c r="B165" s="48" t="s">
        <v>86</v>
      </c>
      <c r="C165" s="49">
        <v>1</v>
      </c>
      <c r="D165" s="50">
        <v>2</v>
      </c>
      <c r="E165" s="50">
        <v>3</v>
      </c>
      <c r="F165" s="50"/>
      <c r="G165" s="50">
        <f>PRODUCT(C165:F165)</f>
        <v>6</v>
      </c>
      <c r="H165" s="50"/>
      <c r="I165" s="50"/>
      <c r="J165" s="51"/>
      <c r="K165" s="52"/>
    </row>
    <row r="166" spans="1:14" ht="15" customHeight="1" x14ac:dyDescent="0.25">
      <c r="A166" s="47"/>
      <c r="B166" s="48" t="s">
        <v>25</v>
      </c>
      <c r="C166" s="49"/>
      <c r="D166" s="50"/>
      <c r="E166" s="50"/>
      <c r="F166" s="50"/>
      <c r="G166" s="55">
        <f>SUM(G164:G165)</f>
        <v>22.585000000000001</v>
      </c>
      <c r="H166" s="55" t="s">
        <v>26</v>
      </c>
      <c r="I166" s="56">
        <f>50406.04/100</f>
        <v>504.06040000000002</v>
      </c>
      <c r="J166" s="57">
        <f>G166*I166</f>
        <v>11384.204134000001</v>
      </c>
      <c r="K166" s="52"/>
    </row>
    <row r="167" spans="1:14" ht="15" customHeight="1" x14ac:dyDescent="0.25">
      <c r="A167" s="12"/>
      <c r="B167" s="22" t="s">
        <v>49</v>
      </c>
      <c r="C167" s="14"/>
      <c r="D167" s="15"/>
      <c r="E167" s="16"/>
      <c r="F167" s="16"/>
      <c r="G167" s="19"/>
      <c r="H167" s="18"/>
      <c r="I167" s="19"/>
      <c r="J167" s="20">
        <f>G166*0.13*(20166.04/100)</f>
        <v>592.0850174200001</v>
      </c>
      <c r="K167" s="16"/>
      <c r="M167" s="21"/>
      <c r="N167" s="21"/>
    </row>
    <row r="168" spans="1:14" ht="15" customHeight="1" x14ac:dyDescent="0.25">
      <c r="A168" s="12"/>
      <c r="B168" s="22"/>
      <c r="C168" s="14"/>
      <c r="D168" s="15"/>
      <c r="E168" s="16"/>
      <c r="F168" s="16"/>
      <c r="G168" s="19"/>
      <c r="H168" s="18"/>
      <c r="I168" s="19"/>
      <c r="J168" s="20"/>
      <c r="K168" s="16"/>
      <c r="M168" s="21"/>
      <c r="N168" s="21"/>
    </row>
    <row r="169" spans="1:14" ht="45" hidden="1" x14ac:dyDescent="0.25">
      <c r="A169" s="25">
        <v>23</v>
      </c>
      <c r="B169" s="54" t="s">
        <v>87</v>
      </c>
      <c r="C169" s="26"/>
      <c r="D169" s="17"/>
      <c r="E169" s="17"/>
      <c r="F169" s="17"/>
      <c r="G169" s="45"/>
      <c r="H169" s="45"/>
      <c r="I169" s="45"/>
      <c r="J169" s="39"/>
      <c r="K169" s="30"/>
    </row>
    <row r="170" spans="1:14" ht="15" hidden="1" customHeight="1" x14ac:dyDescent="0.25">
      <c r="A170" s="25"/>
      <c r="B170" s="22" t="s">
        <v>88</v>
      </c>
      <c r="C170" s="26">
        <f>1*0</f>
        <v>0</v>
      </c>
      <c r="D170" s="17">
        <f>11/3.281</f>
        <v>3.3526363913441024</v>
      </c>
      <c r="E170" s="17">
        <f>5/12/3.281</f>
        <v>0.12699380270242813</v>
      </c>
      <c r="F170" s="17">
        <f>8/12/3.281</f>
        <v>0.20319008432388497</v>
      </c>
      <c r="G170" s="17">
        <f t="shared" ref="G170:G175" si="16">PRODUCT(C170:F170)</f>
        <v>0</v>
      </c>
      <c r="H170" s="45"/>
      <c r="I170" s="45"/>
      <c r="J170" s="39"/>
      <c r="K170" s="30"/>
    </row>
    <row r="171" spans="1:14" ht="15" hidden="1" customHeight="1" x14ac:dyDescent="0.25">
      <c r="A171" s="25"/>
      <c r="B171" s="30"/>
      <c r="C171" s="26">
        <f>(8*0)</f>
        <v>0</v>
      </c>
      <c r="D171" s="17">
        <f>12/3.281</f>
        <v>3.6574215178299299</v>
      </c>
      <c r="E171" s="17">
        <f>3/12/3.281</f>
        <v>7.6196281621456863E-2</v>
      </c>
      <c r="F171" s="17">
        <f>4/12/3.281</f>
        <v>0.10159504216194248</v>
      </c>
      <c r="G171" s="17">
        <f t="shared" si="16"/>
        <v>0</v>
      </c>
      <c r="H171" s="45"/>
      <c r="I171" s="45"/>
      <c r="J171" s="39"/>
      <c r="K171" s="30"/>
    </row>
    <row r="172" spans="1:14" ht="15" hidden="1" customHeight="1" x14ac:dyDescent="0.25">
      <c r="A172" s="25"/>
      <c r="B172" s="22"/>
      <c r="C172" s="26">
        <f>(3*0)</f>
        <v>0</v>
      </c>
      <c r="D172" s="17">
        <f>8/3.281</f>
        <v>2.4382810118866196</v>
      </c>
      <c r="E172" s="17">
        <f>7/12/3.281</f>
        <v>0.17779132378339937</v>
      </c>
      <c r="F172" s="17">
        <f>7/12/3.281</f>
        <v>0.17779132378339937</v>
      </c>
      <c r="G172" s="17">
        <f t="shared" si="16"/>
        <v>0</v>
      </c>
      <c r="H172" s="45"/>
      <c r="I172" s="45"/>
      <c r="J172" s="39"/>
      <c r="K172" s="30"/>
    </row>
    <row r="173" spans="1:14" ht="15" hidden="1" customHeight="1" x14ac:dyDescent="0.25">
      <c r="A173" s="25"/>
      <c r="B173" s="22"/>
      <c r="C173" s="26">
        <f>22*0</f>
        <v>0</v>
      </c>
      <c r="D173" s="17">
        <f>12/3.281</f>
        <v>3.6574215178299299</v>
      </c>
      <c r="E173" s="17">
        <f>3/12/3.281</f>
        <v>7.6196281621456863E-2</v>
      </c>
      <c r="F173" s="17">
        <f>4/12/3.281</f>
        <v>0.10159504216194248</v>
      </c>
      <c r="G173" s="17">
        <f t="shared" si="16"/>
        <v>0</v>
      </c>
      <c r="H173" s="45"/>
      <c r="I173" s="45"/>
      <c r="J173" s="39"/>
      <c r="K173" s="30"/>
    </row>
    <row r="174" spans="1:14" ht="15" hidden="1" customHeight="1" x14ac:dyDescent="0.25">
      <c r="A174" s="25"/>
      <c r="B174" s="22"/>
      <c r="C174" s="26">
        <f>(2*0)</f>
        <v>0</v>
      </c>
      <c r="D174" s="17">
        <f>12/3.281</f>
        <v>3.6574215178299299</v>
      </c>
      <c r="E174" s="17">
        <f>3/12/3.281</f>
        <v>7.6196281621456863E-2</v>
      </c>
      <c r="F174" s="17">
        <f>4/12/3.281</f>
        <v>0.10159504216194248</v>
      </c>
      <c r="G174" s="17">
        <f t="shared" si="16"/>
        <v>0</v>
      </c>
      <c r="H174" s="45"/>
      <c r="I174" s="45"/>
      <c r="J174" s="39"/>
      <c r="K174" s="30"/>
    </row>
    <row r="175" spans="1:14" ht="15" hidden="1" customHeight="1" x14ac:dyDescent="0.25">
      <c r="A175" s="25"/>
      <c r="B175" s="22"/>
      <c r="C175" s="26">
        <f>(1*0)</f>
        <v>0</v>
      </c>
      <c r="D175" s="17">
        <f>12/3.281</f>
        <v>3.6574215178299299</v>
      </c>
      <c r="E175" s="17">
        <f>6/12/3.281</f>
        <v>0.15239256324291373</v>
      </c>
      <c r="F175" s="17">
        <f>4/12/3.281</f>
        <v>0.10159504216194248</v>
      </c>
      <c r="G175" s="17">
        <f t="shared" si="16"/>
        <v>0</v>
      </c>
      <c r="H175" s="45"/>
      <c r="I175" s="45"/>
      <c r="J175" s="39"/>
      <c r="K175" s="30"/>
    </row>
    <row r="176" spans="1:14" ht="15" hidden="1" customHeight="1" x14ac:dyDescent="0.25">
      <c r="A176" s="25"/>
      <c r="B176" s="22" t="s">
        <v>25</v>
      </c>
      <c r="C176" s="26"/>
      <c r="D176" s="17"/>
      <c r="E176" s="17"/>
      <c r="F176" s="17"/>
      <c r="G176" s="27">
        <f>SUM(G170:G175)</f>
        <v>0</v>
      </c>
      <c r="H176" s="27" t="s">
        <v>26</v>
      </c>
      <c r="I176" s="28">
        <f>369833.1/1.15</f>
        <v>321594</v>
      </c>
      <c r="J176" s="29">
        <f>G176*I176</f>
        <v>0</v>
      </c>
      <c r="K176" s="30"/>
    </row>
    <row r="177" spans="1:19" ht="15" hidden="1" customHeight="1" x14ac:dyDescent="0.25">
      <c r="A177" s="25"/>
      <c r="B177" s="22" t="s">
        <v>89</v>
      </c>
      <c r="C177" s="26"/>
      <c r="D177" s="17"/>
      <c r="E177" s="17"/>
      <c r="F177" s="17"/>
      <c r="G177" s="45"/>
      <c r="H177" s="45"/>
      <c r="I177" s="45"/>
      <c r="J177" s="39">
        <f>0.13*G176*(296712)</f>
        <v>0</v>
      </c>
      <c r="K177" s="30"/>
      <c r="M177" s="58"/>
    </row>
    <row r="178" spans="1:19" ht="15" hidden="1" customHeight="1" x14ac:dyDescent="0.25">
      <c r="A178" s="25"/>
      <c r="B178" s="22"/>
      <c r="C178" s="26"/>
      <c r="D178" s="17"/>
      <c r="E178" s="17"/>
      <c r="F178" s="17"/>
      <c r="G178" s="45"/>
      <c r="H178" s="45"/>
      <c r="I178" s="45"/>
      <c r="J178" s="39"/>
      <c r="K178" s="30"/>
      <c r="M178" s="58"/>
    </row>
    <row r="179" spans="1:19" ht="30" hidden="1" x14ac:dyDescent="0.25">
      <c r="A179" s="25">
        <v>0</v>
      </c>
      <c r="B179" s="59" t="s">
        <v>124</v>
      </c>
      <c r="C179" s="30"/>
      <c r="D179" s="30"/>
      <c r="E179" s="30"/>
      <c r="F179" s="30"/>
      <c r="G179" s="46"/>
      <c r="H179" s="45"/>
      <c r="I179" s="45"/>
      <c r="J179" s="39"/>
      <c r="K179" s="30"/>
    </row>
    <row r="180" spans="1:19" hidden="1" x14ac:dyDescent="0.25">
      <c r="A180" s="25"/>
      <c r="B180" s="73" t="s">
        <v>125</v>
      </c>
      <c r="C180" s="26">
        <f>0*2</f>
        <v>0</v>
      </c>
      <c r="D180" s="17">
        <f>10.5/3.281</f>
        <v>3.2002438281011885</v>
      </c>
      <c r="E180" s="17">
        <f>14/3.281</f>
        <v>4.2669917708015843</v>
      </c>
      <c r="F180" s="17"/>
      <c r="G180" s="17">
        <f>PRODUCT(C180:F180)</f>
        <v>0</v>
      </c>
      <c r="H180" s="45"/>
      <c r="I180" s="45"/>
      <c r="J180" s="39"/>
      <c r="K180" s="30"/>
    </row>
    <row r="181" spans="1:19" ht="15" hidden="1" customHeight="1" x14ac:dyDescent="0.25">
      <c r="A181" s="25"/>
      <c r="B181" s="22" t="s">
        <v>25</v>
      </c>
      <c r="C181" s="26"/>
      <c r="D181" s="17"/>
      <c r="E181" s="17"/>
      <c r="F181" s="17"/>
      <c r="G181" s="27">
        <f>SUM(G180)</f>
        <v>0</v>
      </c>
      <c r="H181" s="27" t="s">
        <v>26</v>
      </c>
      <c r="I181" s="28">
        <f>6829.24/1.15</f>
        <v>5938.4695652173914</v>
      </c>
      <c r="J181" s="29">
        <f>G181*I181</f>
        <v>0</v>
      </c>
      <c r="K181" s="30"/>
    </row>
    <row r="182" spans="1:19" ht="15" hidden="1" customHeight="1" x14ac:dyDescent="0.25">
      <c r="A182" s="25"/>
      <c r="B182" s="22" t="s">
        <v>89</v>
      </c>
      <c r="C182" s="26"/>
      <c r="D182" s="17"/>
      <c r="E182" s="17"/>
      <c r="F182" s="17"/>
      <c r="G182" s="45"/>
      <c r="H182" s="45"/>
      <c r="I182" s="45"/>
      <c r="J182" s="39">
        <f>0.13*G181*(573683.55/100)</f>
        <v>0</v>
      </c>
      <c r="K182" s="30"/>
      <c r="M182" s="58"/>
    </row>
    <row r="183" spans="1:19" ht="15" hidden="1" customHeight="1" x14ac:dyDescent="0.25">
      <c r="A183" s="25"/>
      <c r="B183" s="22"/>
      <c r="C183" s="26"/>
      <c r="D183" s="17"/>
      <c r="E183" s="17"/>
      <c r="F183" s="17"/>
      <c r="G183" s="45"/>
      <c r="H183" s="45"/>
      <c r="I183" s="45"/>
      <c r="J183" s="39"/>
      <c r="K183" s="30"/>
      <c r="M183" s="58"/>
    </row>
    <row r="184" spans="1:19" ht="45" x14ac:dyDescent="0.25">
      <c r="A184" s="47">
        <v>21</v>
      </c>
      <c r="B184" s="54" t="s">
        <v>90</v>
      </c>
      <c r="C184" s="49"/>
      <c r="D184" s="50"/>
      <c r="E184" s="50"/>
      <c r="F184" s="50"/>
      <c r="G184" s="55"/>
      <c r="H184" s="55"/>
      <c r="I184" s="56"/>
      <c r="J184" s="57"/>
      <c r="K184" s="52"/>
    </row>
    <row r="185" spans="1:19" ht="15" hidden="1" customHeight="1" x14ac:dyDescent="0.25">
      <c r="A185" s="25"/>
      <c r="B185" s="22" t="s">
        <v>88</v>
      </c>
      <c r="C185" s="26">
        <f>(3*0)</f>
        <v>0</v>
      </c>
      <c r="D185" s="17">
        <f>3/3.281</f>
        <v>0.91435537945748246</v>
      </c>
      <c r="E185" s="17">
        <f>6/12/3.281</f>
        <v>0.15239256324291373</v>
      </c>
      <c r="F185" s="17">
        <f>6/12/3.281</f>
        <v>0.15239256324291373</v>
      </c>
      <c r="G185" s="17">
        <f>PRODUCT(C185:F185)</f>
        <v>0</v>
      </c>
      <c r="H185" s="45"/>
      <c r="I185" s="45"/>
      <c r="J185" s="39"/>
      <c r="K185" s="30"/>
    </row>
    <row r="186" spans="1:19" ht="15" hidden="1" customHeight="1" x14ac:dyDescent="0.25">
      <c r="A186" s="25"/>
      <c r="B186" s="22"/>
      <c r="C186" s="26">
        <f>(12*0)</f>
        <v>0</v>
      </c>
      <c r="D186" s="17">
        <f>5/3.281</f>
        <v>1.5239256324291375</v>
      </c>
      <c r="E186" s="17">
        <f>3/12/3.281</f>
        <v>7.6196281621456863E-2</v>
      </c>
      <c r="F186" s="17">
        <f>4/12/3.281</f>
        <v>0.10159504216194248</v>
      </c>
      <c r="G186" s="17">
        <f>PRODUCT(C186:F186)</f>
        <v>0</v>
      </c>
      <c r="H186" s="45"/>
      <c r="I186" s="45"/>
      <c r="J186" s="39"/>
      <c r="K186" s="30"/>
    </row>
    <row r="187" spans="1:19" ht="15" hidden="1" customHeight="1" x14ac:dyDescent="0.25">
      <c r="A187" s="25"/>
      <c r="B187" s="22"/>
      <c r="C187" s="26">
        <f>(10*0)</f>
        <v>0</v>
      </c>
      <c r="D187" s="17">
        <f>1/3.281</f>
        <v>0.30478512648582745</v>
      </c>
      <c r="E187" s="17">
        <f>3/12/3.281</f>
        <v>7.6196281621456863E-2</v>
      </c>
      <c r="F187" s="17">
        <f>4/12/3.281</f>
        <v>0.10159504216194248</v>
      </c>
      <c r="G187" s="17">
        <f>PRODUCT(C187:F187)</f>
        <v>0</v>
      </c>
      <c r="H187" s="45"/>
      <c r="I187" s="45"/>
      <c r="J187" s="39"/>
      <c r="K187" s="30"/>
    </row>
    <row r="188" spans="1:19" ht="15" customHeight="1" x14ac:dyDescent="0.25">
      <c r="A188" s="25"/>
      <c r="B188" s="22" t="s">
        <v>126</v>
      </c>
      <c r="C188" s="26">
        <v>2</v>
      </c>
      <c r="D188" s="17">
        <f>7/3.281</f>
        <v>2.1334958854007922</v>
      </c>
      <c r="E188" s="17">
        <f>0.15</f>
        <v>0.15</v>
      </c>
      <c r="F188" s="17">
        <v>0.15</v>
      </c>
      <c r="G188" s="17">
        <f>PRODUCT(C188:F188)</f>
        <v>9.6007314843035638E-2</v>
      </c>
      <c r="H188" s="45"/>
      <c r="I188" s="45"/>
      <c r="J188" s="39"/>
      <c r="K188" s="30"/>
    </row>
    <row r="189" spans="1:19" ht="15" customHeight="1" x14ac:dyDescent="0.25">
      <c r="A189" s="25"/>
      <c r="B189" s="22" t="s">
        <v>25</v>
      </c>
      <c r="C189" s="26"/>
      <c r="D189" s="17"/>
      <c r="E189" s="17"/>
      <c r="F189" s="17"/>
      <c r="G189" s="27">
        <f>SUM(G185:G188)</f>
        <v>9.6007314843035638E-2</v>
      </c>
      <c r="H189" s="27" t="s">
        <v>26</v>
      </c>
      <c r="I189" s="28">
        <f>348511.67/1.15</f>
        <v>303053.62608695653</v>
      </c>
      <c r="J189" s="29">
        <f>G189*I189</f>
        <v>29095.364894054033</v>
      </c>
      <c r="K189" s="30"/>
    </row>
    <row r="190" spans="1:19" ht="15" customHeight="1" x14ac:dyDescent="0.25">
      <c r="A190" s="25"/>
      <c r="B190" s="22" t="s">
        <v>89</v>
      </c>
      <c r="C190" s="26"/>
      <c r="D190" s="17"/>
      <c r="E190" s="17"/>
      <c r="F190" s="17"/>
      <c r="G190" s="45"/>
      <c r="H190" s="45"/>
      <c r="I190" s="45"/>
      <c r="J190" s="39">
        <f>0.13*G189*(296712)</f>
        <v>3703.2479122218829</v>
      </c>
      <c r="K190" s="30"/>
      <c r="M190" s="58"/>
    </row>
    <row r="191" spans="1:19" ht="15" customHeight="1" x14ac:dyDescent="0.25">
      <c r="A191" s="25"/>
      <c r="B191" s="22"/>
      <c r="C191" s="26"/>
      <c r="D191" s="17"/>
      <c r="E191" s="17"/>
      <c r="F191" s="17"/>
      <c r="G191" s="45"/>
      <c r="H191" s="45"/>
      <c r="I191" s="45"/>
      <c r="J191" s="39"/>
      <c r="K191" s="30"/>
      <c r="M191" s="58"/>
    </row>
    <row r="192" spans="1:19" ht="30" hidden="1" x14ac:dyDescent="0.25">
      <c r="A192" s="12">
        <v>25</v>
      </c>
      <c r="B192" s="59" t="s">
        <v>91</v>
      </c>
      <c r="C192" s="14"/>
      <c r="D192" s="15"/>
      <c r="E192" s="16"/>
      <c r="F192" s="16"/>
      <c r="G192" s="19"/>
      <c r="H192" s="18"/>
      <c r="I192" s="19"/>
      <c r="J192" s="20"/>
      <c r="K192" s="16"/>
      <c r="M192" s="21"/>
      <c r="N192" s="1"/>
      <c r="O192" s="1"/>
      <c r="P192" s="1"/>
      <c r="Q192" s="1"/>
      <c r="R192" s="21"/>
      <c r="S192" s="21"/>
    </row>
    <row r="193" spans="1:19" ht="15" hidden="1" customHeight="1" x14ac:dyDescent="0.25">
      <c r="A193" s="12"/>
      <c r="B193" s="13" t="str">
        <f>B52</f>
        <v>-at new roof</v>
      </c>
      <c r="C193" s="26">
        <f>C52</f>
        <v>0</v>
      </c>
      <c r="D193" s="17">
        <f>D52</f>
        <v>4.5717768972874122</v>
      </c>
      <c r="E193" s="17">
        <f>E52</f>
        <v>3.2764401097226452</v>
      </c>
      <c r="F193" s="17"/>
      <c r="G193" s="17">
        <f t="shared" ref="G193" si="17">PRODUCT(C193:F193)</f>
        <v>0</v>
      </c>
      <c r="H193" s="18"/>
      <c r="I193" s="19"/>
      <c r="J193" s="20"/>
      <c r="K193" s="16"/>
      <c r="M193" s="21"/>
      <c r="N193" s="1"/>
      <c r="O193" s="1"/>
      <c r="P193" s="1"/>
      <c r="Q193" s="1"/>
      <c r="R193" s="21"/>
      <c r="S193" s="21"/>
    </row>
    <row r="194" spans="1:19" ht="15" hidden="1" customHeight="1" x14ac:dyDescent="0.25">
      <c r="A194" s="25"/>
      <c r="B194" s="22" t="s">
        <v>25</v>
      </c>
      <c r="C194" s="26"/>
      <c r="D194" s="17"/>
      <c r="E194" s="17"/>
      <c r="F194" s="17"/>
      <c r="G194" s="27">
        <f>SUM(G193:G193)</f>
        <v>0</v>
      </c>
      <c r="H194" s="27" t="s">
        <v>26</v>
      </c>
      <c r="I194" s="28">
        <f>5999.55/10</f>
        <v>599.95500000000004</v>
      </c>
      <c r="J194" s="29">
        <f>G194*I194</f>
        <v>0</v>
      </c>
      <c r="K194" s="30"/>
    </row>
    <row r="195" spans="1:19" ht="15" hidden="1" customHeight="1" x14ac:dyDescent="0.25">
      <c r="A195" s="25"/>
      <c r="B195" s="22" t="s">
        <v>89</v>
      </c>
      <c r="C195" s="26"/>
      <c r="D195" s="17"/>
      <c r="E195" s="17"/>
      <c r="F195" s="17"/>
      <c r="G195" s="45"/>
      <c r="H195" s="45"/>
      <c r="I195" s="45"/>
      <c r="J195" s="39">
        <f>0.13*G194*((1397.55)/10)</f>
        <v>0</v>
      </c>
      <c r="K195" s="30"/>
    </row>
    <row r="196" spans="1:19" ht="15" hidden="1" customHeight="1" x14ac:dyDescent="0.25">
      <c r="A196" s="12"/>
      <c r="B196" s="60"/>
      <c r="C196" s="14"/>
      <c r="D196" s="15"/>
      <c r="E196" s="16"/>
      <c r="F196" s="16"/>
      <c r="G196" s="19"/>
      <c r="H196" s="18"/>
      <c r="I196" s="19"/>
      <c r="J196" s="20"/>
      <c r="K196" s="16"/>
      <c r="M196" s="21"/>
      <c r="N196" s="1"/>
      <c r="O196" s="1"/>
      <c r="P196" s="1"/>
      <c r="Q196" s="1"/>
      <c r="R196" s="21"/>
      <c r="S196" s="21"/>
    </row>
    <row r="197" spans="1:19" x14ac:dyDescent="0.25">
      <c r="A197" s="12">
        <v>22</v>
      </c>
      <c r="B197" s="24" t="s">
        <v>92</v>
      </c>
      <c r="C197" s="26"/>
      <c r="D197" s="17"/>
      <c r="E197" s="17"/>
      <c r="F197" s="17"/>
      <c r="G197" s="45"/>
      <c r="H197" s="45"/>
      <c r="I197" s="45"/>
      <c r="J197" s="39"/>
      <c r="K197" s="30"/>
    </row>
    <row r="198" spans="1:19" ht="15" customHeight="1" x14ac:dyDescent="0.25">
      <c r="A198" s="25"/>
      <c r="B198" s="22" t="s">
        <v>93</v>
      </c>
      <c r="C198" s="26">
        <v>2</v>
      </c>
      <c r="D198" s="17"/>
      <c r="E198" s="17"/>
      <c r="F198" s="17"/>
      <c r="G198" s="17">
        <f>PRODUCT(C198:F198)</f>
        <v>2</v>
      </c>
      <c r="H198" s="45"/>
      <c r="I198" s="45"/>
      <c r="J198" s="39"/>
      <c r="K198" s="30"/>
    </row>
    <row r="199" spans="1:19" ht="15" customHeight="1" x14ac:dyDescent="0.25">
      <c r="A199" s="25"/>
      <c r="B199" s="22" t="s">
        <v>25</v>
      </c>
      <c r="C199" s="26"/>
      <c r="D199" s="17"/>
      <c r="E199" s="17"/>
      <c r="F199" s="17"/>
      <c r="G199" s="27">
        <f>SUM(G198:G198)</f>
        <v>2</v>
      </c>
      <c r="H199" s="27" t="s">
        <v>94</v>
      </c>
      <c r="I199" s="28">
        <f>2365*1.15</f>
        <v>2719.75</v>
      </c>
      <c r="J199" s="29">
        <f>G199*I199</f>
        <v>5439.5</v>
      </c>
      <c r="K199" s="30"/>
    </row>
    <row r="200" spans="1:19" ht="15" customHeight="1" x14ac:dyDescent="0.25">
      <c r="A200" s="12"/>
      <c r="B200" s="22" t="s">
        <v>49</v>
      </c>
      <c r="C200" s="14"/>
      <c r="D200" s="15"/>
      <c r="E200" s="16"/>
      <c r="F200" s="16"/>
      <c r="G200" s="19"/>
      <c r="H200" s="18"/>
      <c r="I200" s="19"/>
      <c r="J200" s="20">
        <f>J199*0.13</f>
        <v>707.13499999999999</v>
      </c>
      <c r="K200" s="16"/>
      <c r="M200" s="21"/>
      <c r="N200" s="21"/>
    </row>
    <row r="201" spans="1:19" ht="15" customHeight="1" x14ac:dyDescent="0.25">
      <c r="A201" s="25"/>
      <c r="B201" s="22"/>
      <c r="C201" s="26"/>
      <c r="D201" s="17"/>
      <c r="E201" s="17"/>
      <c r="F201" s="17"/>
      <c r="G201" s="27"/>
      <c r="H201" s="27"/>
      <c r="I201" s="28"/>
      <c r="J201" s="29"/>
      <c r="K201" s="30"/>
    </row>
    <row r="202" spans="1:19" ht="30.75" x14ac:dyDescent="0.25">
      <c r="A202" s="25">
        <v>23</v>
      </c>
      <c r="B202" s="11" t="s">
        <v>95</v>
      </c>
      <c r="C202" s="26"/>
      <c r="D202" s="17"/>
      <c r="E202" s="17"/>
      <c r="F202" s="17"/>
      <c r="G202" s="45"/>
      <c r="H202" s="45"/>
      <c r="I202" s="45"/>
      <c r="J202" s="39"/>
      <c r="K202" s="30"/>
    </row>
    <row r="203" spans="1:19" x14ac:dyDescent="0.25">
      <c r="A203" s="25"/>
      <c r="B203" s="22" t="s">
        <v>96</v>
      </c>
      <c r="C203" s="26">
        <v>2</v>
      </c>
      <c r="D203" s="17">
        <f>3.833/3.281</f>
        <v>1.1682413898201769</v>
      </c>
      <c r="E203" s="17">
        <v>7.4999999999999997E-2</v>
      </c>
      <c r="F203" s="17">
        <v>0.125</v>
      </c>
      <c r="G203" s="17">
        <f t="shared" ref="G203:G208" si="18">PRODUCT(C203:F203)</f>
        <v>2.1904526059128317E-2</v>
      </c>
      <c r="H203" s="45"/>
      <c r="I203" s="45"/>
      <c r="J203" s="39"/>
      <c r="K203" s="30"/>
    </row>
    <row r="204" spans="1:19" x14ac:dyDescent="0.25">
      <c r="A204" s="25"/>
      <c r="B204" s="22"/>
      <c r="C204" s="26">
        <v>2</v>
      </c>
      <c r="D204" s="17">
        <f>6/3.281</f>
        <v>1.8287107589149649</v>
      </c>
      <c r="E204" s="17">
        <v>7.4999999999999997E-2</v>
      </c>
      <c r="F204" s="17">
        <v>0.125</v>
      </c>
      <c r="G204" s="17">
        <f t="shared" si="18"/>
        <v>3.4288326729655594E-2</v>
      </c>
      <c r="H204" s="45"/>
      <c r="I204" s="45"/>
      <c r="J204" s="39"/>
      <c r="K204" s="30"/>
    </row>
    <row r="205" spans="1:19" x14ac:dyDescent="0.25">
      <c r="A205" s="25"/>
      <c r="B205" s="22"/>
      <c r="C205" s="26">
        <v>2</v>
      </c>
      <c r="D205" s="17">
        <f>6/3.281</f>
        <v>1.8287107589149649</v>
      </c>
      <c r="E205" s="17">
        <v>7.4999999999999997E-2</v>
      </c>
      <c r="F205" s="17">
        <v>7.4999999999999997E-2</v>
      </c>
      <c r="G205" s="17">
        <f t="shared" si="18"/>
        <v>2.0572996037793355E-2</v>
      </c>
      <c r="H205" s="45"/>
      <c r="I205" s="45"/>
      <c r="J205" s="39"/>
      <c r="K205" s="30"/>
    </row>
    <row r="206" spans="1:19" x14ac:dyDescent="0.25">
      <c r="A206" s="25"/>
      <c r="B206" s="22" t="s">
        <v>97</v>
      </c>
      <c r="C206" s="26">
        <v>2</v>
      </c>
      <c r="D206" s="17">
        <f>3.5/3.281</f>
        <v>1.0667479427003961</v>
      </c>
      <c r="E206" s="17">
        <v>7.4999999999999997E-2</v>
      </c>
      <c r="F206" s="17">
        <v>0.125</v>
      </c>
      <c r="G206" s="17">
        <f t="shared" si="18"/>
        <v>2.0001523925632425E-2</v>
      </c>
      <c r="H206" s="45"/>
      <c r="I206" s="45"/>
      <c r="J206" s="39"/>
      <c r="K206" s="30"/>
    </row>
    <row r="207" spans="1:19" x14ac:dyDescent="0.25">
      <c r="A207" s="25"/>
      <c r="B207" s="22"/>
      <c r="C207" s="26">
        <v>2</v>
      </c>
      <c r="D207" s="17">
        <f>4.5/3.281</f>
        <v>1.3715330691862238</v>
      </c>
      <c r="E207" s="17">
        <v>7.4999999999999997E-2</v>
      </c>
      <c r="F207" s="17">
        <v>0.125</v>
      </c>
      <c r="G207" s="17">
        <f t="shared" si="18"/>
        <v>2.5716245047241695E-2</v>
      </c>
      <c r="H207" s="45"/>
      <c r="I207" s="45"/>
      <c r="J207" s="39"/>
      <c r="K207" s="30"/>
    </row>
    <row r="208" spans="1:19" hidden="1" x14ac:dyDescent="0.25">
      <c r="A208" s="25"/>
      <c r="B208" s="22" t="s">
        <v>98</v>
      </c>
      <c r="C208" s="26">
        <f>0*2</f>
        <v>0</v>
      </c>
      <c r="D208" s="17">
        <f>(2*2+2.5*2)/3.281</f>
        <v>2.7430661383724475</v>
      </c>
      <c r="E208" s="17">
        <v>7.4999999999999997E-2</v>
      </c>
      <c r="F208" s="17">
        <v>0.125</v>
      </c>
      <c r="G208" s="17">
        <f t="shared" si="18"/>
        <v>0</v>
      </c>
      <c r="H208" s="45"/>
      <c r="I208" s="45"/>
      <c r="J208" s="39"/>
      <c r="K208" s="30"/>
    </row>
    <row r="209" spans="1:14" ht="15" customHeight="1" x14ac:dyDescent="0.25">
      <c r="A209" s="25"/>
      <c r="B209" s="22" t="s">
        <v>25</v>
      </c>
      <c r="C209" s="26"/>
      <c r="D209" s="17"/>
      <c r="E209" s="17"/>
      <c r="F209" s="17"/>
      <c r="G209" s="27">
        <f>SUM(G203:G208)</f>
        <v>0.1224836177994514</v>
      </c>
      <c r="H209" s="27" t="s">
        <v>94</v>
      </c>
      <c r="I209" s="28">
        <f>283082.83</f>
        <v>283082.83</v>
      </c>
      <c r="J209" s="29">
        <f>G209*I209</f>
        <v>34673.009155307074</v>
      </c>
      <c r="K209" s="30"/>
    </row>
    <row r="210" spans="1:14" ht="15" customHeight="1" x14ac:dyDescent="0.25">
      <c r="A210" s="12"/>
      <c r="B210" s="22" t="s">
        <v>49</v>
      </c>
      <c r="C210" s="14"/>
      <c r="D210" s="15"/>
      <c r="E210" s="16"/>
      <c r="F210" s="16"/>
      <c r="G210" s="19"/>
      <c r="H210" s="18"/>
      <c r="I210" s="19"/>
      <c r="J210" s="20">
        <f>0.13*G209*239222.83</f>
        <v>3809.1140982210081</v>
      </c>
      <c r="K210" s="16"/>
      <c r="M210" s="21"/>
      <c r="N210" s="21"/>
    </row>
    <row r="211" spans="1:14" ht="15" customHeight="1" x14ac:dyDescent="0.25">
      <c r="A211" s="25"/>
      <c r="B211" s="22"/>
      <c r="C211" s="26"/>
      <c r="D211" s="17"/>
      <c r="E211" s="17"/>
      <c r="F211" s="17"/>
      <c r="G211" s="45"/>
      <c r="H211" s="45"/>
      <c r="I211" s="45"/>
      <c r="J211" s="39"/>
      <c r="K211" s="30"/>
    </row>
    <row r="212" spans="1:14" ht="30" x14ac:dyDescent="0.25">
      <c r="A212" s="12">
        <v>24</v>
      </c>
      <c r="B212" s="54" t="s">
        <v>99</v>
      </c>
      <c r="C212" s="14"/>
      <c r="D212" s="15"/>
      <c r="E212" s="16"/>
      <c r="F212" s="16"/>
      <c r="G212" s="19"/>
      <c r="H212" s="18"/>
      <c r="I212" s="19"/>
      <c r="J212" s="37"/>
      <c r="K212" s="16"/>
    </row>
    <row r="213" spans="1:14" x14ac:dyDescent="0.25">
      <c r="A213" s="12"/>
      <c r="B213" s="43" t="s">
        <v>100</v>
      </c>
      <c r="C213" s="14">
        <v>1</v>
      </c>
      <c r="D213" s="15">
        <f>15/3.281</f>
        <v>4.5717768972874122</v>
      </c>
      <c r="E213" s="16">
        <v>7.4999999999999997E-2</v>
      </c>
      <c r="F213" s="30"/>
      <c r="G213" s="33">
        <f>PRODUCT(C213:E213)</f>
        <v>0.34288326729655588</v>
      </c>
      <c r="H213" s="18"/>
      <c r="I213" s="19"/>
      <c r="J213" s="37"/>
      <c r="K213" s="16"/>
    </row>
    <row r="214" spans="1:14" x14ac:dyDescent="0.25">
      <c r="A214" s="12"/>
      <c r="B214" s="43" t="str">
        <f>B203</f>
        <v>-For Door</v>
      </c>
      <c r="C214" s="14">
        <v>2</v>
      </c>
      <c r="D214" s="15">
        <f>0.3</f>
        <v>0.3</v>
      </c>
      <c r="E214" s="16"/>
      <c r="F214" s="16">
        <f>D204</f>
        <v>1.8287107589149649</v>
      </c>
      <c r="G214" s="33">
        <f>PRODUCT(C214:F214)</f>
        <v>1.097226455348979</v>
      </c>
      <c r="H214" s="18"/>
      <c r="I214" s="19"/>
      <c r="J214" s="37"/>
      <c r="K214" s="16"/>
    </row>
    <row r="215" spans="1:14" x14ac:dyDescent="0.25">
      <c r="A215" s="12"/>
      <c r="B215" s="43"/>
      <c r="C215" s="14">
        <v>1</v>
      </c>
      <c r="D215" s="15">
        <f>(6*2+4*2)/3.281</f>
        <v>6.0957025297165499</v>
      </c>
      <c r="E215" s="16">
        <v>7.4999999999999997E-2</v>
      </c>
      <c r="F215" s="16"/>
      <c r="G215" s="33">
        <f>PRODUCT(C215:F215)</f>
        <v>0.45717768972874123</v>
      </c>
      <c r="H215" s="18"/>
      <c r="I215" s="19"/>
      <c r="J215" s="37"/>
      <c r="K215" s="16"/>
    </row>
    <row r="216" spans="1:14" hidden="1" x14ac:dyDescent="0.25">
      <c r="A216" s="12"/>
      <c r="B216" s="43" t="s">
        <v>98</v>
      </c>
      <c r="C216" s="14">
        <f>0*2</f>
        <v>0</v>
      </c>
      <c r="D216" s="15">
        <f>D208</f>
        <v>2.7430661383724475</v>
      </c>
      <c r="E216" s="16">
        <f>E208</f>
        <v>7.4999999999999997E-2</v>
      </c>
      <c r="F216" s="16"/>
      <c r="G216" s="33">
        <f>PRODUCT(C216:F216)</f>
        <v>0</v>
      </c>
      <c r="H216" s="18"/>
      <c r="I216" s="19"/>
      <c r="J216" s="37"/>
      <c r="K216" s="16"/>
    </row>
    <row r="217" spans="1:14" ht="15" customHeight="1" x14ac:dyDescent="0.25">
      <c r="A217" s="25"/>
      <c r="B217" s="43" t="s">
        <v>25</v>
      </c>
      <c r="C217" s="32"/>
      <c r="D217" s="33"/>
      <c r="E217" s="33"/>
      <c r="F217" s="33"/>
      <c r="G217" s="37">
        <f>SUM(G213:G216)</f>
        <v>1.897287412374276</v>
      </c>
      <c r="H217" s="37" t="s">
        <v>26</v>
      </c>
      <c r="I217" s="38">
        <f>39251.14/1.15</f>
        <v>34131.426086956526</v>
      </c>
      <c r="J217" s="39">
        <f>G217*I217</f>
        <v>64757.125081165606</v>
      </c>
      <c r="K217" s="34"/>
    </row>
    <row r="218" spans="1:14" x14ac:dyDescent="0.25">
      <c r="A218" s="12"/>
      <c r="B218" s="54"/>
      <c r="C218" s="14"/>
      <c r="D218" s="15"/>
      <c r="E218" s="16"/>
      <c r="F218" s="16"/>
      <c r="G218" s="19"/>
      <c r="H218" s="18"/>
      <c r="I218" s="19"/>
      <c r="J218" s="37"/>
      <c r="K218" s="16"/>
    </row>
    <row r="219" spans="1:14" ht="45" x14ac:dyDescent="0.25">
      <c r="A219" s="25">
        <v>25</v>
      </c>
      <c r="B219" s="24" t="s">
        <v>101</v>
      </c>
      <c r="C219" s="26"/>
      <c r="D219" s="17"/>
      <c r="E219" s="17"/>
      <c r="F219" s="17"/>
      <c r="G219" s="45"/>
      <c r="H219" s="45"/>
      <c r="I219" s="45"/>
      <c r="J219" s="39"/>
      <c r="K219" s="30"/>
    </row>
    <row r="220" spans="1:14" ht="15" customHeight="1" x14ac:dyDescent="0.25">
      <c r="A220" s="25"/>
      <c r="B220" s="22" t="s">
        <v>102</v>
      </c>
      <c r="C220" s="26">
        <v>1</v>
      </c>
      <c r="D220" s="17">
        <f>3/3.281</f>
        <v>0.91435537945748246</v>
      </c>
      <c r="E220" s="17">
        <f>4/3.281</f>
        <v>1.2191405059433098</v>
      </c>
      <c r="F220" s="17"/>
      <c r="G220" s="17">
        <f>PRODUCT(C220:F220)</f>
        <v>1.1147276799237822</v>
      </c>
      <c r="H220" s="45"/>
      <c r="I220" s="45"/>
      <c r="J220" s="39"/>
      <c r="K220" s="30"/>
    </row>
    <row r="221" spans="1:14" ht="15" hidden="1" customHeight="1" x14ac:dyDescent="0.25">
      <c r="A221" s="25"/>
      <c r="B221" s="22" t="s">
        <v>98</v>
      </c>
      <c r="C221" s="26">
        <f>0*2</f>
        <v>0</v>
      </c>
      <c r="D221" s="17"/>
      <c r="E221" s="17">
        <f>2.5/3.281</f>
        <v>0.76196281621456874</v>
      </c>
      <c r="F221" s="17">
        <f>1.5/3.281</f>
        <v>0.45717768972874123</v>
      </c>
      <c r="G221" s="17">
        <f>PRODUCT(C221:F221)</f>
        <v>0</v>
      </c>
      <c r="H221" s="45"/>
      <c r="I221" s="45"/>
      <c r="J221" s="39"/>
      <c r="K221" s="30"/>
    </row>
    <row r="222" spans="1:14" ht="15" customHeight="1" x14ac:dyDescent="0.25">
      <c r="A222" s="25"/>
      <c r="B222" s="22" t="s">
        <v>25</v>
      </c>
      <c r="C222" s="26"/>
      <c r="D222" s="17"/>
      <c r="E222" s="17"/>
      <c r="F222" s="17"/>
      <c r="G222" s="27">
        <f>SUM(G220:G221)</f>
        <v>1.1147276799237822</v>
      </c>
      <c r="H222" s="27" t="s">
        <v>26</v>
      </c>
      <c r="I222" s="28">
        <f>31552.5/0.92</f>
        <v>34296.195652173912</v>
      </c>
      <c r="J222" s="29">
        <f>G222*I222</f>
        <v>38230.918609559929</v>
      </c>
      <c r="K222" s="30"/>
    </row>
    <row r="223" spans="1:14" ht="15" customHeight="1" x14ac:dyDescent="0.25">
      <c r="A223" s="25"/>
      <c r="B223" s="22" t="s">
        <v>89</v>
      </c>
      <c r="C223" s="26"/>
      <c r="D223" s="17"/>
      <c r="E223" s="17"/>
      <c r="F223" s="17"/>
      <c r="G223" s="45"/>
      <c r="H223" s="45"/>
      <c r="I223" s="45"/>
      <c r="J223" s="39">
        <f>0.13*G222*((9742.5)/0.92)</f>
        <v>1534.5983421907263</v>
      </c>
      <c r="K223" s="30"/>
      <c r="M223" s="58"/>
    </row>
    <row r="224" spans="1:14" ht="15" customHeight="1" x14ac:dyDescent="0.25">
      <c r="A224" s="25"/>
      <c r="B224" s="22"/>
      <c r="C224" s="26"/>
      <c r="D224" s="17"/>
      <c r="E224" s="17"/>
      <c r="F224" s="17"/>
      <c r="G224" s="45"/>
      <c r="H224" s="45"/>
      <c r="I224" s="45"/>
      <c r="J224" s="39"/>
      <c r="K224" s="30"/>
      <c r="M224" s="58"/>
    </row>
    <row r="225" spans="1:19" ht="30.75" x14ac:dyDescent="0.25">
      <c r="A225" s="25">
        <v>26</v>
      </c>
      <c r="B225" s="11" t="s">
        <v>103</v>
      </c>
      <c r="C225" s="26"/>
      <c r="D225" s="17"/>
      <c r="E225" s="17"/>
      <c r="F225" s="17"/>
      <c r="G225" s="45"/>
      <c r="H225" s="45"/>
      <c r="I225" s="45"/>
      <c r="J225" s="39"/>
      <c r="K225" s="30"/>
      <c r="M225" s="58"/>
    </row>
    <row r="226" spans="1:19" ht="15" customHeight="1" x14ac:dyDescent="0.25">
      <c r="A226" s="25"/>
      <c r="B226" s="22" t="s">
        <v>104</v>
      </c>
      <c r="C226" s="26">
        <v>1</v>
      </c>
      <c r="D226" s="17"/>
      <c r="E226" s="17">
        <f>3.5/3.281</f>
        <v>1.0667479427003961</v>
      </c>
      <c r="F226" s="17">
        <f>6/3.281</f>
        <v>1.8287107589149649</v>
      </c>
      <c r="G226" s="17">
        <f>PRODUCT(C226:F226)</f>
        <v>1.9507734398666188</v>
      </c>
      <c r="H226" s="45"/>
      <c r="I226" s="45"/>
      <c r="J226" s="39"/>
      <c r="K226" s="30"/>
    </row>
    <row r="227" spans="1:19" ht="15" customHeight="1" x14ac:dyDescent="0.25">
      <c r="A227" s="25"/>
      <c r="B227" s="22" t="s">
        <v>25</v>
      </c>
      <c r="C227" s="26"/>
      <c r="D227" s="17"/>
      <c r="E227" s="17"/>
      <c r="F227" s="17"/>
      <c r="G227" s="27">
        <f>SUM(G226:G226)</f>
        <v>1.9507734398666188</v>
      </c>
      <c r="H227" s="27" t="s">
        <v>26</v>
      </c>
      <c r="I227" s="87">
        <v>15731.39</v>
      </c>
      <c r="J227" s="29">
        <f>G227*I227</f>
        <v>30688.377784183325</v>
      </c>
      <c r="K227" s="30"/>
    </row>
    <row r="228" spans="1:19" ht="15" customHeight="1" x14ac:dyDescent="0.25">
      <c r="A228" s="25"/>
      <c r="B228" s="22" t="s">
        <v>89</v>
      </c>
      <c r="C228" s="26"/>
      <c r="D228" s="17"/>
      <c r="E228" s="17"/>
      <c r="F228" s="17"/>
      <c r="G228" s="45"/>
      <c r="H228" s="45"/>
      <c r="I228" s="45"/>
      <c r="J228" s="39">
        <f>0.13*G227*((20356.18)/2.114)</f>
        <v>2441.9765310069674</v>
      </c>
      <c r="K228" s="30"/>
      <c r="M228" s="58"/>
    </row>
    <row r="229" spans="1:19" ht="15.75" x14ac:dyDescent="0.25">
      <c r="A229" s="25"/>
      <c r="B229" s="11"/>
      <c r="C229" s="26"/>
      <c r="D229" s="17"/>
      <c r="E229" s="17"/>
      <c r="F229" s="17"/>
      <c r="G229" s="45"/>
      <c r="H229" s="45"/>
      <c r="I229" s="45"/>
      <c r="J229" s="39"/>
      <c r="K229" s="30"/>
      <c r="M229" s="58"/>
    </row>
    <row r="230" spans="1:19" ht="30" x14ac:dyDescent="0.25">
      <c r="A230" s="25">
        <v>27</v>
      </c>
      <c r="B230" s="24" t="s">
        <v>105</v>
      </c>
      <c r="C230" s="26"/>
      <c r="D230" s="17"/>
      <c r="E230" s="17"/>
      <c r="F230" s="17"/>
      <c r="G230" s="45"/>
      <c r="H230" s="45"/>
      <c r="I230" s="45"/>
      <c r="J230" s="39"/>
      <c r="K230" s="30"/>
    </row>
    <row r="231" spans="1:19" ht="15" customHeight="1" x14ac:dyDescent="0.25">
      <c r="A231" s="25"/>
      <c r="B231" s="22" t="s">
        <v>104</v>
      </c>
      <c r="C231" s="26">
        <v>1</v>
      </c>
      <c r="D231" s="17"/>
      <c r="E231" s="17">
        <f>3.5/3.281</f>
        <v>1.0667479427003961</v>
      </c>
      <c r="F231" s="17">
        <f>6/3.281</f>
        <v>1.8287107589149649</v>
      </c>
      <c r="G231" s="17">
        <f>PRODUCT(C231:F231)</f>
        <v>1.9507734398666188</v>
      </c>
      <c r="H231" s="45"/>
      <c r="I231" s="45"/>
      <c r="J231" s="39"/>
      <c r="K231" s="30"/>
    </row>
    <row r="232" spans="1:19" ht="15" customHeight="1" x14ac:dyDescent="0.25">
      <c r="A232" s="25"/>
      <c r="B232" s="22" t="s">
        <v>25</v>
      </c>
      <c r="C232" s="26"/>
      <c r="D232" s="17"/>
      <c r="E232" s="17"/>
      <c r="F232" s="17"/>
      <c r="G232" s="27">
        <f>SUM(G231:G231)</f>
        <v>1.9507734398666188</v>
      </c>
      <c r="H232" s="27" t="s">
        <v>26</v>
      </c>
      <c r="I232" s="28">
        <f>45908.09/1.15</f>
        <v>39920.078260869566</v>
      </c>
      <c r="J232" s="29">
        <f>G232*I232</f>
        <v>77875.028388701146</v>
      </c>
      <c r="K232" s="30"/>
    </row>
    <row r="233" spans="1:19" x14ac:dyDescent="0.25">
      <c r="A233" s="25"/>
      <c r="B233" s="24"/>
      <c r="C233" s="26"/>
      <c r="D233" s="17"/>
      <c r="E233" s="17"/>
      <c r="F233" s="17"/>
      <c r="G233" s="45"/>
      <c r="H233" s="45"/>
      <c r="I233" s="45"/>
      <c r="J233" s="39"/>
      <c r="K233" s="30"/>
    </row>
    <row r="234" spans="1:19" ht="30" hidden="1" x14ac:dyDescent="0.25">
      <c r="A234" s="12">
        <v>32</v>
      </c>
      <c r="B234" s="59" t="s">
        <v>106</v>
      </c>
      <c r="C234" s="14"/>
      <c r="D234" s="15"/>
      <c r="E234" s="16"/>
      <c r="F234" s="16"/>
      <c r="G234" s="19"/>
      <c r="H234" s="18"/>
      <c r="I234" s="19"/>
      <c r="J234" s="20"/>
      <c r="K234" s="16"/>
      <c r="M234" s="21"/>
      <c r="N234" s="1"/>
      <c r="O234" s="1"/>
      <c r="P234" s="1"/>
      <c r="Q234" s="1"/>
      <c r="R234" s="21"/>
      <c r="S234" s="21"/>
    </row>
    <row r="235" spans="1:19" ht="15" hidden="1" customHeight="1" x14ac:dyDescent="0.25">
      <c r="A235" s="12"/>
      <c r="B235" s="13" t="s">
        <v>107</v>
      </c>
      <c r="C235" s="14">
        <f>0*2</f>
        <v>0</v>
      </c>
      <c r="D235" s="15">
        <f>(15)/3.281</f>
        <v>4.5717768972874122</v>
      </c>
      <c r="E235" s="16">
        <f>((10.5-1.5)/3.281)</f>
        <v>2.7430661383724475</v>
      </c>
      <c r="F235" s="16"/>
      <c r="G235" s="17">
        <f t="shared" ref="G235" si="19">PRODUCT(C235:F235)</f>
        <v>0</v>
      </c>
      <c r="H235" s="18"/>
      <c r="I235" s="19"/>
      <c r="J235" s="20"/>
      <c r="K235" s="16"/>
      <c r="M235" s="21"/>
      <c r="N235" s="1"/>
      <c r="O235" s="1"/>
      <c r="P235" s="1"/>
      <c r="Q235" s="1"/>
      <c r="R235" s="21"/>
      <c r="S235" s="21"/>
    </row>
    <row r="236" spans="1:19" ht="15" hidden="1" customHeight="1" x14ac:dyDescent="0.25">
      <c r="A236" s="25"/>
      <c r="B236" s="22" t="s">
        <v>25</v>
      </c>
      <c r="C236" s="26"/>
      <c r="D236" s="17"/>
      <c r="E236" s="17"/>
      <c r="F236" s="17"/>
      <c r="G236" s="27">
        <f>SUM(G235:G235)</f>
        <v>0</v>
      </c>
      <c r="H236" s="27" t="s">
        <v>26</v>
      </c>
      <c r="I236" s="28">
        <f>(325188.75/100)</f>
        <v>3251.8874999999998</v>
      </c>
      <c r="J236" s="29">
        <f>G236*I236</f>
        <v>0</v>
      </c>
      <c r="K236" s="30"/>
    </row>
    <row r="237" spans="1:19" ht="15" hidden="1" customHeight="1" x14ac:dyDescent="0.25">
      <c r="A237" s="25"/>
      <c r="B237" s="22" t="s">
        <v>89</v>
      </c>
      <c r="C237" s="26"/>
      <c r="D237" s="17"/>
      <c r="E237" s="17"/>
      <c r="F237" s="17"/>
      <c r="G237" s="45"/>
      <c r="H237" s="45"/>
      <c r="I237" s="45"/>
      <c r="J237" s="39">
        <f>0.13*G236*((221748.75)/100)</f>
        <v>0</v>
      </c>
      <c r="K237" s="30"/>
    </row>
    <row r="238" spans="1:19" ht="15" hidden="1" customHeight="1" x14ac:dyDescent="0.25">
      <c r="A238" s="25"/>
      <c r="B238" s="22"/>
      <c r="C238" s="26"/>
      <c r="D238" s="17"/>
      <c r="E238" s="17"/>
      <c r="F238" s="17"/>
      <c r="G238" s="45"/>
      <c r="H238" s="45"/>
      <c r="I238" s="45"/>
      <c r="J238" s="39"/>
      <c r="K238" s="30"/>
    </row>
    <row r="239" spans="1:19" ht="30" hidden="1" x14ac:dyDescent="0.25">
      <c r="A239" s="12">
        <v>33</v>
      </c>
      <c r="B239" s="59" t="s">
        <v>108</v>
      </c>
      <c r="C239" s="26"/>
      <c r="D239" s="17"/>
      <c r="E239" s="17"/>
      <c r="F239" s="17"/>
      <c r="G239" s="45"/>
      <c r="H239" s="45"/>
      <c r="I239" s="45"/>
      <c r="J239" s="39"/>
      <c r="K239" s="30"/>
    </row>
    <row r="240" spans="1:19" ht="15" hidden="1" customHeight="1" x14ac:dyDescent="0.25">
      <c r="A240" s="12"/>
      <c r="B240" s="13" t="s">
        <v>107</v>
      </c>
      <c r="C240" s="14">
        <f>0*2*2</f>
        <v>0</v>
      </c>
      <c r="D240" s="15">
        <f>D235</f>
        <v>4.5717768972874122</v>
      </c>
      <c r="E240" s="16"/>
      <c r="F240" s="16"/>
      <c r="G240" s="17">
        <f>PRODUCT(C240:F240)</f>
        <v>0</v>
      </c>
      <c r="H240" s="18"/>
      <c r="I240" s="19"/>
      <c r="J240" s="20"/>
      <c r="K240" s="16"/>
      <c r="M240" s="21"/>
      <c r="N240" s="1"/>
      <c r="O240" s="1"/>
      <c r="P240" s="1"/>
      <c r="Q240" s="1"/>
      <c r="R240" s="21"/>
      <c r="S240" s="21"/>
    </row>
    <row r="241" spans="1:14" ht="15" hidden="1" customHeight="1" x14ac:dyDescent="0.25">
      <c r="A241" s="25"/>
      <c r="B241" s="22" t="s">
        <v>25</v>
      </c>
      <c r="C241" s="26"/>
      <c r="D241" s="17"/>
      <c r="E241" s="17"/>
      <c r="F241" s="17"/>
      <c r="G241" s="27">
        <f>SUM(G240:G240)</f>
        <v>0</v>
      </c>
      <c r="H241" s="27" t="s">
        <v>73</v>
      </c>
      <c r="I241" s="28">
        <v>1842.85</v>
      </c>
      <c r="J241" s="29">
        <f>G241*I241</f>
        <v>0</v>
      </c>
      <c r="K241" s="30"/>
    </row>
    <row r="242" spans="1:14" ht="15" hidden="1" customHeight="1" x14ac:dyDescent="0.25">
      <c r="A242" s="25"/>
      <c r="B242" s="22" t="s">
        <v>89</v>
      </c>
      <c r="C242" s="26"/>
      <c r="D242" s="17"/>
      <c r="E242" s="17"/>
      <c r="F242" s="17"/>
      <c r="G242" s="45"/>
      <c r="H242" s="45"/>
      <c r="I242" s="45"/>
      <c r="J242" s="39">
        <f>0.13*G241*((164000)/100)</f>
        <v>0</v>
      </c>
      <c r="K242" s="30"/>
    </row>
    <row r="243" spans="1:14" ht="15" hidden="1" customHeight="1" x14ac:dyDescent="0.25">
      <c r="A243" s="25"/>
      <c r="B243" s="22"/>
      <c r="C243" s="26"/>
      <c r="D243" s="17"/>
      <c r="E243" s="17"/>
      <c r="F243" s="17"/>
      <c r="G243" s="45"/>
      <c r="H243" s="45"/>
      <c r="I243" s="45"/>
      <c r="J243" s="39"/>
      <c r="K243" s="30"/>
    </row>
    <row r="244" spans="1:14" ht="30" hidden="1" x14ac:dyDescent="0.25">
      <c r="A244" s="25">
        <v>34</v>
      </c>
      <c r="B244" s="59" t="s">
        <v>109</v>
      </c>
      <c r="C244" s="26"/>
      <c r="D244" s="17"/>
      <c r="E244" s="17"/>
      <c r="F244" s="17"/>
      <c r="G244" s="45"/>
      <c r="H244" s="45"/>
      <c r="I244" s="45"/>
      <c r="J244" s="39"/>
      <c r="K244" s="30"/>
    </row>
    <row r="245" spans="1:14" hidden="1" x14ac:dyDescent="0.25">
      <c r="A245" s="25"/>
      <c r="B245" s="22" t="s">
        <v>110</v>
      </c>
      <c r="C245" s="26">
        <f>0*4</f>
        <v>0</v>
      </c>
      <c r="D245" s="17"/>
      <c r="E245" s="17"/>
      <c r="F245" s="17"/>
      <c r="G245" s="17">
        <f t="shared" ref="G245" si="20">PRODUCT(C245:F245)</f>
        <v>0</v>
      </c>
      <c r="H245" s="45"/>
      <c r="I245" s="45"/>
      <c r="J245" s="39"/>
      <c r="K245" s="30"/>
    </row>
    <row r="246" spans="1:14" ht="15" hidden="1" customHeight="1" x14ac:dyDescent="0.25">
      <c r="A246" s="25"/>
      <c r="B246" s="22" t="s">
        <v>25</v>
      </c>
      <c r="C246" s="26"/>
      <c r="D246" s="17"/>
      <c r="E246" s="17"/>
      <c r="F246" s="17"/>
      <c r="G246" s="27">
        <f>SUM(G245)</f>
        <v>0</v>
      </c>
      <c r="H246" s="27" t="s">
        <v>94</v>
      </c>
      <c r="I246" s="28">
        <v>279</v>
      </c>
      <c r="J246" s="29">
        <f>G246*I246</f>
        <v>0</v>
      </c>
      <c r="K246" s="30"/>
    </row>
    <row r="247" spans="1:14" ht="15" hidden="1" customHeight="1" x14ac:dyDescent="0.25">
      <c r="A247" s="25"/>
      <c r="B247" s="22" t="s">
        <v>89</v>
      </c>
      <c r="C247" s="26"/>
      <c r="D247" s="17"/>
      <c r="E247" s="17"/>
      <c r="F247" s="17"/>
      <c r="G247" s="45"/>
      <c r="H247" s="45"/>
      <c r="I247" s="45"/>
      <c r="J247" s="39">
        <f>0.13*J246</f>
        <v>0</v>
      </c>
      <c r="K247" s="30"/>
    </row>
    <row r="248" spans="1:14" hidden="1" x14ac:dyDescent="0.25">
      <c r="A248" s="25"/>
      <c r="B248" s="24"/>
      <c r="C248" s="26"/>
      <c r="D248" s="17"/>
      <c r="E248" s="17"/>
      <c r="F248" s="17"/>
      <c r="G248" s="45"/>
      <c r="H248" s="45"/>
      <c r="I248" s="45"/>
      <c r="J248" s="39"/>
      <c r="K248" s="30"/>
    </row>
    <row r="249" spans="1:14" s="1" customFormat="1" ht="60" hidden="1" x14ac:dyDescent="0.25">
      <c r="A249" s="25">
        <v>35</v>
      </c>
      <c r="B249" s="61" t="s">
        <v>111</v>
      </c>
      <c r="C249" s="32">
        <f>0*3</f>
        <v>0</v>
      </c>
      <c r="D249" s="33">
        <v>3.5</v>
      </c>
      <c r="E249" s="33"/>
      <c r="F249" s="33"/>
      <c r="G249" s="33">
        <f>PRODUCT(C249:F249)</f>
        <v>0</v>
      </c>
      <c r="H249" s="25"/>
      <c r="I249" s="25"/>
      <c r="J249" s="25"/>
      <c r="K249" s="34"/>
    </row>
    <row r="250" spans="1:14" ht="15" hidden="1" customHeight="1" x14ac:dyDescent="0.25">
      <c r="A250" s="25"/>
      <c r="B250" s="22" t="s">
        <v>25</v>
      </c>
      <c r="C250" s="26"/>
      <c r="D250" s="17"/>
      <c r="E250" s="17"/>
      <c r="F250" s="17"/>
      <c r="G250" s="27">
        <f>SUM(G249:G249)</f>
        <v>0</v>
      </c>
      <c r="H250" s="27" t="s">
        <v>112</v>
      </c>
      <c r="I250" s="27">
        <v>3914.14</v>
      </c>
      <c r="J250" s="29">
        <f>G249*I250</f>
        <v>0</v>
      </c>
      <c r="K250" s="30"/>
    </row>
    <row r="251" spans="1:14" ht="15" hidden="1" customHeight="1" x14ac:dyDescent="0.25">
      <c r="A251" s="25"/>
      <c r="B251" s="22" t="s">
        <v>89</v>
      </c>
      <c r="C251" s="26"/>
      <c r="D251" s="17"/>
      <c r="E251" s="17"/>
      <c r="F251" s="17"/>
      <c r="G251" s="45"/>
      <c r="H251" s="45"/>
      <c r="I251" s="45"/>
      <c r="J251" s="39">
        <f>0.13*G250*5918/5</f>
        <v>0</v>
      </c>
      <c r="K251" s="30"/>
      <c r="M251" s="58"/>
    </row>
    <row r="252" spans="1:14" ht="15" hidden="1" customHeight="1" x14ac:dyDescent="0.25">
      <c r="A252" s="25"/>
      <c r="B252" s="22"/>
      <c r="C252" s="26"/>
      <c r="D252" s="17"/>
      <c r="E252" s="17"/>
      <c r="F252" s="17"/>
      <c r="G252" s="45"/>
      <c r="H252" s="45"/>
      <c r="I252" s="45"/>
      <c r="J252" s="39"/>
      <c r="K252" s="30"/>
    </row>
    <row r="253" spans="1:14" s="1" customFormat="1" ht="30" x14ac:dyDescent="0.25">
      <c r="A253" s="12">
        <v>28</v>
      </c>
      <c r="B253" s="54" t="s">
        <v>113</v>
      </c>
      <c r="C253" s="32">
        <v>1</v>
      </c>
      <c r="D253" s="33"/>
      <c r="E253" s="33"/>
      <c r="F253" s="33"/>
      <c r="G253" s="37">
        <f>PRODUCT(C253:F253)</f>
        <v>1</v>
      </c>
      <c r="H253" s="37" t="s">
        <v>114</v>
      </c>
      <c r="I253" s="37">
        <v>80000</v>
      </c>
      <c r="J253" s="39">
        <f>G253*I253</f>
        <v>80000</v>
      </c>
      <c r="K253" s="34"/>
    </row>
    <row r="254" spans="1:14" ht="15" customHeight="1" x14ac:dyDescent="0.25">
      <c r="A254" s="25"/>
      <c r="B254" s="41"/>
      <c r="C254" s="26"/>
      <c r="D254" s="17"/>
      <c r="E254" s="17"/>
      <c r="F254" s="17"/>
      <c r="G254" s="45"/>
      <c r="H254" s="45"/>
      <c r="I254" s="45"/>
      <c r="J254" s="39"/>
      <c r="K254" s="30"/>
    </row>
    <row r="255" spans="1:14" ht="15" customHeight="1" x14ac:dyDescent="0.25">
      <c r="A255" s="12">
        <v>29</v>
      </c>
      <c r="B255" s="62" t="s">
        <v>115</v>
      </c>
      <c r="C255" s="14">
        <v>1</v>
      </c>
      <c r="D255" s="15"/>
      <c r="E255" s="16"/>
      <c r="F255" s="16"/>
      <c r="G255" s="37">
        <f t="shared" ref="G255" si="21">PRODUCT(C255:F255)</f>
        <v>1</v>
      </c>
      <c r="H255" s="18" t="s">
        <v>94</v>
      </c>
      <c r="I255" s="19">
        <v>1000</v>
      </c>
      <c r="J255" s="37">
        <f>G255*I255</f>
        <v>1000</v>
      </c>
      <c r="K255" s="16"/>
      <c r="M255" s="21"/>
      <c r="N255" s="21"/>
    </row>
    <row r="256" spans="1:14" ht="15" customHeight="1" x14ac:dyDescent="0.25">
      <c r="A256" s="12"/>
      <c r="B256" s="60"/>
      <c r="C256" s="14"/>
      <c r="D256" s="15"/>
      <c r="E256" s="16"/>
      <c r="F256" s="16"/>
      <c r="G256" s="19"/>
      <c r="H256" s="18"/>
      <c r="I256" s="19"/>
      <c r="J256" s="20"/>
      <c r="K256" s="16"/>
      <c r="M256" s="21"/>
      <c r="N256" s="21"/>
    </row>
    <row r="257" spans="1:11" x14ac:dyDescent="0.25">
      <c r="A257" s="25"/>
      <c r="B257" s="63" t="s">
        <v>116</v>
      </c>
      <c r="C257" s="64"/>
      <c r="D257" s="65"/>
      <c r="E257" s="65"/>
      <c r="F257" s="65"/>
      <c r="G257" s="20"/>
      <c r="H257" s="20"/>
      <c r="I257" s="20"/>
      <c r="J257" s="20">
        <f>SUM(J14:J255)</f>
        <v>895293.74228456221</v>
      </c>
      <c r="K257" s="30"/>
    </row>
    <row r="259" spans="1:11" s="1" customFormat="1" x14ac:dyDescent="0.25">
      <c r="B259" s="34" t="s">
        <v>117</v>
      </c>
      <c r="C259" s="169">
        <f>J257</f>
        <v>895293.74228456221</v>
      </c>
      <c r="D259" s="170"/>
      <c r="E259" s="33">
        <v>100</v>
      </c>
      <c r="F259" s="66"/>
      <c r="G259" s="67"/>
      <c r="H259" s="66"/>
      <c r="I259" s="68"/>
      <c r="J259" s="69"/>
      <c r="K259" s="70"/>
    </row>
    <row r="260" spans="1:11" x14ac:dyDescent="0.25">
      <c r="B260" s="34" t="s">
        <v>118</v>
      </c>
      <c r="C260" s="173">
        <v>800000</v>
      </c>
      <c r="D260" s="174"/>
      <c r="E260" s="33"/>
    </row>
    <row r="261" spans="1:11" x14ac:dyDescent="0.25">
      <c r="B261" s="34" t="s">
        <v>119</v>
      </c>
      <c r="C261" s="173">
        <f>C260-C263-C264</f>
        <v>760000</v>
      </c>
      <c r="D261" s="174"/>
      <c r="E261" s="33">
        <f>C261/C259*100</f>
        <v>84.888340452450066</v>
      </c>
    </row>
    <row r="262" spans="1:11" x14ac:dyDescent="0.25">
      <c r="B262" s="34" t="s">
        <v>120</v>
      </c>
      <c r="C262" s="175">
        <f>C259-C261</f>
        <v>135293.74228456221</v>
      </c>
      <c r="D262" s="175"/>
      <c r="E262" s="33">
        <f>100-E261</f>
        <v>15.111659547549934</v>
      </c>
    </row>
    <row r="263" spans="1:11" x14ac:dyDescent="0.25">
      <c r="B263" s="34" t="s">
        <v>121</v>
      </c>
      <c r="C263" s="169">
        <f>C260*0.03</f>
        <v>24000</v>
      </c>
      <c r="D263" s="170"/>
      <c r="E263" s="33">
        <v>3</v>
      </c>
    </row>
    <row r="264" spans="1:11" x14ac:dyDescent="0.25">
      <c r="B264" s="34" t="s">
        <v>122</v>
      </c>
      <c r="C264" s="169">
        <f>C260*0.02</f>
        <v>16000</v>
      </c>
      <c r="D264" s="170"/>
      <c r="E264" s="33">
        <v>2</v>
      </c>
    </row>
  </sheetData>
  <mergeCells count="15">
    <mergeCell ref="A6:F6"/>
    <mergeCell ref="H6:K6"/>
    <mergeCell ref="A1:K1"/>
    <mergeCell ref="A2:K2"/>
    <mergeCell ref="A3:K3"/>
    <mergeCell ref="A4:K4"/>
    <mergeCell ref="A5:K5"/>
    <mergeCell ref="C263:D263"/>
    <mergeCell ref="C264:D264"/>
    <mergeCell ref="A7:F7"/>
    <mergeCell ref="H7:K7"/>
    <mergeCell ref="C259:D259"/>
    <mergeCell ref="C260:D260"/>
    <mergeCell ref="C261:D261"/>
    <mergeCell ref="C262:D262"/>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4"/>
  <sheetViews>
    <sheetView zoomScaleNormal="100" zoomScaleSheetLayoutView="80" workbookViewId="0">
      <selection activeCell="I272" sqref="I272"/>
    </sheetView>
  </sheetViews>
  <sheetFormatPr defaultRowHeight="15" x14ac:dyDescent="0.25"/>
  <cols>
    <col min="1" max="1" width="4.42578125" style="71" customWidth="1"/>
    <col min="2" max="2" width="31.28515625" customWidth="1"/>
    <col min="3" max="3" width="4.5703125" bestFit="1" customWidth="1"/>
    <col min="4" max="4" width="9.28515625" customWidth="1"/>
    <col min="5" max="5" width="7.85546875" customWidth="1"/>
    <col min="6" max="6" width="8.28515625" customWidth="1"/>
    <col min="7" max="7" width="8.5703125" style="72" customWidth="1"/>
    <col min="8" max="8" width="5.28515625" style="72" bestFit="1" customWidth="1"/>
    <col min="9" max="9" width="10.42578125" style="72" customWidth="1"/>
    <col min="10" max="10" width="10.5703125" style="72" bestFit="1" customWidth="1"/>
    <col min="11" max="11" width="8.85546875" customWidth="1"/>
  </cols>
  <sheetData>
    <row r="1" spans="1:14" s="1" customFormat="1" x14ac:dyDescent="0.25">
      <c r="A1" s="177" t="s">
        <v>0</v>
      </c>
      <c r="B1" s="177"/>
      <c r="C1" s="177"/>
      <c r="D1" s="177"/>
      <c r="E1" s="177"/>
      <c r="F1" s="177"/>
      <c r="G1" s="177"/>
      <c r="H1" s="177"/>
      <c r="I1" s="177"/>
      <c r="J1" s="177"/>
      <c r="K1" s="177"/>
    </row>
    <row r="2" spans="1:14" s="1" customFormat="1" ht="22.5" x14ac:dyDescent="0.25">
      <c r="A2" s="178" t="s">
        <v>1</v>
      </c>
      <c r="B2" s="178"/>
      <c r="C2" s="178"/>
      <c r="D2" s="178"/>
      <c r="E2" s="178"/>
      <c r="F2" s="178"/>
      <c r="G2" s="178"/>
      <c r="H2" s="178"/>
      <c r="I2" s="178"/>
      <c r="J2" s="178"/>
      <c r="K2" s="178"/>
    </row>
    <row r="3" spans="1:14" s="1" customFormat="1" x14ac:dyDescent="0.25">
      <c r="A3" s="179" t="s">
        <v>2</v>
      </c>
      <c r="B3" s="179"/>
      <c r="C3" s="179"/>
      <c r="D3" s="179"/>
      <c r="E3" s="179"/>
      <c r="F3" s="179"/>
      <c r="G3" s="179"/>
      <c r="H3" s="179"/>
      <c r="I3" s="179"/>
      <c r="J3" s="179"/>
      <c r="K3" s="179"/>
    </row>
    <row r="4" spans="1:14" s="1" customFormat="1" x14ac:dyDescent="0.25">
      <c r="A4" s="179" t="s">
        <v>3</v>
      </c>
      <c r="B4" s="179"/>
      <c r="C4" s="179"/>
      <c r="D4" s="179"/>
      <c r="E4" s="179"/>
      <c r="F4" s="179"/>
      <c r="G4" s="179"/>
      <c r="H4" s="179"/>
      <c r="I4" s="179"/>
      <c r="J4" s="179"/>
      <c r="K4" s="179"/>
    </row>
    <row r="5" spans="1:14" ht="18.75" x14ac:dyDescent="0.3">
      <c r="A5" s="180" t="s">
        <v>4</v>
      </c>
      <c r="B5" s="180"/>
      <c r="C5" s="180"/>
      <c r="D5" s="180"/>
      <c r="E5" s="180"/>
      <c r="F5" s="180"/>
      <c r="G5" s="180"/>
      <c r="H5" s="180"/>
      <c r="I5" s="180"/>
      <c r="J5" s="180"/>
      <c r="K5" s="180"/>
    </row>
    <row r="6" spans="1:14" ht="15.75" x14ac:dyDescent="0.25">
      <c r="A6" s="176" t="s">
        <v>5</v>
      </c>
      <c r="B6" s="176"/>
      <c r="C6" s="176"/>
      <c r="D6" s="176"/>
      <c r="E6" s="176"/>
      <c r="F6" s="176"/>
      <c r="G6" s="2"/>
      <c r="H6" s="172" t="s">
        <v>6</v>
      </c>
      <c r="I6" s="172"/>
      <c r="J6" s="172"/>
      <c r="K6" s="172"/>
    </row>
    <row r="7" spans="1:14" ht="15.75" x14ac:dyDescent="0.25">
      <c r="A7" s="171" t="s">
        <v>7</v>
      </c>
      <c r="B7" s="171"/>
      <c r="C7" s="171"/>
      <c r="D7" s="171"/>
      <c r="E7" s="171"/>
      <c r="F7" s="171"/>
      <c r="G7" s="3"/>
      <c r="H7" s="172" t="s">
        <v>8</v>
      </c>
      <c r="I7" s="172"/>
      <c r="J7" s="172"/>
      <c r="K7" s="172"/>
    </row>
    <row r="8" spans="1:14" s="9" customFormat="1" ht="15" customHeight="1" x14ac:dyDescent="0.25">
      <c r="A8" s="74" t="s">
        <v>9</v>
      </c>
      <c r="B8" s="75" t="s">
        <v>10</v>
      </c>
      <c r="C8" s="76" t="s">
        <v>11</v>
      </c>
      <c r="D8" s="77" t="s">
        <v>12</v>
      </c>
      <c r="E8" s="77" t="s">
        <v>13</v>
      </c>
      <c r="F8" s="77" t="s">
        <v>14</v>
      </c>
      <c r="G8" s="77" t="s">
        <v>15</v>
      </c>
      <c r="H8" s="76" t="s">
        <v>16</v>
      </c>
      <c r="I8" s="77" t="s">
        <v>17</v>
      </c>
      <c r="J8" s="77" t="s">
        <v>18</v>
      </c>
      <c r="K8" s="78" t="s">
        <v>19</v>
      </c>
    </row>
    <row r="9" spans="1:14" ht="30.75" hidden="1" x14ac:dyDescent="0.25">
      <c r="A9" s="79">
        <v>1</v>
      </c>
      <c r="B9" s="11" t="s">
        <v>20</v>
      </c>
      <c r="C9" s="76"/>
      <c r="D9" s="77"/>
      <c r="E9" s="77"/>
      <c r="F9" s="77"/>
      <c r="G9" s="77"/>
      <c r="H9" s="76"/>
      <c r="I9" s="77"/>
      <c r="J9" s="77"/>
      <c r="K9" s="78"/>
    </row>
    <row r="10" spans="1:14" ht="15" hidden="1" customHeight="1" x14ac:dyDescent="0.25">
      <c r="A10" s="12"/>
      <c r="B10" s="13" t="s">
        <v>21</v>
      </c>
      <c r="C10" s="14">
        <v>1</v>
      </c>
      <c r="D10" s="15"/>
      <c r="E10" s="16">
        <f>10.75/3.281</f>
        <v>3.2764401097226452</v>
      </c>
      <c r="F10" s="16">
        <f>(9.42+7.75)/3.281</f>
        <v>5.233160621761658</v>
      </c>
      <c r="G10" s="80">
        <f t="shared" ref="G10:G13" si="0">PRODUCT(C10:F10)</f>
        <v>17.146137361760992</v>
      </c>
      <c r="H10" s="18"/>
      <c r="I10" s="19"/>
      <c r="J10" s="81"/>
      <c r="K10" s="16"/>
      <c r="M10" s="21"/>
      <c r="N10" s="21"/>
    </row>
    <row r="11" spans="1:14" ht="15" hidden="1" customHeight="1" x14ac:dyDescent="0.25">
      <c r="A11" s="12"/>
      <c r="B11" s="13" t="s">
        <v>22</v>
      </c>
      <c r="C11" s="14">
        <v>-1</v>
      </c>
      <c r="D11" s="15">
        <f>3.5/3.281</f>
        <v>1.0667479427003961</v>
      </c>
      <c r="E11" s="16"/>
      <c r="F11" s="16">
        <v>1.5</v>
      </c>
      <c r="G11" s="80">
        <f t="shared" si="0"/>
        <v>-1.600121914050594</v>
      </c>
      <c r="H11" s="18"/>
      <c r="I11" s="19"/>
      <c r="J11" s="81"/>
      <c r="K11" s="16"/>
      <c r="M11" s="21"/>
      <c r="N11" s="21"/>
    </row>
    <row r="12" spans="1:14" ht="15" hidden="1" customHeight="1" x14ac:dyDescent="0.25">
      <c r="A12" s="12"/>
      <c r="B12" s="13" t="s">
        <v>23</v>
      </c>
      <c r="C12" s="14">
        <v>-1</v>
      </c>
      <c r="D12" s="15">
        <f>3.833/3.281</f>
        <v>1.1682413898201769</v>
      </c>
      <c r="E12" s="16"/>
      <c r="F12" s="16">
        <f>7.75/3.281</f>
        <v>2.3620847302651629</v>
      </c>
      <c r="G12" s="80">
        <f t="shared" si="0"/>
        <v>-2.7594851481579914</v>
      </c>
      <c r="H12" s="18"/>
      <c r="I12" s="19"/>
      <c r="J12" s="81"/>
      <c r="K12" s="16"/>
      <c r="M12" s="21"/>
      <c r="N12" s="21"/>
    </row>
    <row r="13" spans="1:14" ht="15" hidden="1" customHeight="1" x14ac:dyDescent="0.25">
      <c r="A13" s="12"/>
      <c r="B13" s="13" t="s">
        <v>24</v>
      </c>
      <c r="C13" s="14">
        <v>1</v>
      </c>
      <c r="D13" s="15"/>
      <c r="E13" s="16">
        <f>(5.75)/3.281</f>
        <v>1.752514477293508</v>
      </c>
      <c r="F13" s="16">
        <f>(9.42+7.75)/3.281</f>
        <v>5.233160621761658</v>
      </c>
      <c r="G13" s="80">
        <f t="shared" si="0"/>
        <v>9.1711897516396004</v>
      </c>
      <c r="H13" s="18"/>
      <c r="I13" s="19"/>
      <c r="J13" s="81"/>
      <c r="K13" s="16"/>
      <c r="M13" s="21"/>
      <c r="N13" s="21"/>
    </row>
    <row r="14" spans="1:14" ht="15" hidden="1" customHeight="1" x14ac:dyDescent="0.25">
      <c r="A14" s="12"/>
      <c r="B14" s="82" t="s">
        <v>25</v>
      </c>
      <c r="C14" s="14"/>
      <c r="D14" s="15"/>
      <c r="E14" s="16"/>
      <c r="F14" s="16"/>
      <c r="G14" s="19">
        <f>0*SUM(G10:G13)</f>
        <v>0</v>
      </c>
      <c r="H14" s="18" t="s">
        <v>26</v>
      </c>
      <c r="I14" s="19">
        <f>97.2</f>
        <v>97.2</v>
      </c>
      <c r="J14" s="81">
        <f>G14*I14</f>
        <v>0</v>
      </c>
      <c r="K14" s="16"/>
      <c r="M14" s="21"/>
      <c r="N14" s="21"/>
    </row>
    <row r="15" spans="1:14" ht="15" hidden="1" customHeight="1" x14ac:dyDescent="0.25">
      <c r="A15" s="12"/>
      <c r="B15" s="82"/>
      <c r="C15" s="14"/>
      <c r="D15" s="15"/>
      <c r="E15" s="16"/>
      <c r="F15" s="16"/>
      <c r="G15" s="19"/>
      <c r="H15" s="18"/>
      <c r="I15" s="19"/>
      <c r="J15" s="81"/>
      <c r="K15" s="16"/>
      <c r="M15" s="21"/>
      <c r="N15" s="21"/>
    </row>
    <row r="16" spans="1:14" ht="32.25" customHeight="1" x14ac:dyDescent="0.25">
      <c r="A16" s="12">
        <v>1</v>
      </c>
      <c r="B16" s="11" t="s">
        <v>27</v>
      </c>
      <c r="C16" s="14"/>
      <c r="D16" s="15"/>
      <c r="E16" s="16"/>
      <c r="F16" s="16"/>
      <c r="G16" s="19"/>
      <c r="H16" s="18"/>
      <c r="I16" s="19"/>
      <c r="J16" s="81"/>
      <c r="K16" s="16"/>
      <c r="M16" s="21"/>
      <c r="N16" s="21"/>
    </row>
    <row r="17" spans="1:14" ht="15" hidden="1" customHeight="1" x14ac:dyDescent="0.25">
      <c r="A17" s="12"/>
      <c r="B17" s="82" t="s">
        <v>28</v>
      </c>
      <c r="C17" s="14">
        <f>0*4</f>
        <v>0</v>
      </c>
      <c r="D17" s="15">
        <f>4.5/3.281</f>
        <v>1.3715330691862238</v>
      </c>
      <c r="E17" s="15">
        <f>4.5/3.281</f>
        <v>1.3715330691862238</v>
      </c>
      <c r="F17" s="16">
        <v>0.115</v>
      </c>
      <c r="G17" s="80">
        <f t="shared" ref="G17" si="1">PRODUCT(C17:F17)</f>
        <v>0</v>
      </c>
      <c r="H17" s="18"/>
      <c r="I17" s="19"/>
      <c r="J17" s="81"/>
      <c r="K17" s="16"/>
      <c r="M17" s="21"/>
      <c r="N17" s="21"/>
    </row>
    <row r="18" spans="1:14" ht="15" customHeight="1" x14ac:dyDescent="0.25">
      <c r="A18" s="12"/>
      <c r="B18" s="13" t="s">
        <v>29</v>
      </c>
      <c r="C18" s="14">
        <v>2</v>
      </c>
      <c r="D18" s="15">
        <f>0.833/3.281</f>
        <v>0.25388601036269426</v>
      </c>
      <c r="E18" s="15">
        <f>0.833/3.281</f>
        <v>0.25388601036269426</v>
      </c>
      <c r="F18" s="16">
        <f>6.25/3.281</f>
        <v>1.9049070405364217</v>
      </c>
      <c r="G18" s="80">
        <f>PRODUCT(C18:F18)</f>
        <v>0.24557340086058405</v>
      </c>
      <c r="H18" s="18"/>
      <c r="I18" s="19"/>
      <c r="J18" s="81"/>
      <c r="K18" s="16"/>
      <c r="M18" s="21"/>
      <c r="N18" s="21"/>
    </row>
    <row r="19" spans="1:14" ht="15" customHeight="1" x14ac:dyDescent="0.25">
      <c r="A19" s="12"/>
      <c r="B19" s="13"/>
      <c r="C19" s="14">
        <v>1</v>
      </c>
      <c r="D19" s="15">
        <f>0.833/3.281</f>
        <v>0.25388601036269426</v>
      </c>
      <c r="E19" s="15">
        <f>0.833/3.281</f>
        <v>0.25388601036269426</v>
      </c>
      <c r="F19" s="15">
        <f>0.833/3.281</f>
        <v>0.25388601036269426</v>
      </c>
      <c r="G19" s="80">
        <f>PRODUCT(C19:F19)</f>
        <v>1.6365011433349317E-2</v>
      </c>
      <c r="H19" s="18"/>
      <c r="I19" s="19"/>
      <c r="J19" s="81"/>
      <c r="K19" s="16"/>
      <c r="M19" s="21"/>
      <c r="N19" s="21"/>
    </row>
    <row r="20" spans="1:14" ht="15" customHeight="1" x14ac:dyDescent="0.25">
      <c r="A20" s="12"/>
      <c r="B20" s="82" t="s">
        <v>25</v>
      </c>
      <c r="C20" s="14"/>
      <c r="D20" s="15"/>
      <c r="E20" s="16"/>
      <c r="F20" s="16"/>
      <c r="G20" s="19">
        <f>SUM(G17:G19)</f>
        <v>0.26193841229393339</v>
      </c>
      <c r="H20" s="18" t="s">
        <v>30</v>
      </c>
      <c r="I20" s="19">
        <f>1908</f>
        <v>1908</v>
      </c>
      <c r="J20" s="81">
        <f>G20*I20</f>
        <v>499.77849065682489</v>
      </c>
      <c r="K20" s="16"/>
      <c r="M20" s="21"/>
      <c r="N20" s="21"/>
    </row>
    <row r="21" spans="1:14" ht="15" customHeight="1" x14ac:dyDescent="0.25">
      <c r="A21" s="12"/>
      <c r="B21" s="82"/>
      <c r="C21" s="14"/>
      <c r="D21" s="15"/>
      <c r="E21" s="16"/>
      <c r="F21" s="16"/>
      <c r="G21" s="19"/>
      <c r="H21" s="18"/>
      <c r="I21" s="19"/>
      <c r="J21" s="81"/>
      <c r="K21" s="16"/>
      <c r="M21" s="21"/>
      <c r="N21" s="21"/>
    </row>
    <row r="22" spans="1:14" ht="31.5" hidden="1" x14ac:dyDescent="0.25">
      <c r="A22" s="12">
        <v>2</v>
      </c>
      <c r="B22" s="23" t="s">
        <v>31</v>
      </c>
      <c r="C22" s="14"/>
      <c r="D22" s="15"/>
      <c r="E22" s="16"/>
      <c r="F22" s="16"/>
      <c r="G22" s="19"/>
      <c r="H22" s="18"/>
      <c r="I22" s="19"/>
      <c r="J22" s="81"/>
      <c r="K22" s="16"/>
      <c r="M22" s="21"/>
      <c r="N22" s="21"/>
    </row>
    <row r="23" spans="1:14" ht="15" hidden="1" customHeight="1" x14ac:dyDescent="0.25">
      <c r="A23" s="12"/>
      <c r="B23" s="13" t="s">
        <v>32</v>
      </c>
      <c r="C23" s="14">
        <f>4</f>
        <v>4</v>
      </c>
      <c r="D23" s="15">
        <f>(5.25/2)/3.281</f>
        <v>0.80006095702529711</v>
      </c>
      <c r="E23" s="16">
        <v>7.4999999999999997E-2</v>
      </c>
      <c r="F23" s="16">
        <f>3.75/3.281</f>
        <v>1.1429442243218531</v>
      </c>
      <c r="G23" s="80">
        <f>PRODUCT(C23:F23)</f>
        <v>0.2743275149812433</v>
      </c>
      <c r="H23" s="18"/>
      <c r="I23" s="19"/>
      <c r="J23" s="81"/>
      <c r="K23" s="16"/>
      <c r="M23" s="21"/>
      <c r="N23" s="21"/>
    </row>
    <row r="24" spans="1:14" ht="15" hidden="1" customHeight="1" x14ac:dyDescent="0.25">
      <c r="A24" s="12"/>
      <c r="B24" s="13" t="s">
        <v>33</v>
      </c>
      <c r="C24" s="14">
        <v>1</v>
      </c>
      <c r="D24" s="15">
        <f>(10.75+1.25+3+11.5)/3.281</f>
        <v>8.076805851874429</v>
      </c>
      <c r="E24" s="16">
        <f>10.75/3.281</f>
        <v>3.2764401097226452</v>
      </c>
      <c r="F24" s="16">
        <v>7.4999999999999997E-2</v>
      </c>
      <c r="G24" s="80">
        <f t="shared" ref="G24" si="2">PRODUCT(C24:F24)</f>
        <v>1.9847377988642967</v>
      </c>
      <c r="H24" s="18"/>
      <c r="I24" s="19"/>
      <c r="J24" s="81"/>
      <c r="K24" s="16"/>
      <c r="M24" s="21"/>
      <c r="N24" s="21"/>
    </row>
    <row r="25" spans="1:14" ht="15" hidden="1" customHeight="1" x14ac:dyDescent="0.25">
      <c r="A25" s="12"/>
      <c r="B25" s="82" t="s">
        <v>25</v>
      </c>
      <c r="C25" s="14"/>
      <c r="D25" s="15"/>
      <c r="E25" s="16"/>
      <c r="F25" s="16"/>
      <c r="G25" s="19">
        <f>0*SUM(G23:G24)</f>
        <v>0</v>
      </c>
      <c r="H25" s="18" t="s">
        <v>30</v>
      </c>
      <c r="I25" s="19">
        <f>11385/1.15</f>
        <v>9900</v>
      </c>
      <c r="J25" s="81">
        <f>G25*I25</f>
        <v>0</v>
      </c>
      <c r="K25" s="16"/>
      <c r="M25" s="21"/>
      <c r="N25" s="21"/>
    </row>
    <row r="26" spans="1:14" ht="15" hidden="1" customHeight="1" x14ac:dyDescent="0.25">
      <c r="A26" s="79"/>
      <c r="B26" s="75"/>
      <c r="C26" s="76"/>
      <c r="D26" s="77"/>
      <c r="E26" s="77"/>
      <c r="F26" s="77"/>
      <c r="G26" s="77"/>
      <c r="H26" s="76"/>
      <c r="I26" s="77"/>
      <c r="J26" s="77"/>
      <c r="K26" s="78"/>
    </row>
    <row r="27" spans="1:14" ht="30" x14ac:dyDescent="0.25">
      <c r="A27" s="12">
        <v>2</v>
      </c>
      <c r="B27" s="83" t="s">
        <v>34</v>
      </c>
      <c r="C27" s="14"/>
      <c r="D27" s="15"/>
      <c r="E27" s="16"/>
      <c r="F27" s="16"/>
      <c r="G27" s="19"/>
      <c r="H27" s="18"/>
      <c r="I27" s="19"/>
      <c r="J27" s="81"/>
      <c r="K27" s="16"/>
      <c r="M27" s="21"/>
      <c r="N27" s="21"/>
    </row>
    <row r="28" spans="1:14" ht="15" customHeight="1" x14ac:dyDescent="0.25">
      <c r="A28" s="12"/>
      <c r="B28" s="82" t="s">
        <v>35</v>
      </c>
      <c r="C28" s="14">
        <v>2</v>
      </c>
      <c r="D28" s="15">
        <f>0.6</f>
        <v>0.6</v>
      </c>
      <c r="E28" s="16">
        <v>0.6</v>
      </c>
      <c r="F28" s="16">
        <v>0.9</v>
      </c>
      <c r="G28" s="80">
        <f>PRODUCT(C28:F28)</f>
        <v>0.64800000000000002</v>
      </c>
      <c r="H28" s="18"/>
      <c r="I28" s="19"/>
      <c r="J28" s="81"/>
      <c r="K28" s="16"/>
      <c r="M28" s="21"/>
      <c r="N28" s="21"/>
    </row>
    <row r="29" spans="1:14" ht="15" customHeight="1" x14ac:dyDescent="0.25">
      <c r="A29" s="84"/>
      <c r="B29" s="82" t="s">
        <v>25</v>
      </c>
      <c r="C29" s="85"/>
      <c r="D29" s="80"/>
      <c r="E29" s="80"/>
      <c r="F29" s="80"/>
      <c r="G29" s="86">
        <f>SUM(G28:G28)</f>
        <v>0.64800000000000002</v>
      </c>
      <c r="H29" s="86" t="s">
        <v>30</v>
      </c>
      <c r="I29" s="87">
        <f>746.24/1.15</f>
        <v>648.90434782608702</v>
      </c>
      <c r="J29" s="88">
        <f>G29*I29</f>
        <v>420.49001739130438</v>
      </c>
      <c r="K29" s="89"/>
    </row>
    <row r="30" spans="1:14" ht="15" customHeight="1" x14ac:dyDescent="0.25">
      <c r="A30" s="84"/>
      <c r="B30" s="82"/>
      <c r="C30" s="85"/>
      <c r="D30" s="80"/>
      <c r="E30" s="80"/>
      <c r="F30" s="80"/>
      <c r="G30" s="86"/>
      <c r="H30" s="86"/>
      <c r="I30" s="87"/>
      <c r="J30" s="88"/>
      <c r="K30" s="89"/>
    </row>
    <row r="31" spans="1:14" ht="15.75" x14ac:dyDescent="0.25">
      <c r="A31" s="84">
        <v>3</v>
      </c>
      <c r="B31" s="31" t="s">
        <v>36</v>
      </c>
      <c r="C31" s="90"/>
      <c r="D31" s="91"/>
      <c r="E31" s="91"/>
      <c r="F31" s="91"/>
      <c r="G31" s="91"/>
      <c r="H31" s="92"/>
      <c r="I31" s="91"/>
      <c r="J31" s="91"/>
      <c r="K31" s="92"/>
    </row>
    <row r="32" spans="1:14" x14ac:dyDescent="0.25">
      <c r="A32" s="84"/>
      <c r="B32" s="93" t="s">
        <v>37</v>
      </c>
      <c r="C32" s="90">
        <f>C28</f>
        <v>2</v>
      </c>
      <c r="D32" s="91">
        <f>D28</f>
        <v>0.6</v>
      </c>
      <c r="E32" s="91">
        <f>E28</f>
        <v>0.6</v>
      </c>
      <c r="F32" s="91"/>
      <c r="G32" s="91">
        <f>PRODUCT(C32:F32)</f>
        <v>0.72</v>
      </c>
      <c r="H32" s="92"/>
      <c r="I32" s="92"/>
      <c r="J32" s="91"/>
      <c r="K32" s="92"/>
    </row>
    <row r="33" spans="1:11" x14ac:dyDescent="0.25">
      <c r="A33" s="84"/>
      <c r="B33" s="94" t="s">
        <v>25</v>
      </c>
      <c r="C33" s="90"/>
      <c r="D33" s="91"/>
      <c r="E33" s="91"/>
      <c r="F33" s="91"/>
      <c r="G33" s="95">
        <f>SUM(G32)</f>
        <v>0.72</v>
      </c>
      <c r="H33" s="18" t="s">
        <v>26</v>
      </c>
      <c r="I33" s="96">
        <v>985.37</v>
      </c>
      <c r="J33" s="97">
        <f>G33*I33</f>
        <v>709.46640000000002</v>
      </c>
      <c r="K33" s="92"/>
    </row>
    <row r="34" spans="1:11" x14ac:dyDescent="0.25">
      <c r="A34" s="84"/>
      <c r="B34" s="94" t="s">
        <v>38</v>
      </c>
      <c r="C34" s="90"/>
      <c r="D34" s="91"/>
      <c r="E34" s="91"/>
      <c r="F34" s="91"/>
      <c r="G34" s="91"/>
      <c r="H34" s="18"/>
      <c r="I34" s="91"/>
      <c r="J34" s="97">
        <f>0.13*G33*(8353.81)/10</f>
        <v>78.191661600000003</v>
      </c>
      <c r="K34" s="92"/>
    </row>
    <row r="35" spans="1:11" x14ac:dyDescent="0.25">
      <c r="A35" s="84"/>
      <c r="B35" s="92"/>
      <c r="C35" s="90"/>
      <c r="D35" s="91"/>
      <c r="E35" s="91"/>
      <c r="F35" s="91"/>
      <c r="G35" s="91"/>
      <c r="H35" s="92"/>
      <c r="I35" s="91"/>
      <c r="J35" s="91"/>
      <c r="K35" s="92"/>
    </row>
    <row r="36" spans="1:11" s="1" customFormat="1" ht="30" x14ac:dyDescent="0.25">
      <c r="A36" s="84">
        <v>4</v>
      </c>
      <c r="B36" s="41" t="s">
        <v>39</v>
      </c>
      <c r="C36" s="90"/>
      <c r="D36" s="91"/>
      <c r="E36" s="91"/>
      <c r="F36" s="91"/>
      <c r="G36" s="91"/>
      <c r="H36" s="92"/>
      <c r="I36" s="91"/>
      <c r="J36" s="91"/>
      <c r="K36" s="92"/>
    </row>
    <row r="37" spans="1:11" x14ac:dyDescent="0.25">
      <c r="A37" s="84"/>
      <c r="B37" s="93" t="s">
        <v>37</v>
      </c>
      <c r="C37" s="90">
        <f>C32</f>
        <v>2</v>
      </c>
      <c r="D37" s="91">
        <f>D32</f>
        <v>0.6</v>
      </c>
      <c r="E37" s="91">
        <f>E32</f>
        <v>0.6</v>
      </c>
      <c r="F37" s="91">
        <v>0.05</v>
      </c>
      <c r="G37" s="91">
        <f>PRODUCT(C37:F37)</f>
        <v>3.5999999999999997E-2</v>
      </c>
      <c r="H37" s="92"/>
      <c r="I37" s="92"/>
      <c r="J37" s="91"/>
      <c r="K37" s="92"/>
    </row>
    <row r="38" spans="1:11" x14ac:dyDescent="0.25">
      <c r="A38" s="84"/>
      <c r="B38" s="94" t="s">
        <v>25</v>
      </c>
      <c r="C38" s="90"/>
      <c r="D38" s="91"/>
      <c r="E38" s="91"/>
      <c r="F38" s="91"/>
      <c r="G38" s="95">
        <f>SUM(G37:G37)</f>
        <v>3.5999999999999997E-2</v>
      </c>
      <c r="H38" s="84" t="s">
        <v>30</v>
      </c>
      <c r="I38" s="96">
        <v>13509.07</v>
      </c>
      <c r="J38" s="97">
        <f>G38*I38</f>
        <v>486.32651999999996</v>
      </c>
      <c r="K38" s="92"/>
    </row>
    <row r="39" spans="1:11" x14ac:dyDescent="0.25">
      <c r="A39" s="84"/>
      <c r="B39" s="94" t="s">
        <v>38</v>
      </c>
      <c r="C39" s="90"/>
      <c r="D39" s="91"/>
      <c r="E39" s="91"/>
      <c r="F39" s="91"/>
      <c r="G39" s="91"/>
      <c r="H39" s="92"/>
      <c r="I39" s="91"/>
      <c r="J39" s="97">
        <f>0.13*G38*(8709.07)</f>
        <v>40.758447599999997</v>
      </c>
      <c r="K39" s="92"/>
    </row>
    <row r="40" spans="1:11" x14ac:dyDescent="0.25">
      <c r="A40" s="84"/>
      <c r="B40" s="94"/>
      <c r="C40" s="90"/>
      <c r="D40" s="91"/>
      <c r="E40" s="91"/>
      <c r="F40" s="91"/>
      <c r="G40" s="91"/>
      <c r="H40" s="92"/>
      <c r="I40" s="91"/>
      <c r="J40" s="97"/>
      <c r="K40" s="92"/>
    </row>
    <row r="41" spans="1:11" ht="45" x14ac:dyDescent="0.25">
      <c r="A41" s="12">
        <v>5</v>
      </c>
      <c r="B41" s="41" t="s">
        <v>40</v>
      </c>
      <c r="C41" s="90" t="s">
        <v>11</v>
      </c>
      <c r="D41" s="98" t="s">
        <v>41</v>
      </c>
      <c r="E41" s="98" t="s">
        <v>42</v>
      </c>
      <c r="F41" s="98" t="s">
        <v>43</v>
      </c>
      <c r="G41" s="98" t="s">
        <v>44</v>
      </c>
      <c r="H41" s="84"/>
      <c r="I41" s="95"/>
      <c r="J41" s="95"/>
      <c r="K41" s="16"/>
    </row>
    <row r="42" spans="1:11" ht="15" customHeight="1" x14ac:dyDescent="0.25">
      <c r="A42" s="12"/>
      <c r="B42" s="99" t="s">
        <v>37</v>
      </c>
      <c r="C42" s="14">
        <f>2*2*(TRUNC(22/6,0)+1)</f>
        <v>16</v>
      </c>
      <c r="D42" s="91">
        <f>24/12/3.281</f>
        <v>0.6095702529716549</v>
      </c>
      <c r="E42" s="91">
        <f>12*12/162</f>
        <v>0.88888888888888884</v>
      </c>
      <c r="F42" s="91">
        <f t="shared" ref="F42:F46" si="3">PRODUCT(C42:E42)</f>
        <v>8.6694435978190914</v>
      </c>
      <c r="G42" s="100">
        <f t="shared" ref="G42:G46" si="4">F42/1000</f>
        <v>8.6694435978190917E-3</v>
      </c>
      <c r="H42" s="18"/>
      <c r="I42" s="19"/>
      <c r="J42" s="95"/>
      <c r="K42" s="16"/>
    </row>
    <row r="43" spans="1:11" ht="15" customHeight="1" x14ac:dyDescent="0.25">
      <c r="A43" s="12"/>
      <c r="B43" s="99" t="s">
        <v>45</v>
      </c>
      <c r="C43" s="14">
        <f>4*2</f>
        <v>8</v>
      </c>
      <c r="D43" s="91">
        <f>(6.5+0.583)/3.281</f>
        <v>2.1587930508991162</v>
      </c>
      <c r="E43" s="91">
        <f>12*12/162</f>
        <v>0.88888888888888884</v>
      </c>
      <c r="F43" s="91">
        <f t="shared" si="3"/>
        <v>15.351417250838159</v>
      </c>
      <c r="G43" s="100">
        <f t="shared" si="4"/>
        <v>1.5351417250838158E-2</v>
      </c>
      <c r="H43" s="18"/>
      <c r="I43" s="19"/>
      <c r="J43" s="95"/>
      <c r="K43" s="16"/>
    </row>
    <row r="44" spans="1:11" ht="15" customHeight="1" x14ac:dyDescent="0.25">
      <c r="A44" s="12"/>
      <c r="B44" s="99" t="s">
        <v>46</v>
      </c>
      <c r="C44" s="14">
        <f>TRUNC((6.12/0.5),0)</f>
        <v>12</v>
      </c>
      <c r="D44" s="91">
        <f>(0.33+0.33+0.33+0.33+0.083*2)/3.281</f>
        <v>0.45291069795793965</v>
      </c>
      <c r="E44" s="91">
        <f>8*8/162</f>
        <v>0.39506172839506171</v>
      </c>
      <c r="F44" s="91">
        <f t="shared" si="3"/>
        <v>2.1471321977265285</v>
      </c>
      <c r="G44" s="100">
        <f t="shared" si="4"/>
        <v>2.1471321977265287E-3</v>
      </c>
      <c r="H44" s="18"/>
      <c r="I44" s="19"/>
      <c r="J44" s="95"/>
      <c r="K44" s="16"/>
    </row>
    <row r="45" spans="1:11" ht="15" hidden="1" customHeight="1" x14ac:dyDescent="0.25">
      <c r="A45" s="12"/>
      <c r="B45" s="99" t="s">
        <v>47</v>
      </c>
      <c r="C45" s="14">
        <f>0*TRUNC(10.75/0.5,0)</f>
        <v>0</v>
      </c>
      <c r="D45" s="91">
        <f>30/3.281</f>
        <v>9.1435537945748244</v>
      </c>
      <c r="E45" s="91">
        <f>8*8/162</f>
        <v>0.39506172839506171</v>
      </c>
      <c r="F45" s="91">
        <f t="shared" si="3"/>
        <v>0</v>
      </c>
      <c r="G45" s="100">
        <f t="shared" si="4"/>
        <v>0</v>
      </c>
      <c r="H45" s="18"/>
      <c r="I45" s="19"/>
      <c r="J45" s="95"/>
      <c r="K45" s="16"/>
    </row>
    <row r="46" spans="1:11" ht="15" hidden="1" customHeight="1" x14ac:dyDescent="0.25">
      <c r="A46" s="12"/>
      <c r="B46" s="99"/>
      <c r="C46" s="14">
        <f>0*TRUNC(30/0.5,0)</f>
        <v>0</v>
      </c>
      <c r="D46" s="91">
        <f>10.75/3.281</f>
        <v>3.2764401097226452</v>
      </c>
      <c r="E46" s="91">
        <f>8*8/162</f>
        <v>0.39506172839506171</v>
      </c>
      <c r="F46" s="91">
        <f t="shared" si="3"/>
        <v>0</v>
      </c>
      <c r="G46" s="100">
        <f t="shared" si="4"/>
        <v>0</v>
      </c>
      <c r="H46" s="18"/>
      <c r="I46" s="19"/>
      <c r="J46" s="95"/>
      <c r="K46" s="16"/>
    </row>
    <row r="47" spans="1:11" ht="15" customHeight="1" x14ac:dyDescent="0.25">
      <c r="A47" s="84"/>
      <c r="B47" s="99" t="s">
        <v>25</v>
      </c>
      <c r="C47" s="90"/>
      <c r="D47" s="91"/>
      <c r="E47" s="91"/>
      <c r="F47" s="91"/>
      <c r="G47" s="95">
        <f>SUM(G42:G46)</f>
        <v>2.6167993046383779E-2</v>
      </c>
      <c r="H47" s="95" t="s">
        <v>48</v>
      </c>
      <c r="I47" s="96">
        <v>130210</v>
      </c>
      <c r="J47" s="97">
        <f>G47*I47</f>
        <v>3407.334374569632</v>
      </c>
      <c r="K47" s="92"/>
    </row>
    <row r="48" spans="1:11" ht="15" customHeight="1" x14ac:dyDescent="0.25">
      <c r="A48" s="12"/>
      <c r="B48" s="99" t="s">
        <v>49</v>
      </c>
      <c r="C48" s="14"/>
      <c r="D48" s="15"/>
      <c r="E48" s="16"/>
      <c r="F48" s="16"/>
      <c r="G48" s="19"/>
      <c r="H48" s="18"/>
      <c r="I48" s="19"/>
      <c r="J48" s="95">
        <f>0.13*G47*105010</f>
        <v>357.2271234740989</v>
      </c>
      <c r="K48" s="16"/>
    </row>
    <row r="49" spans="1:14" ht="15" customHeight="1" x14ac:dyDescent="0.25">
      <c r="A49" s="12"/>
      <c r="B49" s="99"/>
      <c r="C49" s="14"/>
      <c r="D49" s="15"/>
      <c r="E49" s="16"/>
      <c r="F49" s="16"/>
      <c r="G49" s="19"/>
      <c r="H49" s="18"/>
      <c r="I49" s="19"/>
      <c r="J49" s="95"/>
      <c r="K49" s="16"/>
    </row>
    <row r="50" spans="1:14" s="1" customFormat="1" ht="30" x14ac:dyDescent="0.25">
      <c r="A50" s="12">
        <v>6</v>
      </c>
      <c r="B50" s="41" t="s">
        <v>50</v>
      </c>
      <c r="C50" s="14"/>
      <c r="D50" s="15"/>
      <c r="E50" s="16"/>
      <c r="F50" s="16"/>
      <c r="G50" s="19"/>
      <c r="H50" s="18"/>
      <c r="I50" s="19"/>
      <c r="J50" s="95"/>
      <c r="K50" s="16"/>
    </row>
    <row r="51" spans="1:14" x14ac:dyDescent="0.25">
      <c r="A51" s="84"/>
      <c r="B51" s="93" t="s">
        <v>45</v>
      </c>
      <c r="C51" s="90">
        <v>2</v>
      </c>
      <c r="D51" s="91">
        <v>0.15</v>
      </c>
      <c r="E51" s="91">
        <v>0.15</v>
      </c>
      <c r="F51" s="91">
        <f>6.5/3.281</f>
        <v>1.9811033221578787</v>
      </c>
      <c r="G51" s="91">
        <f>PRODUCT(C51:F51)</f>
        <v>8.9149649497104536E-2</v>
      </c>
      <c r="H51" s="92"/>
      <c r="I51" s="92"/>
      <c r="J51" s="91"/>
      <c r="K51" s="92"/>
    </row>
    <row r="52" spans="1:14" hidden="1" x14ac:dyDescent="0.25">
      <c r="A52" s="84"/>
      <c r="B52" s="93" t="s">
        <v>51</v>
      </c>
      <c r="C52" s="90">
        <f>0*2</f>
        <v>0</v>
      </c>
      <c r="D52" s="91">
        <f>15/3.281</f>
        <v>4.5717768972874122</v>
      </c>
      <c r="E52" s="91">
        <f>10.75/3.281</f>
        <v>3.2764401097226452</v>
      </c>
      <c r="F52" s="91">
        <v>0.05</v>
      </c>
      <c r="G52" s="91">
        <f>PRODUCT(C52:F52)</f>
        <v>0</v>
      </c>
      <c r="H52" s="92"/>
      <c r="I52" s="92"/>
      <c r="J52" s="91"/>
      <c r="K52" s="92"/>
    </row>
    <row r="53" spans="1:14" ht="15" customHeight="1" x14ac:dyDescent="0.25">
      <c r="A53" s="84"/>
      <c r="B53" s="99" t="s">
        <v>25</v>
      </c>
      <c r="C53" s="90"/>
      <c r="D53" s="91"/>
      <c r="E53" s="91"/>
      <c r="F53" s="91"/>
      <c r="G53" s="95">
        <f>SUM(G51:G52)</f>
        <v>8.9149649497104536E-2</v>
      </c>
      <c r="H53" s="95" t="s">
        <v>30</v>
      </c>
      <c r="I53" s="96">
        <v>14200.82</v>
      </c>
      <c r="J53" s="97">
        <f>G53*I53</f>
        <v>1265.998125571472</v>
      </c>
      <c r="K53" s="92"/>
    </row>
    <row r="54" spans="1:14" ht="15" customHeight="1" x14ac:dyDescent="0.25">
      <c r="A54" s="12"/>
      <c r="B54" s="99" t="s">
        <v>52</v>
      </c>
      <c r="C54" s="14"/>
      <c r="D54" s="15"/>
      <c r="E54" s="16"/>
      <c r="F54" s="16"/>
      <c r="G54" s="19"/>
      <c r="H54" s="18"/>
      <c r="I54" s="19"/>
      <c r="J54" s="95">
        <f>0.13*G53*10250.02</f>
        <v>118.79213974398048</v>
      </c>
      <c r="K54" s="16"/>
    </row>
    <row r="55" spans="1:14" ht="15" customHeight="1" x14ac:dyDescent="0.25">
      <c r="A55" s="12"/>
      <c r="B55" s="99"/>
      <c r="C55" s="14"/>
      <c r="D55" s="15"/>
      <c r="E55" s="16"/>
      <c r="F55" s="16"/>
      <c r="G55" s="19"/>
      <c r="H55" s="18"/>
      <c r="I55" s="19"/>
      <c r="J55" s="95"/>
      <c r="K55" s="16"/>
    </row>
    <row r="56" spans="1:14" ht="30.75" hidden="1" x14ac:dyDescent="0.25">
      <c r="A56" s="84">
        <v>8</v>
      </c>
      <c r="B56" s="11" t="s">
        <v>53</v>
      </c>
      <c r="C56" s="85"/>
      <c r="D56" s="80"/>
      <c r="E56" s="80"/>
      <c r="F56" s="80"/>
      <c r="G56" s="86"/>
      <c r="H56" s="86"/>
      <c r="I56" s="87"/>
      <c r="J56" s="88"/>
      <c r="K56" s="89"/>
      <c r="N56">
        <f>6.2*3.281+0.23*2</f>
        <v>20.802200000000003</v>
      </c>
    </row>
    <row r="57" spans="1:14" ht="15" hidden="1" customHeight="1" x14ac:dyDescent="0.25">
      <c r="A57" s="84"/>
      <c r="B57" s="82" t="s">
        <v>54</v>
      </c>
      <c r="C57" s="85">
        <v>2</v>
      </c>
      <c r="D57" s="80">
        <f>(10.75/3.281)</f>
        <v>3.2764401097226452</v>
      </c>
      <c r="E57" s="80">
        <f>0.1</f>
        <v>0.1</v>
      </c>
      <c r="F57" s="80">
        <v>0.9</v>
      </c>
      <c r="G57" s="80">
        <f>PRODUCT(C57:F57)</f>
        <v>0.58975921975007617</v>
      </c>
      <c r="H57" s="80"/>
      <c r="I57" s="80"/>
      <c r="J57" s="97"/>
      <c r="K57" s="89"/>
    </row>
    <row r="58" spans="1:14" ht="15" hidden="1" customHeight="1" x14ac:dyDescent="0.25">
      <c r="A58" s="84"/>
      <c r="B58" s="82"/>
      <c r="C58" s="85">
        <v>2</v>
      </c>
      <c r="D58" s="80">
        <f>(6.2)</f>
        <v>6.2</v>
      </c>
      <c r="E58" s="80">
        <v>0.23</v>
      </c>
      <c r="F58" s="80">
        <v>0.9</v>
      </c>
      <c r="G58" s="80">
        <f>PRODUCT(C58:F58)</f>
        <v>2.5668000000000002</v>
      </c>
      <c r="H58" s="80"/>
      <c r="I58" s="80"/>
      <c r="J58" s="97"/>
      <c r="K58" s="89"/>
    </row>
    <row r="59" spans="1:14" ht="15" hidden="1" customHeight="1" x14ac:dyDescent="0.25">
      <c r="A59" s="84"/>
      <c r="B59" s="82" t="s">
        <v>25</v>
      </c>
      <c r="C59" s="85"/>
      <c r="D59" s="80"/>
      <c r="E59" s="80"/>
      <c r="F59" s="80"/>
      <c r="G59" s="86">
        <f>0*SUM(G57:G58)</f>
        <v>0</v>
      </c>
      <c r="H59" s="86" t="s">
        <v>30</v>
      </c>
      <c r="I59" s="87">
        <v>15375.48</v>
      </c>
      <c r="J59" s="88">
        <f>G59*I59</f>
        <v>0</v>
      </c>
      <c r="K59" s="89"/>
    </row>
    <row r="60" spans="1:14" ht="15" hidden="1" customHeight="1" x14ac:dyDescent="0.25">
      <c r="A60" s="12"/>
      <c r="B60" s="82" t="s">
        <v>49</v>
      </c>
      <c r="C60" s="14"/>
      <c r="D60" s="15"/>
      <c r="E60" s="16"/>
      <c r="F60" s="16"/>
      <c r="G60" s="19"/>
      <c r="H60" s="18"/>
      <c r="I60" s="19"/>
      <c r="J60" s="81">
        <f>0.13*G59*10946.58</f>
        <v>0</v>
      </c>
      <c r="K60" s="16"/>
      <c r="M60" s="21"/>
      <c r="N60" s="21"/>
    </row>
    <row r="61" spans="1:14" ht="15" hidden="1" customHeight="1" x14ac:dyDescent="0.25">
      <c r="A61" s="84"/>
      <c r="B61" s="82"/>
      <c r="C61" s="85"/>
      <c r="D61" s="80"/>
      <c r="E61" s="80"/>
      <c r="F61" s="80"/>
      <c r="G61" s="86"/>
      <c r="H61" s="86"/>
      <c r="I61" s="87"/>
      <c r="J61" s="88"/>
      <c r="K61" s="89"/>
    </row>
    <row r="62" spans="1:14" ht="30.75" x14ac:dyDescent="0.25">
      <c r="A62" s="84">
        <v>7</v>
      </c>
      <c r="B62" s="11" t="s">
        <v>55</v>
      </c>
      <c r="C62" s="85"/>
      <c r="D62" s="80"/>
      <c r="E62" s="80"/>
      <c r="F62" s="80"/>
      <c r="G62" s="86"/>
      <c r="H62" s="86"/>
      <c r="I62" s="87"/>
      <c r="J62" s="88"/>
      <c r="K62" s="89"/>
    </row>
    <row r="63" spans="1:14" ht="15" customHeight="1" x14ac:dyDescent="0.25">
      <c r="A63" s="84"/>
      <c r="B63" s="82" t="s">
        <v>56</v>
      </c>
      <c r="C63" s="85">
        <v>2</v>
      </c>
      <c r="D63" s="80">
        <f>24/12/3.281</f>
        <v>0.6095702529716549</v>
      </c>
      <c r="E63" s="80">
        <f>24/12/3.281</f>
        <v>0.6095702529716549</v>
      </c>
      <c r="F63" s="80">
        <f>24/12/3.281</f>
        <v>0.6095702529716549</v>
      </c>
      <c r="G63" s="80">
        <f>PRODUCT(C63:F63)</f>
        <v>0.45300322256376385</v>
      </c>
      <c r="H63" s="80"/>
      <c r="I63" s="80"/>
      <c r="J63" s="97"/>
      <c r="K63" s="89"/>
    </row>
    <row r="64" spans="1:14" ht="15" customHeight="1" x14ac:dyDescent="0.25">
      <c r="A64" s="84"/>
      <c r="B64" s="82" t="s">
        <v>57</v>
      </c>
      <c r="C64" s="85">
        <v>-2</v>
      </c>
      <c r="D64" s="80">
        <f>0.15</f>
        <v>0.15</v>
      </c>
      <c r="E64" s="80">
        <f>0.15</f>
        <v>0.15</v>
      </c>
      <c r="F64" s="80">
        <f>24/12/3.281</f>
        <v>0.6095702529716549</v>
      </c>
      <c r="G64" s="80">
        <f>PRODUCT(C64:F64)</f>
        <v>-2.7430661383724471E-2</v>
      </c>
      <c r="H64" s="80"/>
      <c r="I64" s="80"/>
      <c r="J64" s="97"/>
      <c r="K64" s="89"/>
    </row>
    <row r="65" spans="1:14" ht="15" customHeight="1" x14ac:dyDescent="0.25">
      <c r="A65" s="84"/>
      <c r="B65" s="82" t="s">
        <v>25</v>
      </c>
      <c r="C65" s="85"/>
      <c r="D65" s="80"/>
      <c r="E65" s="80"/>
      <c r="F65" s="80"/>
      <c r="G65" s="86">
        <f>SUM(G63:G64)</f>
        <v>0.42557256118003939</v>
      </c>
      <c r="H65" s="86" t="s">
        <v>30</v>
      </c>
      <c r="I65" s="87">
        <v>14520.78</v>
      </c>
      <c r="J65" s="88">
        <f>G65*I65</f>
        <v>6179.6455349318931</v>
      </c>
      <c r="K65" s="89"/>
    </row>
    <row r="66" spans="1:14" ht="15" customHeight="1" x14ac:dyDescent="0.25">
      <c r="A66" s="12"/>
      <c r="B66" s="82" t="s">
        <v>49</v>
      </c>
      <c r="C66" s="14"/>
      <c r="D66" s="15"/>
      <c r="E66" s="16"/>
      <c r="F66" s="16"/>
      <c r="G66" s="19"/>
      <c r="H66" s="18"/>
      <c r="I66" s="19"/>
      <c r="J66" s="81">
        <f>0.13*G65*10555.39</f>
        <v>583.97096635204286</v>
      </c>
      <c r="K66" s="16"/>
      <c r="M66" s="21"/>
      <c r="N66" s="21"/>
    </row>
    <row r="67" spans="1:14" ht="15" customHeight="1" x14ac:dyDescent="0.25">
      <c r="A67" s="84"/>
      <c r="B67" s="82"/>
      <c r="C67" s="85"/>
      <c r="D67" s="80"/>
      <c r="E67" s="80"/>
      <c r="F67" s="80"/>
      <c r="G67" s="86"/>
      <c r="H67" s="86"/>
      <c r="I67" s="87"/>
      <c r="J67" s="88"/>
      <c r="K67" s="89"/>
    </row>
    <row r="68" spans="1:14" ht="47.25" x14ac:dyDescent="0.25">
      <c r="A68" s="12">
        <v>8</v>
      </c>
      <c r="B68" s="23" t="s">
        <v>58</v>
      </c>
      <c r="C68" s="89"/>
      <c r="D68" s="89"/>
      <c r="E68" s="89"/>
      <c r="F68" s="89"/>
      <c r="G68" s="101"/>
      <c r="H68" s="18"/>
      <c r="I68" s="19"/>
      <c r="J68" s="19"/>
      <c r="K68" s="16"/>
      <c r="M68" s="21"/>
    </row>
    <row r="69" spans="1:14" ht="15" customHeight="1" x14ac:dyDescent="0.25">
      <c r="A69" s="12"/>
      <c r="B69" s="13" t="s">
        <v>59</v>
      </c>
      <c r="C69" s="14">
        <v>1</v>
      </c>
      <c r="D69" s="15"/>
      <c r="E69" s="16">
        <f>10.75/3.281</f>
        <v>3.2764401097226452</v>
      </c>
      <c r="F69" s="16">
        <f>(9.42+7.75)/3.281</f>
        <v>5.233160621761658</v>
      </c>
      <c r="G69" s="80">
        <f t="shared" ref="G69:G74" si="5">PRODUCT(C69:F69)</f>
        <v>17.146137361760992</v>
      </c>
      <c r="H69" s="18"/>
      <c r="I69" s="19"/>
      <c r="J69" s="81"/>
      <c r="K69" s="16"/>
      <c r="M69" s="21"/>
      <c r="N69" s="21"/>
    </row>
    <row r="70" spans="1:14" ht="15" customHeight="1" x14ac:dyDescent="0.25">
      <c r="A70" s="12"/>
      <c r="B70" s="13" t="s">
        <v>22</v>
      </c>
      <c r="C70" s="14">
        <v>-1</v>
      </c>
      <c r="D70" s="15">
        <f>3.5/3.281</f>
        <v>1.0667479427003961</v>
      </c>
      <c r="E70" s="16"/>
      <c r="F70" s="16">
        <f>4.5/3.281</f>
        <v>1.3715330691862238</v>
      </c>
      <c r="G70" s="80">
        <f t="shared" si="5"/>
        <v>-1.4630800798999641</v>
      </c>
      <c r="H70" s="18"/>
      <c r="I70" s="19"/>
      <c r="J70" s="81"/>
      <c r="K70" s="16"/>
      <c r="M70" s="21"/>
      <c r="N70" s="21"/>
    </row>
    <row r="71" spans="1:14" ht="15" customHeight="1" x14ac:dyDescent="0.25">
      <c r="A71" s="12"/>
      <c r="B71" s="13" t="s">
        <v>23</v>
      </c>
      <c r="C71" s="14">
        <v>-1</v>
      </c>
      <c r="D71" s="15">
        <f>3.833/3.281</f>
        <v>1.1682413898201769</v>
      </c>
      <c r="E71" s="16"/>
      <c r="F71" s="16">
        <f>6.5/3.281</f>
        <v>1.9811033221578787</v>
      </c>
      <c r="G71" s="80">
        <f t="shared" si="5"/>
        <v>-2.3144068984550898</v>
      </c>
      <c r="H71" s="18"/>
      <c r="I71" s="19"/>
      <c r="J71" s="81"/>
      <c r="K71" s="16"/>
      <c r="M71" s="21"/>
      <c r="N71" s="21"/>
    </row>
    <row r="72" spans="1:14" ht="15" customHeight="1" x14ac:dyDescent="0.25">
      <c r="A72" s="12"/>
      <c r="B72" s="13" t="s">
        <v>60</v>
      </c>
      <c r="C72" s="14">
        <v>1</v>
      </c>
      <c r="D72" s="15"/>
      <c r="E72" s="16">
        <f>(5.75)/3.281</f>
        <v>1.752514477293508</v>
      </c>
      <c r="F72" s="16">
        <f>(9.42+7.75)/3.281</f>
        <v>5.233160621761658</v>
      </c>
      <c r="G72" s="80">
        <f t="shared" si="5"/>
        <v>9.1711897516396004</v>
      </c>
      <c r="H72" s="18"/>
      <c r="I72" s="19"/>
      <c r="J72" s="81"/>
      <c r="K72" s="16"/>
      <c r="M72" s="21"/>
      <c r="N72" s="21"/>
    </row>
    <row r="73" spans="1:14" ht="15" customHeight="1" x14ac:dyDescent="0.25">
      <c r="A73" s="12"/>
      <c r="B73" s="13" t="s">
        <v>61</v>
      </c>
      <c r="C73" s="14">
        <v>-1</v>
      </c>
      <c r="D73" s="15">
        <f>E69+E72</f>
        <v>5.0289545870161536</v>
      </c>
      <c r="E73" s="16"/>
      <c r="F73" s="16">
        <f>13*0.15</f>
        <v>1.95</v>
      </c>
      <c r="G73" s="80">
        <f t="shared" si="5"/>
        <v>-9.8064614446814993</v>
      </c>
      <c r="H73" s="18"/>
      <c r="I73" s="19"/>
      <c r="J73" s="81"/>
      <c r="K73" s="16"/>
      <c r="M73" s="21"/>
      <c r="N73" s="21"/>
    </row>
    <row r="74" spans="1:14" ht="15" customHeight="1" x14ac:dyDescent="0.25">
      <c r="A74" s="12"/>
      <c r="B74" s="13"/>
      <c r="C74" s="14">
        <v>-1</v>
      </c>
      <c r="D74" s="15">
        <f>D73</f>
        <v>5.0289545870161536</v>
      </c>
      <c r="E74" s="16"/>
      <c r="F74" s="16">
        <f>8/12/3.281</f>
        <v>0.20319008432388497</v>
      </c>
      <c r="G74" s="80">
        <f t="shared" si="5"/>
        <v>-1.0218337065968004</v>
      </c>
      <c r="H74" s="18"/>
      <c r="I74" s="19"/>
      <c r="J74" s="81"/>
      <c r="K74" s="16"/>
      <c r="M74" s="21"/>
      <c r="N74" s="21"/>
    </row>
    <row r="75" spans="1:14" s="53" customFormat="1" ht="15" customHeight="1" x14ac:dyDescent="0.25">
      <c r="A75" s="84"/>
      <c r="B75" s="82" t="s">
        <v>62</v>
      </c>
      <c r="C75" s="85">
        <v>1</v>
      </c>
      <c r="D75" s="80">
        <f>2.75+6.2+6.2+2.6</f>
        <v>17.75</v>
      </c>
      <c r="E75" s="80"/>
      <c r="F75" s="80">
        <f>2.6</f>
        <v>2.6</v>
      </c>
      <c r="G75" s="80">
        <f>PRODUCT(C75:F75)</f>
        <v>46.15</v>
      </c>
      <c r="H75" s="80"/>
      <c r="I75" s="80"/>
      <c r="J75" s="97"/>
      <c r="K75" s="89"/>
    </row>
    <row r="76" spans="1:14" s="53" customFormat="1" ht="15" customHeight="1" x14ac:dyDescent="0.25">
      <c r="A76" s="84"/>
      <c r="B76" s="82" t="s">
        <v>63</v>
      </c>
      <c r="C76" s="85">
        <v>-1</v>
      </c>
      <c r="D76" s="80">
        <f>4/3.281</f>
        <v>1.2191405059433098</v>
      </c>
      <c r="E76" s="80"/>
      <c r="F76" s="80">
        <f>6.5/3.281</f>
        <v>1.9811033221578787</v>
      </c>
      <c r="G76" s="80">
        <f t="shared" ref="G76:G89" si="6">PRODUCT(C76:F76)</f>
        <v>-2.415243306501528</v>
      </c>
      <c r="H76" s="80"/>
      <c r="I76" s="80"/>
      <c r="J76" s="97"/>
      <c r="K76" s="89"/>
    </row>
    <row r="77" spans="1:14" s="53" customFormat="1" ht="15" customHeight="1" x14ac:dyDescent="0.25">
      <c r="A77" s="84"/>
      <c r="B77" s="82" t="s">
        <v>64</v>
      </c>
      <c r="C77" s="85">
        <f>-0.5*8</f>
        <v>-4</v>
      </c>
      <c r="D77" s="80">
        <f>0.667/3.281</f>
        <v>0.20329167936604695</v>
      </c>
      <c r="E77" s="80">
        <f>0.667/3.281</f>
        <v>0.20329167936604695</v>
      </c>
      <c r="F77" s="80"/>
      <c r="G77" s="80">
        <f t="shared" si="6"/>
        <v>-0.16531002759787056</v>
      </c>
      <c r="H77" s="80"/>
      <c r="I77" s="80"/>
      <c r="J77" s="97"/>
      <c r="K77" s="89"/>
    </row>
    <row r="78" spans="1:14" s="53" customFormat="1" ht="15" customHeight="1" x14ac:dyDescent="0.25">
      <c r="A78" s="84"/>
      <c r="B78" s="82" t="s">
        <v>65</v>
      </c>
      <c r="C78" s="85">
        <f>2</f>
        <v>2</v>
      </c>
      <c r="D78" s="80">
        <f>2.6</f>
        <v>2.6</v>
      </c>
      <c r="E78" s="80"/>
      <c r="F78" s="80">
        <f>2.6</f>
        <v>2.6</v>
      </c>
      <c r="G78" s="80">
        <f t="shared" si="6"/>
        <v>13.520000000000001</v>
      </c>
      <c r="H78" s="80"/>
      <c r="I78" s="80"/>
      <c r="J78" s="97"/>
      <c r="K78" s="89"/>
    </row>
    <row r="79" spans="1:14" s="53" customFormat="1" ht="15" customHeight="1" x14ac:dyDescent="0.25">
      <c r="A79" s="84"/>
      <c r="B79" s="82"/>
      <c r="C79" s="85">
        <f>2</f>
        <v>2</v>
      </c>
      <c r="D79" s="80">
        <f>6.2-D78</f>
        <v>3.6</v>
      </c>
      <c r="E79" s="80"/>
      <c r="F79" s="80">
        <f>2.6</f>
        <v>2.6</v>
      </c>
      <c r="G79" s="80">
        <f t="shared" si="6"/>
        <v>18.720000000000002</v>
      </c>
      <c r="H79" s="80"/>
      <c r="I79" s="80"/>
      <c r="J79" s="97"/>
      <c r="K79" s="89"/>
    </row>
    <row r="80" spans="1:14" s="53" customFormat="1" ht="15" customHeight="1" x14ac:dyDescent="0.25">
      <c r="A80" s="84"/>
      <c r="B80" s="82" t="s">
        <v>22</v>
      </c>
      <c r="C80" s="85">
        <f>-1</f>
        <v>-1</v>
      </c>
      <c r="D80" s="80">
        <f>3.5/3.281</f>
        <v>1.0667479427003961</v>
      </c>
      <c r="E80" s="80"/>
      <c r="F80" s="80">
        <f>4.5/3.281</f>
        <v>1.3715330691862238</v>
      </c>
      <c r="G80" s="80">
        <f t="shared" si="6"/>
        <v>-1.4630800798999641</v>
      </c>
      <c r="H80" s="80"/>
      <c r="I80" s="80"/>
      <c r="J80" s="97"/>
      <c r="K80" s="89"/>
    </row>
    <row r="81" spans="1:14" s="53" customFormat="1" ht="15" hidden="1" customHeight="1" x14ac:dyDescent="0.25">
      <c r="A81" s="84"/>
      <c r="B81" s="82" t="s">
        <v>66</v>
      </c>
      <c r="C81" s="85">
        <f>0*1</f>
        <v>0</v>
      </c>
      <c r="D81" s="80">
        <f>10.75/3.281</f>
        <v>3.2764401097226452</v>
      </c>
      <c r="E81" s="80"/>
      <c r="F81" s="80">
        <v>0.9</v>
      </c>
      <c r="G81" s="80">
        <f t="shared" si="6"/>
        <v>0</v>
      </c>
      <c r="H81" s="80"/>
      <c r="I81" s="80"/>
      <c r="J81" s="97"/>
      <c r="K81" s="89"/>
    </row>
    <row r="82" spans="1:14" s="53" customFormat="1" ht="15" hidden="1" customHeight="1" x14ac:dyDescent="0.25">
      <c r="A82" s="84"/>
      <c r="B82" s="82"/>
      <c r="C82" s="85">
        <f>0*1</f>
        <v>0</v>
      </c>
      <c r="D82" s="80"/>
      <c r="E82" s="80">
        <f>E72</f>
        <v>1.752514477293508</v>
      </c>
      <c r="F82" s="80">
        <v>0.9</v>
      </c>
      <c r="G82" s="80">
        <f t="shared" si="6"/>
        <v>0</v>
      </c>
      <c r="H82" s="80"/>
      <c r="I82" s="80"/>
      <c r="J82" s="97"/>
      <c r="K82" s="89"/>
    </row>
    <row r="83" spans="1:14" s="53" customFormat="1" ht="15" hidden="1" customHeight="1" x14ac:dyDescent="0.25">
      <c r="A83" s="84"/>
      <c r="B83" s="82" t="s">
        <v>67</v>
      </c>
      <c r="C83" s="85">
        <f>0*2</f>
        <v>0</v>
      </c>
      <c r="D83" s="80">
        <f>D78</f>
        <v>2.6</v>
      </c>
      <c r="E83" s="80"/>
      <c r="F83" s="80">
        <v>0.9</v>
      </c>
      <c r="G83" s="80">
        <f t="shared" si="6"/>
        <v>0</v>
      </c>
      <c r="H83" s="80"/>
      <c r="I83" s="80"/>
      <c r="J83" s="97"/>
      <c r="K83" s="89"/>
    </row>
    <row r="84" spans="1:14" s="53" customFormat="1" ht="15" hidden="1" customHeight="1" x14ac:dyDescent="0.25">
      <c r="A84" s="84"/>
      <c r="B84" s="82"/>
      <c r="C84" s="85">
        <f>0*2</f>
        <v>0</v>
      </c>
      <c r="D84" s="80"/>
      <c r="E84" s="80">
        <v>6.2</v>
      </c>
      <c r="F84" s="80">
        <v>0.9</v>
      </c>
      <c r="G84" s="80">
        <f t="shared" si="6"/>
        <v>0</v>
      </c>
      <c r="H84" s="80"/>
      <c r="I84" s="80"/>
      <c r="J84" s="97"/>
      <c r="K84" s="89"/>
    </row>
    <row r="85" spans="1:14" s="53" customFormat="1" ht="15" hidden="1" customHeight="1" x14ac:dyDescent="0.25">
      <c r="A85" s="84"/>
      <c r="B85" s="82" t="s">
        <v>68</v>
      </c>
      <c r="C85" s="85">
        <f>0*-2</f>
        <v>0</v>
      </c>
      <c r="D85" s="80"/>
      <c r="E85" s="80">
        <f>3/3.281</f>
        <v>0.91435537945748246</v>
      </c>
      <c r="F85" s="80">
        <f>2/3.281</f>
        <v>0.6095702529716549</v>
      </c>
      <c r="G85" s="80">
        <f t="shared" si="6"/>
        <v>0</v>
      </c>
      <c r="H85" s="80"/>
      <c r="I85" s="80"/>
      <c r="J85" s="97"/>
      <c r="K85" s="89"/>
    </row>
    <row r="86" spans="1:14" s="53" customFormat="1" ht="15" customHeight="1" x14ac:dyDescent="0.25">
      <c r="A86" s="84"/>
      <c r="B86" s="82" t="s">
        <v>69</v>
      </c>
      <c r="C86" s="85">
        <f>2*4</f>
        <v>8</v>
      </c>
      <c r="D86" s="80">
        <f>16/12/3.281</f>
        <v>0.40638016864776993</v>
      </c>
      <c r="E86" s="80"/>
      <c r="F86" s="80">
        <f>5/3.281</f>
        <v>1.5239256324291375</v>
      </c>
      <c r="G86" s="80">
        <f t="shared" si="6"/>
        <v>4.9543452441056983</v>
      </c>
      <c r="H86" s="80"/>
      <c r="I86" s="80"/>
      <c r="J86" s="97"/>
      <c r="K86" s="89"/>
    </row>
    <row r="87" spans="1:14" s="53" customFormat="1" ht="15" customHeight="1" x14ac:dyDescent="0.25">
      <c r="A87" s="84"/>
      <c r="B87" s="82" t="s">
        <v>70</v>
      </c>
      <c r="C87" s="85">
        <f>-2*4</f>
        <v>-8</v>
      </c>
      <c r="D87" s="80">
        <f>16/12/3.281</f>
        <v>0.40638016864776993</v>
      </c>
      <c r="E87" s="80"/>
      <c r="F87" s="80">
        <f>8/12/3.281</f>
        <v>0.20319008432388497</v>
      </c>
      <c r="G87" s="80">
        <f t="shared" si="6"/>
        <v>-0.66057936588075972</v>
      </c>
      <c r="H87" s="80"/>
      <c r="I87" s="80"/>
      <c r="J87" s="97"/>
      <c r="K87" s="89"/>
    </row>
    <row r="88" spans="1:14" s="53" customFormat="1" ht="15" customHeight="1" x14ac:dyDescent="0.25">
      <c r="A88" s="84"/>
      <c r="B88" s="82" t="s">
        <v>71</v>
      </c>
      <c r="C88" s="85">
        <f>1</f>
        <v>1</v>
      </c>
      <c r="D88" s="80">
        <f>10.75/3.281</f>
        <v>3.2764401097226452</v>
      </c>
      <c r="E88" s="80"/>
      <c r="F88" s="80">
        <f>F69-F73</f>
        <v>3.2831606217616578</v>
      </c>
      <c r="G88" s="80">
        <f t="shared" si="6"/>
        <v>10.757079147801834</v>
      </c>
      <c r="H88" s="80"/>
      <c r="I88" s="80"/>
      <c r="J88" s="97"/>
      <c r="K88" s="89"/>
    </row>
    <row r="89" spans="1:14" s="53" customFormat="1" ht="15" hidden="1" customHeight="1" x14ac:dyDescent="0.25">
      <c r="A89" s="84"/>
      <c r="B89" s="82"/>
      <c r="C89" s="85">
        <f>0*1</f>
        <v>0</v>
      </c>
      <c r="D89" s="80">
        <f>10.75/3.281</f>
        <v>3.2764401097226452</v>
      </c>
      <c r="E89" s="80"/>
      <c r="F89" s="80">
        <f>F81</f>
        <v>0.9</v>
      </c>
      <c r="G89" s="80">
        <f t="shared" si="6"/>
        <v>0</v>
      </c>
      <c r="H89" s="80"/>
      <c r="I89" s="80"/>
      <c r="J89" s="97"/>
      <c r="K89" s="89"/>
    </row>
    <row r="90" spans="1:14" ht="15" customHeight="1" x14ac:dyDescent="0.25">
      <c r="A90" s="12"/>
      <c r="B90" s="82" t="s">
        <v>25</v>
      </c>
      <c r="C90" s="14"/>
      <c r="D90" s="15"/>
      <c r="E90" s="16"/>
      <c r="F90" s="16"/>
      <c r="G90" s="19">
        <f>SUM(G69:G89)</f>
        <v>101.10875659579463</v>
      </c>
      <c r="H90" s="18" t="s">
        <v>26</v>
      </c>
      <c r="I90" s="19">
        <f>515448.67/100</f>
        <v>5154.4866999999995</v>
      </c>
      <c r="J90" s="81">
        <f>G90*I90</f>
        <v>521163.74112656066</v>
      </c>
      <c r="K90" s="16"/>
      <c r="M90" s="21"/>
      <c r="N90" s="21"/>
    </row>
    <row r="91" spans="1:14" ht="15" customHeight="1" x14ac:dyDescent="0.25">
      <c r="A91" s="12"/>
      <c r="B91" s="82" t="s">
        <v>49</v>
      </c>
      <c r="C91" s="14"/>
      <c r="D91" s="15"/>
      <c r="E91" s="16"/>
      <c r="F91" s="16"/>
      <c r="G91" s="19"/>
      <c r="H91" s="18"/>
      <c r="I91" s="19"/>
      <c r="J91" s="81">
        <f>G90*0.13*(328838.67/100)</f>
        <v>43223.009757609288</v>
      </c>
      <c r="K91" s="16"/>
      <c r="M91" s="21"/>
      <c r="N91" s="21"/>
    </row>
    <row r="92" spans="1:14" ht="15" customHeight="1" x14ac:dyDescent="0.25">
      <c r="A92" s="12"/>
      <c r="B92" s="82"/>
      <c r="C92" s="14"/>
      <c r="D92" s="15"/>
      <c r="E92" s="16"/>
      <c r="F92" s="16"/>
      <c r="G92" s="19"/>
      <c r="H92" s="18"/>
      <c r="I92" s="19"/>
      <c r="J92" s="81"/>
      <c r="K92" s="16"/>
      <c r="M92" s="21"/>
      <c r="N92" s="21"/>
    </row>
    <row r="93" spans="1:14" ht="47.25" x14ac:dyDescent="0.25">
      <c r="A93" s="12">
        <v>9</v>
      </c>
      <c r="B93" s="23" t="s">
        <v>72</v>
      </c>
      <c r="C93" s="14"/>
      <c r="D93" s="15"/>
      <c r="E93" s="16"/>
      <c r="F93" s="16"/>
      <c r="G93" s="19"/>
      <c r="H93" s="18"/>
      <c r="I93" s="19"/>
      <c r="J93" s="81"/>
      <c r="K93" s="16"/>
      <c r="M93" s="21"/>
      <c r="N93" s="21"/>
    </row>
    <row r="94" spans="1:14" ht="15" customHeight="1" x14ac:dyDescent="0.25">
      <c r="A94" s="12"/>
      <c r="B94" s="82" t="s">
        <v>54</v>
      </c>
      <c r="C94" s="14">
        <f>(0*1+1*2)</f>
        <v>2</v>
      </c>
      <c r="D94" s="15">
        <f>E69+E72</f>
        <v>5.0289545870161536</v>
      </c>
      <c r="E94" s="16"/>
      <c r="F94" s="16"/>
      <c r="G94" s="80">
        <f>PRODUCT(C94:F94)</f>
        <v>10.057909174032307</v>
      </c>
      <c r="H94" s="18"/>
      <c r="I94" s="19"/>
      <c r="J94" s="81"/>
      <c r="K94" s="16"/>
      <c r="M94" s="21"/>
      <c r="N94" s="21"/>
    </row>
    <row r="95" spans="1:14" ht="15" customHeight="1" x14ac:dyDescent="0.25">
      <c r="A95" s="12"/>
      <c r="B95" s="82" t="s">
        <v>127</v>
      </c>
      <c r="C95" s="14">
        <f>(0*1+1*2)</f>
        <v>2</v>
      </c>
      <c r="D95" s="15">
        <f>E69</f>
        <v>3.2764401097226452</v>
      </c>
      <c r="E95" s="16"/>
      <c r="F95" s="16"/>
      <c r="G95" s="80">
        <f>PRODUCT(C95:F95)</f>
        <v>6.5528802194452904</v>
      </c>
      <c r="H95" s="18"/>
      <c r="I95" s="19"/>
      <c r="J95" s="81"/>
      <c r="K95" s="16"/>
      <c r="M95" s="21"/>
      <c r="N95" s="21"/>
    </row>
    <row r="96" spans="1:14" ht="15" customHeight="1" x14ac:dyDescent="0.25">
      <c r="A96" s="12"/>
      <c r="B96" s="82" t="s">
        <v>56</v>
      </c>
      <c r="C96" s="14">
        <v>2</v>
      </c>
      <c r="D96" s="15">
        <f>(24/12/3.281)*4</f>
        <v>2.4382810118866196</v>
      </c>
      <c r="E96" s="16"/>
      <c r="F96" s="16"/>
      <c r="G96" s="80">
        <f>PRODUCT(C96:F96)</f>
        <v>4.8765620237732392</v>
      </c>
      <c r="H96" s="18"/>
      <c r="I96" s="19"/>
      <c r="J96" s="81"/>
      <c r="K96" s="16"/>
      <c r="M96" s="21"/>
      <c r="N96" s="21"/>
    </row>
    <row r="97" spans="1:14" ht="15" customHeight="1" x14ac:dyDescent="0.25">
      <c r="A97" s="12"/>
      <c r="B97" s="82" t="s">
        <v>25</v>
      </c>
      <c r="C97" s="14"/>
      <c r="D97" s="15"/>
      <c r="E97" s="16"/>
      <c r="F97" s="16"/>
      <c r="G97" s="19">
        <f>SUM(G94:G96)</f>
        <v>21.487351417250835</v>
      </c>
      <c r="H97" s="18" t="s">
        <v>73</v>
      </c>
      <c r="I97" s="19">
        <f>3932.81/10</f>
        <v>393.28100000000001</v>
      </c>
      <c r="J97" s="81">
        <f>G97*I97</f>
        <v>8450.5670527278253</v>
      </c>
      <c r="K97" s="16"/>
      <c r="M97" s="21"/>
      <c r="N97" s="21"/>
    </row>
    <row r="98" spans="1:14" ht="15" customHeight="1" x14ac:dyDescent="0.25">
      <c r="A98" s="12"/>
      <c r="B98" s="82" t="s">
        <v>49</v>
      </c>
      <c r="C98" s="14"/>
      <c r="D98" s="15"/>
      <c r="E98" s="16"/>
      <c r="F98" s="16"/>
      <c r="G98" s="19"/>
      <c r="H98" s="18"/>
      <c r="I98" s="19"/>
      <c r="J98" s="81">
        <f>G97*0.13*(2165.31/10)</f>
        <v>604.84809966473631</v>
      </c>
      <c r="K98" s="16"/>
      <c r="M98" s="21"/>
      <c r="N98" s="21"/>
    </row>
    <row r="99" spans="1:14" ht="15" customHeight="1" x14ac:dyDescent="0.25">
      <c r="A99" s="12"/>
      <c r="B99" s="82"/>
      <c r="C99" s="14"/>
      <c r="D99" s="15"/>
      <c r="E99" s="16"/>
      <c r="F99" s="16"/>
      <c r="G99" s="19"/>
      <c r="H99" s="18"/>
      <c r="I99" s="19"/>
      <c r="J99" s="81"/>
      <c r="K99" s="16"/>
      <c r="M99" s="21"/>
      <c r="N99" s="21"/>
    </row>
    <row r="100" spans="1:14" ht="30.75" customHeight="1" x14ac:dyDescent="0.25">
      <c r="A100" s="12">
        <v>10</v>
      </c>
      <c r="B100" s="23" t="s">
        <v>74</v>
      </c>
      <c r="C100" s="85"/>
      <c r="D100" s="80"/>
      <c r="E100" s="80"/>
      <c r="F100" s="80"/>
      <c r="G100" s="80"/>
      <c r="H100" s="80"/>
      <c r="I100" s="80"/>
      <c r="J100" s="97"/>
      <c r="K100" s="89"/>
    </row>
    <row r="101" spans="1:14" ht="15" customHeight="1" x14ac:dyDescent="0.25">
      <c r="A101" s="12"/>
      <c r="B101" s="82" t="s">
        <v>54</v>
      </c>
      <c r="C101" s="14">
        <f>(1)</f>
        <v>1</v>
      </c>
      <c r="D101" s="15">
        <f>D94</f>
        <v>5.0289545870161536</v>
      </c>
      <c r="E101" s="16"/>
      <c r="F101" s="16"/>
      <c r="G101" s="80">
        <f t="shared" ref="G101" si="7">PRODUCT(C101:F101)</f>
        <v>5.0289545870161536</v>
      </c>
      <c r="H101" s="18"/>
      <c r="I101" s="19"/>
      <c r="J101" s="81"/>
      <c r="K101" s="16"/>
      <c r="M101" s="21"/>
      <c r="N101" s="21"/>
    </row>
    <row r="102" spans="1:14" ht="15" customHeight="1" x14ac:dyDescent="0.25">
      <c r="A102" s="12"/>
      <c r="B102" s="82" t="s">
        <v>127</v>
      </c>
      <c r="C102" s="14">
        <f>(1)</f>
        <v>1</v>
      </c>
      <c r="D102" s="15">
        <f>D95</f>
        <v>3.2764401097226452</v>
      </c>
      <c r="E102" s="16"/>
      <c r="F102" s="16"/>
      <c r="G102" s="80">
        <f>PRODUCT(C102:F102)</f>
        <v>3.2764401097226452</v>
      </c>
      <c r="H102" s="18"/>
      <c r="I102" s="19"/>
      <c r="J102" s="81"/>
      <c r="K102" s="16"/>
      <c r="M102" s="21"/>
      <c r="N102" s="21"/>
    </row>
    <row r="103" spans="1:14" ht="15" customHeight="1" x14ac:dyDescent="0.25">
      <c r="A103" s="12"/>
      <c r="B103" s="82" t="s">
        <v>56</v>
      </c>
      <c r="C103" s="14">
        <v>2</v>
      </c>
      <c r="D103" s="15">
        <f>(24/12/3.281)*4</f>
        <v>2.4382810118866196</v>
      </c>
      <c r="E103" s="16"/>
      <c r="F103" s="16"/>
      <c r="G103" s="80">
        <f>PRODUCT(C103:F103)</f>
        <v>4.8765620237732392</v>
      </c>
      <c r="H103" s="18"/>
      <c r="I103" s="19"/>
      <c r="J103" s="81"/>
      <c r="K103" s="16"/>
      <c r="M103" s="21"/>
      <c r="N103" s="21"/>
    </row>
    <row r="104" spans="1:14" ht="15" customHeight="1" x14ac:dyDescent="0.25">
      <c r="A104" s="12"/>
      <c r="B104" s="82" t="s">
        <v>25</v>
      </c>
      <c r="C104" s="14"/>
      <c r="D104" s="15"/>
      <c r="E104" s="16"/>
      <c r="F104" s="16"/>
      <c r="G104" s="19">
        <f>SUM(G101:G103)</f>
        <v>13.181956720512037</v>
      </c>
      <c r="H104" s="18" t="s">
        <v>73</v>
      </c>
      <c r="I104" s="19">
        <f>4676.81/10</f>
        <v>467.68100000000004</v>
      </c>
      <c r="J104" s="81">
        <f>G104*I104</f>
        <v>6164.9507010057905</v>
      </c>
      <c r="K104" s="16"/>
      <c r="M104" s="21"/>
      <c r="N104" s="21"/>
    </row>
    <row r="105" spans="1:14" ht="15" customHeight="1" x14ac:dyDescent="0.25">
      <c r="A105" s="12"/>
      <c r="B105" s="82" t="s">
        <v>49</v>
      </c>
      <c r="C105" s="14"/>
      <c r="D105" s="15"/>
      <c r="E105" s="16"/>
      <c r="F105" s="16"/>
      <c r="G105" s="19"/>
      <c r="H105" s="18"/>
      <c r="I105" s="19"/>
      <c r="J105" s="81">
        <f>G104*0.13*(2909.31/10)</f>
        <v>498.55518058518732</v>
      </c>
      <c r="K105" s="16"/>
      <c r="M105" s="21"/>
      <c r="N105" s="21"/>
    </row>
    <row r="106" spans="1:14" ht="15" customHeight="1" x14ac:dyDescent="0.25">
      <c r="A106" s="12"/>
      <c r="B106" s="82"/>
      <c r="C106" s="14"/>
      <c r="D106" s="15"/>
      <c r="E106" s="16"/>
      <c r="F106" s="16"/>
      <c r="G106" s="19"/>
      <c r="H106" s="18"/>
      <c r="I106" s="19"/>
      <c r="J106" s="81"/>
      <c r="K106" s="16"/>
      <c r="M106" s="21"/>
      <c r="N106" s="21"/>
    </row>
    <row r="107" spans="1:14" ht="47.25" x14ac:dyDescent="0.25">
      <c r="A107" s="12">
        <v>11</v>
      </c>
      <c r="B107" s="23" t="s">
        <v>75</v>
      </c>
      <c r="C107" s="14"/>
      <c r="D107" s="15"/>
      <c r="E107" s="16"/>
      <c r="F107" s="16"/>
      <c r="G107" s="19"/>
      <c r="H107" s="18"/>
      <c r="I107" s="19"/>
      <c r="J107" s="81"/>
      <c r="K107" s="16"/>
      <c r="M107" s="21"/>
      <c r="N107" s="21"/>
    </row>
    <row r="108" spans="1:14" ht="15" customHeight="1" x14ac:dyDescent="0.25">
      <c r="A108" s="12"/>
      <c r="B108" s="82" t="s">
        <v>54</v>
      </c>
      <c r="C108" s="14">
        <f>1*2+1*2</f>
        <v>4</v>
      </c>
      <c r="D108" s="15">
        <f>D101</f>
        <v>5.0289545870161536</v>
      </c>
      <c r="E108" s="16"/>
      <c r="F108" s="16"/>
      <c r="G108" s="80">
        <f t="shared" ref="G108:G110" si="8">PRODUCT(C108:F108)</f>
        <v>20.115818348064614</v>
      </c>
      <c r="H108" s="18"/>
      <c r="I108" s="19"/>
      <c r="J108" s="81"/>
      <c r="K108" s="16"/>
      <c r="M108" s="21"/>
      <c r="N108" s="21"/>
    </row>
    <row r="109" spans="1:14" ht="15" customHeight="1" x14ac:dyDescent="0.25">
      <c r="A109" s="12"/>
      <c r="B109" s="13" t="s">
        <v>22</v>
      </c>
      <c r="C109" s="14">
        <v>-1</v>
      </c>
      <c r="D109" s="15">
        <f>3.5/3.281</f>
        <v>1.0667479427003961</v>
      </c>
      <c r="E109" s="16"/>
      <c r="F109" s="16"/>
      <c r="G109" s="80">
        <f t="shared" si="8"/>
        <v>-1.0667479427003961</v>
      </c>
      <c r="H109" s="18"/>
      <c r="I109" s="19"/>
      <c r="J109" s="81"/>
      <c r="K109" s="16"/>
      <c r="M109" s="21"/>
      <c r="N109" s="21"/>
    </row>
    <row r="110" spans="1:14" ht="15" customHeight="1" x14ac:dyDescent="0.25">
      <c r="A110" s="12"/>
      <c r="B110" s="13" t="s">
        <v>23</v>
      </c>
      <c r="C110" s="14">
        <v>-1</v>
      </c>
      <c r="D110" s="15">
        <f>3.833/3.281</f>
        <v>1.1682413898201769</v>
      </c>
      <c r="E110" s="16"/>
      <c r="F110" s="16"/>
      <c r="G110" s="80">
        <f t="shared" si="8"/>
        <v>-1.1682413898201769</v>
      </c>
      <c r="H110" s="18"/>
      <c r="I110" s="19"/>
      <c r="J110" s="81"/>
      <c r="K110" s="16"/>
      <c r="M110" s="21"/>
      <c r="N110" s="21"/>
    </row>
    <row r="111" spans="1:14" ht="15" customHeight="1" x14ac:dyDescent="0.25">
      <c r="A111" s="12"/>
      <c r="B111" s="82" t="str">
        <f>B102</f>
        <v>-backside wall</v>
      </c>
      <c r="C111" s="14">
        <f>1*2+1*2</f>
        <v>4</v>
      </c>
      <c r="D111" s="15">
        <f>D102</f>
        <v>3.2764401097226452</v>
      </c>
      <c r="E111" s="16"/>
      <c r="F111" s="16"/>
      <c r="G111" s="80">
        <f t="shared" ref="G111" si="9">PRODUCT(C111:F111)</f>
        <v>13.105760438890581</v>
      </c>
      <c r="H111" s="18"/>
      <c r="I111" s="19"/>
      <c r="J111" s="81"/>
      <c r="K111" s="16"/>
      <c r="M111" s="21"/>
      <c r="N111" s="21"/>
    </row>
    <row r="112" spans="1:14" ht="15" customHeight="1" x14ac:dyDescent="0.25">
      <c r="A112" s="12"/>
      <c r="B112" s="82" t="s">
        <v>56</v>
      </c>
      <c r="C112" s="14">
        <f>2*2</f>
        <v>4</v>
      </c>
      <c r="D112" s="15">
        <f>(24/12/3.281)*4</f>
        <v>2.4382810118866196</v>
      </c>
      <c r="E112" s="16"/>
      <c r="F112" s="16"/>
      <c r="G112" s="80">
        <f>PRODUCT(C112:F112)</f>
        <v>9.7531240475464784</v>
      </c>
      <c r="H112" s="18"/>
      <c r="I112" s="19"/>
      <c r="J112" s="81"/>
      <c r="K112" s="16"/>
      <c r="M112" s="21"/>
      <c r="N112" s="21"/>
    </row>
    <row r="113" spans="1:14" ht="15" customHeight="1" x14ac:dyDescent="0.25">
      <c r="A113" s="12"/>
      <c r="B113" s="82" t="s">
        <v>25</v>
      </c>
      <c r="C113" s="14"/>
      <c r="D113" s="15"/>
      <c r="E113" s="16"/>
      <c r="F113" s="16"/>
      <c r="G113" s="19">
        <f>SUM(G108:G112)</f>
        <v>40.7397135019811</v>
      </c>
      <c r="H113" s="18" t="s">
        <v>73</v>
      </c>
      <c r="I113" s="19">
        <f>4118.81/10</f>
        <v>411.88100000000003</v>
      </c>
      <c r="J113" s="81">
        <f>G113*I113</f>
        <v>16779.913936909477</v>
      </c>
      <c r="K113" s="16"/>
      <c r="M113" s="21"/>
      <c r="N113" s="21"/>
    </row>
    <row r="114" spans="1:14" ht="15" customHeight="1" x14ac:dyDescent="0.25">
      <c r="A114" s="12"/>
      <c r="B114" s="82" t="s">
        <v>49</v>
      </c>
      <c r="C114" s="14"/>
      <c r="D114" s="15"/>
      <c r="E114" s="16"/>
      <c r="F114" s="16"/>
      <c r="G114" s="19"/>
      <c r="H114" s="18"/>
      <c r="I114" s="19"/>
      <c r="J114" s="81">
        <f>G113*0.13*(2351.31/10)</f>
        <v>1245.2920448064615</v>
      </c>
      <c r="K114" s="16"/>
      <c r="M114" s="21"/>
      <c r="N114" s="21"/>
    </row>
    <row r="115" spans="1:14" ht="15" customHeight="1" x14ac:dyDescent="0.25">
      <c r="A115" s="12"/>
      <c r="B115" s="82"/>
      <c r="C115" s="14"/>
      <c r="D115" s="15"/>
      <c r="E115" s="16"/>
      <c r="F115" s="16"/>
      <c r="G115" s="19"/>
      <c r="H115" s="18"/>
      <c r="I115" s="19"/>
      <c r="J115" s="81"/>
      <c r="K115" s="16"/>
      <c r="M115" s="21"/>
      <c r="N115" s="21"/>
    </row>
    <row r="116" spans="1:14" ht="47.25" x14ac:dyDescent="0.25">
      <c r="A116" s="12">
        <v>12</v>
      </c>
      <c r="B116" s="23" t="s">
        <v>76</v>
      </c>
      <c r="C116" s="14"/>
      <c r="D116" s="15"/>
      <c r="E116" s="16"/>
      <c r="F116" s="16"/>
      <c r="G116" s="19"/>
      <c r="H116" s="18"/>
      <c r="I116" s="19"/>
      <c r="J116" s="81"/>
      <c r="K116" s="16"/>
      <c r="M116" s="21"/>
      <c r="N116" s="21"/>
    </row>
    <row r="117" spans="1:14" ht="15" customHeight="1" x14ac:dyDescent="0.25">
      <c r="A117" s="12"/>
      <c r="B117" s="82" t="s">
        <v>54</v>
      </c>
      <c r="C117" s="14">
        <v>2</v>
      </c>
      <c r="D117" s="15">
        <f>D108</f>
        <v>5.0289545870161536</v>
      </c>
      <c r="E117" s="16"/>
      <c r="F117" s="16"/>
      <c r="G117" s="80">
        <f t="shared" ref="G117:G119" si="10">PRODUCT(C117:F117)</f>
        <v>10.057909174032307</v>
      </c>
      <c r="H117" s="18"/>
      <c r="I117" s="19"/>
      <c r="J117" s="81"/>
      <c r="K117" s="16"/>
      <c r="M117" s="21"/>
      <c r="N117" s="21"/>
    </row>
    <row r="118" spans="1:14" ht="15" customHeight="1" x14ac:dyDescent="0.25">
      <c r="A118" s="12"/>
      <c r="B118" s="13" t="s">
        <v>22</v>
      </c>
      <c r="C118" s="14">
        <v>-1</v>
      </c>
      <c r="D118" s="15">
        <f>3.5/3.281</f>
        <v>1.0667479427003961</v>
      </c>
      <c r="E118" s="16"/>
      <c r="F118" s="16"/>
      <c r="G118" s="80">
        <f t="shared" si="10"/>
        <v>-1.0667479427003961</v>
      </c>
      <c r="H118" s="18"/>
      <c r="I118" s="19"/>
      <c r="J118" s="81"/>
      <c r="K118" s="16"/>
      <c r="M118" s="21"/>
      <c r="N118" s="21"/>
    </row>
    <row r="119" spans="1:14" ht="15" customHeight="1" x14ac:dyDescent="0.25">
      <c r="A119" s="12"/>
      <c r="B119" s="13" t="s">
        <v>23</v>
      </c>
      <c r="C119" s="14">
        <v>-1</v>
      </c>
      <c r="D119" s="15">
        <f>3.833/3.281</f>
        <v>1.1682413898201769</v>
      </c>
      <c r="E119" s="16"/>
      <c r="F119" s="16"/>
      <c r="G119" s="80">
        <f t="shared" si="10"/>
        <v>-1.1682413898201769</v>
      </c>
      <c r="H119" s="18"/>
      <c r="I119" s="19"/>
      <c r="J119" s="81"/>
      <c r="K119" s="16"/>
      <c r="M119" s="21"/>
      <c r="N119" s="21"/>
    </row>
    <row r="120" spans="1:14" ht="15" customHeight="1" x14ac:dyDescent="0.25">
      <c r="A120" s="12"/>
      <c r="B120" s="82" t="str">
        <f>B111</f>
        <v>-backside wall</v>
      </c>
      <c r="C120" s="14">
        <v>2</v>
      </c>
      <c r="D120" s="15">
        <f>D111</f>
        <v>3.2764401097226452</v>
      </c>
      <c r="E120" s="16"/>
      <c r="F120" s="16"/>
      <c r="G120" s="80">
        <f t="shared" ref="G120" si="11">PRODUCT(C120:F120)</f>
        <v>6.5528802194452904</v>
      </c>
      <c r="H120" s="18"/>
      <c r="I120" s="19"/>
      <c r="J120" s="81"/>
      <c r="K120" s="16"/>
      <c r="M120" s="21"/>
      <c r="N120" s="21"/>
    </row>
    <row r="121" spans="1:14" ht="15" customHeight="1" x14ac:dyDescent="0.25">
      <c r="A121" s="12"/>
      <c r="B121" s="82" t="s">
        <v>56</v>
      </c>
      <c r="C121" s="14">
        <f>2</f>
        <v>2</v>
      </c>
      <c r="D121" s="15">
        <f>(24/12/3.281)*4</f>
        <v>2.4382810118866196</v>
      </c>
      <c r="E121" s="16"/>
      <c r="F121" s="16"/>
      <c r="G121" s="80">
        <f>PRODUCT(C121:F121)</f>
        <v>4.8765620237732392</v>
      </c>
      <c r="H121" s="18"/>
      <c r="I121" s="19"/>
      <c r="J121" s="81"/>
      <c r="K121" s="16"/>
      <c r="M121" s="21"/>
      <c r="N121" s="21"/>
    </row>
    <row r="122" spans="1:14" ht="15" customHeight="1" x14ac:dyDescent="0.25">
      <c r="A122" s="12"/>
      <c r="B122" s="82" t="s">
        <v>25</v>
      </c>
      <c r="C122" s="14"/>
      <c r="D122" s="15"/>
      <c r="E122" s="16"/>
      <c r="F122" s="16"/>
      <c r="G122" s="19">
        <f>SUM(G117:G121)</f>
        <v>19.252362084730265</v>
      </c>
      <c r="H122" s="18" t="s">
        <v>73</v>
      </c>
      <c r="I122" s="19">
        <f>4490.81/10</f>
        <v>449.08100000000002</v>
      </c>
      <c r="J122" s="81">
        <f>G122*I122</f>
        <v>8645.870017372752</v>
      </c>
      <c r="K122" s="16"/>
      <c r="M122" s="21"/>
      <c r="N122" s="21"/>
    </row>
    <row r="123" spans="1:14" ht="15" customHeight="1" x14ac:dyDescent="0.25">
      <c r="A123" s="12"/>
      <c r="B123" s="82" t="s">
        <v>49</v>
      </c>
      <c r="C123" s="14"/>
      <c r="D123" s="15"/>
      <c r="E123" s="16"/>
      <c r="F123" s="16"/>
      <c r="G123" s="19"/>
      <c r="H123" s="18"/>
      <c r="I123" s="19"/>
      <c r="J123" s="81">
        <f>G122*0.13*(2723.31/10)</f>
        <v>681.59195245656815</v>
      </c>
      <c r="K123" s="16"/>
      <c r="M123" s="21"/>
      <c r="N123" s="21"/>
    </row>
    <row r="124" spans="1:14" ht="15" customHeight="1" x14ac:dyDescent="0.25">
      <c r="A124" s="12"/>
      <c r="B124" s="82"/>
      <c r="C124" s="14"/>
      <c r="D124" s="15"/>
      <c r="E124" s="16"/>
      <c r="F124" s="16"/>
      <c r="G124" s="19"/>
      <c r="H124" s="18"/>
      <c r="I124" s="19"/>
      <c r="J124" s="81"/>
      <c r="K124" s="16"/>
      <c r="M124" s="21"/>
      <c r="N124" s="21"/>
    </row>
    <row r="125" spans="1:14" ht="30.75" customHeight="1" x14ac:dyDescent="0.25">
      <c r="A125" s="12">
        <v>13</v>
      </c>
      <c r="B125" s="23" t="s">
        <v>77</v>
      </c>
      <c r="C125" s="85"/>
      <c r="D125" s="80"/>
      <c r="E125" s="80"/>
      <c r="F125" s="80"/>
      <c r="G125" s="80"/>
      <c r="H125" s="80"/>
      <c r="I125" s="80"/>
      <c r="J125" s="97"/>
      <c r="K125" s="89"/>
    </row>
    <row r="126" spans="1:14" ht="15" customHeight="1" x14ac:dyDescent="0.25">
      <c r="A126" s="12"/>
      <c r="B126" s="82" t="s">
        <v>54</v>
      </c>
      <c r="C126" s="14">
        <f>1*2-1</f>
        <v>1</v>
      </c>
      <c r="D126" s="15">
        <f>D117</f>
        <v>5.0289545870161536</v>
      </c>
      <c r="E126" s="16"/>
      <c r="F126" s="16"/>
      <c r="G126" s="80">
        <f t="shared" ref="G126" si="12">PRODUCT(C126:F126)</f>
        <v>5.0289545870161536</v>
      </c>
      <c r="H126" s="18"/>
      <c r="I126" s="19"/>
      <c r="J126" s="81"/>
      <c r="K126" s="16"/>
      <c r="M126" s="21"/>
      <c r="N126" s="21"/>
    </row>
    <row r="127" spans="1:14" ht="15" customHeight="1" x14ac:dyDescent="0.25">
      <c r="A127" s="12"/>
      <c r="B127" s="82" t="str">
        <f>B120</f>
        <v>-backside wall</v>
      </c>
      <c r="C127" s="14">
        <f>1*2-1</f>
        <v>1</v>
      </c>
      <c r="D127" s="15">
        <f>D120</f>
        <v>3.2764401097226452</v>
      </c>
      <c r="E127" s="16"/>
      <c r="F127" s="16"/>
      <c r="G127" s="80">
        <f t="shared" ref="G127" si="13">PRODUCT(C127:F127)</f>
        <v>3.2764401097226452</v>
      </c>
      <c r="H127" s="18"/>
      <c r="I127" s="19"/>
      <c r="J127" s="81"/>
      <c r="K127" s="16"/>
      <c r="M127" s="21"/>
      <c r="N127" s="21"/>
    </row>
    <row r="128" spans="1:14" ht="15" customHeight="1" x14ac:dyDescent="0.25">
      <c r="A128" s="12"/>
      <c r="B128" s="82" t="s">
        <v>56</v>
      </c>
      <c r="C128" s="14">
        <f>2</f>
        <v>2</v>
      </c>
      <c r="D128" s="15">
        <f>(24/12/3.281)*4</f>
        <v>2.4382810118866196</v>
      </c>
      <c r="E128" s="16"/>
      <c r="F128" s="16"/>
      <c r="G128" s="80">
        <f>PRODUCT(C128:F128)</f>
        <v>4.8765620237732392</v>
      </c>
      <c r="H128" s="18"/>
      <c r="I128" s="19"/>
      <c r="J128" s="81"/>
      <c r="K128" s="16"/>
      <c r="M128" s="21"/>
      <c r="N128" s="21"/>
    </row>
    <row r="129" spans="1:14" ht="15" customHeight="1" x14ac:dyDescent="0.25">
      <c r="A129" s="12"/>
      <c r="B129" s="82" t="s">
        <v>25</v>
      </c>
      <c r="C129" s="14"/>
      <c r="D129" s="15"/>
      <c r="E129" s="16"/>
      <c r="F129" s="16"/>
      <c r="G129" s="19">
        <f>SUM(G126:G128)</f>
        <v>13.181956720512037</v>
      </c>
      <c r="H129" s="18" t="s">
        <v>73</v>
      </c>
      <c r="I129" s="19">
        <v>462.97</v>
      </c>
      <c r="J129" s="81">
        <f>G129*I129</f>
        <v>6102.8505028954578</v>
      </c>
      <c r="K129" s="16"/>
      <c r="M129" s="21"/>
      <c r="N129" s="21"/>
    </row>
    <row r="130" spans="1:14" ht="15" customHeight="1" x14ac:dyDescent="0.25">
      <c r="A130" s="12"/>
      <c r="B130" s="82" t="s">
        <v>49</v>
      </c>
      <c r="C130" s="14"/>
      <c r="D130" s="15"/>
      <c r="E130" s="16"/>
      <c r="F130" s="16"/>
      <c r="G130" s="19"/>
      <c r="H130" s="18"/>
      <c r="I130" s="19"/>
      <c r="J130" s="81">
        <f>G129*0.13*(2258.31/10)</f>
        <v>386.99628085949399</v>
      </c>
      <c r="K130" s="16"/>
      <c r="M130" s="21"/>
      <c r="N130" s="21"/>
    </row>
    <row r="131" spans="1:14" ht="15" customHeight="1" x14ac:dyDescent="0.25">
      <c r="A131" s="12"/>
      <c r="B131" s="89"/>
      <c r="C131" s="14"/>
      <c r="D131" s="15"/>
      <c r="E131" s="16"/>
      <c r="F131" s="16"/>
      <c r="G131" s="19"/>
      <c r="H131" s="18"/>
      <c r="I131" s="19"/>
      <c r="J131" s="81"/>
      <c r="K131" s="16"/>
      <c r="M131" s="21"/>
      <c r="N131" s="21"/>
    </row>
    <row r="132" spans="1:14" ht="47.25" x14ac:dyDescent="0.25">
      <c r="A132" s="12">
        <v>14</v>
      </c>
      <c r="B132" s="23" t="s">
        <v>78</v>
      </c>
      <c r="C132" s="14"/>
      <c r="D132" s="15"/>
      <c r="E132" s="16"/>
      <c r="F132" s="16"/>
      <c r="G132" s="19"/>
      <c r="H132" s="18"/>
      <c r="I132" s="19"/>
      <c r="J132" s="81"/>
      <c r="K132" s="16"/>
      <c r="M132" s="21"/>
      <c r="N132" s="21"/>
    </row>
    <row r="133" spans="1:14" ht="15" customHeight="1" x14ac:dyDescent="0.25">
      <c r="A133" s="12"/>
      <c r="B133" s="82" t="s">
        <v>54</v>
      </c>
      <c r="C133" s="14">
        <f>1*2-1</f>
        <v>1</v>
      </c>
      <c r="D133" s="15">
        <f>D161</f>
        <v>5.0289545870161536</v>
      </c>
      <c r="E133" s="16"/>
      <c r="F133" s="16"/>
      <c r="G133" s="80">
        <f t="shared" ref="G133" si="14">PRODUCT(C133:F133)</f>
        <v>5.0289545870161536</v>
      </c>
      <c r="H133" s="18"/>
      <c r="I133" s="19"/>
      <c r="J133" s="81"/>
      <c r="K133" s="16"/>
      <c r="M133" s="21"/>
      <c r="N133" s="21"/>
    </row>
    <row r="134" spans="1:14" ht="15" customHeight="1" x14ac:dyDescent="0.25">
      <c r="A134" s="12"/>
      <c r="B134" s="82" t="str">
        <f>B127</f>
        <v>-backside wall</v>
      </c>
      <c r="C134" s="14">
        <f>1*2-1</f>
        <v>1</v>
      </c>
      <c r="D134" s="15">
        <f>D127</f>
        <v>3.2764401097226452</v>
      </c>
      <c r="E134" s="16"/>
      <c r="F134" s="16"/>
      <c r="G134" s="80">
        <f t="shared" ref="G134" si="15">PRODUCT(C134:F134)</f>
        <v>3.2764401097226452</v>
      </c>
      <c r="H134" s="18"/>
      <c r="I134" s="19"/>
      <c r="J134" s="81"/>
      <c r="K134" s="16"/>
      <c r="M134" s="21"/>
      <c r="N134" s="21"/>
    </row>
    <row r="135" spans="1:14" ht="15" customHeight="1" x14ac:dyDescent="0.25">
      <c r="A135" s="12"/>
      <c r="B135" s="82" t="s">
        <v>56</v>
      </c>
      <c r="C135" s="14">
        <f>2</f>
        <v>2</v>
      </c>
      <c r="D135" s="15">
        <f>(24/12/3.281)*4</f>
        <v>2.4382810118866196</v>
      </c>
      <c r="E135" s="16"/>
      <c r="F135" s="16"/>
      <c r="G135" s="80">
        <f>PRODUCT(C135:F135)</f>
        <v>4.8765620237732392</v>
      </c>
      <c r="H135" s="18"/>
      <c r="I135" s="19"/>
      <c r="J135" s="81"/>
      <c r="K135" s="16"/>
      <c r="M135" s="21"/>
      <c r="N135" s="21"/>
    </row>
    <row r="136" spans="1:14" ht="15" customHeight="1" x14ac:dyDescent="0.25">
      <c r="A136" s="12"/>
      <c r="B136" s="82" t="s">
        <v>25</v>
      </c>
      <c r="C136" s="14"/>
      <c r="D136" s="15"/>
      <c r="E136" s="16"/>
      <c r="F136" s="16"/>
      <c r="G136" s="19">
        <f>SUM(G133:G135)</f>
        <v>13.181956720512037</v>
      </c>
      <c r="H136" s="18" t="s">
        <v>73</v>
      </c>
      <c r="I136" s="19">
        <f>4738.81/10</f>
        <v>473.88100000000003</v>
      </c>
      <c r="J136" s="81">
        <f>G136*I136</f>
        <v>6246.6788326729647</v>
      </c>
      <c r="K136" s="16"/>
      <c r="M136" s="21"/>
      <c r="N136" s="21"/>
    </row>
    <row r="137" spans="1:14" ht="15" customHeight="1" x14ac:dyDescent="0.25">
      <c r="A137" s="12"/>
      <c r="B137" s="82" t="s">
        <v>49</v>
      </c>
      <c r="C137" s="14"/>
      <c r="D137" s="15"/>
      <c r="E137" s="16"/>
      <c r="F137" s="16"/>
      <c r="G137" s="19"/>
      <c r="H137" s="18"/>
      <c r="I137" s="19"/>
      <c r="J137" s="81">
        <f>G136*0.13*(2971.31/10)</f>
        <v>509.17983770192001</v>
      </c>
      <c r="K137" s="16"/>
      <c r="M137" s="21"/>
      <c r="N137" s="21"/>
    </row>
    <row r="138" spans="1:14" ht="15" customHeight="1" x14ac:dyDescent="0.25">
      <c r="A138" s="12"/>
      <c r="B138" s="82"/>
      <c r="C138" s="14"/>
      <c r="D138" s="15"/>
      <c r="E138" s="16"/>
      <c r="F138" s="16"/>
      <c r="G138" s="19"/>
      <c r="H138" s="18"/>
      <c r="I138" s="19"/>
      <c r="J138" s="81"/>
      <c r="K138" s="16"/>
      <c r="M138" s="21"/>
      <c r="N138" s="21"/>
    </row>
    <row r="139" spans="1:14" ht="47.25" x14ac:dyDescent="0.25">
      <c r="A139" s="12">
        <v>15</v>
      </c>
      <c r="B139" s="23" t="s">
        <v>79</v>
      </c>
      <c r="C139" s="14"/>
      <c r="D139" s="15"/>
      <c r="E139" s="16"/>
      <c r="F139" s="16"/>
      <c r="G139" s="19"/>
      <c r="H139" s="18"/>
      <c r="I139" s="19"/>
      <c r="J139" s="81"/>
      <c r="K139" s="16"/>
      <c r="M139" s="21"/>
      <c r="N139" s="21"/>
    </row>
    <row r="140" spans="1:14" ht="15" customHeight="1" x14ac:dyDescent="0.25">
      <c r="A140" s="12"/>
      <c r="B140" s="82" t="s">
        <v>54</v>
      </c>
      <c r="C140" s="14">
        <f>1*2-1</f>
        <v>1</v>
      </c>
      <c r="D140" s="15">
        <f>D133</f>
        <v>5.0289545870161536</v>
      </c>
      <c r="E140" s="16"/>
      <c r="F140" s="16"/>
      <c r="G140" s="80">
        <f>PRODUCT(C140:F140)</f>
        <v>5.0289545870161536</v>
      </c>
      <c r="H140" s="18"/>
      <c r="I140" s="19"/>
      <c r="J140" s="81"/>
      <c r="K140" s="16"/>
      <c r="M140" s="21"/>
      <c r="N140" s="21"/>
    </row>
    <row r="141" spans="1:14" ht="15" customHeight="1" x14ac:dyDescent="0.25">
      <c r="A141" s="12"/>
      <c r="B141" s="82" t="str">
        <f>B134</f>
        <v>-backside wall</v>
      </c>
      <c r="C141" s="14">
        <f>1*2-1</f>
        <v>1</v>
      </c>
      <c r="D141" s="15">
        <f>D134</f>
        <v>3.2764401097226452</v>
      </c>
      <c r="E141" s="16"/>
      <c r="F141" s="16"/>
      <c r="G141" s="80">
        <f>PRODUCT(C141:F141)</f>
        <v>3.2764401097226452</v>
      </c>
      <c r="H141" s="18"/>
      <c r="I141" s="19"/>
      <c r="J141" s="81"/>
      <c r="K141" s="16"/>
      <c r="M141" s="21"/>
      <c r="N141" s="21"/>
    </row>
    <row r="142" spans="1:14" ht="15" customHeight="1" x14ac:dyDescent="0.25">
      <c r="A142" s="12"/>
      <c r="B142" s="82" t="s">
        <v>56</v>
      </c>
      <c r="C142" s="14">
        <f>2</f>
        <v>2</v>
      </c>
      <c r="D142" s="15">
        <f>(24/12/3.281)*4</f>
        <v>2.4382810118866196</v>
      </c>
      <c r="E142" s="16"/>
      <c r="F142" s="16"/>
      <c r="G142" s="80">
        <f>PRODUCT(C142:F142)</f>
        <v>4.8765620237732392</v>
      </c>
      <c r="H142" s="18"/>
      <c r="I142" s="19"/>
      <c r="J142" s="81"/>
      <c r="K142" s="16"/>
      <c r="M142" s="21"/>
      <c r="N142" s="21"/>
    </row>
    <row r="143" spans="1:14" ht="15" customHeight="1" x14ac:dyDescent="0.25">
      <c r="A143" s="12"/>
      <c r="B143" s="82" t="s">
        <v>25</v>
      </c>
      <c r="C143" s="14"/>
      <c r="D143" s="15"/>
      <c r="E143" s="16"/>
      <c r="F143" s="16"/>
      <c r="G143" s="19">
        <f>SUM(G140:G142)</f>
        <v>13.181956720512037</v>
      </c>
      <c r="H143" s="18" t="s">
        <v>73</v>
      </c>
      <c r="I143" s="19">
        <v>623.04999999999995</v>
      </c>
      <c r="J143" s="81">
        <f>G143*I143</f>
        <v>8213.0181347150246</v>
      </c>
      <c r="K143" s="16"/>
      <c r="M143" s="21"/>
      <c r="N143" s="21"/>
    </row>
    <row r="144" spans="1:14" ht="15" customHeight="1" x14ac:dyDescent="0.25">
      <c r="A144" s="12"/>
      <c r="B144" s="82" t="s">
        <v>49</v>
      </c>
      <c r="C144" s="14"/>
      <c r="D144" s="15"/>
      <c r="E144" s="16"/>
      <c r="F144" s="16"/>
      <c r="G144" s="19"/>
      <c r="H144" s="18"/>
      <c r="I144" s="19"/>
      <c r="J144" s="81">
        <f>G143*0.13*(3650.31/10)</f>
        <v>625.53696967387987</v>
      </c>
      <c r="K144" s="16"/>
      <c r="M144" s="21"/>
      <c r="N144" s="21"/>
    </row>
    <row r="145" spans="1:14" ht="15" customHeight="1" x14ac:dyDescent="0.25">
      <c r="A145" s="12"/>
      <c r="B145" s="82"/>
      <c r="C145" s="14"/>
      <c r="D145" s="15"/>
      <c r="E145" s="16"/>
      <c r="F145" s="16"/>
      <c r="G145" s="19"/>
      <c r="H145" s="18"/>
      <c r="I145" s="19"/>
      <c r="J145" s="81"/>
      <c r="K145" s="16"/>
      <c r="M145" s="21"/>
      <c r="N145" s="21"/>
    </row>
    <row r="146" spans="1:14" ht="47.25" x14ac:dyDescent="0.25">
      <c r="A146" s="12">
        <v>16</v>
      </c>
      <c r="B146" s="23" t="s">
        <v>80</v>
      </c>
      <c r="C146" s="14"/>
      <c r="D146" s="15"/>
      <c r="E146" s="16"/>
      <c r="F146" s="16"/>
      <c r="G146" s="19"/>
      <c r="H146" s="18"/>
      <c r="I146" s="19"/>
      <c r="J146" s="81"/>
      <c r="K146" s="16"/>
      <c r="M146" s="21"/>
      <c r="N146" s="21"/>
    </row>
    <row r="147" spans="1:14" ht="15" customHeight="1" x14ac:dyDescent="0.25">
      <c r="A147" s="12"/>
      <c r="B147" s="82" t="s">
        <v>54</v>
      </c>
      <c r="C147" s="14">
        <f>1*2-1</f>
        <v>1</v>
      </c>
      <c r="D147" s="15">
        <f>D140</f>
        <v>5.0289545870161536</v>
      </c>
      <c r="E147" s="16"/>
      <c r="F147" s="16"/>
      <c r="G147" s="80">
        <f t="shared" ref="G147" si="16">PRODUCT(C147:F147)</f>
        <v>5.0289545870161536</v>
      </c>
      <c r="H147" s="18"/>
      <c r="I147" s="19"/>
      <c r="J147" s="81"/>
      <c r="K147" s="16"/>
      <c r="M147" s="21"/>
      <c r="N147" s="21"/>
    </row>
    <row r="148" spans="1:14" ht="15" customHeight="1" x14ac:dyDescent="0.25">
      <c r="A148" s="12"/>
      <c r="B148" s="82" t="str">
        <f>B141</f>
        <v>-backside wall</v>
      </c>
      <c r="C148" s="14">
        <f>1*2-1</f>
        <v>1</v>
      </c>
      <c r="D148" s="15">
        <f>D141</f>
        <v>3.2764401097226452</v>
      </c>
      <c r="E148" s="16"/>
      <c r="F148" s="16"/>
      <c r="G148" s="80">
        <f t="shared" ref="G148" si="17">PRODUCT(C148:F148)</f>
        <v>3.2764401097226452</v>
      </c>
      <c r="H148" s="18"/>
      <c r="I148" s="19"/>
      <c r="J148" s="81"/>
      <c r="K148" s="16"/>
      <c r="M148" s="21"/>
      <c r="N148" s="21"/>
    </row>
    <row r="149" spans="1:14" ht="15" customHeight="1" x14ac:dyDescent="0.25">
      <c r="A149" s="12"/>
      <c r="B149" s="82" t="s">
        <v>56</v>
      </c>
      <c r="C149" s="14">
        <f>2</f>
        <v>2</v>
      </c>
      <c r="D149" s="15">
        <f>(24/12/3.281)*4</f>
        <v>2.4382810118866196</v>
      </c>
      <c r="E149" s="16"/>
      <c r="F149" s="16"/>
      <c r="G149" s="80">
        <f>PRODUCT(C149:F149)</f>
        <v>4.8765620237732392</v>
      </c>
      <c r="H149" s="18"/>
      <c r="I149" s="19"/>
      <c r="J149" s="81"/>
      <c r="K149" s="16"/>
      <c r="M149" s="21"/>
      <c r="N149" s="21"/>
    </row>
    <row r="150" spans="1:14" ht="15" customHeight="1" x14ac:dyDescent="0.25">
      <c r="A150" s="12"/>
      <c r="B150" s="82" t="s">
        <v>25</v>
      </c>
      <c r="C150" s="14"/>
      <c r="D150" s="15"/>
      <c r="E150" s="16"/>
      <c r="F150" s="16"/>
      <c r="G150" s="19">
        <f>SUM(G147:G149)</f>
        <v>13.181956720512037</v>
      </c>
      <c r="H150" s="18" t="s">
        <v>73</v>
      </c>
      <c r="I150" s="19">
        <f>4862.81/10</f>
        <v>486.28100000000006</v>
      </c>
      <c r="J150" s="81">
        <f>G150*I150</f>
        <v>6410.135096007315</v>
      </c>
      <c r="K150" s="16"/>
      <c r="M150" s="21"/>
      <c r="N150" s="21"/>
    </row>
    <row r="151" spans="1:14" ht="15" customHeight="1" x14ac:dyDescent="0.25">
      <c r="A151" s="12"/>
      <c r="B151" s="82" t="s">
        <v>49</v>
      </c>
      <c r="C151" s="14"/>
      <c r="D151" s="15"/>
      <c r="E151" s="16"/>
      <c r="F151" s="16"/>
      <c r="G151" s="19"/>
      <c r="H151" s="18"/>
      <c r="I151" s="19"/>
      <c r="J151" s="81">
        <f>G150*0.13*(3095.31/10)</f>
        <v>530.42915193538545</v>
      </c>
      <c r="K151" s="16"/>
      <c r="M151" s="21"/>
      <c r="N151" s="21"/>
    </row>
    <row r="152" spans="1:14" ht="15" customHeight="1" x14ac:dyDescent="0.25">
      <c r="A152" s="12"/>
      <c r="B152" s="82"/>
      <c r="C152" s="14"/>
      <c r="D152" s="15"/>
      <c r="E152" s="16"/>
      <c r="F152" s="16"/>
      <c r="G152" s="19"/>
      <c r="H152" s="18"/>
      <c r="I152" s="19"/>
      <c r="J152" s="81"/>
      <c r="K152" s="16"/>
      <c r="M152" s="21"/>
      <c r="N152" s="21"/>
    </row>
    <row r="153" spans="1:14" ht="47.25" x14ac:dyDescent="0.25">
      <c r="A153" s="12">
        <v>17</v>
      </c>
      <c r="B153" s="23" t="s">
        <v>81</v>
      </c>
      <c r="C153" s="14"/>
      <c r="D153" s="15"/>
      <c r="E153" s="16"/>
      <c r="F153" s="16"/>
      <c r="G153" s="19"/>
      <c r="H153" s="18"/>
      <c r="I153" s="19"/>
      <c r="J153" s="81"/>
      <c r="K153" s="16"/>
      <c r="M153" s="21"/>
      <c r="N153" s="21"/>
    </row>
    <row r="154" spans="1:14" ht="15" customHeight="1" x14ac:dyDescent="0.25">
      <c r="A154" s="12"/>
      <c r="B154" s="82" t="s">
        <v>54</v>
      </c>
      <c r="C154" s="14">
        <f>1*2-1</f>
        <v>1</v>
      </c>
      <c r="D154" s="15">
        <f>D147</f>
        <v>5.0289545870161536</v>
      </c>
      <c r="E154" s="16"/>
      <c r="F154" s="16"/>
      <c r="G154" s="80">
        <f t="shared" ref="G154" si="18">PRODUCT(C154:F154)</f>
        <v>5.0289545870161536</v>
      </c>
      <c r="H154" s="18"/>
      <c r="I154" s="19"/>
      <c r="J154" s="81"/>
      <c r="K154" s="16"/>
      <c r="M154" s="21"/>
      <c r="N154" s="21"/>
    </row>
    <row r="155" spans="1:14" ht="15" customHeight="1" x14ac:dyDescent="0.25">
      <c r="A155" s="12"/>
      <c r="B155" s="82" t="str">
        <f>B148</f>
        <v>-backside wall</v>
      </c>
      <c r="C155" s="14">
        <f>1*2-1</f>
        <v>1</v>
      </c>
      <c r="D155" s="15">
        <f>D148</f>
        <v>3.2764401097226452</v>
      </c>
      <c r="E155" s="16"/>
      <c r="F155" s="16"/>
      <c r="G155" s="80">
        <f t="shared" ref="G155" si="19">PRODUCT(C155:F155)</f>
        <v>3.2764401097226452</v>
      </c>
      <c r="H155" s="18"/>
      <c r="I155" s="19"/>
      <c r="J155" s="81"/>
      <c r="K155" s="16"/>
      <c r="M155" s="21"/>
      <c r="N155" s="21"/>
    </row>
    <row r="156" spans="1:14" ht="15" customHeight="1" x14ac:dyDescent="0.25">
      <c r="A156" s="12"/>
      <c r="B156" s="82" t="s">
        <v>56</v>
      </c>
      <c r="C156" s="14">
        <f>2</f>
        <v>2</v>
      </c>
      <c r="D156" s="15">
        <f>(24/12/3.281)*4</f>
        <v>2.4382810118866196</v>
      </c>
      <c r="E156" s="16"/>
      <c r="F156" s="16"/>
      <c r="G156" s="80">
        <f>PRODUCT(C156:F156)</f>
        <v>4.8765620237732392</v>
      </c>
      <c r="H156" s="18"/>
      <c r="I156" s="19"/>
      <c r="J156" s="81"/>
      <c r="K156" s="16"/>
      <c r="M156" s="21"/>
      <c r="N156" s="21"/>
    </row>
    <row r="157" spans="1:14" ht="15" customHeight="1" x14ac:dyDescent="0.25">
      <c r="A157" s="12"/>
      <c r="B157" s="82" t="s">
        <v>25</v>
      </c>
      <c r="C157" s="14"/>
      <c r="D157" s="15"/>
      <c r="E157" s="16"/>
      <c r="F157" s="16"/>
      <c r="G157" s="19">
        <f>SUM(G154:G156)</f>
        <v>13.181956720512037</v>
      </c>
      <c r="H157" s="18" t="s">
        <v>73</v>
      </c>
      <c r="I157" s="19">
        <f>4676.81/10</f>
        <v>467.68100000000004</v>
      </c>
      <c r="J157" s="81">
        <f>G157*I157</f>
        <v>6164.9507010057905</v>
      </c>
      <c r="K157" s="16"/>
      <c r="M157" s="21"/>
      <c r="N157" s="21"/>
    </row>
    <row r="158" spans="1:14" ht="15" customHeight="1" x14ac:dyDescent="0.25">
      <c r="A158" s="12"/>
      <c r="B158" s="82" t="s">
        <v>49</v>
      </c>
      <c r="C158" s="14"/>
      <c r="D158" s="15"/>
      <c r="E158" s="16"/>
      <c r="F158" s="16"/>
      <c r="G158" s="19"/>
      <c r="H158" s="18"/>
      <c r="I158" s="19"/>
      <c r="J158" s="81">
        <f>G157*0.13*(2909.31/10)</f>
        <v>498.55518058518732</v>
      </c>
      <c r="K158" s="16"/>
      <c r="M158" s="21"/>
      <c r="N158" s="21"/>
    </row>
    <row r="159" spans="1:14" ht="15" customHeight="1" x14ac:dyDescent="0.25">
      <c r="A159" s="12"/>
      <c r="B159" s="82"/>
      <c r="C159" s="14"/>
      <c r="D159" s="15"/>
      <c r="E159" s="16"/>
      <c r="F159" s="16"/>
      <c r="G159" s="19"/>
      <c r="H159" s="18"/>
      <c r="I159" s="19"/>
      <c r="J159" s="81"/>
      <c r="K159" s="16"/>
      <c r="M159" s="21"/>
      <c r="N159" s="21"/>
    </row>
    <row r="160" spans="1:14" ht="30.75" customHeight="1" x14ac:dyDescent="0.25">
      <c r="A160" s="12">
        <v>18</v>
      </c>
      <c r="B160" s="23" t="s">
        <v>82</v>
      </c>
      <c r="C160" s="85"/>
      <c r="D160" s="80"/>
      <c r="E160" s="80"/>
      <c r="F160" s="80"/>
      <c r="G160" s="80"/>
      <c r="H160" s="80"/>
      <c r="I160" s="80"/>
      <c r="J160" s="97"/>
      <c r="K160" s="89"/>
    </row>
    <row r="161" spans="1:14" ht="15" customHeight="1" x14ac:dyDescent="0.25">
      <c r="A161" s="12"/>
      <c r="B161" s="82" t="s">
        <v>54</v>
      </c>
      <c r="C161" s="14">
        <f>2*2-2</f>
        <v>2</v>
      </c>
      <c r="D161" s="15">
        <f>D117</f>
        <v>5.0289545870161536</v>
      </c>
      <c r="E161" s="16"/>
      <c r="F161" s="16"/>
      <c r="G161" s="80">
        <f t="shared" ref="G161" si="20">PRODUCT(C161:F161)</f>
        <v>10.057909174032307</v>
      </c>
      <c r="H161" s="18"/>
      <c r="I161" s="19"/>
      <c r="J161" s="81"/>
      <c r="K161" s="16"/>
      <c r="M161" s="21"/>
      <c r="N161" s="21"/>
    </row>
    <row r="162" spans="1:14" ht="15" customHeight="1" x14ac:dyDescent="0.25">
      <c r="A162" s="12"/>
      <c r="B162" s="82" t="str">
        <f>B155</f>
        <v>-backside wall</v>
      </c>
      <c r="C162" s="14">
        <f>2*2-2</f>
        <v>2</v>
      </c>
      <c r="D162" s="15">
        <f>D118</f>
        <v>1.0667479427003961</v>
      </c>
      <c r="E162" s="16"/>
      <c r="F162" s="16"/>
      <c r="G162" s="80">
        <f t="shared" ref="G162" si="21">PRODUCT(C162:F162)</f>
        <v>2.1334958854007922</v>
      </c>
      <c r="H162" s="18"/>
      <c r="I162" s="19"/>
      <c r="J162" s="81"/>
      <c r="K162" s="16"/>
      <c r="M162" s="21"/>
      <c r="N162" s="21"/>
    </row>
    <row r="163" spans="1:14" ht="15" customHeight="1" x14ac:dyDescent="0.25">
      <c r="A163" s="12"/>
      <c r="B163" s="82" t="s">
        <v>56</v>
      </c>
      <c r="C163" s="14">
        <f>2</f>
        <v>2</v>
      </c>
      <c r="D163" s="15">
        <f>(24/12/3.281)*4</f>
        <v>2.4382810118866196</v>
      </c>
      <c r="E163" s="16"/>
      <c r="F163" s="16"/>
      <c r="G163" s="80">
        <f>PRODUCT(C163:F163)</f>
        <v>4.8765620237732392</v>
      </c>
      <c r="H163" s="18"/>
      <c r="I163" s="19"/>
      <c r="J163" s="81"/>
      <c r="K163" s="16"/>
      <c r="M163" s="21"/>
      <c r="N163" s="21"/>
    </row>
    <row r="164" spans="1:14" ht="15" customHeight="1" x14ac:dyDescent="0.25">
      <c r="A164" s="12"/>
      <c r="B164" s="82" t="s">
        <v>25</v>
      </c>
      <c r="C164" s="14"/>
      <c r="D164" s="15"/>
      <c r="E164" s="16"/>
      <c r="F164" s="16"/>
      <c r="G164" s="19">
        <f>SUM(G161:G163)</f>
        <v>17.067967083206341</v>
      </c>
      <c r="H164" s="18" t="s">
        <v>73</v>
      </c>
      <c r="I164" s="19">
        <f>3932.81/10</f>
        <v>393.28100000000001</v>
      </c>
      <c r="J164" s="81">
        <f>G164*I164</f>
        <v>6712.5071624504726</v>
      </c>
      <c r="K164" s="16"/>
      <c r="M164" s="21"/>
      <c r="N164" s="21"/>
    </row>
    <row r="165" spans="1:14" ht="15" customHeight="1" x14ac:dyDescent="0.25">
      <c r="A165" s="12"/>
      <c r="B165" s="82" t="s">
        <v>49</v>
      </c>
      <c r="C165" s="14"/>
      <c r="D165" s="15"/>
      <c r="E165" s="16"/>
      <c r="F165" s="16"/>
      <c r="G165" s="19"/>
      <c r="H165" s="18"/>
      <c r="I165" s="19"/>
      <c r="J165" s="81">
        <f>G164*0.13*(2165.31/10)</f>
        <v>480.44671746418783</v>
      </c>
      <c r="K165" s="16"/>
      <c r="M165" s="21"/>
      <c r="N165" s="21"/>
    </row>
    <row r="166" spans="1:14" ht="15" customHeight="1" x14ac:dyDescent="0.25">
      <c r="A166" s="12"/>
      <c r="B166" s="82"/>
      <c r="C166" s="14"/>
      <c r="D166" s="15"/>
      <c r="E166" s="16"/>
      <c r="F166" s="16"/>
      <c r="G166" s="19"/>
      <c r="H166" s="18"/>
      <c r="I166" s="19"/>
      <c r="J166" s="81"/>
      <c r="K166" s="16"/>
      <c r="M166" s="21"/>
      <c r="N166" s="21"/>
    </row>
    <row r="167" spans="1:14" ht="45" customHeight="1" x14ac:dyDescent="0.25">
      <c r="A167" s="84">
        <v>19</v>
      </c>
      <c r="B167" s="102" t="s">
        <v>123</v>
      </c>
      <c r="C167" s="85"/>
      <c r="D167" s="80"/>
      <c r="E167" s="80"/>
      <c r="F167" s="80"/>
      <c r="G167" s="80"/>
      <c r="H167" s="80"/>
      <c r="I167" s="80"/>
      <c r="J167" s="97"/>
      <c r="K167" s="89"/>
    </row>
    <row r="168" spans="1:14" ht="15" customHeight="1" x14ac:dyDescent="0.25">
      <c r="A168" s="84"/>
      <c r="B168" s="82" t="s">
        <v>83</v>
      </c>
      <c r="C168" s="85">
        <f>1*2</f>
        <v>2</v>
      </c>
      <c r="D168" s="80">
        <f>(2.75+2.6)/2</f>
        <v>2.6749999999999998</v>
      </c>
      <c r="E168" s="80">
        <v>6.2</v>
      </c>
      <c r="F168" s="80"/>
      <c r="G168" s="80">
        <f>PRODUCT(C168:F168)</f>
        <v>33.17</v>
      </c>
      <c r="H168" s="80"/>
      <c r="I168" s="80"/>
      <c r="J168" s="97"/>
      <c r="K168" s="89"/>
    </row>
    <row r="169" spans="1:14" ht="15" hidden="1" customHeight="1" x14ac:dyDescent="0.25">
      <c r="A169" s="84"/>
      <c r="B169" s="82"/>
      <c r="C169" s="85">
        <f>0</f>
        <v>0</v>
      </c>
      <c r="D169" s="80">
        <v>2.5</v>
      </c>
      <c r="E169" s="80">
        <f>E168</f>
        <v>6.2</v>
      </c>
      <c r="F169" s="80"/>
      <c r="G169" s="80">
        <f>PRODUCT(C169:F169)</f>
        <v>0</v>
      </c>
      <c r="H169" s="80"/>
      <c r="I169" s="80"/>
      <c r="J169" s="97"/>
      <c r="K169" s="89"/>
    </row>
    <row r="170" spans="1:14" ht="15" customHeight="1" x14ac:dyDescent="0.25">
      <c r="A170" s="84"/>
      <c r="B170" s="82" t="s">
        <v>25</v>
      </c>
      <c r="C170" s="85"/>
      <c r="D170" s="80"/>
      <c r="E170" s="80"/>
      <c r="F170" s="80"/>
      <c r="G170" s="86">
        <f>SUM(G168:G169)</f>
        <v>33.17</v>
      </c>
      <c r="H170" s="86" t="s">
        <v>26</v>
      </c>
      <c r="I170" s="87">
        <f>27795.91/10</f>
        <v>2779.5909999999999</v>
      </c>
      <c r="J170" s="88">
        <f>G170*I170</f>
        <v>92199.033469999995</v>
      </c>
      <c r="K170" s="89"/>
    </row>
    <row r="171" spans="1:14" ht="15" customHeight="1" x14ac:dyDescent="0.25">
      <c r="A171" s="12"/>
      <c r="B171" s="82" t="s">
        <v>49</v>
      </c>
      <c r="C171" s="14"/>
      <c r="D171" s="15"/>
      <c r="E171" s="16"/>
      <c r="F171" s="16"/>
      <c r="G171" s="19"/>
      <c r="H171" s="18"/>
      <c r="I171" s="19"/>
      <c r="J171" s="81">
        <f>G170*0.13*(17805.91/10)</f>
        <v>7678.0864511</v>
      </c>
      <c r="K171" s="16"/>
      <c r="M171" s="21"/>
      <c r="N171" s="21"/>
    </row>
    <row r="172" spans="1:14" ht="15" customHeight="1" x14ac:dyDescent="0.25">
      <c r="A172" s="84"/>
      <c r="B172" s="82"/>
      <c r="C172" s="85"/>
      <c r="D172" s="80"/>
      <c r="E172" s="80"/>
      <c r="F172" s="80"/>
      <c r="G172" s="86"/>
      <c r="H172" s="86"/>
      <c r="I172" s="87"/>
      <c r="J172" s="88"/>
      <c r="K172" s="89"/>
    </row>
    <row r="173" spans="1:14" ht="31.5" x14ac:dyDescent="0.25">
      <c r="A173" s="12">
        <v>20</v>
      </c>
      <c r="B173" s="23" t="s">
        <v>84</v>
      </c>
      <c r="C173" s="85"/>
      <c r="D173" s="80"/>
      <c r="E173" s="80"/>
      <c r="F173" s="80"/>
      <c r="G173" s="80"/>
      <c r="H173" s="80"/>
      <c r="I173" s="80"/>
      <c r="J173" s="97"/>
      <c r="K173" s="89"/>
    </row>
    <row r="174" spans="1:14" ht="15" customHeight="1" x14ac:dyDescent="0.25">
      <c r="A174" s="84"/>
      <c r="B174" s="82" t="s">
        <v>85</v>
      </c>
      <c r="C174" s="85">
        <v>1</v>
      </c>
      <c r="D174" s="80">
        <f>(2.75+2.6)/2</f>
        <v>2.6749999999999998</v>
      </c>
      <c r="E174" s="80">
        <v>6.2</v>
      </c>
      <c r="F174" s="80"/>
      <c r="G174" s="80">
        <f>PRODUCT(C174:F174)</f>
        <v>16.585000000000001</v>
      </c>
      <c r="H174" s="80"/>
      <c r="I174" s="80"/>
      <c r="J174" s="97"/>
      <c r="K174" s="89"/>
    </row>
    <row r="175" spans="1:14" ht="15" customHeight="1" x14ac:dyDescent="0.25">
      <c r="A175" s="84"/>
      <c r="B175" s="82" t="s">
        <v>86</v>
      </c>
      <c r="C175" s="85">
        <v>1</v>
      </c>
      <c r="D175" s="80">
        <v>2</v>
      </c>
      <c r="E175" s="80">
        <v>3</v>
      </c>
      <c r="F175" s="80"/>
      <c r="G175" s="80">
        <f>PRODUCT(C175:F175)</f>
        <v>6</v>
      </c>
      <c r="H175" s="80"/>
      <c r="I175" s="80"/>
      <c r="J175" s="97"/>
      <c r="K175" s="89"/>
    </row>
    <row r="176" spans="1:14" ht="15" customHeight="1" x14ac:dyDescent="0.25">
      <c r="A176" s="84"/>
      <c r="B176" s="82" t="s">
        <v>25</v>
      </c>
      <c r="C176" s="85"/>
      <c r="D176" s="80"/>
      <c r="E176" s="80"/>
      <c r="F176" s="80"/>
      <c r="G176" s="86">
        <f>SUM(G174:G175)</f>
        <v>22.585000000000001</v>
      </c>
      <c r="H176" s="86" t="s">
        <v>26</v>
      </c>
      <c r="I176" s="87">
        <f>50406.04/100</f>
        <v>504.06040000000002</v>
      </c>
      <c r="J176" s="88">
        <f>G176*I176</f>
        <v>11384.204134000001</v>
      </c>
      <c r="K176" s="89"/>
    </row>
    <row r="177" spans="1:14" ht="15" customHeight="1" x14ac:dyDescent="0.25">
      <c r="A177" s="12"/>
      <c r="B177" s="82" t="s">
        <v>49</v>
      </c>
      <c r="C177" s="14"/>
      <c r="D177" s="15"/>
      <c r="E177" s="16"/>
      <c r="F177" s="16"/>
      <c r="G177" s="19"/>
      <c r="H177" s="18"/>
      <c r="I177" s="19"/>
      <c r="J177" s="81">
        <f>G176*0.13*(20166.04/100)</f>
        <v>592.0850174200001</v>
      </c>
      <c r="K177" s="16"/>
      <c r="M177" s="21"/>
      <c r="N177" s="21"/>
    </row>
    <row r="178" spans="1:14" ht="15" customHeight="1" x14ac:dyDescent="0.25">
      <c r="A178" s="12"/>
      <c r="B178" s="82"/>
      <c r="C178" s="14"/>
      <c r="D178" s="15"/>
      <c r="E178" s="16"/>
      <c r="F178" s="16"/>
      <c r="G178" s="19"/>
      <c r="H178" s="18"/>
      <c r="I178" s="19"/>
      <c r="J178" s="81"/>
      <c r="K178" s="16"/>
      <c r="M178" s="21"/>
      <c r="N178" s="21"/>
    </row>
    <row r="179" spans="1:14" ht="45" hidden="1" x14ac:dyDescent="0.25">
      <c r="A179" s="84">
        <v>23</v>
      </c>
      <c r="B179" s="102" t="s">
        <v>87</v>
      </c>
      <c r="C179" s="85"/>
      <c r="D179" s="80"/>
      <c r="E179" s="80"/>
      <c r="F179" s="80"/>
      <c r="G179" s="80"/>
      <c r="H179" s="80"/>
      <c r="I179" s="80"/>
      <c r="J179" s="97"/>
      <c r="K179" s="89"/>
    </row>
    <row r="180" spans="1:14" ht="15" hidden="1" customHeight="1" x14ac:dyDescent="0.25">
      <c r="A180" s="84"/>
      <c r="B180" s="82" t="s">
        <v>88</v>
      </c>
      <c r="C180" s="85">
        <f>1*0</f>
        <v>0</v>
      </c>
      <c r="D180" s="80">
        <f>11/3.281</f>
        <v>3.3526363913441024</v>
      </c>
      <c r="E180" s="80">
        <f>5/12/3.281</f>
        <v>0.12699380270242813</v>
      </c>
      <c r="F180" s="80">
        <f>8/12/3.281</f>
        <v>0.20319008432388497</v>
      </c>
      <c r="G180" s="80">
        <f t="shared" ref="G180:G185" si="22">PRODUCT(C180:F180)</f>
        <v>0</v>
      </c>
      <c r="H180" s="80"/>
      <c r="I180" s="80"/>
      <c r="J180" s="97"/>
      <c r="K180" s="89"/>
    </row>
    <row r="181" spans="1:14" ht="15" hidden="1" customHeight="1" x14ac:dyDescent="0.25">
      <c r="A181" s="84"/>
      <c r="B181" s="89"/>
      <c r="C181" s="85">
        <f>(8*0)</f>
        <v>0</v>
      </c>
      <c r="D181" s="80">
        <f>12/3.281</f>
        <v>3.6574215178299299</v>
      </c>
      <c r="E181" s="80">
        <f>3/12/3.281</f>
        <v>7.6196281621456863E-2</v>
      </c>
      <c r="F181" s="80">
        <f>4/12/3.281</f>
        <v>0.10159504216194248</v>
      </c>
      <c r="G181" s="80">
        <f t="shared" si="22"/>
        <v>0</v>
      </c>
      <c r="H181" s="80"/>
      <c r="I181" s="80"/>
      <c r="J181" s="97"/>
      <c r="K181" s="89"/>
    </row>
    <row r="182" spans="1:14" ht="15" hidden="1" customHeight="1" x14ac:dyDescent="0.25">
      <c r="A182" s="84"/>
      <c r="B182" s="82"/>
      <c r="C182" s="85">
        <f>(3*0)</f>
        <v>0</v>
      </c>
      <c r="D182" s="80">
        <f>8/3.281</f>
        <v>2.4382810118866196</v>
      </c>
      <c r="E182" s="80">
        <f>7/12/3.281</f>
        <v>0.17779132378339937</v>
      </c>
      <c r="F182" s="80">
        <f>7/12/3.281</f>
        <v>0.17779132378339937</v>
      </c>
      <c r="G182" s="80">
        <f t="shared" si="22"/>
        <v>0</v>
      </c>
      <c r="H182" s="80"/>
      <c r="I182" s="80"/>
      <c r="J182" s="97"/>
      <c r="K182" s="89"/>
    </row>
    <row r="183" spans="1:14" ht="15" hidden="1" customHeight="1" x14ac:dyDescent="0.25">
      <c r="A183" s="84"/>
      <c r="B183" s="82"/>
      <c r="C183" s="85">
        <f>22*0</f>
        <v>0</v>
      </c>
      <c r="D183" s="80">
        <f>12/3.281</f>
        <v>3.6574215178299299</v>
      </c>
      <c r="E183" s="80">
        <f>3/12/3.281</f>
        <v>7.6196281621456863E-2</v>
      </c>
      <c r="F183" s="80">
        <f>4/12/3.281</f>
        <v>0.10159504216194248</v>
      </c>
      <c r="G183" s="80">
        <f t="shared" si="22"/>
        <v>0</v>
      </c>
      <c r="H183" s="80"/>
      <c r="I183" s="80"/>
      <c r="J183" s="97"/>
      <c r="K183" s="89"/>
    </row>
    <row r="184" spans="1:14" ht="15" hidden="1" customHeight="1" x14ac:dyDescent="0.25">
      <c r="A184" s="84"/>
      <c r="B184" s="82"/>
      <c r="C184" s="85">
        <f>(2*0)</f>
        <v>0</v>
      </c>
      <c r="D184" s="80">
        <f>12/3.281</f>
        <v>3.6574215178299299</v>
      </c>
      <c r="E184" s="80">
        <f>3/12/3.281</f>
        <v>7.6196281621456863E-2</v>
      </c>
      <c r="F184" s="80">
        <f>4/12/3.281</f>
        <v>0.10159504216194248</v>
      </c>
      <c r="G184" s="80">
        <f t="shared" si="22"/>
        <v>0</v>
      </c>
      <c r="H184" s="80"/>
      <c r="I184" s="80"/>
      <c r="J184" s="97"/>
      <c r="K184" s="89"/>
    </row>
    <row r="185" spans="1:14" ht="15" hidden="1" customHeight="1" x14ac:dyDescent="0.25">
      <c r="A185" s="84"/>
      <c r="B185" s="82"/>
      <c r="C185" s="85">
        <f>(1*0)</f>
        <v>0</v>
      </c>
      <c r="D185" s="80">
        <f>12/3.281</f>
        <v>3.6574215178299299</v>
      </c>
      <c r="E185" s="80">
        <f>6/12/3.281</f>
        <v>0.15239256324291373</v>
      </c>
      <c r="F185" s="80">
        <f>4/12/3.281</f>
        <v>0.10159504216194248</v>
      </c>
      <c r="G185" s="80">
        <f t="shared" si="22"/>
        <v>0</v>
      </c>
      <c r="H185" s="80"/>
      <c r="I185" s="80"/>
      <c r="J185" s="97"/>
      <c r="K185" s="89"/>
    </row>
    <row r="186" spans="1:14" ht="15" hidden="1" customHeight="1" x14ac:dyDescent="0.25">
      <c r="A186" s="84"/>
      <c r="B186" s="82" t="s">
        <v>25</v>
      </c>
      <c r="C186" s="85"/>
      <c r="D186" s="80"/>
      <c r="E186" s="80"/>
      <c r="F186" s="80"/>
      <c r="G186" s="86">
        <f>SUM(G180:G185)</f>
        <v>0</v>
      </c>
      <c r="H186" s="86" t="s">
        <v>26</v>
      </c>
      <c r="I186" s="87">
        <f>369833.1/1.15</f>
        <v>321594</v>
      </c>
      <c r="J186" s="88">
        <f>G186*I186</f>
        <v>0</v>
      </c>
      <c r="K186" s="89"/>
    </row>
    <row r="187" spans="1:14" ht="15" hidden="1" customHeight="1" x14ac:dyDescent="0.25">
      <c r="A187" s="84"/>
      <c r="B187" s="82" t="s">
        <v>89</v>
      </c>
      <c r="C187" s="85"/>
      <c r="D187" s="80"/>
      <c r="E187" s="80"/>
      <c r="F187" s="80"/>
      <c r="G187" s="80"/>
      <c r="H187" s="80"/>
      <c r="I187" s="80"/>
      <c r="J187" s="97">
        <f>0.13*G186*(296712)</f>
        <v>0</v>
      </c>
      <c r="K187" s="89"/>
      <c r="M187" s="58"/>
    </row>
    <row r="188" spans="1:14" ht="15" hidden="1" customHeight="1" x14ac:dyDescent="0.25">
      <c r="A188" s="84"/>
      <c r="B188" s="82"/>
      <c r="C188" s="85"/>
      <c r="D188" s="80"/>
      <c r="E188" s="80"/>
      <c r="F188" s="80"/>
      <c r="G188" s="80"/>
      <c r="H188" s="80"/>
      <c r="I188" s="80"/>
      <c r="J188" s="97"/>
      <c r="K188" s="89"/>
      <c r="M188" s="58"/>
    </row>
    <row r="189" spans="1:14" ht="30" hidden="1" x14ac:dyDescent="0.25">
      <c r="A189" s="84">
        <v>0</v>
      </c>
      <c r="B189" s="103" t="s">
        <v>124</v>
      </c>
      <c r="C189" s="89"/>
      <c r="D189" s="89"/>
      <c r="E189" s="89"/>
      <c r="F189" s="89"/>
      <c r="G189" s="101"/>
      <c r="H189" s="80"/>
      <c r="I189" s="80"/>
      <c r="J189" s="97"/>
      <c r="K189" s="89"/>
    </row>
    <row r="190" spans="1:14" hidden="1" x14ac:dyDescent="0.25">
      <c r="A190" s="84"/>
      <c r="B190" s="82" t="s">
        <v>125</v>
      </c>
      <c r="C190" s="85">
        <f>0*2</f>
        <v>0</v>
      </c>
      <c r="D190" s="80">
        <f>10.5/3.281</f>
        <v>3.2002438281011885</v>
      </c>
      <c r="E190" s="80">
        <f>14/3.281</f>
        <v>4.2669917708015843</v>
      </c>
      <c r="F190" s="80"/>
      <c r="G190" s="80">
        <f>PRODUCT(C190:F190)</f>
        <v>0</v>
      </c>
      <c r="H190" s="80"/>
      <c r="I190" s="80"/>
      <c r="J190" s="97"/>
      <c r="K190" s="89"/>
    </row>
    <row r="191" spans="1:14" ht="15" hidden="1" customHeight="1" x14ac:dyDescent="0.25">
      <c r="A191" s="84"/>
      <c r="B191" s="82" t="s">
        <v>25</v>
      </c>
      <c r="C191" s="85"/>
      <c r="D191" s="80"/>
      <c r="E191" s="80"/>
      <c r="F191" s="80"/>
      <c r="G191" s="86">
        <f>SUM(G190)</f>
        <v>0</v>
      </c>
      <c r="H191" s="86" t="s">
        <v>26</v>
      </c>
      <c r="I191" s="87">
        <f>6829.24/1.15</f>
        <v>5938.4695652173914</v>
      </c>
      <c r="J191" s="88">
        <f>G191*I191</f>
        <v>0</v>
      </c>
      <c r="K191" s="89"/>
    </row>
    <row r="192" spans="1:14" ht="15" hidden="1" customHeight="1" x14ac:dyDescent="0.25">
      <c r="A192" s="84"/>
      <c r="B192" s="82" t="s">
        <v>89</v>
      </c>
      <c r="C192" s="85"/>
      <c r="D192" s="80"/>
      <c r="E192" s="80"/>
      <c r="F192" s="80"/>
      <c r="G192" s="80"/>
      <c r="H192" s="80"/>
      <c r="I192" s="80"/>
      <c r="J192" s="97">
        <f>0.13*G191*(573683.55/100)</f>
        <v>0</v>
      </c>
      <c r="K192" s="89"/>
      <c r="M192" s="58"/>
    </row>
    <row r="193" spans="1:19" ht="15" hidden="1" customHeight="1" x14ac:dyDescent="0.25">
      <c r="A193" s="84"/>
      <c r="B193" s="82"/>
      <c r="C193" s="85"/>
      <c r="D193" s="80"/>
      <c r="E193" s="80"/>
      <c r="F193" s="80"/>
      <c r="G193" s="80"/>
      <c r="H193" s="80"/>
      <c r="I193" s="80"/>
      <c r="J193" s="97"/>
      <c r="K193" s="89"/>
      <c r="M193" s="58"/>
    </row>
    <row r="194" spans="1:19" ht="45" x14ac:dyDescent="0.25">
      <c r="A194" s="12">
        <v>21</v>
      </c>
      <c r="B194" s="102" t="s">
        <v>90</v>
      </c>
      <c r="C194" s="85"/>
      <c r="D194" s="80"/>
      <c r="E194" s="80"/>
      <c r="F194" s="80"/>
      <c r="G194" s="86"/>
      <c r="H194" s="86"/>
      <c r="I194" s="87"/>
      <c r="J194" s="88"/>
      <c r="K194" s="89"/>
    </row>
    <row r="195" spans="1:19" ht="15" hidden="1" customHeight="1" x14ac:dyDescent="0.25">
      <c r="A195" s="84"/>
      <c r="B195" s="82" t="s">
        <v>88</v>
      </c>
      <c r="C195" s="85">
        <f>(3*0)</f>
        <v>0</v>
      </c>
      <c r="D195" s="80">
        <f>3/3.281</f>
        <v>0.91435537945748246</v>
      </c>
      <c r="E195" s="80">
        <f>6/12/3.281</f>
        <v>0.15239256324291373</v>
      </c>
      <c r="F195" s="80">
        <f>6/12/3.281</f>
        <v>0.15239256324291373</v>
      </c>
      <c r="G195" s="80">
        <f>PRODUCT(C195:F195)</f>
        <v>0</v>
      </c>
      <c r="H195" s="80"/>
      <c r="I195" s="80"/>
      <c r="J195" s="97"/>
      <c r="K195" s="89"/>
    </row>
    <row r="196" spans="1:19" ht="15" hidden="1" customHeight="1" x14ac:dyDescent="0.25">
      <c r="A196" s="84"/>
      <c r="B196" s="82"/>
      <c r="C196" s="85">
        <f>(12*0)</f>
        <v>0</v>
      </c>
      <c r="D196" s="80">
        <f>5/3.281</f>
        <v>1.5239256324291375</v>
      </c>
      <c r="E196" s="80">
        <f>3/12/3.281</f>
        <v>7.6196281621456863E-2</v>
      </c>
      <c r="F196" s="80">
        <f>4/12/3.281</f>
        <v>0.10159504216194248</v>
      </c>
      <c r="G196" s="80">
        <f>PRODUCT(C196:F196)</f>
        <v>0</v>
      </c>
      <c r="H196" s="80"/>
      <c r="I196" s="80"/>
      <c r="J196" s="97"/>
      <c r="K196" s="89"/>
    </row>
    <row r="197" spans="1:19" ht="15" hidden="1" customHeight="1" x14ac:dyDescent="0.25">
      <c r="A197" s="84"/>
      <c r="B197" s="82"/>
      <c r="C197" s="85">
        <f>(10*0)</f>
        <v>0</v>
      </c>
      <c r="D197" s="80">
        <f>1/3.281</f>
        <v>0.30478512648582745</v>
      </c>
      <c r="E197" s="80">
        <f>3/12/3.281</f>
        <v>7.6196281621456863E-2</v>
      </c>
      <c r="F197" s="80">
        <f>4/12/3.281</f>
        <v>0.10159504216194248</v>
      </c>
      <c r="G197" s="80">
        <f>PRODUCT(C197:F197)</f>
        <v>0</v>
      </c>
      <c r="H197" s="80"/>
      <c r="I197" s="80"/>
      <c r="J197" s="97"/>
      <c r="K197" s="89"/>
    </row>
    <row r="198" spans="1:19" ht="15" customHeight="1" x14ac:dyDescent="0.25">
      <c r="A198" s="84"/>
      <c r="B198" s="82" t="s">
        <v>126</v>
      </c>
      <c r="C198" s="85">
        <v>2</v>
      </c>
      <c r="D198" s="80">
        <f>7/3.281</f>
        <v>2.1334958854007922</v>
      </c>
      <c r="E198" s="80">
        <f>0.15</f>
        <v>0.15</v>
      </c>
      <c r="F198" s="80">
        <v>0.15</v>
      </c>
      <c r="G198" s="80">
        <f>PRODUCT(C198:F198)</f>
        <v>9.6007314843035638E-2</v>
      </c>
      <c r="H198" s="80"/>
      <c r="I198" s="80"/>
      <c r="J198" s="97"/>
      <c r="K198" s="89"/>
    </row>
    <row r="199" spans="1:19" ht="15" customHeight="1" x14ac:dyDescent="0.25">
      <c r="A199" s="84"/>
      <c r="B199" s="82" t="s">
        <v>25</v>
      </c>
      <c r="C199" s="85"/>
      <c r="D199" s="80"/>
      <c r="E199" s="80"/>
      <c r="F199" s="80"/>
      <c r="G199" s="86">
        <f>SUM(G195:G198)</f>
        <v>9.6007314843035638E-2</v>
      </c>
      <c r="H199" s="86" t="s">
        <v>26</v>
      </c>
      <c r="I199" s="87">
        <f>348511.67/1.15</f>
        <v>303053.62608695653</v>
      </c>
      <c r="J199" s="88">
        <f>G199*I199</f>
        <v>29095.364894054033</v>
      </c>
      <c r="K199" s="89"/>
    </row>
    <row r="200" spans="1:19" ht="15" customHeight="1" x14ac:dyDescent="0.25">
      <c r="A200" s="84"/>
      <c r="B200" s="82" t="s">
        <v>89</v>
      </c>
      <c r="C200" s="85"/>
      <c r="D200" s="80"/>
      <c r="E200" s="80"/>
      <c r="F200" s="80"/>
      <c r="G200" s="80"/>
      <c r="H200" s="80"/>
      <c r="I200" s="80"/>
      <c r="J200" s="97">
        <f>0.13*G199*(296712)</f>
        <v>3703.2479122218829</v>
      </c>
      <c r="K200" s="89"/>
      <c r="M200" s="58"/>
    </row>
    <row r="201" spans="1:19" ht="15" customHeight="1" x14ac:dyDescent="0.25">
      <c r="A201" s="84"/>
      <c r="B201" s="82"/>
      <c r="C201" s="85"/>
      <c r="D201" s="80"/>
      <c r="E201" s="80"/>
      <c r="F201" s="80"/>
      <c r="G201" s="80"/>
      <c r="H201" s="80"/>
      <c r="I201" s="80"/>
      <c r="J201" s="97"/>
      <c r="K201" s="89"/>
      <c r="M201" s="58"/>
    </row>
    <row r="202" spans="1:19" ht="30" hidden="1" x14ac:dyDescent="0.25">
      <c r="A202" s="12">
        <v>25</v>
      </c>
      <c r="B202" s="103" t="s">
        <v>91</v>
      </c>
      <c r="C202" s="14"/>
      <c r="D202" s="15"/>
      <c r="E202" s="16"/>
      <c r="F202" s="16"/>
      <c r="G202" s="19"/>
      <c r="H202" s="18"/>
      <c r="I202" s="19"/>
      <c r="J202" s="81"/>
      <c r="K202" s="16"/>
      <c r="M202" s="21"/>
      <c r="N202" s="1"/>
      <c r="O202" s="1"/>
      <c r="P202" s="1"/>
      <c r="Q202" s="1"/>
      <c r="R202" s="21"/>
      <c r="S202" s="21"/>
    </row>
    <row r="203" spans="1:19" ht="15" hidden="1" customHeight="1" x14ac:dyDescent="0.25">
      <c r="A203" s="12"/>
      <c r="B203" s="13" t="str">
        <f>B52</f>
        <v>-at new roof</v>
      </c>
      <c r="C203" s="85">
        <f>C52</f>
        <v>0</v>
      </c>
      <c r="D203" s="80">
        <f>D52</f>
        <v>4.5717768972874122</v>
      </c>
      <c r="E203" s="80">
        <f>E52</f>
        <v>3.2764401097226452</v>
      </c>
      <c r="F203" s="80"/>
      <c r="G203" s="80">
        <f t="shared" ref="G203" si="23">PRODUCT(C203:F203)</f>
        <v>0</v>
      </c>
      <c r="H203" s="18"/>
      <c r="I203" s="19"/>
      <c r="J203" s="81"/>
      <c r="K203" s="16"/>
      <c r="M203" s="21"/>
      <c r="N203" s="1"/>
      <c r="O203" s="1"/>
      <c r="P203" s="1"/>
      <c r="Q203" s="1"/>
      <c r="R203" s="21"/>
      <c r="S203" s="21"/>
    </row>
    <row r="204" spans="1:19" ht="15" hidden="1" customHeight="1" x14ac:dyDescent="0.25">
      <c r="A204" s="84"/>
      <c r="B204" s="82" t="s">
        <v>25</v>
      </c>
      <c r="C204" s="85"/>
      <c r="D204" s="80"/>
      <c r="E204" s="80"/>
      <c r="F204" s="80"/>
      <c r="G204" s="86">
        <f>SUM(G203:G203)</f>
        <v>0</v>
      </c>
      <c r="H204" s="86" t="s">
        <v>26</v>
      </c>
      <c r="I204" s="87">
        <f>5999.55/10</f>
        <v>599.95500000000004</v>
      </c>
      <c r="J204" s="88">
        <f>G204*I204</f>
        <v>0</v>
      </c>
      <c r="K204" s="89"/>
    </row>
    <row r="205" spans="1:19" ht="15" hidden="1" customHeight="1" x14ac:dyDescent="0.25">
      <c r="A205" s="84"/>
      <c r="B205" s="82" t="s">
        <v>89</v>
      </c>
      <c r="C205" s="85"/>
      <c r="D205" s="80"/>
      <c r="E205" s="80"/>
      <c r="F205" s="80"/>
      <c r="G205" s="80"/>
      <c r="H205" s="80"/>
      <c r="I205" s="80"/>
      <c r="J205" s="97">
        <f>0.13*G204*((1397.55)/10)</f>
        <v>0</v>
      </c>
      <c r="K205" s="89"/>
    </row>
    <row r="206" spans="1:19" ht="15" hidden="1" customHeight="1" x14ac:dyDescent="0.25">
      <c r="A206" s="12"/>
      <c r="B206" s="60"/>
      <c r="C206" s="14"/>
      <c r="D206" s="15"/>
      <c r="E206" s="16"/>
      <c r="F206" s="16"/>
      <c r="G206" s="19"/>
      <c r="H206" s="18"/>
      <c r="I206" s="19"/>
      <c r="J206" s="81"/>
      <c r="K206" s="16"/>
      <c r="M206" s="21"/>
      <c r="N206" s="1"/>
      <c r="O206" s="1"/>
      <c r="P206" s="1"/>
      <c r="Q206" s="1"/>
      <c r="R206" s="21"/>
      <c r="S206" s="21"/>
    </row>
    <row r="207" spans="1:19" x14ac:dyDescent="0.25">
      <c r="A207" s="12">
        <v>22</v>
      </c>
      <c r="B207" s="83" t="s">
        <v>92</v>
      </c>
      <c r="C207" s="85"/>
      <c r="D207" s="80"/>
      <c r="E207" s="80"/>
      <c r="F207" s="80"/>
      <c r="G207" s="80"/>
      <c r="H207" s="80"/>
      <c r="I207" s="80"/>
      <c r="J207" s="97"/>
      <c r="K207" s="89"/>
    </row>
    <row r="208" spans="1:19" ht="15" customHeight="1" x14ac:dyDescent="0.25">
      <c r="A208" s="84"/>
      <c r="B208" s="82" t="s">
        <v>93</v>
      </c>
      <c r="C208" s="85">
        <v>2</v>
      </c>
      <c r="D208" s="80"/>
      <c r="E208" s="80"/>
      <c r="F208" s="80"/>
      <c r="G208" s="80">
        <f>PRODUCT(C208:F208)</f>
        <v>2</v>
      </c>
      <c r="H208" s="80"/>
      <c r="I208" s="80"/>
      <c r="J208" s="97"/>
      <c r="K208" s="89"/>
    </row>
    <row r="209" spans="1:14" ht="15" customHeight="1" x14ac:dyDescent="0.25">
      <c r="A209" s="84"/>
      <c r="B209" s="82" t="s">
        <v>25</v>
      </c>
      <c r="C209" s="85"/>
      <c r="D209" s="80"/>
      <c r="E209" s="80"/>
      <c r="F209" s="80"/>
      <c r="G209" s="86">
        <f>SUM(G208:G208)</f>
        <v>2</v>
      </c>
      <c r="H209" s="86" t="s">
        <v>94</v>
      </c>
      <c r="I209" s="87">
        <f>2365*1.15</f>
        <v>2719.75</v>
      </c>
      <c r="J209" s="88">
        <f>G209*I209</f>
        <v>5439.5</v>
      </c>
      <c r="K209" s="89"/>
    </row>
    <row r="210" spans="1:14" ht="15" customHeight="1" x14ac:dyDescent="0.25">
      <c r="A210" s="12"/>
      <c r="B210" s="82" t="s">
        <v>49</v>
      </c>
      <c r="C210" s="14"/>
      <c r="D210" s="15"/>
      <c r="E210" s="16"/>
      <c r="F210" s="16"/>
      <c r="G210" s="19"/>
      <c r="H210" s="18"/>
      <c r="I210" s="19"/>
      <c r="J210" s="81">
        <f>J209*0.13</f>
        <v>707.13499999999999</v>
      </c>
      <c r="K210" s="16"/>
      <c r="M210" s="21"/>
      <c r="N210" s="21"/>
    </row>
    <row r="211" spans="1:14" ht="15" customHeight="1" x14ac:dyDescent="0.25">
      <c r="A211" s="84"/>
      <c r="B211" s="82"/>
      <c r="C211" s="85"/>
      <c r="D211" s="80"/>
      <c r="E211" s="80"/>
      <c r="F211" s="80"/>
      <c r="G211" s="86"/>
      <c r="H211" s="86"/>
      <c r="I211" s="87"/>
      <c r="J211" s="88"/>
      <c r="K211" s="89"/>
    </row>
    <row r="212" spans="1:14" ht="30.75" x14ac:dyDescent="0.25">
      <c r="A212" s="84">
        <v>23</v>
      </c>
      <c r="B212" s="11" t="s">
        <v>95</v>
      </c>
      <c r="C212" s="85"/>
      <c r="D212" s="80"/>
      <c r="E212" s="80"/>
      <c r="F212" s="80"/>
      <c r="G212" s="80"/>
      <c r="H212" s="80"/>
      <c r="I212" s="80"/>
      <c r="J212" s="97"/>
      <c r="K212" s="89"/>
    </row>
    <row r="213" spans="1:14" x14ac:dyDescent="0.25">
      <c r="A213" s="84"/>
      <c r="B213" s="82" t="s">
        <v>96</v>
      </c>
      <c r="C213" s="85">
        <v>2</v>
      </c>
      <c r="D213" s="80">
        <f>3.833/3.281</f>
        <v>1.1682413898201769</v>
      </c>
      <c r="E213" s="80">
        <v>7.4999999999999997E-2</v>
      </c>
      <c r="F213" s="80">
        <v>0.125</v>
      </c>
      <c r="G213" s="80">
        <f t="shared" ref="G213:G218" si="24">PRODUCT(C213:F213)</f>
        <v>2.1904526059128317E-2</v>
      </c>
      <c r="H213" s="80"/>
      <c r="I213" s="80"/>
      <c r="J213" s="97"/>
      <c r="K213" s="89"/>
    </row>
    <row r="214" spans="1:14" x14ac:dyDescent="0.25">
      <c r="A214" s="84"/>
      <c r="B214" s="82"/>
      <c r="C214" s="85">
        <v>2</v>
      </c>
      <c r="D214" s="80">
        <f>6/3.281</f>
        <v>1.8287107589149649</v>
      </c>
      <c r="E214" s="80">
        <v>7.4999999999999997E-2</v>
      </c>
      <c r="F214" s="80">
        <v>0.125</v>
      </c>
      <c r="G214" s="80">
        <f t="shared" si="24"/>
        <v>3.4288326729655594E-2</v>
      </c>
      <c r="H214" s="80"/>
      <c r="I214" s="80"/>
      <c r="J214" s="97"/>
      <c r="K214" s="89"/>
    </row>
    <row r="215" spans="1:14" x14ac:dyDescent="0.25">
      <c r="A215" s="84"/>
      <c r="B215" s="82"/>
      <c r="C215" s="85">
        <v>2</v>
      </c>
      <c r="D215" s="80">
        <f>6/3.281</f>
        <v>1.8287107589149649</v>
      </c>
      <c r="E215" s="80">
        <v>7.4999999999999997E-2</v>
      </c>
      <c r="F215" s="80">
        <v>7.4999999999999997E-2</v>
      </c>
      <c r="G215" s="80">
        <f t="shared" si="24"/>
        <v>2.0572996037793355E-2</v>
      </c>
      <c r="H215" s="80"/>
      <c r="I215" s="80"/>
      <c r="J215" s="97"/>
      <c r="K215" s="89"/>
    </row>
    <row r="216" spans="1:14" x14ac:dyDescent="0.25">
      <c r="A216" s="84"/>
      <c r="B216" s="82" t="s">
        <v>97</v>
      </c>
      <c r="C216" s="85">
        <v>2</v>
      </c>
      <c r="D216" s="80">
        <f>3.5/3.281</f>
        <v>1.0667479427003961</v>
      </c>
      <c r="E216" s="80">
        <v>7.4999999999999997E-2</v>
      </c>
      <c r="F216" s="80">
        <v>0.125</v>
      </c>
      <c r="G216" s="80">
        <f t="shared" si="24"/>
        <v>2.0001523925632425E-2</v>
      </c>
      <c r="H216" s="80"/>
      <c r="I216" s="80"/>
      <c r="J216" s="97"/>
      <c r="K216" s="89"/>
    </row>
    <row r="217" spans="1:14" x14ac:dyDescent="0.25">
      <c r="A217" s="84"/>
      <c r="B217" s="82"/>
      <c r="C217" s="85">
        <v>2</v>
      </c>
      <c r="D217" s="80">
        <f>4.5/3.281</f>
        <v>1.3715330691862238</v>
      </c>
      <c r="E217" s="80">
        <v>7.4999999999999997E-2</v>
      </c>
      <c r="F217" s="80">
        <v>0.125</v>
      </c>
      <c r="G217" s="80">
        <f t="shared" si="24"/>
        <v>2.5716245047241695E-2</v>
      </c>
      <c r="H217" s="80"/>
      <c r="I217" s="80"/>
      <c r="J217" s="97"/>
      <c r="K217" s="89"/>
    </row>
    <row r="218" spans="1:14" hidden="1" x14ac:dyDescent="0.25">
      <c r="A218" s="84"/>
      <c r="B218" s="82" t="s">
        <v>98</v>
      </c>
      <c r="C218" s="85">
        <f>0*2</f>
        <v>0</v>
      </c>
      <c r="D218" s="80">
        <f>(2*2+2.5*2)/3.281</f>
        <v>2.7430661383724475</v>
      </c>
      <c r="E218" s="80">
        <v>7.4999999999999997E-2</v>
      </c>
      <c r="F218" s="80">
        <v>0.125</v>
      </c>
      <c r="G218" s="80">
        <f t="shared" si="24"/>
        <v>0</v>
      </c>
      <c r="H218" s="80"/>
      <c r="I218" s="80"/>
      <c r="J218" s="97"/>
      <c r="K218" s="89"/>
    </row>
    <row r="219" spans="1:14" ht="15" customHeight="1" x14ac:dyDescent="0.25">
      <c r="A219" s="84"/>
      <c r="B219" s="82" t="s">
        <v>25</v>
      </c>
      <c r="C219" s="85"/>
      <c r="D219" s="80"/>
      <c r="E219" s="80"/>
      <c r="F219" s="80"/>
      <c r="G219" s="86">
        <f>SUM(G213:G218)</f>
        <v>0.1224836177994514</v>
      </c>
      <c r="H219" s="86" t="s">
        <v>94</v>
      </c>
      <c r="I219" s="87">
        <f>283082.83</f>
        <v>283082.83</v>
      </c>
      <c r="J219" s="88">
        <f>G219*I219</f>
        <v>34673.009155307074</v>
      </c>
      <c r="K219" s="89"/>
    </row>
    <row r="220" spans="1:14" ht="15" customHeight="1" x14ac:dyDescent="0.25">
      <c r="A220" s="12"/>
      <c r="B220" s="82" t="s">
        <v>49</v>
      </c>
      <c r="C220" s="14"/>
      <c r="D220" s="15"/>
      <c r="E220" s="16"/>
      <c r="F220" s="16"/>
      <c r="G220" s="19"/>
      <c r="H220" s="18"/>
      <c r="I220" s="19"/>
      <c r="J220" s="81">
        <f>0.13*G219*239222.83</f>
        <v>3809.1140982210081</v>
      </c>
      <c r="K220" s="16"/>
      <c r="M220" s="21"/>
      <c r="N220" s="21"/>
    </row>
    <row r="221" spans="1:14" ht="15" customHeight="1" x14ac:dyDescent="0.25">
      <c r="A221" s="84"/>
      <c r="B221" s="82"/>
      <c r="C221" s="85"/>
      <c r="D221" s="80"/>
      <c r="E221" s="80"/>
      <c r="F221" s="80"/>
      <c r="G221" s="80"/>
      <c r="H221" s="80"/>
      <c r="I221" s="80"/>
      <c r="J221" s="97"/>
      <c r="K221" s="89"/>
    </row>
    <row r="222" spans="1:14" ht="30" x14ac:dyDescent="0.25">
      <c r="A222" s="12">
        <v>24</v>
      </c>
      <c r="B222" s="102" t="s">
        <v>99</v>
      </c>
      <c r="C222" s="14"/>
      <c r="D222" s="15"/>
      <c r="E222" s="16"/>
      <c r="F222" s="16"/>
      <c r="G222" s="19"/>
      <c r="H222" s="18"/>
      <c r="I222" s="19"/>
      <c r="J222" s="95"/>
      <c r="K222" s="16"/>
    </row>
    <row r="223" spans="1:14" x14ac:dyDescent="0.25">
      <c r="A223" s="12"/>
      <c r="B223" s="99" t="s">
        <v>100</v>
      </c>
      <c r="C223" s="14">
        <v>1</v>
      </c>
      <c r="D223" s="15">
        <f>15/3.281</f>
        <v>4.5717768972874122</v>
      </c>
      <c r="E223" s="16">
        <v>7.4999999999999997E-2</v>
      </c>
      <c r="F223" s="89"/>
      <c r="G223" s="91">
        <f>PRODUCT(C223:E223)</f>
        <v>0.34288326729655588</v>
      </c>
      <c r="H223" s="18"/>
      <c r="I223" s="19"/>
      <c r="J223" s="95"/>
      <c r="K223" s="16"/>
    </row>
    <row r="224" spans="1:14" x14ac:dyDescent="0.25">
      <c r="A224" s="12"/>
      <c r="B224" s="99" t="str">
        <f>B213</f>
        <v>-For Door</v>
      </c>
      <c r="C224" s="14">
        <v>2</v>
      </c>
      <c r="D224" s="15">
        <f>0.3</f>
        <v>0.3</v>
      </c>
      <c r="E224" s="16"/>
      <c r="F224" s="16">
        <f>D214</f>
        <v>1.8287107589149649</v>
      </c>
      <c r="G224" s="91">
        <f>PRODUCT(C224:F224)</f>
        <v>1.097226455348979</v>
      </c>
      <c r="H224" s="18"/>
      <c r="I224" s="19"/>
      <c r="J224" s="95"/>
      <c r="K224" s="16"/>
    </row>
    <row r="225" spans="1:13" x14ac:dyDescent="0.25">
      <c r="A225" s="12"/>
      <c r="B225" s="99"/>
      <c r="C225" s="14">
        <v>1</v>
      </c>
      <c r="D225" s="15">
        <f>(6*2+4*2)/3.281</f>
        <v>6.0957025297165499</v>
      </c>
      <c r="E225" s="16">
        <v>7.4999999999999997E-2</v>
      </c>
      <c r="F225" s="16"/>
      <c r="G225" s="91">
        <f>PRODUCT(C225:F225)</f>
        <v>0.45717768972874123</v>
      </c>
      <c r="H225" s="18"/>
      <c r="I225" s="19"/>
      <c r="J225" s="95"/>
      <c r="K225" s="16"/>
    </row>
    <row r="226" spans="1:13" hidden="1" x14ac:dyDescent="0.25">
      <c r="A226" s="12"/>
      <c r="B226" s="99" t="s">
        <v>98</v>
      </c>
      <c r="C226" s="14">
        <f>0*2</f>
        <v>0</v>
      </c>
      <c r="D226" s="15">
        <f>D218</f>
        <v>2.7430661383724475</v>
      </c>
      <c r="E226" s="16">
        <f>E218</f>
        <v>7.4999999999999997E-2</v>
      </c>
      <c r="F226" s="16"/>
      <c r="G226" s="91">
        <f>PRODUCT(C226:F226)</f>
        <v>0</v>
      </c>
      <c r="H226" s="18"/>
      <c r="I226" s="19"/>
      <c r="J226" s="95"/>
      <c r="K226" s="16"/>
    </row>
    <row r="227" spans="1:13" ht="15" customHeight="1" x14ac:dyDescent="0.25">
      <c r="A227" s="84"/>
      <c r="B227" s="99" t="s">
        <v>25</v>
      </c>
      <c r="C227" s="90"/>
      <c r="D227" s="91"/>
      <c r="E227" s="91"/>
      <c r="F227" s="91"/>
      <c r="G227" s="95">
        <f>SUM(G223:G226)</f>
        <v>1.897287412374276</v>
      </c>
      <c r="H227" s="95" t="s">
        <v>26</v>
      </c>
      <c r="I227" s="96">
        <f>39251.14/1.15</f>
        <v>34131.426086956526</v>
      </c>
      <c r="J227" s="97">
        <f>G227*I227</f>
        <v>64757.125081165606</v>
      </c>
      <c r="K227" s="92"/>
    </row>
    <row r="228" spans="1:13" x14ac:dyDescent="0.25">
      <c r="A228" s="12"/>
      <c r="B228" s="102"/>
      <c r="C228" s="14"/>
      <c r="D228" s="15"/>
      <c r="E228" s="16"/>
      <c r="F228" s="16"/>
      <c r="G228" s="19"/>
      <c r="H228" s="18"/>
      <c r="I228" s="19"/>
      <c r="J228" s="95"/>
      <c r="K228" s="16"/>
    </row>
    <row r="229" spans="1:13" ht="45" x14ac:dyDescent="0.25">
      <c r="A229" s="84">
        <v>25</v>
      </c>
      <c r="B229" s="83" t="s">
        <v>101</v>
      </c>
      <c r="C229" s="85"/>
      <c r="D229" s="80"/>
      <c r="E229" s="80"/>
      <c r="F229" s="80"/>
      <c r="G229" s="80"/>
      <c r="H229" s="80"/>
      <c r="I229" s="80"/>
      <c r="J229" s="97"/>
      <c r="K229" s="89"/>
    </row>
    <row r="230" spans="1:13" ht="15" customHeight="1" x14ac:dyDescent="0.25">
      <c r="A230" s="84"/>
      <c r="B230" s="82" t="s">
        <v>102</v>
      </c>
      <c r="C230" s="85">
        <v>1</v>
      </c>
      <c r="D230" s="80">
        <f>3/3.281</f>
        <v>0.91435537945748246</v>
      </c>
      <c r="E230" s="80">
        <f>4/3.281</f>
        <v>1.2191405059433098</v>
      </c>
      <c r="F230" s="80"/>
      <c r="G230" s="80">
        <f>PRODUCT(C230:F230)</f>
        <v>1.1147276799237822</v>
      </c>
      <c r="H230" s="80"/>
      <c r="I230" s="80"/>
      <c r="J230" s="97"/>
      <c r="K230" s="89"/>
    </row>
    <row r="231" spans="1:13" ht="15" hidden="1" customHeight="1" x14ac:dyDescent="0.25">
      <c r="A231" s="84"/>
      <c r="B231" s="82" t="s">
        <v>98</v>
      </c>
      <c r="C231" s="85">
        <f>0*2</f>
        <v>0</v>
      </c>
      <c r="D231" s="80"/>
      <c r="E231" s="80">
        <f>2.5/3.281</f>
        <v>0.76196281621456874</v>
      </c>
      <c r="F231" s="80">
        <f>1.5/3.281</f>
        <v>0.45717768972874123</v>
      </c>
      <c r="G231" s="80">
        <f>PRODUCT(C231:F231)</f>
        <v>0</v>
      </c>
      <c r="H231" s="80"/>
      <c r="I231" s="80"/>
      <c r="J231" s="97"/>
      <c r="K231" s="89"/>
    </row>
    <row r="232" spans="1:13" ht="15" customHeight="1" x14ac:dyDescent="0.25">
      <c r="A232" s="84"/>
      <c r="B232" s="82" t="s">
        <v>25</v>
      </c>
      <c r="C232" s="85"/>
      <c r="D232" s="80"/>
      <c r="E232" s="80"/>
      <c r="F232" s="80"/>
      <c r="G232" s="86">
        <f>SUM(G230:G231)</f>
        <v>1.1147276799237822</v>
      </c>
      <c r="H232" s="86" t="s">
        <v>26</v>
      </c>
      <c r="I232" s="87">
        <f>31552.5/0.92</f>
        <v>34296.195652173912</v>
      </c>
      <c r="J232" s="88">
        <f>G232*I232</f>
        <v>38230.918609559929</v>
      </c>
      <c r="K232" s="89"/>
    </row>
    <row r="233" spans="1:13" ht="15" customHeight="1" x14ac:dyDescent="0.25">
      <c r="A233" s="84"/>
      <c r="B233" s="82" t="s">
        <v>89</v>
      </c>
      <c r="C233" s="85"/>
      <c r="D233" s="80"/>
      <c r="E233" s="80"/>
      <c r="F233" s="80"/>
      <c r="G233" s="80"/>
      <c r="H233" s="80"/>
      <c r="I233" s="80"/>
      <c r="J233" s="97">
        <f>0.13*G232*((9742.5)/0.92)</f>
        <v>1534.5983421907263</v>
      </c>
      <c r="K233" s="89"/>
      <c r="M233" s="58"/>
    </row>
    <row r="234" spans="1:13" ht="15" customHeight="1" x14ac:dyDescent="0.25">
      <c r="A234" s="84"/>
      <c r="B234" s="82"/>
      <c r="C234" s="85"/>
      <c r="D234" s="80"/>
      <c r="E234" s="80"/>
      <c r="F234" s="80"/>
      <c r="G234" s="80"/>
      <c r="H234" s="80"/>
      <c r="I234" s="80"/>
      <c r="J234" s="97"/>
      <c r="K234" s="89"/>
      <c r="M234" s="58"/>
    </row>
    <row r="235" spans="1:13" ht="30.75" x14ac:dyDescent="0.25">
      <c r="A235" s="84">
        <v>26</v>
      </c>
      <c r="B235" s="11" t="s">
        <v>103</v>
      </c>
      <c r="C235" s="85"/>
      <c r="D235" s="80"/>
      <c r="E235" s="80"/>
      <c r="F235" s="80"/>
      <c r="G235" s="80"/>
      <c r="H235" s="80"/>
      <c r="I235" s="80"/>
      <c r="J235" s="97"/>
      <c r="K235" s="89"/>
      <c r="M235" s="58"/>
    </row>
    <row r="236" spans="1:13" ht="15" customHeight="1" x14ac:dyDescent="0.25">
      <c r="A236" s="84"/>
      <c r="B236" s="82" t="s">
        <v>104</v>
      </c>
      <c r="C236" s="85">
        <v>1</v>
      </c>
      <c r="D236" s="80"/>
      <c r="E236" s="80">
        <f>3.5/3.281</f>
        <v>1.0667479427003961</v>
      </c>
      <c r="F236" s="80">
        <f>6/3.281</f>
        <v>1.8287107589149649</v>
      </c>
      <c r="G236" s="80">
        <f>PRODUCT(C236:F236)</f>
        <v>1.9507734398666188</v>
      </c>
      <c r="H236" s="80"/>
      <c r="I236" s="80"/>
      <c r="J236" s="97"/>
      <c r="K236" s="89"/>
    </row>
    <row r="237" spans="1:13" ht="15" customHeight="1" x14ac:dyDescent="0.25">
      <c r="A237" s="84"/>
      <c r="B237" s="82" t="s">
        <v>25</v>
      </c>
      <c r="C237" s="85"/>
      <c r="D237" s="80"/>
      <c r="E237" s="80"/>
      <c r="F237" s="80"/>
      <c r="G237" s="86">
        <f>SUM(G236:G236)</f>
        <v>1.9507734398666188</v>
      </c>
      <c r="H237" s="86" t="s">
        <v>26</v>
      </c>
      <c r="I237" s="87">
        <v>15731.39</v>
      </c>
      <c r="J237" s="88">
        <f>G237*I237</f>
        <v>30688.377784183325</v>
      </c>
      <c r="K237" s="89"/>
    </row>
    <row r="238" spans="1:13" ht="15" customHeight="1" x14ac:dyDescent="0.25">
      <c r="A238" s="84"/>
      <c r="B238" s="82" t="s">
        <v>89</v>
      </c>
      <c r="C238" s="85"/>
      <c r="D238" s="80"/>
      <c r="E238" s="80"/>
      <c r="F238" s="80"/>
      <c r="G238" s="80"/>
      <c r="H238" s="80"/>
      <c r="I238" s="80"/>
      <c r="J238" s="97">
        <f>0.13*G237*((20356.18)/2.114)</f>
        <v>2441.9765310069674</v>
      </c>
      <c r="K238" s="89"/>
      <c r="M238" s="58"/>
    </row>
    <row r="239" spans="1:13" ht="15.75" x14ac:dyDescent="0.25">
      <c r="A239" s="84"/>
      <c r="B239" s="11"/>
      <c r="C239" s="85"/>
      <c r="D239" s="80"/>
      <c r="E239" s="80"/>
      <c r="F239" s="80"/>
      <c r="G239" s="80"/>
      <c r="H239" s="80"/>
      <c r="I239" s="80"/>
      <c r="J239" s="97"/>
      <c r="K239" s="89"/>
      <c r="M239" s="58"/>
    </row>
    <row r="240" spans="1:13" ht="30" x14ac:dyDescent="0.25">
      <c r="A240" s="84">
        <v>27</v>
      </c>
      <c r="B240" s="83" t="s">
        <v>105</v>
      </c>
      <c r="C240" s="85"/>
      <c r="D240" s="80"/>
      <c r="E240" s="80"/>
      <c r="F240" s="80"/>
      <c r="G240" s="80"/>
      <c r="H240" s="80"/>
      <c r="I240" s="80"/>
      <c r="J240" s="97"/>
      <c r="K240" s="89"/>
    </row>
    <row r="241" spans="1:19" ht="15" customHeight="1" x14ac:dyDescent="0.25">
      <c r="A241" s="84"/>
      <c r="B241" s="82" t="s">
        <v>104</v>
      </c>
      <c r="C241" s="85">
        <v>1</v>
      </c>
      <c r="D241" s="80"/>
      <c r="E241" s="80">
        <f>3.5/3.281</f>
        <v>1.0667479427003961</v>
      </c>
      <c r="F241" s="80">
        <f>6/3.281</f>
        <v>1.8287107589149649</v>
      </c>
      <c r="G241" s="80">
        <f>PRODUCT(C241:F241)</f>
        <v>1.9507734398666188</v>
      </c>
      <c r="H241" s="80"/>
      <c r="I241" s="80"/>
      <c r="J241" s="97"/>
      <c r="K241" s="89"/>
    </row>
    <row r="242" spans="1:19" ht="15" customHeight="1" x14ac:dyDescent="0.25">
      <c r="A242" s="84"/>
      <c r="B242" s="82" t="s">
        <v>25</v>
      </c>
      <c r="C242" s="85"/>
      <c r="D242" s="80"/>
      <c r="E242" s="80"/>
      <c r="F242" s="80"/>
      <c r="G242" s="86">
        <f>SUM(G241:G241)</f>
        <v>1.9507734398666188</v>
      </c>
      <c r="H242" s="86" t="s">
        <v>26</v>
      </c>
      <c r="I242" s="87">
        <f>45908.09/1.15</f>
        <v>39920.078260869566</v>
      </c>
      <c r="J242" s="88">
        <f>G242*I242</f>
        <v>77875.028388701146</v>
      </c>
      <c r="K242" s="89"/>
    </row>
    <row r="243" spans="1:19" x14ac:dyDescent="0.25">
      <c r="A243" s="84"/>
      <c r="B243" s="83"/>
      <c r="C243" s="85"/>
      <c r="D243" s="80"/>
      <c r="E243" s="80"/>
      <c r="F243" s="80"/>
      <c r="G243" s="80"/>
      <c r="H243" s="80"/>
      <c r="I243" s="80"/>
      <c r="J243" s="97"/>
      <c r="K243" s="89"/>
    </row>
    <row r="244" spans="1:19" ht="30" hidden="1" x14ac:dyDescent="0.25">
      <c r="A244" s="12">
        <v>32</v>
      </c>
      <c r="B244" s="103" t="s">
        <v>106</v>
      </c>
      <c r="C244" s="14"/>
      <c r="D244" s="15"/>
      <c r="E244" s="16"/>
      <c r="F244" s="16"/>
      <c r="G244" s="19"/>
      <c r="H244" s="18"/>
      <c r="I244" s="19"/>
      <c r="J244" s="81"/>
      <c r="K244" s="16"/>
      <c r="M244" s="21"/>
      <c r="N244" s="1"/>
      <c r="O244" s="1"/>
      <c r="P244" s="1"/>
      <c r="Q244" s="1"/>
      <c r="R244" s="21"/>
      <c r="S244" s="21"/>
    </row>
    <row r="245" spans="1:19" ht="15" hidden="1" customHeight="1" x14ac:dyDescent="0.25">
      <c r="A245" s="12"/>
      <c r="B245" s="13" t="s">
        <v>107</v>
      </c>
      <c r="C245" s="14">
        <f>0*2</f>
        <v>0</v>
      </c>
      <c r="D245" s="15">
        <f>(15)/3.281</f>
        <v>4.5717768972874122</v>
      </c>
      <c r="E245" s="16">
        <f>((10.5-1.5)/3.281)</f>
        <v>2.7430661383724475</v>
      </c>
      <c r="F245" s="16"/>
      <c r="G245" s="80">
        <f t="shared" ref="G245" si="25">PRODUCT(C245:F245)</f>
        <v>0</v>
      </c>
      <c r="H245" s="18"/>
      <c r="I245" s="19"/>
      <c r="J245" s="81"/>
      <c r="K245" s="16"/>
      <c r="M245" s="21"/>
      <c r="N245" s="1"/>
      <c r="O245" s="1"/>
      <c r="P245" s="1"/>
      <c r="Q245" s="1"/>
      <c r="R245" s="21"/>
      <c r="S245" s="21"/>
    </row>
    <row r="246" spans="1:19" ht="15" hidden="1" customHeight="1" x14ac:dyDescent="0.25">
      <c r="A246" s="84"/>
      <c r="B246" s="82" t="s">
        <v>25</v>
      </c>
      <c r="C246" s="85"/>
      <c r="D246" s="80"/>
      <c r="E246" s="80"/>
      <c r="F246" s="80"/>
      <c r="G246" s="86">
        <f>SUM(G245:G245)</f>
        <v>0</v>
      </c>
      <c r="H246" s="86" t="s">
        <v>26</v>
      </c>
      <c r="I246" s="87">
        <f>(325188.75/100)</f>
        <v>3251.8874999999998</v>
      </c>
      <c r="J246" s="88">
        <f>G246*I246</f>
        <v>0</v>
      </c>
      <c r="K246" s="89"/>
    </row>
    <row r="247" spans="1:19" ht="15" hidden="1" customHeight="1" x14ac:dyDescent="0.25">
      <c r="A247" s="84"/>
      <c r="B247" s="82" t="s">
        <v>89</v>
      </c>
      <c r="C247" s="85"/>
      <c r="D247" s="80"/>
      <c r="E247" s="80"/>
      <c r="F247" s="80"/>
      <c r="G247" s="80"/>
      <c r="H247" s="80"/>
      <c r="I247" s="80"/>
      <c r="J247" s="97">
        <f>0.13*G246*((221748.75)/100)</f>
        <v>0</v>
      </c>
      <c r="K247" s="89"/>
    </row>
    <row r="248" spans="1:19" ht="15" hidden="1" customHeight="1" x14ac:dyDescent="0.25">
      <c r="A248" s="84"/>
      <c r="B248" s="82"/>
      <c r="C248" s="85"/>
      <c r="D248" s="80"/>
      <c r="E248" s="80"/>
      <c r="F248" s="80"/>
      <c r="G248" s="80"/>
      <c r="H248" s="80"/>
      <c r="I248" s="80"/>
      <c r="J248" s="97"/>
      <c r="K248" s="89"/>
    </row>
    <row r="249" spans="1:19" ht="30" hidden="1" x14ac:dyDescent="0.25">
      <c r="A249" s="12">
        <v>33</v>
      </c>
      <c r="B249" s="103" t="s">
        <v>108</v>
      </c>
      <c r="C249" s="85"/>
      <c r="D249" s="80"/>
      <c r="E249" s="80"/>
      <c r="F249" s="80"/>
      <c r="G249" s="80"/>
      <c r="H249" s="80"/>
      <c r="I249" s="80"/>
      <c r="J249" s="97"/>
      <c r="K249" s="89"/>
    </row>
    <row r="250" spans="1:19" ht="15" hidden="1" customHeight="1" x14ac:dyDescent="0.25">
      <c r="A250" s="12"/>
      <c r="B250" s="13" t="s">
        <v>107</v>
      </c>
      <c r="C250" s="14">
        <f>0*2*2</f>
        <v>0</v>
      </c>
      <c r="D250" s="15">
        <f>D245</f>
        <v>4.5717768972874122</v>
      </c>
      <c r="E250" s="16"/>
      <c r="F250" s="16"/>
      <c r="G250" s="80">
        <f>PRODUCT(C250:F250)</f>
        <v>0</v>
      </c>
      <c r="H250" s="18"/>
      <c r="I250" s="19"/>
      <c r="J250" s="81"/>
      <c r="K250" s="16"/>
      <c r="M250" s="21"/>
      <c r="N250" s="1"/>
      <c r="O250" s="1"/>
      <c r="P250" s="1"/>
      <c r="Q250" s="1"/>
      <c r="R250" s="21"/>
      <c r="S250" s="21"/>
    </row>
    <row r="251" spans="1:19" ht="15" hidden="1" customHeight="1" x14ac:dyDescent="0.25">
      <c r="A251" s="84"/>
      <c r="B251" s="82" t="s">
        <v>25</v>
      </c>
      <c r="C251" s="85"/>
      <c r="D251" s="80"/>
      <c r="E251" s="80"/>
      <c r="F251" s="80"/>
      <c r="G251" s="86">
        <f>SUM(G250:G250)</f>
        <v>0</v>
      </c>
      <c r="H251" s="86" t="s">
        <v>73</v>
      </c>
      <c r="I251" s="87">
        <v>1842.85</v>
      </c>
      <c r="J251" s="88">
        <f>G251*I251</f>
        <v>0</v>
      </c>
      <c r="K251" s="89"/>
    </row>
    <row r="252" spans="1:19" ht="15" hidden="1" customHeight="1" x14ac:dyDescent="0.25">
      <c r="A252" s="84"/>
      <c r="B252" s="82" t="s">
        <v>89</v>
      </c>
      <c r="C252" s="85"/>
      <c r="D252" s="80"/>
      <c r="E252" s="80"/>
      <c r="F252" s="80"/>
      <c r="G252" s="80"/>
      <c r="H252" s="80"/>
      <c r="I252" s="80"/>
      <c r="J252" s="97">
        <f>0.13*G251*((164000)/100)</f>
        <v>0</v>
      </c>
      <c r="K252" s="89"/>
    </row>
    <row r="253" spans="1:19" ht="15" hidden="1" customHeight="1" x14ac:dyDescent="0.25">
      <c r="A253" s="84"/>
      <c r="B253" s="82"/>
      <c r="C253" s="85"/>
      <c r="D253" s="80"/>
      <c r="E253" s="80"/>
      <c r="F253" s="80"/>
      <c r="G253" s="80"/>
      <c r="H253" s="80"/>
      <c r="I253" s="80"/>
      <c r="J253" s="97"/>
      <c r="K253" s="89"/>
    </row>
    <row r="254" spans="1:19" ht="30" hidden="1" x14ac:dyDescent="0.25">
      <c r="A254" s="84">
        <v>34</v>
      </c>
      <c r="B254" s="103" t="s">
        <v>109</v>
      </c>
      <c r="C254" s="85"/>
      <c r="D254" s="80"/>
      <c r="E254" s="80"/>
      <c r="F254" s="80"/>
      <c r="G254" s="80"/>
      <c r="H254" s="80"/>
      <c r="I254" s="80"/>
      <c r="J254" s="97"/>
      <c r="K254" s="89"/>
    </row>
    <row r="255" spans="1:19" hidden="1" x14ac:dyDescent="0.25">
      <c r="A255" s="84"/>
      <c r="B255" s="82" t="s">
        <v>110</v>
      </c>
      <c r="C255" s="85">
        <f>0*4</f>
        <v>0</v>
      </c>
      <c r="D255" s="80"/>
      <c r="E255" s="80"/>
      <c r="F255" s="80"/>
      <c r="G255" s="80">
        <f t="shared" ref="G255" si="26">PRODUCT(C255:F255)</f>
        <v>0</v>
      </c>
      <c r="H255" s="80"/>
      <c r="I255" s="80"/>
      <c r="J255" s="97"/>
      <c r="K255" s="89"/>
    </row>
    <row r="256" spans="1:19" ht="15" hidden="1" customHeight="1" x14ac:dyDescent="0.25">
      <c r="A256" s="84"/>
      <c r="B256" s="82" t="s">
        <v>25</v>
      </c>
      <c r="C256" s="85"/>
      <c r="D256" s="80"/>
      <c r="E256" s="80"/>
      <c r="F256" s="80"/>
      <c r="G256" s="86">
        <f>SUM(G255)</f>
        <v>0</v>
      </c>
      <c r="H256" s="86" t="s">
        <v>94</v>
      </c>
      <c r="I256" s="87">
        <v>279</v>
      </c>
      <c r="J256" s="88">
        <f>G256*I256</f>
        <v>0</v>
      </c>
      <c r="K256" s="89"/>
    </row>
    <row r="257" spans="1:14" ht="15" hidden="1" customHeight="1" x14ac:dyDescent="0.25">
      <c r="A257" s="84"/>
      <c r="B257" s="82" t="s">
        <v>89</v>
      </c>
      <c r="C257" s="85"/>
      <c r="D257" s="80"/>
      <c r="E257" s="80"/>
      <c r="F257" s="80"/>
      <c r="G257" s="80"/>
      <c r="H257" s="80"/>
      <c r="I257" s="80"/>
      <c r="J257" s="97">
        <f>0.13*J256</f>
        <v>0</v>
      </c>
      <c r="K257" s="89"/>
    </row>
    <row r="258" spans="1:14" hidden="1" x14ac:dyDescent="0.25">
      <c r="A258" s="84"/>
      <c r="B258" s="83"/>
      <c r="C258" s="85"/>
      <c r="D258" s="80"/>
      <c r="E258" s="80"/>
      <c r="F258" s="80"/>
      <c r="G258" s="80"/>
      <c r="H258" s="80"/>
      <c r="I258" s="80"/>
      <c r="J258" s="97"/>
      <c r="K258" s="89"/>
    </row>
    <row r="259" spans="1:14" s="1" customFormat="1" ht="60" hidden="1" x14ac:dyDescent="0.25">
      <c r="A259" s="84">
        <v>35</v>
      </c>
      <c r="B259" s="104" t="s">
        <v>111</v>
      </c>
      <c r="C259" s="90">
        <f>0*3</f>
        <v>0</v>
      </c>
      <c r="D259" s="91">
        <v>3.5</v>
      </c>
      <c r="E259" s="91"/>
      <c r="F259" s="91"/>
      <c r="G259" s="91">
        <f>PRODUCT(C259:F259)</f>
        <v>0</v>
      </c>
      <c r="H259" s="84"/>
      <c r="I259" s="84"/>
      <c r="J259" s="84"/>
      <c r="K259" s="92"/>
    </row>
    <row r="260" spans="1:14" ht="15" hidden="1" customHeight="1" x14ac:dyDescent="0.25">
      <c r="A260" s="84"/>
      <c r="B260" s="82" t="s">
        <v>25</v>
      </c>
      <c r="C260" s="85"/>
      <c r="D260" s="80"/>
      <c r="E260" s="80"/>
      <c r="F260" s="80"/>
      <c r="G260" s="86">
        <f>SUM(G259:G259)</f>
        <v>0</v>
      </c>
      <c r="H260" s="86" t="s">
        <v>112</v>
      </c>
      <c r="I260" s="86">
        <v>3914.14</v>
      </c>
      <c r="J260" s="88">
        <f>G259*I260</f>
        <v>0</v>
      </c>
      <c r="K260" s="89"/>
    </row>
    <row r="261" spans="1:14" ht="15" hidden="1" customHeight="1" x14ac:dyDescent="0.25">
      <c r="A261" s="84"/>
      <c r="B261" s="82" t="s">
        <v>89</v>
      </c>
      <c r="C261" s="85"/>
      <c r="D261" s="80"/>
      <c r="E261" s="80"/>
      <c r="F261" s="80"/>
      <c r="G261" s="80"/>
      <c r="H261" s="80"/>
      <c r="I261" s="80"/>
      <c r="J261" s="97">
        <f>0.13*G260*5918/5</f>
        <v>0</v>
      </c>
      <c r="K261" s="89"/>
      <c r="M261" s="58"/>
    </row>
    <row r="262" spans="1:14" ht="15" hidden="1" customHeight="1" x14ac:dyDescent="0.25">
      <c r="A262" s="84"/>
      <c r="B262" s="82"/>
      <c r="C262" s="85"/>
      <c r="D262" s="80"/>
      <c r="E262" s="80"/>
      <c r="F262" s="80"/>
      <c r="G262" s="80"/>
      <c r="H262" s="80"/>
      <c r="I262" s="80"/>
      <c r="J262" s="97"/>
      <c r="K262" s="89"/>
    </row>
    <row r="263" spans="1:14" s="1" customFormat="1" ht="30" x14ac:dyDescent="0.25">
      <c r="A263" s="12">
        <v>28</v>
      </c>
      <c r="B263" s="102" t="s">
        <v>113</v>
      </c>
      <c r="C263" s="90">
        <v>1</v>
      </c>
      <c r="D263" s="91"/>
      <c r="E263" s="91"/>
      <c r="F263" s="91"/>
      <c r="G263" s="95">
        <f>PRODUCT(C263:F263)</f>
        <v>1</v>
      </c>
      <c r="H263" s="95" t="s">
        <v>114</v>
      </c>
      <c r="I263" s="95">
        <v>50000</v>
      </c>
      <c r="J263" s="97">
        <f>G263*I263</f>
        <v>50000</v>
      </c>
      <c r="K263" s="92"/>
    </row>
    <row r="264" spans="1:14" ht="15" customHeight="1" x14ac:dyDescent="0.25">
      <c r="A264" s="84"/>
      <c r="B264" s="41"/>
      <c r="C264" s="85"/>
      <c r="D264" s="80"/>
      <c r="E264" s="80"/>
      <c r="F264" s="80"/>
      <c r="G264" s="80"/>
      <c r="H264" s="80"/>
      <c r="I264" s="80"/>
      <c r="J264" s="97"/>
      <c r="K264" s="89"/>
    </row>
    <row r="265" spans="1:14" ht="15" customHeight="1" x14ac:dyDescent="0.25">
      <c r="A265" s="12">
        <v>29</v>
      </c>
      <c r="B265" s="62" t="s">
        <v>115</v>
      </c>
      <c r="C265" s="14">
        <v>1</v>
      </c>
      <c r="D265" s="15"/>
      <c r="E265" s="16"/>
      <c r="F265" s="16"/>
      <c r="G265" s="95">
        <f t="shared" ref="G265" si="27">PRODUCT(C265:F265)</f>
        <v>1</v>
      </c>
      <c r="H265" s="18" t="s">
        <v>94</v>
      </c>
      <c r="I265" s="19">
        <v>1000</v>
      </c>
      <c r="J265" s="95">
        <f>G265*I265</f>
        <v>1000</v>
      </c>
      <c r="K265" s="16"/>
      <c r="M265" s="21"/>
      <c r="N265" s="21"/>
    </row>
    <row r="266" spans="1:14" ht="15" customHeight="1" x14ac:dyDescent="0.25">
      <c r="A266" s="12"/>
      <c r="B266" s="60"/>
      <c r="C266" s="14"/>
      <c r="D266" s="15"/>
      <c r="E266" s="16"/>
      <c r="F266" s="16"/>
      <c r="G266" s="19"/>
      <c r="H266" s="18"/>
      <c r="I266" s="19"/>
      <c r="J266" s="81"/>
      <c r="K266" s="16"/>
      <c r="M266" s="21"/>
      <c r="N266" s="21"/>
    </row>
    <row r="267" spans="1:14" x14ac:dyDescent="0.25">
      <c r="A267" s="84"/>
      <c r="B267" s="105" t="s">
        <v>116</v>
      </c>
      <c r="C267" s="106"/>
      <c r="D267" s="107"/>
      <c r="E267" s="107"/>
      <c r="F267" s="107"/>
      <c r="G267" s="81"/>
      <c r="H267" s="81"/>
      <c r="I267" s="81"/>
      <c r="J267" s="81">
        <f>SUM(J14:J265)</f>
        <v>1120296.4091086888</v>
      </c>
      <c r="K267" s="89"/>
    </row>
    <row r="268" spans="1:14" x14ac:dyDescent="0.25">
      <c r="A268" s="108"/>
      <c r="B268" s="109"/>
      <c r="C268" s="109"/>
      <c r="D268" s="109"/>
      <c r="E268" s="109"/>
      <c r="F268" s="109"/>
      <c r="G268" s="110"/>
      <c r="H268" s="110"/>
      <c r="I268" s="110"/>
      <c r="J268" s="110"/>
      <c r="K268" s="109"/>
    </row>
    <row r="269" spans="1:14" s="1" customFormat="1" x14ac:dyDescent="0.25">
      <c r="A269" s="111"/>
      <c r="B269" s="92" t="s">
        <v>117</v>
      </c>
      <c r="C269" s="181">
        <f>J267</f>
        <v>1120296.4091086888</v>
      </c>
      <c r="D269" s="182"/>
      <c r="E269" s="91">
        <v>100</v>
      </c>
      <c r="F269" s="112"/>
      <c r="G269" s="113"/>
      <c r="H269" s="112"/>
      <c r="I269" s="114"/>
      <c r="J269" s="115"/>
      <c r="K269" s="116"/>
    </row>
    <row r="270" spans="1:14" x14ac:dyDescent="0.25">
      <c r="A270" s="108"/>
      <c r="B270" s="92" t="s">
        <v>118</v>
      </c>
      <c r="C270" s="183">
        <v>1000000</v>
      </c>
      <c r="D270" s="184"/>
      <c r="E270" s="91"/>
      <c r="F270" s="109"/>
      <c r="G270" s="110"/>
      <c r="H270" s="110"/>
      <c r="I270" s="110"/>
      <c r="J270" s="110"/>
      <c r="K270" s="109"/>
    </row>
    <row r="271" spans="1:14" x14ac:dyDescent="0.25">
      <c r="A271" s="108"/>
      <c r="B271" s="92" t="s">
        <v>119</v>
      </c>
      <c r="C271" s="183">
        <f>C270-C273-C274</f>
        <v>950000</v>
      </c>
      <c r="D271" s="184"/>
      <c r="E271" s="91">
        <f>C271/C269*100</f>
        <v>84.79898643572578</v>
      </c>
      <c r="F271" s="109"/>
      <c r="G271" s="110"/>
      <c r="H271" s="110"/>
      <c r="I271" s="110"/>
      <c r="J271" s="110"/>
      <c r="K271" s="109"/>
    </row>
    <row r="272" spans="1:14" x14ac:dyDescent="0.25">
      <c r="A272" s="108"/>
      <c r="B272" s="92" t="s">
        <v>120</v>
      </c>
      <c r="C272" s="185">
        <f>C269-C271</f>
        <v>170296.40910868882</v>
      </c>
      <c r="D272" s="185"/>
      <c r="E272" s="91">
        <f>100-E271</f>
        <v>15.20101356427422</v>
      </c>
      <c r="F272" s="109"/>
      <c r="G272" s="110"/>
      <c r="H272" s="110"/>
      <c r="I272" s="110"/>
      <c r="J272" s="110"/>
      <c r="K272" s="109"/>
    </row>
    <row r="273" spans="1:11" x14ac:dyDescent="0.25">
      <c r="A273" s="108"/>
      <c r="B273" s="92" t="s">
        <v>121</v>
      </c>
      <c r="C273" s="181">
        <f>C270*0.03</f>
        <v>30000</v>
      </c>
      <c r="D273" s="182"/>
      <c r="E273" s="91">
        <v>3</v>
      </c>
      <c r="F273" s="109"/>
      <c r="G273" s="110"/>
      <c r="H273" s="110"/>
      <c r="I273" s="110"/>
      <c r="J273" s="110"/>
      <c r="K273" s="109"/>
    </row>
    <row r="274" spans="1:11" x14ac:dyDescent="0.25">
      <c r="A274" s="108"/>
      <c r="B274" s="92" t="s">
        <v>122</v>
      </c>
      <c r="C274" s="181">
        <f>C270*0.02</f>
        <v>20000</v>
      </c>
      <c r="D274" s="182"/>
      <c r="E274" s="91">
        <v>2</v>
      </c>
      <c r="F274" s="109"/>
      <c r="G274" s="110"/>
      <c r="H274" s="110"/>
      <c r="I274" s="110"/>
      <c r="J274" s="110"/>
      <c r="K274" s="109"/>
    </row>
  </sheetData>
  <mergeCells count="15">
    <mergeCell ref="C273:D273"/>
    <mergeCell ref="C274:D274"/>
    <mergeCell ref="A7:F7"/>
    <mergeCell ref="H7:K7"/>
    <mergeCell ref="C269:D269"/>
    <mergeCell ref="C270:D270"/>
    <mergeCell ref="C271:D271"/>
    <mergeCell ref="C272:D272"/>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5"/>
  <sheetViews>
    <sheetView topLeftCell="A254" zoomScaleNormal="100" zoomScaleSheetLayoutView="80" workbookViewId="0">
      <selection activeCell="B260" sqref="B260:E265"/>
    </sheetView>
  </sheetViews>
  <sheetFormatPr defaultRowHeight="15" x14ac:dyDescent="0.25"/>
  <cols>
    <col min="1" max="1" width="4.42578125" style="71" customWidth="1"/>
    <col min="2" max="2" width="31.28515625" customWidth="1"/>
    <col min="3" max="3" width="4.5703125" bestFit="1" customWidth="1"/>
    <col min="4" max="4" width="9.28515625" customWidth="1"/>
    <col min="5" max="5" width="7.85546875" customWidth="1"/>
    <col min="6" max="6" width="8.28515625" customWidth="1"/>
    <col min="7" max="7" width="8.5703125" style="72" customWidth="1"/>
    <col min="8" max="8" width="5.28515625" style="72" bestFit="1" customWidth="1"/>
    <col min="9" max="9" width="10.42578125" style="72" customWidth="1"/>
    <col min="10" max="10" width="10.5703125" style="72" bestFit="1" customWidth="1"/>
    <col min="11" max="11" width="8.85546875" customWidth="1"/>
  </cols>
  <sheetData>
    <row r="1" spans="1:14" s="1" customFormat="1" x14ac:dyDescent="0.25">
      <c r="A1" s="177" t="s">
        <v>0</v>
      </c>
      <c r="B1" s="177"/>
      <c r="C1" s="177"/>
      <c r="D1" s="177"/>
      <c r="E1" s="177"/>
      <c r="F1" s="177"/>
      <c r="G1" s="177"/>
      <c r="H1" s="177"/>
      <c r="I1" s="177"/>
      <c r="J1" s="177"/>
      <c r="K1" s="177"/>
    </row>
    <row r="2" spans="1:14" s="1" customFormat="1" ht="22.5" x14ac:dyDescent="0.25">
      <c r="A2" s="178" t="s">
        <v>1</v>
      </c>
      <c r="B2" s="178"/>
      <c r="C2" s="178"/>
      <c r="D2" s="178"/>
      <c r="E2" s="178"/>
      <c r="F2" s="178"/>
      <c r="G2" s="178"/>
      <c r="H2" s="178"/>
      <c r="I2" s="178"/>
      <c r="J2" s="178"/>
      <c r="K2" s="178"/>
    </row>
    <row r="3" spans="1:14" s="1" customFormat="1" x14ac:dyDescent="0.25">
      <c r="A3" s="179" t="s">
        <v>2</v>
      </c>
      <c r="B3" s="179"/>
      <c r="C3" s="179"/>
      <c r="D3" s="179"/>
      <c r="E3" s="179"/>
      <c r="F3" s="179"/>
      <c r="G3" s="179"/>
      <c r="H3" s="179"/>
      <c r="I3" s="179"/>
      <c r="J3" s="179"/>
      <c r="K3" s="179"/>
    </row>
    <row r="4" spans="1:14" s="1" customFormat="1" x14ac:dyDescent="0.25">
      <c r="A4" s="179" t="s">
        <v>3</v>
      </c>
      <c r="B4" s="179"/>
      <c r="C4" s="179"/>
      <c r="D4" s="179"/>
      <c r="E4" s="179"/>
      <c r="F4" s="179"/>
      <c r="G4" s="179"/>
      <c r="H4" s="179"/>
      <c r="I4" s="179"/>
      <c r="J4" s="179"/>
      <c r="K4" s="179"/>
    </row>
    <row r="5" spans="1:14" ht="18.75" x14ac:dyDescent="0.3">
      <c r="A5" s="180" t="s">
        <v>4</v>
      </c>
      <c r="B5" s="180"/>
      <c r="C5" s="180"/>
      <c r="D5" s="180"/>
      <c r="E5" s="180"/>
      <c r="F5" s="180"/>
      <c r="G5" s="180"/>
      <c r="H5" s="180"/>
      <c r="I5" s="180"/>
      <c r="J5" s="180"/>
      <c r="K5" s="180"/>
    </row>
    <row r="6" spans="1:14" ht="15.75" x14ac:dyDescent="0.25">
      <c r="A6" s="176" t="s">
        <v>5</v>
      </c>
      <c r="B6" s="176"/>
      <c r="C6" s="176"/>
      <c r="D6" s="176"/>
      <c r="E6" s="176"/>
      <c r="F6" s="176"/>
      <c r="G6" s="2"/>
      <c r="H6" s="172" t="s">
        <v>6</v>
      </c>
      <c r="I6" s="172"/>
      <c r="J6" s="172"/>
      <c r="K6" s="172"/>
    </row>
    <row r="7" spans="1:14" ht="15.75" x14ac:dyDescent="0.25">
      <c r="A7" s="171" t="s">
        <v>7</v>
      </c>
      <c r="B7" s="171"/>
      <c r="C7" s="171"/>
      <c r="D7" s="171"/>
      <c r="E7" s="171"/>
      <c r="F7" s="171"/>
      <c r="G7" s="3"/>
      <c r="H7" s="172" t="s">
        <v>8</v>
      </c>
      <c r="I7" s="172"/>
      <c r="J7" s="172"/>
      <c r="K7" s="172"/>
    </row>
    <row r="8" spans="1:14" s="9" customFormat="1" ht="15" customHeight="1" x14ac:dyDescent="0.25">
      <c r="A8" s="74" t="s">
        <v>9</v>
      </c>
      <c r="B8" s="75" t="s">
        <v>10</v>
      </c>
      <c r="C8" s="76" t="s">
        <v>11</v>
      </c>
      <c r="D8" s="77" t="s">
        <v>12</v>
      </c>
      <c r="E8" s="77" t="s">
        <v>13</v>
      </c>
      <c r="F8" s="77" t="s">
        <v>14</v>
      </c>
      <c r="G8" s="77" t="s">
        <v>15</v>
      </c>
      <c r="H8" s="76" t="s">
        <v>16</v>
      </c>
      <c r="I8" s="77" t="s">
        <v>17</v>
      </c>
      <c r="J8" s="77" t="s">
        <v>18</v>
      </c>
      <c r="K8" s="78" t="s">
        <v>19</v>
      </c>
    </row>
    <row r="9" spans="1:14" ht="30.75" hidden="1" x14ac:dyDescent="0.25">
      <c r="A9" s="79">
        <v>1</v>
      </c>
      <c r="B9" s="11" t="s">
        <v>20</v>
      </c>
      <c r="C9" s="76"/>
      <c r="D9" s="77"/>
      <c r="E9" s="77"/>
      <c r="F9" s="77"/>
      <c r="G9" s="77"/>
      <c r="H9" s="76"/>
      <c r="I9" s="77"/>
      <c r="J9" s="77"/>
      <c r="K9" s="78"/>
    </row>
    <row r="10" spans="1:14" ht="15" hidden="1" customHeight="1" x14ac:dyDescent="0.25">
      <c r="A10" s="12"/>
      <c r="B10" s="13" t="s">
        <v>21</v>
      </c>
      <c r="C10" s="14">
        <v>1</v>
      </c>
      <c r="D10" s="15"/>
      <c r="E10" s="16">
        <f>10.75/3.281</f>
        <v>3.2764401097226452</v>
      </c>
      <c r="F10" s="16">
        <f>(9.42+7.75)/3.281</f>
        <v>5.233160621761658</v>
      </c>
      <c r="G10" s="80">
        <f t="shared" ref="G10:G13" si="0">PRODUCT(C10:F10)</f>
        <v>17.146137361760992</v>
      </c>
      <c r="H10" s="18"/>
      <c r="I10" s="19"/>
      <c r="J10" s="81"/>
      <c r="K10" s="16"/>
      <c r="M10" s="21"/>
      <c r="N10" s="21"/>
    </row>
    <row r="11" spans="1:14" ht="15" hidden="1" customHeight="1" x14ac:dyDescent="0.25">
      <c r="A11" s="12"/>
      <c r="B11" s="13" t="s">
        <v>22</v>
      </c>
      <c r="C11" s="14">
        <v>-1</v>
      </c>
      <c r="D11" s="15">
        <f>3.5/3.281</f>
        <v>1.0667479427003961</v>
      </c>
      <c r="E11" s="16"/>
      <c r="F11" s="16">
        <v>1.5</v>
      </c>
      <c r="G11" s="80">
        <f t="shared" si="0"/>
        <v>-1.600121914050594</v>
      </c>
      <c r="H11" s="18"/>
      <c r="I11" s="19"/>
      <c r="J11" s="81"/>
      <c r="K11" s="16"/>
      <c r="M11" s="21"/>
      <c r="N11" s="21"/>
    </row>
    <row r="12" spans="1:14" ht="15" hidden="1" customHeight="1" x14ac:dyDescent="0.25">
      <c r="A12" s="12"/>
      <c r="B12" s="13" t="s">
        <v>23</v>
      </c>
      <c r="C12" s="14">
        <v>-1</v>
      </c>
      <c r="D12" s="15">
        <f>3.833/3.281</f>
        <v>1.1682413898201769</v>
      </c>
      <c r="E12" s="16"/>
      <c r="F12" s="16">
        <f>7.75/3.281</f>
        <v>2.3620847302651629</v>
      </c>
      <c r="G12" s="80">
        <f t="shared" si="0"/>
        <v>-2.7594851481579914</v>
      </c>
      <c r="H12" s="18"/>
      <c r="I12" s="19"/>
      <c r="J12" s="81"/>
      <c r="K12" s="16"/>
      <c r="M12" s="21"/>
      <c r="N12" s="21"/>
    </row>
    <row r="13" spans="1:14" ht="15" hidden="1" customHeight="1" x14ac:dyDescent="0.25">
      <c r="A13" s="12"/>
      <c r="B13" s="13" t="s">
        <v>24</v>
      </c>
      <c r="C13" s="14">
        <v>1</v>
      </c>
      <c r="D13" s="15"/>
      <c r="E13" s="16">
        <f>(5.75)/3.281</f>
        <v>1.752514477293508</v>
      </c>
      <c r="F13" s="16">
        <f>(9.42+7.75)/3.281</f>
        <v>5.233160621761658</v>
      </c>
      <c r="G13" s="80">
        <f t="shared" si="0"/>
        <v>9.1711897516396004</v>
      </c>
      <c r="H13" s="18"/>
      <c r="I13" s="19"/>
      <c r="J13" s="81"/>
      <c r="K13" s="16"/>
      <c r="M13" s="21"/>
      <c r="N13" s="21"/>
    </row>
    <row r="14" spans="1:14" ht="15" hidden="1" customHeight="1" x14ac:dyDescent="0.25">
      <c r="A14" s="12"/>
      <c r="B14" s="82" t="s">
        <v>25</v>
      </c>
      <c r="C14" s="14"/>
      <c r="D14" s="15"/>
      <c r="E14" s="16"/>
      <c r="F14" s="16"/>
      <c r="G14" s="19">
        <f>0*SUM(G10:G13)</f>
        <v>0</v>
      </c>
      <c r="H14" s="18" t="s">
        <v>26</v>
      </c>
      <c r="I14" s="19">
        <f>97.2</f>
        <v>97.2</v>
      </c>
      <c r="J14" s="81">
        <f>G14*I14</f>
        <v>0</v>
      </c>
      <c r="K14" s="16"/>
      <c r="M14" s="21"/>
      <c r="N14" s="21"/>
    </row>
    <row r="15" spans="1:14" ht="15" hidden="1" customHeight="1" x14ac:dyDescent="0.25">
      <c r="A15" s="12"/>
      <c r="B15" s="82"/>
      <c r="C15" s="14"/>
      <c r="D15" s="15"/>
      <c r="E15" s="16"/>
      <c r="F15" s="16"/>
      <c r="G15" s="19"/>
      <c r="H15" s="18"/>
      <c r="I15" s="19"/>
      <c r="J15" s="81"/>
      <c r="K15" s="16"/>
      <c r="M15" s="21"/>
      <c r="N15" s="21"/>
    </row>
    <row r="16" spans="1:14" ht="32.25" customHeight="1" x14ac:dyDescent="0.25">
      <c r="A16" s="12">
        <v>1</v>
      </c>
      <c r="B16" s="11" t="s">
        <v>27</v>
      </c>
      <c r="C16" s="14"/>
      <c r="D16" s="15"/>
      <c r="E16" s="16"/>
      <c r="F16" s="16"/>
      <c r="G16" s="19"/>
      <c r="H16" s="18"/>
      <c r="I16" s="19"/>
      <c r="J16" s="81"/>
      <c r="K16" s="16"/>
      <c r="M16" s="21"/>
      <c r="N16" s="21"/>
    </row>
    <row r="17" spans="1:14" ht="15" customHeight="1" x14ac:dyDescent="0.25">
      <c r="A17" s="12"/>
      <c r="B17" s="82" t="s">
        <v>28</v>
      </c>
      <c r="C17" s="14">
        <f>4</f>
        <v>4</v>
      </c>
      <c r="D17" s="15">
        <f>4.5/3.281</f>
        <v>1.3715330691862238</v>
      </c>
      <c r="E17" s="15">
        <f>4.5/3.281</f>
        <v>1.3715330691862238</v>
      </c>
      <c r="F17" s="16">
        <v>0.115</v>
      </c>
      <c r="G17" s="80">
        <f t="shared" ref="G17" si="1">PRODUCT(C17:F17)</f>
        <v>0.86530736154083621</v>
      </c>
      <c r="H17" s="18"/>
      <c r="I17" s="19"/>
      <c r="J17" s="81"/>
      <c r="K17" s="16"/>
      <c r="M17" s="21"/>
      <c r="N17" s="21"/>
    </row>
    <row r="18" spans="1:14" ht="15" customHeight="1" x14ac:dyDescent="0.25">
      <c r="A18" s="12"/>
      <c r="B18" s="13" t="s">
        <v>29</v>
      </c>
      <c r="C18" s="14">
        <v>2</v>
      </c>
      <c r="D18" s="15">
        <f>0.833/3.281</f>
        <v>0.25388601036269426</v>
      </c>
      <c r="E18" s="15">
        <f>0.833/3.281</f>
        <v>0.25388601036269426</v>
      </c>
      <c r="F18" s="16">
        <f>6.25/3.281</f>
        <v>1.9049070405364217</v>
      </c>
      <c r="G18" s="80">
        <f>PRODUCT(C18:F18)</f>
        <v>0.24557340086058405</v>
      </c>
      <c r="H18" s="18"/>
      <c r="I18" s="19"/>
      <c r="J18" s="81"/>
      <c r="K18" s="16"/>
      <c r="M18" s="21"/>
      <c r="N18" s="21"/>
    </row>
    <row r="19" spans="1:14" ht="15" customHeight="1" x14ac:dyDescent="0.25">
      <c r="A19" s="12"/>
      <c r="B19" s="13"/>
      <c r="C19" s="14">
        <v>1</v>
      </c>
      <c r="D19" s="15">
        <f>0.833/3.281</f>
        <v>0.25388601036269426</v>
      </c>
      <c r="E19" s="15">
        <f>0.833/3.281</f>
        <v>0.25388601036269426</v>
      </c>
      <c r="F19" s="15">
        <f>0.833/3.281</f>
        <v>0.25388601036269426</v>
      </c>
      <c r="G19" s="80">
        <f>PRODUCT(C19:F19)</f>
        <v>1.6365011433349317E-2</v>
      </c>
      <c r="H19" s="18"/>
      <c r="I19" s="19"/>
      <c r="J19" s="81"/>
      <c r="K19" s="16"/>
      <c r="M19" s="21"/>
      <c r="N19" s="21"/>
    </row>
    <row r="20" spans="1:14" ht="15" customHeight="1" x14ac:dyDescent="0.25">
      <c r="A20" s="12"/>
      <c r="B20" s="82" t="s">
        <v>25</v>
      </c>
      <c r="C20" s="14"/>
      <c r="D20" s="15"/>
      <c r="E20" s="16"/>
      <c r="F20" s="16"/>
      <c r="G20" s="19">
        <f>SUM(G17:G19)</f>
        <v>1.1272457738347696</v>
      </c>
      <c r="H20" s="18" t="s">
        <v>30</v>
      </c>
      <c r="I20" s="19">
        <f>1908</f>
        <v>1908</v>
      </c>
      <c r="J20" s="81">
        <f>G20*I20</f>
        <v>2150.7849364767403</v>
      </c>
      <c r="K20" s="16"/>
      <c r="M20" s="21"/>
      <c r="N20" s="21"/>
    </row>
    <row r="21" spans="1:14" ht="15" customHeight="1" x14ac:dyDescent="0.25">
      <c r="A21" s="12"/>
      <c r="B21" s="82"/>
      <c r="C21" s="14"/>
      <c r="D21" s="15"/>
      <c r="E21" s="16"/>
      <c r="F21" s="16"/>
      <c r="G21" s="19"/>
      <c r="H21" s="18"/>
      <c r="I21" s="19"/>
      <c r="J21" s="81"/>
      <c r="K21" s="16"/>
      <c r="M21" s="21"/>
      <c r="N21" s="21"/>
    </row>
    <row r="22" spans="1:14" ht="31.5" x14ac:dyDescent="0.25">
      <c r="A22" s="12">
        <v>2</v>
      </c>
      <c r="B22" s="23" t="s">
        <v>31</v>
      </c>
      <c r="C22" s="14"/>
      <c r="D22" s="15"/>
      <c r="E22" s="16"/>
      <c r="F22" s="16"/>
      <c r="G22" s="19"/>
      <c r="H22" s="18"/>
      <c r="I22" s="19"/>
      <c r="J22" s="81"/>
      <c r="K22" s="16"/>
      <c r="M22" s="21"/>
      <c r="N22" s="21"/>
    </row>
    <row r="23" spans="1:14" ht="15" customHeight="1" x14ac:dyDescent="0.25">
      <c r="A23" s="12"/>
      <c r="B23" s="13" t="s">
        <v>32</v>
      </c>
      <c r="C23" s="14">
        <f>4</f>
        <v>4</v>
      </c>
      <c r="D23" s="15">
        <f>(5.25/2)/3.281</f>
        <v>0.80006095702529711</v>
      </c>
      <c r="E23" s="16">
        <v>7.4999999999999997E-2</v>
      </c>
      <c r="F23" s="16">
        <f>3.75/3.281</f>
        <v>1.1429442243218531</v>
      </c>
      <c r="G23" s="80">
        <f>PRODUCT(C23:F23)</f>
        <v>0.2743275149812433</v>
      </c>
      <c r="H23" s="18"/>
      <c r="I23" s="19"/>
      <c r="J23" s="81"/>
      <c r="K23" s="16"/>
      <c r="M23" s="21"/>
      <c r="N23" s="21"/>
    </row>
    <row r="24" spans="1:14" ht="15" customHeight="1" x14ac:dyDescent="0.25">
      <c r="A24" s="12"/>
      <c r="B24" s="13" t="s">
        <v>33</v>
      </c>
      <c r="C24" s="14">
        <v>1</v>
      </c>
      <c r="D24" s="15">
        <f>(10.75+1.25+3+11.5)/3.281</f>
        <v>8.076805851874429</v>
      </c>
      <c r="E24" s="16">
        <f>10.75/3.281</f>
        <v>3.2764401097226452</v>
      </c>
      <c r="F24" s="16">
        <v>7.4999999999999997E-2</v>
      </c>
      <c r="G24" s="80">
        <f t="shared" ref="G24" si="2">PRODUCT(C24:F24)</f>
        <v>1.9847377988642967</v>
      </c>
      <c r="H24" s="18"/>
      <c r="I24" s="19"/>
      <c r="J24" s="81"/>
      <c r="K24" s="16"/>
      <c r="M24" s="21"/>
      <c r="N24" s="21"/>
    </row>
    <row r="25" spans="1:14" ht="15" customHeight="1" x14ac:dyDescent="0.25">
      <c r="A25" s="12"/>
      <c r="B25" s="82" t="s">
        <v>25</v>
      </c>
      <c r="C25" s="14"/>
      <c r="D25" s="15"/>
      <c r="E25" s="16"/>
      <c r="F25" s="16"/>
      <c r="G25" s="19">
        <f>SUM(G23:G24)</f>
        <v>2.2590653138455399</v>
      </c>
      <c r="H25" s="18" t="s">
        <v>30</v>
      </c>
      <c r="I25" s="19">
        <f>11385/1.15</f>
        <v>9900</v>
      </c>
      <c r="J25" s="81">
        <f>G25*I25</f>
        <v>22364.746607070843</v>
      </c>
      <c r="K25" s="16"/>
      <c r="M25" s="21"/>
      <c r="N25" s="21"/>
    </row>
    <row r="26" spans="1:14" ht="15" customHeight="1" x14ac:dyDescent="0.25">
      <c r="A26" s="79"/>
      <c r="B26" s="75"/>
      <c r="C26" s="76"/>
      <c r="D26" s="77"/>
      <c r="E26" s="77"/>
      <c r="F26" s="77"/>
      <c r="G26" s="77"/>
      <c r="H26" s="76"/>
      <c r="I26" s="77"/>
      <c r="J26" s="77"/>
      <c r="K26" s="78"/>
    </row>
    <row r="27" spans="1:14" ht="30" x14ac:dyDescent="0.25">
      <c r="A27" s="12">
        <v>3</v>
      </c>
      <c r="B27" s="83" t="s">
        <v>34</v>
      </c>
      <c r="C27" s="14"/>
      <c r="D27" s="15"/>
      <c r="E27" s="16"/>
      <c r="F27" s="16"/>
      <c r="G27" s="19"/>
      <c r="H27" s="18"/>
      <c r="I27" s="19"/>
      <c r="J27" s="81"/>
      <c r="K27" s="16"/>
      <c r="M27" s="21"/>
      <c r="N27" s="21"/>
    </row>
    <row r="28" spans="1:14" ht="15" customHeight="1" x14ac:dyDescent="0.25">
      <c r="A28" s="12"/>
      <c r="B28" s="82" t="s">
        <v>35</v>
      </c>
      <c r="C28" s="14">
        <v>2</v>
      </c>
      <c r="D28" s="15">
        <f>0.6</f>
        <v>0.6</v>
      </c>
      <c r="E28" s="16">
        <v>0.6</v>
      </c>
      <c r="F28" s="16">
        <v>0.9</v>
      </c>
      <c r="G28" s="80">
        <f>PRODUCT(C28:F28)</f>
        <v>0.64800000000000002</v>
      </c>
      <c r="H28" s="18"/>
      <c r="I28" s="19"/>
      <c r="J28" s="81"/>
      <c r="K28" s="16"/>
      <c r="M28" s="21"/>
      <c r="N28" s="21"/>
    </row>
    <row r="29" spans="1:14" ht="15" customHeight="1" x14ac:dyDescent="0.25">
      <c r="A29" s="84"/>
      <c r="B29" s="82" t="s">
        <v>25</v>
      </c>
      <c r="C29" s="85"/>
      <c r="D29" s="80"/>
      <c r="E29" s="80"/>
      <c r="F29" s="80"/>
      <c r="G29" s="86">
        <f>SUM(G28:G28)</f>
        <v>0.64800000000000002</v>
      </c>
      <c r="H29" s="86" t="s">
        <v>30</v>
      </c>
      <c r="I29" s="87">
        <f>746.24/1.15</f>
        <v>648.90434782608702</v>
      </c>
      <c r="J29" s="88">
        <f>G29*I29</f>
        <v>420.49001739130438</v>
      </c>
      <c r="K29" s="89"/>
    </row>
    <row r="30" spans="1:14" ht="15" customHeight="1" x14ac:dyDescent="0.25">
      <c r="A30" s="84"/>
      <c r="B30" s="82"/>
      <c r="C30" s="85"/>
      <c r="D30" s="80"/>
      <c r="E30" s="80"/>
      <c r="F30" s="80"/>
      <c r="G30" s="86"/>
      <c r="H30" s="86"/>
      <c r="I30" s="87"/>
      <c r="J30" s="88"/>
      <c r="K30" s="89"/>
    </row>
    <row r="31" spans="1:14" ht="15.75" x14ac:dyDescent="0.25">
      <c r="A31" s="84">
        <v>4</v>
      </c>
      <c r="B31" s="31" t="s">
        <v>36</v>
      </c>
      <c r="C31" s="90"/>
      <c r="D31" s="91"/>
      <c r="E31" s="91"/>
      <c r="F31" s="91"/>
      <c r="G31" s="91"/>
      <c r="H31" s="92"/>
      <c r="I31" s="91"/>
      <c r="J31" s="91"/>
      <c r="K31" s="92"/>
    </row>
    <row r="32" spans="1:14" x14ac:dyDescent="0.25">
      <c r="A32" s="84"/>
      <c r="B32" s="93" t="s">
        <v>37</v>
      </c>
      <c r="C32" s="90">
        <f>C28</f>
        <v>2</v>
      </c>
      <c r="D32" s="91">
        <f>D28</f>
        <v>0.6</v>
      </c>
      <c r="E32" s="91">
        <f>E28</f>
        <v>0.6</v>
      </c>
      <c r="F32" s="91"/>
      <c r="G32" s="91">
        <f>PRODUCT(C32:F32)</f>
        <v>0.72</v>
      </c>
      <c r="H32" s="92"/>
      <c r="I32" s="92"/>
      <c r="J32" s="91"/>
      <c r="K32" s="92"/>
    </row>
    <row r="33" spans="1:11" x14ac:dyDescent="0.25">
      <c r="A33" s="84"/>
      <c r="B33" s="94" t="s">
        <v>25</v>
      </c>
      <c r="C33" s="90"/>
      <c r="D33" s="91"/>
      <c r="E33" s="91"/>
      <c r="F33" s="91"/>
      <c r="G33" s="95">
        <f>SUM(G32)</f>
        <v>0.72</v>
      </c>
      <c r="H33" s="18" t="s">
        <v>26</v>
      </c>
      <c r="I33" s="96">
        <v>985.37</v>
      </c>
      <c r="J33" s="97">
        <f>G33*I33</f>
        <v>709.46640000000002</v>
      </c>
      <c r="K33" s="92"/>
    </row>
    <row r="34" spans="1:11" x14ac:dyDescent="0.25">
      <c r="A34" s="84"/>
      <c r="B34" s="94" t="s">
        <v>38</v>
      </c>
      <c r="C34" s="90"/>
      <c r="D34" s="91"/>
      <c r="E34" s="91"/>
      <c r="F34" s="91"/>
      <c r="G34" s="91"/>
      <c r="H34" s="18"/>
      <c r="I34" s="91"/>
      <c r="J34" s="97">
        <f>0.13*G33*(8353.81)/10</f>
        <v>78.191661600000003</v>
      </c>
      <c r="K34" s="92"/>
    </row>
    <row r="35" spans="1:11" x14ac:dyDescent="0.25">
      <c r="A35" s="84"/>
      <c r="B35" s="92"/>
      <c r="C35" s="90"/>
      <c r="D35" s="91"/>
      <c r="E35" s="91"/>
      <c r="F35" s="91"/>
      <c r="G35" s="91"/>
      <c r="H35" s="92"/>
      <c r="I35" s="91"/>
      <c r="J35" s="91"/>
      <c r="K35" s="92"/>
    </row>
    <row r="36" spans="1:11" s="1" customFormat="1" ht="30" x14ac:dyDescent="0.25">
      <c r="A36" s="84">
        <v>5</v>
      </c>
      <c r="B36" s="41" t="s">
        <v>39</v>
      </c>
      <c r="C36" s="90"/>
      <c r="D36" s="91"/>
      <c r="E36" s="91"/>
      <c r="F36" s="91"/>
      <c r="G36" s="91"/>
      <c r="H36" s="92"/>
      <c r="I36" s="91"/>
      <c r="J36" s="91"/>
      <c r="K36" s="92"/>
    </row>
    <row r="37" spans="1:11" x14ac:dyDescent="0.25">
      <c r="A37" s="84"/>
      <c r="B37" s="93" t="s">
        <v>37</v>
      </c>
      <c r="C37" s="90">
        <f>C32</f>
        <v>2</v>
      </c>
      <c r="D37" s="91">
        <f>D32</f>
        <v>0.6</v>
      </c>
      <c r="E37" s="91">
        <f>E32</f>
        <v>0.6</v>
      </c>
      <c r="F37" s="91">
        <v>0.05</v>
      </c>
      <c r="G37" s="91">
        <f>PRODUCT(C37:F37)</f>
        <v>3.5999999999999997E-2</v>
      </c>
      <c r="H37" s="92"/>
      <c r="I37" s="92"/>
      <c r="J37" s="91"/>
      <c r="K37" s="92"/>
    </row>
    <row r="38" spans="1:11" x14ac:dyDescent="0.25">
      <c r="A38" s="84"/>
      <c r="B38" s="94" t="s">
        <v>25</v>
      </c>
      <c r="C38" s="90"/>
      <c r="D38" s="91"/>
      <c r="E38" s="91"/>
      <c r="F38" s="91"/>
      <c r="G38" s="95">
        <f>SUM(G37:G37)</f>
        <v>3.5999999999999997E-2</v>
      </c>
      <c r="H38" s="84" t="s">
        <v>30</v>
      </c>
      <c r="I38" s="96">
        <v>13509.07</v>
      </c>
      <c r="J38" s="97">
        <f>G38*I38</f>
        <v>486.32651999999996</v>
      </c>
      <c r="K38" s="92"/>
    </row>
    <row r="39" spans="1:11" x14ac:dyDescent="0.25">
      <c r="A39" s="84"/>
      <c r="B39" s="94" t="s">
        <v>38</v>
      </c>
      <c r="C39" s="90"/>
      <c r="D39" s="91"/>
      <c r="E39" s="91"/>
      <c r="F39" s="91"/>
      <c r="G39" s="91"/>
      <c r="H39" s="92"/>
      <c r="I39" s="91"/>
      <c r="J39" s="97">
        <f>0.13*G38*(8709.07)</f>
        <v>40.758447599999997</v>
      </c>
      <c r="K39" s="92"/>
    </row>
    <row r="40" spans="1:11" x14ac:dyDescent="0.25">
      <c r="A40" s="84"/>
      <c r="B40" s="94"/>
      <c r="C40" s="90"/>
      <c r="D40" s="91"/>
      <c r="E40" s="91"/>
      <c r="F40" s="91"/>
      <c r="G40" s="91"/>
      <c r="H40" s="92"/>
      <c r="I40" s="91"/>
      <c r="J40" s="97"/>
      <c r="K40" s="92"/>
    </row>
    <row r="41" spans="1:11" ht="45" x14ac:dyDescent="0.25">
      <c r="A41" s="12">
        <v>6</v>
      </c>
      <c r="B41" s="41" t="s">
        <v>40</v>
      </c>
      <c r="C41" s="90" t="s">
        <v>11</v>
      </c>
      <c r="D41" s="98" t="s">
        <v>41</v>
      </c>
      <c r="E41" s="98" t="s">
        <v>42</v>
      </c>
      <c r="F41" s="98" t="s">
        <v>43</v>
      </c>
      <c r="G41" s="98" t="s">
        <v>44</v>
      </c>
      <c r="H41" s="84"/>
      <c r="I41" s="95"/>
      <c r="J41" s="95"/>
      <c r="K41" s="16"/>
    </row>
    <row r="42" spans="1:11" ht="15" customHeight="1" x14ac:dyDescent="0.25">
      <c r="A42" s="12"/>
      <c r="B42" s="99" t="s">
        <v>37</v>
      </c>
      <c r="C42" s="14">
        <f>2*2*(TRUNC(22/6,0)+1)</f>
        <v>16</v>
      </c>
      <c r="D42" s="91">
        <f>24/12/3.281</f>
        <v>0.6095702529716549</v>
      </c>
      <c r="E42" s="91">
        <f>12*12/162</f>
        <v>0.88888888888888884</v>
      </c>
      <c r="F42" s="91">
        <f t="shared" ref="F42:F46" si="3">PRODUCT(C42:E42)</f>
        <v>8.6694435978190914</v>
      </c>
      <c r="G42" s="100">
        <f t="shared" ref="G42:G46" si="4">F42/1000</f>
        <v>8.6694435978190917E-3</v>
      </c>
      <c r="H42" s="18"/>
      <c r="I42" s="19"/>
      <c r="J42" s="95"/>
      <c r="K42" s="16"/>
    </row>
    <row r="43" spans="1:11" ht="15" customHeight="1" x14ac:dyDescent="0.25">
      <c r="A43" s="12"/>
      <c r="B43" s="99" t="s">
        <v>45</v>
      </c>
      <c r="C43" s="14">
        <f>4*2</f>
        <v>8</v>
      </c>
      <c r="D43" s="91">
        <f>(6.5+0.583)/3.281</f>
        <v>2.1587930508991162</v>
      </c>
      <c r="E43" s="91">
        <f>12*12/162</f>
        <v>0.88888888888888884</v>
      </c>
      <c r="F43" s="91">
        <f t="shared" si="3"/>
        <v>15.351417250838159</v>
      </c>
      <c r="G43" s="100">
        <f t="shared" si="4"/>
        <v>1.5351417250838158E-2</v>
      </c>
      <c r="H43" s="18"/>
      <c r="I43" s="19"/>
      <c r="J43" s="95"/>
      <c r="K43" s="16"/>
    </row>
    <row r="44" spans="1:11" ht="15" customHeight="1" x14ac:dyDescent="0.25">
      <c r="A44" s="12"/>
      <c r="B44" s="99" t="s">
        <v>46</v>
      </c>
      <c r="C44" s="14">
        <f>TRUNC((6.12/0.5),0)</f>
        <v>12</v>
      </c>
      <c r="D44" s="91">
        <f>(0.33+0.33+0.33+0.33+0.083*2)/3.281</f>
        <v>0.45291069795793965</v>
      </c>
      <c r="E44" s="91">
        <f>8*8/162</f>
        <v>0.39506172839506171</v>
      </c>
      <c r="F44" s="91">
        <f t="shared" si="3"/>
        <v>2.1471321977265285</v>
      </c>
      <c r="G44" s="100">
        <f t="shared" si="4"/>
        <v>2.1471321977265287E-3</v>
      </c>
      <c r="H44" s="18"/>
      <c r="I44" s="19"/>
      <c r="J44" s="95"/>
      <c r="K44" s="16"/>
    </row>
    <row r="45" spans="1:11" ht="15" hidden="1" customHeight="1" x14ac:dyDescent="0.25">
      <c r="A45" s="12"/>
      <c r="B45" s="99" t="s">
        <v>47</v>
      </c>
      <c r="C45" s="14">
        <f>0*TRUNC(10.75/0.5,0)</f>
        <v>0</v>
      </c>
      <c r="D45" s="91">
        <f>30/3.281</f>
        <v>9.1435537945748244</v>
      </c>
      <c r="E45" s="91">
        <f>8*8/162</f>
        <v>0.39506172839506171</v>
      </c>
      <c r="F45" s="91">
        <f t="shared" si="3"/>
        <v>0</v>
      </c>
      <c r="G45" s="100">
        <f t="shared" si="4"/>
        <v>0</v>
      </c>
      <c r="H45" s="18"/>
      <c r="I45" s="19"/>
      <c r="J45" s="95"/>
      <c r="K45" s="16"/>
    </row>
    <row r="46" spans="1:11" ht="15" hidden="1" customHeight="1" x14ac:dyDescent="0.25">
      <c r="A46" s="12"/>
      <c r="B46" s="99"/>
      <c r="C46" s="14">
        <f>0*TRUNC(30/0.5,0)</f>
        <v>0</v>
      </c>
      <c r="D46" s="91">
        <f>10.75/3.281</f>
        <v>3.2764401097226452</v>
      </c>
      <c r="E46" s="91">
        <f>8*8/162</f>
        <v>0.39506172839506171</v>
      </c>
      <c r="F46" s="91">
        <f t="shared" si="3"/>
        <v>0</v>
      </c>
      <c r="G46" s="100">
        <f t="shared" si="4"/>
        <v>0</v>
      </c>
      <c r="H46" s="18"/>
      <c r="I46" s="19"/>
      <c r="J46" s="95"/>
      <c r="K46" s="16"/>
    </row>
    <row r="47" spans="1:11" ht="15" customHeight="1" x14ac:dyDescent="0.25">
      <c r="A47" s="84"/>
      <c r="B47" s="99" t="s">
        <v>25</v>
      </c>
      <c r="C47" s="90"/>
      <c r="D47" s="91"/>
      <c r="E47" s="91"/>
      <c r="F47" s="91"/>
      <c r="G47" s="95">
        <f>SUM(G42:G46)</f>
        <v>2.6167993046383779E-2</v>
      </c>
      <c r="H47" s="95" t="s">
        <v>48</v>
      </c>
      <c r="I47" s="96">
        <v>130210</v>
      </c>
      <c r="J47" s="97">
        <f>G47*I47</f>
        <v>3407.334374569632</v>
      </c>
      <c r="K47" s="92"/>
    </row>
    <row r="48" spans="1:11" ht="15" customHeight="1" x14ac:dyDescent="0.25">
      <c r="A48" s="12"/>
      <c r="B48" s="99" t="s">
        <v>49</v>
      </c>
      <c r="C48" s="14"/>
      <c r="D48" s="15"/>
      <c r="E48" s="16"/>
      <c r="F48" s="16"/>
      <c r="G48" s="19"/>
      <c r="H48" s="18"/>
      <c r="I48" s="19"/>
      <c r="J48" s="95">
        <f>0.13*G47*105010</f>
        <v>357.2271234740989</v>
      </c>
      <c r="K48" s="16"/>
    </row>
    <row r="49" spans="1:14" ht="15" customHeight="1" x14ac:dyDescent="0.25">
      <c r="A49" s="12"/>
      <c r="B49" s="99"/>
      <c r="C49" s="14"/>
      <c r="D49" s="15"/>
      <c r="E49" s="16"/>
      <c r="F49" s="16"/>
      <c r="G49" s="19"/>
      <c r="H49" s="18"/>
      <c r="I49" s="19"/>
      <c r="J49" s="95"/>
      <c r="K49" s="16"/>
    </row>
    <row r="50" spans="1:14" s="1" customFormat="1" ht="30" x14ac:dyDescent="0.25">
      <c r="A50" s="12">
        <v>7</v>
      </c>
      <c r="B50" s="41" t="s">
        <v>50</v>
      </c>
      <c r="C50" s="14"/>
      <c r="D50" s="15"/>
      <c r="E50" s="16"/>
      <c r="F50" s="16"/>
      <c r="G50" s="19"/>
      <c r="H50" s="18"/>
      <c r="I50" s="19"/>
      <c r="J50" s="95"/>
      <c r="K50" s="16"/>
    </row>
    <row r="51" spans="1:14" x14ac:dyDescent="0.25">
      <c r="A51" s="84"/>
      <c r="B51" s="93" t="s">
        <v>45</v>
      </c>
      <c r="C51" s="90">
        <v>2</v>
      </c>
      <c r="D51" s="91">
        <v>0.15</v>
      </c>
      <c r="E51" s="91">
        <v>0.15</v>
      </c>
      <c r="F51" s="91">
        <f>6.5/3.281</f>
        <v>1.9811033221578787</v>
      </c>
      <c r="G51" s="91">
        <f>PRODUCT(C51:F51)</f>
        <v>8.9149649497104536E-2</v>
      </c>
      <c r="H51" s="92"/>
      <c r="I51" s="92"/>
      <c r="J51" s="91"/>
      <c r="K51" s="92"/>
    </row>
    <row r="52" spans="1:14" hidden="1" x14ac:dyDescent="0.25">
      <c r="A52" s="84"/>
      <c r="B52" s="93" t="s">
        <v>51</v>
      </c>
      <c r="C52" s="90">
        <f>0*2</f>
        <v>0</v>
      </c>
      <c r="D52" s="91">
        <f>15/3.281</f>
        <v>4.5717768972874122</v>
      </c>
      <c r="E52" s="91">
        <f>10.75/3.281</f>
        <v>3.2764401097226452</v>
      </c>
      <c r="F52" s="91">
        <v>0.05</v>
      </c>
      <c r="G52" s="91">
        <f>PRODUCT(C52:F52)</f>
        <v>0</v>
      </c>
      <c r="H52" s="92"/>
      <c r="I52" s="92"/>
      <c r="J52" s="91"/>
      <c r="K52" s="92"/>
    </row>
    <row r="53" spans="1:14" ht="15" customHeight="1" x14ac:dyDescent="0.25">
      <c r="A53" s="84"/>
      <c r="B53" s="99" t="s">
        <v>25</v>
      </c>
      <c r="C53" s="90"/>
      <c r="D53" s="91"/>
      <c r="E53" s="91"/>
      <c r="F53" s="91"/>
      <c r="G53" s="95">
        <f>SUM(G51:G52)</f>
        <v>8.9149649497104536E-2</v>
      </c>
      <c r="H53" s="95" t="s">
        <v>30</v>
      </c>
      <c r="I53" s="96">
        <v>14200.82</v>
      </c>
      <c r="J53" s="97">
        <f>G53*I53</f>
        <v>1265.998125571472</v>
      </c>
      <c r="K53" s="92"/>
    </row>
    <row r="54" spans="1:14" ht="15" customHeight="1" x14ac:dyDescent="0.25">
      <c r="A54" s="12"/>
      <c r="B54" s="99" t="s">
        <v>52</v>
      </c>
      <c r="C54" s="14"/>
      <c r="D54" s="15"/>
      <c r="E54" s="16"/>
      <c r="F54" s="16"/>
      <c r="G54" s="19"/>
      <c r="H54" s="18"/>
      <c r="I54" s="19"/>
      <c r="J54" s="95">
        <f>0.13*G53*10250.02</f>
        <v>118.79213974398048</v>
      </c>
      <c r="K54" s="16"/>
    </row>
    <row r="55" spans="1:14" ht="15" customHeight="1" x14ac:dyDescent="0.25">
      <c r="A55" s="12"/>
      <c r="B55" s="99"/>
      <c r="C55" s="14"/>
      <c r="D55" s="15"/>
      <c r="E55" s="16"/>
      <c r="F55" s="16"/>
      <c r="G55" s="19"/>
      <c r="H55" s="18"/>
      <c r="I55" s="19"/>
      <c r="J55" s="95"/>
      <c r="K55" s="16"/>
    </row>
    <row r="56" spans="1:14" ht="30.75" x14ac:dyDescent="0.25">
      <c r="A56" s="84">
        <v>8</v>
      </c>
      <c r="B56" s="11" t="s">
        <v>53</v>
      </c>
      <c r="C56" s="85"/>
      <c r="D56" s="80"/>
      <c r="E56" s="80"/>
      <c r="F56" s="80"/>
      <c r="G56" s="86"/>
      <c r="H56" s="86"/>
      <c r="I56" s="87"/>
      <c r="J56" s="88"/>
      <c r="K56" s="89"/>
      <c r="N56">
        <f>6.2*3.281+0.23*2</f>
        <v>20.802200000000003</v>
      </c>
    </row>
    <row r="57" spans="1:14" ht="15" customHeight="1" x14ac:dyDescent="0.25">
      <c r="A57" s="84"/>
      <c r="B57" s="82" t="s">
        <v>54</v>
      </c>
      <c r="C57" s="85">
        <v>2</v>
      </c>
      <c r="D57" s="80">
        <f>(10.75/3.281)</f>
        <v>3.2764401097226452</v>
      </c>
      <c r="E57" s="80">
        <f>0.1</f>
        <v>0.1</v>
      </c>
      <c r="F57" s="80">
        <v>0.9</v>
      </c>
      <c r="G57" s="80">
        <f>PRODUCT(C57:F57)</f>
        <v>0.58975921975007617</v>
      </c>
      <c r="H57" s="80"/>
      <c r="I57" s="80"/>
      <c r="J57" s="97"/>
      <c r="K57" s="89"/>
    </row>
    <row r="58" spans="1:14" ht="15" customHeight="1" x14ac:dyDescent="0.25">
      <c r="A58" s="84"/>
      <c r="B58" s="82"/>
      <c r="C58" s="85">
        <v>2</v>
      </c>
      <c r="D58" s="80">
        <f>(6.2)</f>
        <v>6.2</v>
      </c>
      <c r="E58" s="80">
        <v>0.23</v>
      </c>
      <c r="F58" s="80">
        <v>0.9</v>
      </c>
      <c r="G58" s="80">
        <f>PRODUCT(C58:F58)</f>
        <v>2.5668000000000002</v>
      </c>
      <c r="H58" s="80"/>
      <c r="I58" s="80"/>
      <c r="J58" s="97"/>
      <c r="K58" s="89"/>
    </row>
    <row r="59" spans="1:14" ht="15" customHeight="1" x14ac:dyDescent="0.25">
      <c r="A59" s="84"/>
      <c r="B59" s="82" t="s">
        <v>68</v>
      </c>
      <c r="C59" s="85">
        <v>-2</v>
      </c>
      <c r="D59" s="80">
        <f>2/3.281</f>
        <v>0.6095702529716549</v>
      </c>
      <c r="E59" s="80">
        <f>E57</f>
        <v>0.1</v>
      </c>
      <c r="F59" s="80">
        <f>3/3.281</f>
        <v>0.91435537945748246</v>
      </c>
      <c r="G59" s="80">
        <f>PRODUCT(C59:F59)</f>
        <v>-0.11147276799237822</v>
      </c>
      <c r="H59" s="80"/>
      <c r="I59" s="80"/>
      <c r="J59" s="97"/>
      <c r="K59" s="89"/>
    </row>
    <row r="60" spans="1:14" ht="15" customHeight="1" x14ac:dyDescent="0.25">
      <c r="A60" s="84"/>
      <c r="B60" s="82" t="s">
        <v>25</v>
      </c>
      <c r="C60" s="85"/>
      <c r="D60" s="80"/>
      <c r="E60" s="80"/>
      <c r="F60" s="80"/>
      <c r="G60" s="86">
        <f>SUM(G57:G59)</f>
        <v>3.0450864517576983</v>
      </c>
      <c r="H60" s="86" t="s">
        <v>30</v>
      </c>
      <c r="I60" s="87">
        <v>15375.48</v>
      </c>
      <c r="J60" s="88">
        <f>G60*I60</f>
        <v>46819.665837271452</v>
      </c>
      <c r="K60" s="89"/>
    </row>
    <row r="61" spans="1:14" ht="15" customHeight="1" x14ac:dyDescent="0.25">
      <c r="A61" s="12"/>
      <c r="B61" s="82" t="s">
        <v>49</v>
      </c>
      <c r="C61" s="14"/>
      <c r="D61" s="15"/>
      <c r="E61" s="16"/>
      <c r="F61" s="16"/>
      <c r="G61" s="19"/>
      <c r="H61" s="18"/>
      <c r="I61" s="19"/>
      <c r="J61" s="81">
        <f>0.13*G60*10946.58</f>
        <v>4333.3267186406329</v>
      </c>
      <c r="K61" s="16"/>
      <c r="M61" s="21"/>
      <c r="N61" s="21"/>
    </row>
    <row r="62" spans="1:14" ht="15" customHeight="1" x14ac:dyDescent="0.25">
      <c r="A62" s="84"/>
      <c r="B62" s="82"/>
      <c r="C62" s="85"/>
      <c r="D62" s="80"/>
      <c r="E62" s="80"/>
      <c r="F62" s="80"/>
      <c r="G62" s="86"/>
      <c r="H62" s="86"/>
      <c r="I62" s="87"/>
      <c r="J62" s="88"/>
      <c r="K62" s="89"/>
    </row>
    <row r="63" spans="1:14" ht="30.75" x14ac:dyDescent="0.25">
      <c r="A63" s="84">
        <v>9</v>
      </c>
      <c r="B63" s="11" t="s">
        <v>55</v>
      </c>
      <c r="C63" s="85"/>
      <c r="D63" s="80"/>
      <c r="E63" s="80"/>
      <c r="F63" s="80"/>
      <c r="G63" s="86"/>
      <c r="H63" s="86"/>
      <c r="I63" s="87"/>
      <c r="J63" s="88"/>
      <c r="K63" s="89"/>
    </row>
    <row r="64" spans="1:14" ht="15" customHeight="1" x14ac:dyDescent="0.25">
      <c r="A64" s="84"/>
      <c r="B64" s="82" t="s">
        <v>56</v>
      </c>
      <c r="C64" s="85">
        <v>2</v>
      </c>
      <c r="D64" s="80">
        <f>24/12/3.281</f>
        <v>0.6095702529716549</v>
      </c>
      <c r="E64" s="80">
        <f>24/12/3.281</f>
        <v>0.6095702529716549</v>
      </c>
      <c r="F64" s="80">
        <f>24/12/3.281</f>
        <v>0.6095702529716549</v>
      </c>
      <c r="G64" s="80">
        <f>PRODUCT(C64:F64)</f>
        <v>0.45300322256376385</v>
      </c>
      <c r="H64" s="80"/>
      <c r="I64" s="80"/>
      <c r="J64" s="97"/>
      <c r="K64" s="89"/>
    </row>
    <row r="65" spans="1:14" ht="15" customHeight="1" x14ac:dyDescent="0.25">
      <c r="A65" s="84"/>
      <c r="B65" s="82" t="s">
        <v>57</v>
      </c>
      <c r="C65" s="85">
        <v>-2</v>
      </c>
      <c r="D65" s="80">
        <f>0.15</f>
        <v>0.15</v>
      </c>
      <c r="E65" s="80">
        <f>0.15</f>
        <v>0.15</v>
      </c>
      <c r="F65" s="80">
        <f>24/12/3.281</f>
        <v>0.6095702529716549</v>
      </c>
      <c r="G65" s="80">
        <f>PRODUCT(C65:F65)</f>
        <v>-2.7430661383724471E-2</v>
      </c>
      <c r="H65" s="80"/>
      <c r="I65" s="80"/>
      <c r="J65" s="97"/>
      <c r="K65" s="89"/>
    </row>
    <row r="66" spans="1:14" ht="15" customHeight="1" x14ac:dyDescent="0.25">
      <c r="A66" s="84"/>
      <c r="B66" s="82" t="s">
        <v>25</v>
      </c>
      <c r="C66" s="85"/>
      <c r="D66" s="80"/>
      <c r="E66" s="80"/>
      <c r="F66" s="80"/>
      <c r="G66" s="86">
        <f>SUM(G64:G65)</f>
        <v>0.42557256118003939</v>
      </c>
      <c r="H66" s="86" t="s">
        <v>30</v>
      </c>
      <c r="I66" s="87">
        <v>14520.78</v>
      </c>
      <c r="J66" s="88">
        <f>G66*I66</f>
        <v>6179.6455349318931</v>
      </c>
      <c r="K66" s="89"/>
    </row>
    <row r="67" spans="1:14" ht="15" customHeight="1" x14ac:dyDescent="0.25">
      <c r="A67" s="12"/>
      <c r="B67" s="82" t="s">
        <v>49</v>
      </c>
      <c r="C67" s="14"/>
      <c r="D67" s="15"/>
      <c r="E67" s="16"/>
      <c r="F67" s="16"/>
      <c r="G67" s="19"/>
      <c r="H67" s="18"/>
      <c r="I67" s="19"/>
      <c r="J67" s="81">
        <f>0.13*G66*10555.39</f>
        <v>583.97096635204286</v>
      </c>
      <c r="K67" s="16"/>
      <c r="M67" s="21"/>
      <c r="N67" s="21"/>
    </row>
    <row r="68" spans="1:14" ht="15" customHeight="1" x14ac:dyDescent="0.25">
      <c r="A68" s="84"/>
      <c r="B68" s="82"/>
      <c r="C68" s="85"/>
      <c r="D68" s="80"/>
      <c r="E68" s="80"/>
      <c r="F68" s="80"/>
      <c r="G68" s="86"/>
      <c r="H68" s="86"/>
      <c r="I68" s="87"/>
      <c r="J68" s="88"/>
      <c r="K68" s="89"/>
    </row>
    <row r="69" spans="1:14" ht="47.25" x14ac:dyDescent="0.25">
      <c r="A69" s="12">
        <v>10</v>
      </c>
      <c r="B69" s="23" t="s">
        <v>58</v>
      </c>
      <c r="C69" s="89"/>
      <c r="D69" s="89"/>
      <c r="E69" s="89"/>
      <c r="F69" s="89"/>
      <c r="G69" s="101"/>
      <c r="H69" s="18"/>
      <c r="I69" s="19"/>
      <c r="J69" s="19"/>
      <c r="K69" s="16"/>
      <c r="M69" s="21"/>
    </row>
    <row r="70" spans="1:14" ht="15" hidden="1" customHeight="1" x14ac:dyDescent="0.25">
      <c r="A70" s="12"/>
      <c r="B70" s="13" t="s">
        <v>59</v>
      </c>
      <c r="C70" s="14">
        <f>1*0</f>
        <v>0</v>
      </c>
      <c r="D70" s="15"/>
      <c r="E70" s="16">
        <f>10.75/3.281</f>
        <v>3.2764401097226452</v>
      </c>
      <c r="F70" s="16">
        <f>(9.42+7.75)/3.281</f>
        <v>5.233160621761658</v>
      </c>
      <c r="G70" s="80">
        <f t="shared" ref="G70:G75" si="5">PRODUCT(C70:F70)</f>
        <v>0</v>
      </c>
      <c r="H70" s="18"/>
      <c r="I70" s="19"/>
      <c r="J70" s="81"/>
      <c r="K70" s="16"/>
      <c r="M70" s="21"/>
      <c r="N70" s="21"/>
    </row>
    <row r="71" spans="1:14" ht="15" hidden="1" customHeight="1" x14ac:dyDescent="0.25">
      <c r="A71" s="12"/>
      <c r="B71" s="13" t="s">
        <v>22</v>
      </c>
      <c r="C71" s="14">
        <f>0*-1</f>
        <v>0</v>
      </c>
      <c r="D71" s="15">
        <f>3.5/3.281</f>
        <v>1.0667479427003961</v>
      </c>
      <c r="E71" s="16"/>
      <c r="F71" s="16">
        <f>4.5/3.281</f>
        <v>1.3715330691862238</v>
      </c>
      <c r="G71" s="80">
        <f t="shared" si="5"/>
        <v>0</v>
      </c>
      <c r="H71" s="18"/>
      <c r="I71" s="19"/>
      <c r="J71" s="81"/>
      <c r="K71" s="16"/>
      <c r="M71" s="21"/>
      <c r="N71" s="21"/>
    </row>
    <row r="72" spans="1:14" ht="15" hidden="1" customHeight="1" x14ac:dyDescent="0.25">
      <c r="A72" s="12"/>
      <c r="B72" s="13" t="s">
        <v>23</v>
      </c>
      <c r="C72" s="14">
        <f>0*-1</f>
        <v>0</v>
      </c>
      <c r="D72" s="15">
        <f>3.833/3.281</f>
        <v>1.1682413898201769</v>
      </c>
      <c r="E72" s="16"/>
      <c r="F72" s="16">
        <f>6.5/3.281</f>
        <v>1.9811033221578787</v>
      </c>
      <c r="G72" s="80">
        <f t="shared" si="5"/>
        <v>0</v>
      </c>
      <c r="H72" s="18"/>
      <c r="I72" s="19"/>
      <c r="J72" s="81"/>
      <c r="K72" s="16"/>
      <c r="M72" s="21"/>
      <c r="N72" s="21"/>
    </row>
    <row r="73" spans="1:14" ht="15" hidden="1" customHeight="1" x14ac:dyDescent="0.25">
      <c r="A73" s="12"/>
      <c r="B73" s="13" t="s">
        <v>60</v>
      </c>
      <c r="C73" s="14">
        <f>0*1</f>
        <v>0</v>
      </c>
      <c r="D73" s="15"/>
      <c r="E73" s="16">
        <f>(5.75)/3.281</f>
        <v>1.752514477293508</v>
      </c>
      <c r="F73" s="16">
        <f>(9.42+7.75)/3.281</f>
        <v>5.233160621761658</v>
      </c>
      <c r="G73" s="80">
        <f t="shared" si="5"/>
        <v>0</v>
      </c>
      <c r="H73" s="18"/>
      <c r="I73" s="19"/>
      <c r="J73" s="81"/>
      <c r="K73" s="16"/>
      <c r="M73" s="21"/>
      <c r="N73" s="21"/>
    </row>
    <row r="74" spans="1:14" ht="15" hidden="1" customHeight="1" x14ac:dyDescent="0.25">
      <c r="A74" s="12"/>
      <c r="B74" s="13" t="s">
        <v>61</v>
      </c>
      <c r="C74" s="14">
        <f>0*-1</f>
        <v>0</v>
      </c>
      <c r="D74" s="15">
        <f>E70+E73</f>
        <v>5.0289545870161536</v>
      </c>
      <c r="E74" s="16"/>
      <c r="F74" s="16">
        <f>13*0.15</f>
        <v>1.95</v>
      </c>
      <c r="G74" s="80">
        <f t="shared" si="5"/>
        <v>0</v>
      </c>
      <c r="H74" s="18"/>
      <c r="I74" s="19"/>
      <c r="J74" s="81"/>
      <c r="K74" s="16"/>
      <c r="M74" s="21"/>
      <c r="N74" s="21"/>
    </row>
    <row r="75" spans="1:14" ht="15" hidden="1" customHeight="1" x14ac:dyDescent="0.25">
      <c r="A75" s="12"/>
      <c r="B75" s="13"/>
      <c r="C75" s="14">
        <f>0*-1</f>
        <v>0</v>
      </c>
      <c r="D75" s="15">
        <f>D74</f>
        <v>5.0289545870161536</v>
      </c>
      <c r="E75" s="16"/>
      <c r="F75" s="16">
        <f>8/12/3.281</f>
        <v>0.20319008432388497</v>
      </c>
      <c r="G75" s="80">
        <f t="shared" si="5"/>
        <v>0</v>
      </c>
      <c r="H75" s="18"/>
      <c r="I75" s="19"/>
      <c r="J75" s="81"/>
      <c r="K75" s="16"/>
      <c r="M75" s="21"/>
      <c r="N75" s="21"/>
    </row>
    <row r="76" spans="1:14" s="53" customFormat="1" ht="15" hidden="1" customHeight="1" x14ac:dyDescent="0.25">
      <c r="A76" s="84"/>
      <c r="B76" s="82" t="s">
        <v>62</v>
      </c>
      <c r="C76" s="85">
        <f>0*1</f>
        <v>0</v>
      </c>
      <c r="D76" s="80">
        <f>2.75+6.2+6.2+2.6</f>
        <v>17.75</v>
      </c>
      <c r="E76" s="80"/>
      <c r="F76" s="80">
        <f>2.6</f>
        <v>2.6</v>
      </c>
      <c r="G76" s="80">
        <f>PRODUCT(C76:F76)</f>
        <v>0</v>
      </c>
      <c r="H76" s="80"/>
      <c r="I76" s="80"/>
      <c r="J76" s="97"/>
      <c r="K76" s="89"/>
    </row>
    <row r="77" spans="1:14" s="53" customFormat="1" ht="15" hidden="1" customHeight="1" x14ac:dyDescent="0.25">
      <c r="A77" s="84"/>
      <c r="B77" s="82" t="s">
        <v>63</v>
      </c>
      <c r="C77" s="85">
        <f>0*-1</f>
        <v>0</v>
      </c>
      <c r="D77" s="80">
        <f>4/3.281</f>
        <v>1.2191405059433098</v>
      </c>
      <c r="E77" s="80"/>
      <c r="F77" s="80">
        <f>6.5/3.281</f>
        <v>1.9811033221578787</v>
      </c>
      <c r="G77" s="80">
        <f t="shared" ref="G77:G90" si="6">PRODUCT(C77:F77)</f>
        <v>0</v>
      </c>
      <c r="H77" s="80"/>
      <c r="I77" s="80"/>
      <c r="J77" s="97"/>
      <c r="K77" s="89"/>
    </row>
    <row r="78" spans="1:14" s="53" customFormat="1" ht="15" hidden="1" customHeight="1" x14ac:dyDescent="0.25">
      <c r="A78" s="84"/>
      <c r="B78" s="82" t="s">
        <v>64</v>
      </c>
      <c r="C78" s="85">
        <f>0*-0.5*8</f>
        <v>0</v>
      </c>
      <c r="D78" s="80">
        <f>0.667/3.281</f>
        <v>0.20329167936604695</v>
      </c>
      <c r="E78" s="80">
        <f>0.667/3.281</f>
        <v>0.20329167936604695</v>
      </c>
      <c r="F78" s="80"/>
      <c r="G78" s="80">
        <f t="shared" si="6"/>
        <v>0</v>
      </c>
      <c r="H78" s="80"/>
      <c r="I78" s="80"/>
      <c r="J78" s="97"/>
      <c r="K78" s="89"/>
    </row>
    <row r="79" spans="1:14" s="53" customFormat="1" ht="15" hidden="1" customHeight="1" x14ac:dyDescent="0.25">
      <c r="A79" s="84"/>
      <c r="B79" s="82" t="s">
        <v>65</v>
      </c>
      <c r="C79" s="85">
        <f>0*2</f>
        <v>0</v>
      </c>
      <c r="D79" s="80">
        <f>2.6</f>
        <v>2.6</v>
      </c>
      <c r="E79" s="80"/>
      <c r="F79" s="80">
        <f>2.6</f>
        <v>2.6</v>
      </c>
      <c r="G79" s="80">
        <f t="shared" si="6"/>
        <v>0</v>
      </c>
      <c r="H79" s="80"/>
      <c r="I79" s="80"/>
      <c r="J79" s="97"/>
      <c r="K79" s="89"/>
    </row>
    <row r="80" spans="1:14" s="53" customFormat="1" ht="15" hidden="1" customHeight="1" x14ac:dyDescent="0.25">
      <c r="A80" s="84"/>
      <c r="B80" s="82"/>
      <c r="C80" s="85">
        <f>0*2</f>
        <v>0</v>
      </c>
      <c r="D80" s="80">
        <f>6.2-D79</f>
        <v>3.6</v>
      </c>
      <c r="E80" s="80"/>
      <c r="F80" s="80">
        <f>2.6</f>
        <v>2.6</v>
      </c>
      <c r="G80" s="80">
        <f t="shared" si="6"/>
        <v>0</v>
      </c>
      <c r="H80" s="80"/>
      <c r="I80" s="80"/>
      <c r="J80" s="97"/>
      <c r="K80" s="89"/>
    </row>
    <row r="81" spans="1:14" s="53" customFormat="1" ht="15" hidden="1" customHeight="1" x14ac:dyDescent="0.25">
      <c r="A81" s="84"/>
      <c r="B81" s="82" t="s">
        <v>22</v>
      </c>
      <c r="C81" s="85">
        <f>0*-1</f>
        <v>0</v>
      </c>
      <c r="D81" s="80">
        <f>3.5/3.281</f>
        <v>1.0667479427003961</v>
      </c>
      <c r="E81" s="80"/>
      <c r="F81" s="80">
        <f>4.5/3.281</f>
        <v>1.3715330691862238</v>
      </c>
      <c r="G81" s="80">
        <f t="shared" si="6"/>
        <v>0</v>
      </c>
      <c r="H81" s="80"/>
      <c r="I81" s="80"/>
      <c r="J81" s="97"/>
      <c r="K81" s="89"/>
    </row>
    <row r="82" spans="1:14" s="53" customFormat="1" ht="15" hidden="1" customHeight="1" x14ac:dyDescent="0.25">
      <c r="A82" s="84"/>
      <c r="B82" s="82" t="s">
        <v>66</v>
      </c>
      <c r="C82" s="85">
        <f>0*1</f>
        <v>0</v>
      </c>
      <c r="D82" s="80">
        <f>10.75/3.281</f>
        <v>3.2764401097226452</v>
      </c>
      <c r="E82" s="80"/>
      <c r="F82" s="80">
        <v>0.9</v>
      </c>
      <c r="G82" s="80">
        <f t="shared" si="6"/>
        <v>0</v>
      </c>
      <c r="H82" s="80"/>
      <c r="I82" s="80"/>
      <c r="J82" s="97"/>
      <c r="K82" s="89"/>
    </row>
    <row r="83" spans="1:14" s="53" customFormat="1" ht="15" hidden="1" customHeight="1" x14ac:dyDescent="0.25">
      <c r="A83" s="84"/>
      <c r="B83" s="82"/>
      <c r="C83" s="85">
        <f>0*1</f>
        <v>0</v>
      </c>
      <c r="D83" s="80"/>
      <c r="E83" s="80">
        <f>E73</f>
        <v>1.752514477293508</v>
      </c>
      <c r="F83" s="80">
        <v>0.9</v>
      </c>
      <c r="G83" s="80">
        <f t="shared" si="6"/>
        <v>0</v>
      </c>
      <c r="H83" s="80"/>
      <c r="I83" s="80"/>
      <c r="J83" s="97"/>
      <c r="K83" s="89"/>
    </row>
    <row r="84" spans="1:14" s="53" customFormat="1" ht="15" hidden="1" customHeight="1" x14ac:dyDescent="0.25">
      <c r="A84" s="84"/>
      <c r="B84" s="82" t="s">
        <v>67</v>
      </c>
      <c r="C84" s="85">
        <f>0*2</f>
        <v>0</v>
      </c>
      <c r="D84" s="80">
        <f>D79</f>
        <v>2.6</v>
      </c>
      <c r="E84" s="80"/>
      <c r="F84" s="80">
        <v>0.9</v>
      </c>
      <c r="G84" s="80">
        <f t="shared" si="6"/>
        <v>0</v>
      </c>
      <c r="H84" s="80"/>
      <c r="I84" s="80"/>
      <c r="J84" s="97"/>
      <c r="K84" s="89"/>
    </row>
    <row r="85" spans="1:14" s="53" customFormat="1" ht="15" hidden="1" customHeight="1" x14ac:dyDescent="0.25">
      <c r="A85" s="84"/>
      <c r="B85" s="82"/>
      <c r="C85" s="85">
        <f>0*2</f>
        <v>0</v>
      </c>
      <c r="D85" s="80"/>
      <c r="E85" s="80">
        <v>6.2</v>
      </c>
      <c r="F85" s="80">
        <v>0.9</v>
      </c>
      <c r="G85" s="80">
        <f t="shared" si="6"/>
        <v>0</v>
      </c>
      <c r="H85" s="80"/>
      <c r="I85" s="80"/>
      <c r="J85" s="97"/>
      <c r="K85" s="89"/>
    </row>
    <row r="86" spans="1:14" s="53" customFormat="1" ht="15" hidden="1" customHeight="1" x14ac:dyDescent="0.25">
      <c r="A86" s="84"/>
      <c r="B86" s="82" t="s">
        <v>68</v>
      </c>
      <c r="C86" s="85">
        <f>0*-2</f>
        <v>0</v>
      </c>
      <c r="D86" s="80"/>
      <c r="E86" s="80">
        <f>3/3.281</f>
        <v>0.91435537945748246</v>
      </c>
      <c r="F86" s="80">
        <f>2/3.281</f>
        <v>0.6095702529716549</v>
      </c>
      <c r="G86" s="80">
        <f t="shared" si="6"/>
        <v>0</v>
      </c>
      <c r="H86" s="80"/>
      <c r="I86" s="80"/>
      <c r="J86" s="97"/>
      <c r="K86" s="89"/>
    </row>
    <row r="87" spans="1:14" s="53" customFormat="1" ht="15" customHeight="1" x14ac:dyDescent="0.25">
      <c r="A87" s="84"/>
      <c r="B87" s="82" t="s">
        <v>69</v>
      </c>
      <c r="C87" s="85">
        <f>2*4</f>
        <v>8</v>
      </c>
      <c r="D87" s="80">
        <f>16/12/3.281</f>
        <v>0.40638016864776993</v>
      </c>
      <c r="E87" s="80"/>
      <c r="F87" s="80">
        <f>5/3.281</f>
        <v>1.5239256324291375</v>
      </c>
      <c r="G87" s="80">
        <f t="shared" si="6"/>
        <v>4.9543452441056983</v>
      </c>
      <c r="H87" s="80"/>
      <c r="I87" s="80"/>
      <c r="J87" s="97"/>
      <c r="K87" s="89"/>
    </row>
    <row r="88" spans="1:14" s="53" customFormat="1" ht="15" customHeight="1" x14ac:dyDescent="0.25">
      <c r="A88" s="84"/>
      <c r="B88" s="82" t="s">
        <v>70</v>
      </c>
      <c r="C88" s="85">
        <f>-2*4</f>
        <v>-8</v>
      </c>
      <c r="D88" s="80">
        <f>16/12/3.281</f>
        <v>0.40638016864776993</v>
      </c>
      <c r="E88" s="80"/>
      <c r="F88" s="80">
        <f>8/12/3.281</f>
        <v>0.20319008432388497</v>
      </c>
      <c r="G88" s="80">
        <f t="shared" si="6"/>
        <v>-0.66057936588075972</v>
      </c>
      <c r="H88" s="80"/>
      <c r="I88" s="80"/>
      <c r="J88" s="97"/>
      <c r="K88" s="89"/>
    </row>
    <row r="89" spans="1:14" s="53" customFormat="1" ht="15" hidden="1" customHeight="1" x14ac:dyDescent="0.25">
      <c r="A89" s="84"/>
      <c r="B89" s="82" t="s">
        <v>71</v>
      </c>
      <c r="C89" s="85">
        <f>0*1</f>
        <v>0</v>
      </c>
      <c r="D89" s="80">
        <f>10.75/3.281</f>
        <v>3.2764401097226452</v>
      </c>
      <c r="E89" s="80"/>
      <c r="F89" s="80">
        <f>F70</f>
        <v>5.233160621761658</v>
      </c>
      <c r="G89" s="80">
        <f t="shared" si="6"/>
        <v>0</v>
      </c>
      <c r="H89" s="80"/>
      <c r="I89" s="80"/>
      <c r="J89" s="97"/>
      <c r="K89" s="89"/>
    </row>
    <row r="90" spans="1:14" s="53" customFormat="1" ht="15" hidden="1" customHeight="1" x14ac:dyDescent="0.25">
      <c r="A90" s="84"/>
      <c r="B90" s="82"/>
      <c r="C90" s="85">
        <f>0*1</f>
        <v>0</v>
      </c>
      <c r="D90" s="80">
        <f>10.75/3.281</f>
        <v>3.2764401097226452</v>
      </c>
      <c r="E90" s="80"/>
      <c r="F90" s="80">
        <f>F82</f>
        <v>0.9</v>
      </c>
      <c r="G90" s="80">
        <f t="shared" si="6"/>
        <v>0</v>
      </c>
      <c r="H90" s="80"/>
      <c r="I90" s="80"/>
      <c r="J90" s="97"/>
      <c r="K90" s="89"/>
    </row>
    <row r="91" spans="1:14" ht="15" customHeight="1" x14ac:dyDescent="0.25">
      <c r="A91" s="12"/>
      <c r="B91" s="82" t="s">
        <v>25</v>
      </c>
      <c r="C91" s="14"/>
      <c r="D91" s="15"/>
      <c r="E91" s="16"/>
      <c r="F91" s="16"/>
      <c r="G91" s="19">
        <f>SUM(G70:G90)</f>
        <v>4.2937658782249386</v>
      </c>
      <c r="H91" s="18" t="s">
        <v>26</v>
      </c>
      <c r="I91" s="19">
        <f>515448.67/100</f>
        <v>5154.4866999999995</v>
      </c>
      <c r="J91" s="81">
        <f>G91*I91</f>
        <v>22132.159112224264</v>
      </c>
      <c r="K91" s="16"/>
      <c r="M91" s="21"/>
      <c r="N91" s="21"/>
    </row>
    <row r="92" spans="1:14" ht="15" customHeight="1" x14ac:dyDescent="0.25">
      <c r="A92" s="12"/>
      <c r="B92" s="82" t="s">
        <v>49</v>
      </c>
      <c r="C92" s="14"/>
      <c r="D92" s="15"/>
      <c r="E92" s="16"/>
      <c r="F92" s="16"/>
      <c r="G92" s="19"/>
      <c r="H92" s="18"/>
      <c r="I92" s="19"/>
      <c r="J92" s="81">
        <f>G91*0.13*(328838.67/100)</f>
        <v>1835.5431388929321</v>
      </c>
      <c r="K92" s="16"/>
      <c r="M92" s="21"/>
      <c r="N92" s="21"/>
    </row>
    <row r="93" spans="1:14" ht="15" customHeight="1" x14ac:dyDescent="0.25">
      <c r="A93" s="12"/>
      <c r="B93" s="82"/>
      <c r="C93" s="14"/>
      <c r="D93" s="15"/>
      <c r="E93" s="16"/>
      <c r="F93" s="16"/>
      <c r="G93" s="19"/>
      <c r="H93" s="18"/>
      <c r="I93" s="19"/>
      <c r="J93" s="81"/>
      <c r="K93" s="16"/>
      <c r="M93" s="21"/>
      <c r="N93" s="21"/>
    </row>
    <row r="94" spans="1:14" ht="47.25" x14ac:dyDescent="0.25">
      <c r="A94" s="12">
        <v>11</v>
      </c>
      <c r="B94" s="23" t="s">
        <v>72</v>
      </c>
      <c r="C94" s="14"/>
      <c r="D94" s="15"/>
      <c r="E94" s="16"/>
      <c r="F94" s="16"/>
      <c r="G94" s="19"/>
      <c r="H94" s="18"/>
      <c r="I94" s="19"/>
      <c r="J94" s="81"/>
      <c r="K94" s="16"/>
      <c r="M94" s="21"/>
      <c r="N94" s="21"/>
    </row>
    <row r="95" spans="1:14" ht="15" hidden="1" customHeight="1" x14ac:dyDescent="0.25">
      <c r="A95" s="12"/>
      <c r="B95" s="82" t="s">
        <v>54</v>
      </c>
      <c r="C95" s="14">
        <f>(0*1+1*2)*0</f>
        <v>0</v>
      </c>
      <c r="D95" s="15">
        <f>E70+E73</f>
        <v>5.0289545870161536</v>
      </c>
      <c r="E95" s="16"/>
      <c r="F95" s="16"/>
      <c r="G95" s="80">
        <f>PRODUCT(C95:F95)</f>
        <v>0</v>
      </c>
      <c r="H95" s="18"/>
      <c r="I95" s="19"/>
      <c r="J95" s="81"/>
      <c r="K95" s="16"/>
      <c r="M95" s="21"/>
      <c r="N95" s="21"/>
    </row>
    <row r="96" spans="1:14" ht="15" customHeight="1" x14ac:dyDescent="0.25">
      <c r="A96" s="12"/>
      <c r="B96" s="82" t="s">
        <v>56</v>
      </c>
      <c r="C96" s="14">
        <v>2</v>
      </c>
      <c r="D96" s="15">
        <f>(24/12/3.281)*4</f>
        <v>2.4382810118866196</v>
      </c>
      <c r="E96" s="16"/>
      <c r="F96" s="16"/>
      <c r="G96" s="80">
        <f>PRODUCT(C96:F96)</f>
        <v>4.8765620237732392</v>
      </c>
      <c r="H96" s="18"/>
      <c r="I96" s="19"/>
      <c r="J96" s="81"/>
      <c r="K96" s="16"/>
      <c r="M96" s="21"/>
      <c r="N96" s="21"/>
    </row>
    <row r="97" spans="1:14" ht="15" customHeight="1" x14ac:dyDescent="0.25">
      <c r="A97" s="12"/>
      <c r="B97" s="82" t="s">
        <v>25</v>
      </c>
      <c r="C97" s="14"/>
      <c r="D97" s="15"/>
      <c r="E97" s="16"/>
      <c r="F97" s="16"/>
      <c r="G97" s="19">
        <f>SUM(G95:G96)</f>
        <v>4.8765620237732392</v>
      </c>
      <c r="H97" s="18" t="s">
        <v>73</v>
      </c>
      <c r="I97" s="19">
        <f>3932.81/10</f>
        <v>393.28100000000001</v>
      </c>
      <c r="J97" s="81">
        <f>G97*I97</f>
        <v>1917.8591892715633</v>
      </c>
      <c r="K97" s="16"/>
      <c r="M97" s="21"/>
      <c r="N97" s="21"/>
    </row>
    <row r="98" spans="1:14" ht="15" customHeight="1" x14ac:dyDescent="0.25">
      <c r="A98" s="12"/>
      <c r="B98" s="82" t="s">
        <v>49</v>
      </c>
      <c r="C98" s="14"/>
      <c r="D98" s="15"/>
      <c r="E98" s="16"/>
      <c r="F98" s="16"/>
      <c r="G98" s="19"/>
      <c r="H98" s="18"/>
      <c r="I98" s="19"/>
      <c r="J98" s="81">
        <f>G97*0.13*(2165.31/10)</f>
        <v>137.27049070405363</v>
      </c>
      <c r="K98" s="16"/>
      <c r="M98" s="21"/>
      <c r="N98" s="21"/>
    </row>
    <row r="99" spans="1:14" ht="15" customHeight="1" x14ac:dyDescent="0.25">
      <c r="A99" s="12"/>
      <c r="B99" s="82"/>
      <c r="C99" s="14"/>
      <c r="D99" s="15"/>
      <c r="E99" s="16"/>
      <c r="F99" s="16"/>
      <c r="G99" s="19"/>
      <c r="H99" s="18"/>
      <c r="I99" s="19"/>
      <c r="J99" s="81"/>
      <c r="K99" s="16"/>
      <c r="M99" s="21"/>
      <c r="N99" s="21"/>
    </row>
    <row r="100" spans="1:14" ht="30.75" customHeight="1" x14ac:dyDescent="0.25">
      <c r="A100" s="12">
        <v>12</v>
      </c>
      <c r="B100" s="23" t="s">
        <v>74</v>
      </c>
      <c r="C100" s="85"/>
      <c r="D100" s="80"/>
      <c r="E100" s="80"/>
      <c r="F100" s="80"/>
      <c r="G100" s="80"/>
      <c r="H100" s="80"/>
      <c r="I100" s="80"/>
      <c r="J100" s="97"/>
      <c r="K100" s="89"/>
    </row>
    <row r="101" spans="1:14" ht="15" hidden="1" customHeight="1" x14ac:dyDescent="0.25">
      <c r="A101" s="12"/>
      <c r="B101" s="82" t="s">
        <v>54</v>
      </c>
      <c r="C101" s="14">
        <f>0*1</f>
        <v>0</v>
      </c>
      <c r="D101" s="15">
        <f>D95</f>
        <v>5.0289545870161536</v>
      </c>
      <c r="E101" s="16"/>
      <c r="F101" s="16"/>
      <c r="G101" s="80">
        <f t="shared" ref="G101" si="7">PRODUCT(C101:F101)</f>
        <v>0</v>
      </c>
      <c r="H101" s="18"/>
      <c r="I101" s="19"/>
      <c r="J101" s="81"/>
      <c r="K101" s="16"/>
      <c r="M101" s="21"/>
      <c r="N101" s="21"/>
    </row>
    <row r="102" spans="1:14" ht="15" customHeight="1" x14ac:dyDescent="0.25">
      <c r="A102" s="12"/>
      <c r="B102" s="82" t="s">
        <v>56</v>
      </c>
      <c r="C102" s="14">
        <v>2</v>
      </c>
      <c r="D102" s="15">
        <f>(24/12/3.281)*4</f>
        <v>2.4382810118866196</v>
      </c>
      <c r="E102" s="16"/>
      <c r="F102" s="16"/>
      <c r="G102" s="80">
        <f>PRODUCT(C102:F102)</f>
        <v>4.8765620237732392</v>
      </c>
      <c r="H102" s="18"/>
      <c r="I102" s="19"/>
      <c r="J102" s="81"/>
      <c r="K102" s="16"/>
      <c r="M102" s="21"/>
      <c r="N102" s="21"/>
    </row>
    <row r="103" spans="1:14" ht="15" customHeight="1" x14ac:dyDescent="0.25">
      <c r="A103" s="12"/>
      <c r="B103" s="82" t="s">
        <v>25</v>
      </c>
      <c r="C103" s="14"/>
      <c r="D103" s="15"/>
      <c r="E103" s="16"/>
      <c r="F103" s="16"/>
      <c r="G103" s="19">
        <f>SUM(G101:G102)</f>
        <v>4.8765620237732392</v>
      </c>
      <c r="H103" s="18" t="s">
        <v>73</v>
      </c>
      <c r="I103" s="19">
        <f>4676.81/10</f>
        <v>467.68100000000004</v>
      </c>
      <c r="J103" s="81">
        <f>G103*I103</f>
        <v>2280.6754038402923</v>
      </c>
      <c r="K103" s="16"/>
      <c r="M103" s="21"/>
      <c r="N103" s="21"/>
    </row>
    <row r="104" spans="1:14" ht="15" customHeight="1" x14ac:dyDescent="0.25">
      <c r="A104" s="12"/>
      <c r="B104" s="82" t="s">
        <v>49</v>
      </c>
      <c r="C104" s="14"/>
      <c r="D104" s="15"/>
      <c r="E104" s="16"/>
      <c r="F104" s="16"/>
      <c r="G104" s="19"/>
      <c r="H104" s="18"/>
      <c r="I104" s="19"/>
      <c r="J104" s="81">
        <f>G103*0.13*(2909.31/10)</f>
        <v>184.43659859798839</v>
      </c>
      <c r="K104" s="16"/>
      <c r="M104" s="21"/>
      <c r="N104" s="21"/>
    </row>
    <row r="105" spans="1:14" ht="15" customHeight="1" x14ac:dyDescent="0.25">
      <c r="A105" s="12"/>
      <c r="B105" s="82"/>
      <c r="C105" s="14"/>
      <c r="D105" s="15"/>
      <c r="E105" s="16"/>
      <c r="F105" s="16"/>
      <c r="G105" s="19"/>
      <c r="H105" s="18"/>
      <c r="I105" s="19"/>
      <c r="J105" s="81"/>
      <c r="K105" s="16"/>
      <c r="M105" s="21"/>
      <c r="N105" s="21"/>
    </row>
    <row r="106" spans="1:14" ht="47.25" x14ac:dyDescent="0.25">
      <c r="A106" s="12">
        <v>13</v>
      </c>
      <c r="B106" s="23" t="s">
        <v>75</v>
      </c>
      <c r="C106" s="14"/>
      <c r="D106" s="15"/>
      <c r="E106" s="16"/>
      <c r="F106" s="16"/>
      <c r="G106" s="19"/>
      <c r="H106" s="18"/>
      <c r="I106" s="19"/>
      <c r="J106" s="81"/>
      <c r="K106" s="16"/>
      <c r="M106" s="21"/>
      <c r="N106" s="21"/>
    </row>
    <row r="107" spans="1:14" ht="15" hidden="1" customHeight="1" x14ac:dyDescent="0.25">
      <c r="A107" s="12"/>
      <c r="B107" s="82" t="s">
        <v>54</v>
      </c>
      <c r="C107" s="14">
        <f>0*(1*2+1*2)</f>
        <v>0</v>
      </c>
      <c r="D107" s="15">
        <f>D101</f>
        <v>5.0289545870161536</v>
      </c>
      <c r="E107" s="16"/>
      <c r="F107" s="16"/>
      <c r="G107" s="80">
        <f t="shared" ref="G107:G109" si="8">PRODUCT(C107:F107)</f>
        <v>0</v>
      </c>
      <c r="H107" s="18"/>
      <c r="I107" s="19"/>
      <c r="J107" s="81"/>
      <c r="K107" s="16"/>
      <c r="M107" s="21"/>
      <c r="N107" s="21"/>
    </row>
    <row r="108" spans="1:14" ht="15" hidden="1" customHeight="1" x14ac:dyDescent="0.25">
      <c r="A108" s="12"/>
      <c r="B108" s="13" t="s">
        <v>22</v>
      </c>
      <c r="C108" s="14">
        <f>0*-1</f>
        <v>0</v>
      </c>
      <c r="D108" s="15">
        <f>3.5/3.281</f>
        <v>1.0667479427003961</v>
      </c>
      <c r="E108" s="16"/>
      <c r="F108" s="16"/>
      <c r="G108" s="80">
        <f t="shared" si="8"/>
        <v>0</v>
      </c>
      <c r="H108" s="18"/>
      <c r="I108" s="19"/>
      <c r="J108" s="81"/>
      <c r="K108" s="16"/>
      <c r="M108" s="21"/>
      <c r="N108" s="21"/>
    </row>
    <row r="109" spans="1:14" ht="15" hidden="1" customHeight="1" x14ac:dyDescent="0.25">
      <c r="A109" s="12"/>
      <c r="B109" s="13" t="s">
        <v>23</v>
      </c>
      <c r="C109" s="14">
        <f>0*-1</f>
        <v>0</v>
      </c>
      <c r="D109" s="15">
        <f>3.833/3.281</f>
        <v>1.1682413898201769</v>
      </c>
      <c r="E109" s="16"/>
      <c r="F109" s="16"/>
      <c r="G109" s="80">
        <f t="shared" si="8"/>
        <v>0</v>
      </c>
      <c r="H109" s="18"/>
      <c r="I109" s="19"/>
      <c r="J109" s="81"/>
      <c r="K109" s="16"/>
      <c r="M109" s="21"/>
      <c r="N109" s="21"/>
    </row>
    <row r="110" spans="1:14" ht="15" customHeight="1" x14ac:dyDescent="0.25">
      <c r="A110" s="12"/>
      <c r="B110" s="82" t="s">
        <v>56</v>
      </c>
      <c r="C110" s="14">
        <f>2*2</f>
        <v>4</v>
      </c>
      <c r="D110" s="15">
        <f>(24/12/3.281)*4</f>
        <v>2.4382810118866196</v>
      </c>
      <c r="E110" s="16"/>
      <c r="F110" s="16"/>
      <c r="G110" s="80">
        <f>PRODUCT(C110:F110)</f>
        <v>9.7531240475464784</v>
      </c>
      <c r="H110" s="18"/>
      <c r="I110" s="19"/>
      <c r="J110" s="81"/>
      <c r="K110" s="16"/>
      <c r="M110" s="21"/>
      <c r="N110" s="21"/>
    </row>
    <row r="111" spans="1:14" ht="15" customHeight="1" x14ac:dyDescent="0.25">
      <c r="A111" s="12"/>
      <c r="B111" s="82" t="s">
        <v>25</v>
      </c>
      <c r="C111" s="14"/>
      <c r="D111" s="15"/>
      <c r="E111" s="16"/>
      <c r="F111" s="16"/>
      <c r="G111" s="19">
        <f>SUM(G107:G110)</f>
        <v>9.7531240475464784</v>
      </c>
      <c r="H111" s="18" t="s">
        <v>73</v>
      </c>
      <c r="I111" s="19">
        <f>4118.81/10</f>
        <v>411.88100000000003</v>
      </c>
      <c r="J111" s="81">
        <f>G111*I111</f>
        <v>4017.1264858274913</v>
      </c>
      <c r="K111" s="16"/>
      <c r="M111" s="21"/>
      <c r="N111" s="21"/>
    </row>
    <row r="112" spans="1:14" ht="15" customHeight="1" x14ac:dyDescent="0.25">
      <c r="A112" s="12"/>
      <c r="B112" s="82" t="s">
        <v>49</v>
      </c>
      <c r="C112" s="14"/>
      <c r="D112" s="15"/>
      <c r="E112" s="16"/>
      <c r="F112" s="16"/>
      <c r="G112" s="19"/>
      <c r="H112" s="18"/>
      <c r="I112" s="19"/>
      <c r="J112" s="81">
        <f>G111*0.13*(2351.31/10)</f>
        <v>298.12403535507462</v>
      </c>
      <c r="K112" s="16"/>
      <c r="M112" s="21"/>
      <c r="N112" s="21"/>
    </row>
    <row r="113" spans="1:15" ht="15" customHeight="1" x14ac:dyDescent="0.25">
      <c r="A113" s="12"/>
      <c r="B113" s="82"/>
      <c r="C113" s="14"/>
      <c r="D113" s="15"/>
      <c r="E113" s="16"/>
      <c r="F113" s="16"/>
      <c r="G113" s="19"/>
      <c r="H113" s="18"/>
      <c r="I113" s="19"/>
      <c r="J113" s="81"/>
      <c r="K113" s="16"/>
      <c r="M113" s="21"/>
      <c r="N113" s="21"/>
    </row>
    <row r="114" spans="1:15" ht="47.25" x14ac:dyDescent="0.25">
      <c r="A114" s="12">
        <v>14</v>
      </c>
      <c r="B114" s="23" t="s">
        <v>76</v>
      </c>
      <c r="C114" s="14"/>
      <c r="D114" s="15"/>
      <c r="E114" s="16"/>
      <c r="F114" s="16"/>
      <c r="G114" s="19"/>
      <c r="H114" s="18"/>
      <c r="I114" s="19"/>
      <c r="J114" s="81"/>
      <c r="K114" s="16"/>
      <c r="M114" s="21"/>
      <c r="N114" s="21"/>
    </row>
    <row r="115" spans="1:15" ht="15" hidden="1" customHeight="1" x14ac:dyDescent="0.25">
      <c r="A115" s="12"/>
      <c r="B115" s="82" t="s">
        <v>54</v>
      </c>
      <c r="C115" s="14">
        <f>0*2</f>
        <v>0</v>
      </c>
      <c r="D115" s="15">
        <f>D107</f>
        <v>5.0289545870161536</v>
      </c>
      <c r="E115" s="16"/>
      <c r="F115" s="16"/>
      <c r="G115" s="80">
        <f t="shared" ref="G115:G117" si="9">PRODUCT(C115:F115)</f>
        <v>0</v>
      </c>
      <c r="H115" s="18"/>
      <c r="I115" s="19"/>
      <c r="J115" s="81"/>
      <c r="K115" s="16"/>
      <c r="M115" s="21"/>
      <c r="N115" s="21"/>
    </row>
    <row r="116" spans="1:15" ht="15" hidden="1" customHeight="1" x14ac:dyDescent="0.25">
      <c r="A116" s="12"/>
      <c r="B116" s="13" t="s">
        <v>22</v>
      </c>
      <c r="C116" s="14">
        <f>0*-1</f>
        <v>0</v>
      </c>
      <c r="D116" s="15">
        <f>3.5/3.281</f>
        <v>1.0667479427003961</v>
      </c>
      <c r="E116" s="16"/>
      <c r="F116" s="16"/>
      <c r="G116" s="80">
        <f t="shared" si="9"/>
        <v>0</v>
      </c>
      <c r="H116" s="18"/>
      <c r="I116" s="19"/>
      <c r="J116" s="81"/>
      <c r="K116" s="16"/>
      <c r="M116" s="21"/>
      <c r="N116" s="21"/>
    </row>
    <row r="117" spans="1:15" ht="15" hidden="1" customHeight="1" x14ac:dyDescent="0.25">
      <c r="A117" s="12"/>
      <c r="B117" s="13" t="s">
        <v>23</v>
      </c>
      <c r="C117" s="14">
        <f>0*-1</f>
        <v>0</v>
      </c>
      <c r="D117" s="15">
        <f>3.833/3.281</f>
        <v>1.1682413898201769</v>
      </c>
      <c r="E117" s="16"/>
      <c r="F117" s="16"/>
      <c r="G117" s="80">
        <f t="shared" si="9"/>
        <v>0</v>
      </c>
      <c r="H117" s="18"/>
      <c r="I117" s="19"/>
      <c r="J117" s="81"/>
      <c r="K117" s="16"/>
      <c r="M117" s="21"/>
      <c r="N117" s="21"/>
    </row>
    <row r="118" spans="1:15" ht="15" customHeight="1" x14ac:dyDescent="0.25">
      <c r="A118" s="12"/>
      <c r="B118" s="82" t="s">
        <v>56</v>
      </c>
      <c r="C118" s="14">
        <f>2</f>
        <v>2</v>
      </c>
      <c r="D118" s="15">
        <f>(24/12/3.281)*4</f>
        <v>2.4382810118866196</v>
      </c>
      <c r="E118" s="16"/>
      <c r="F118" s="16"/>
      <c r="G118" s="80">
        <f>PRODUCT(C118:F118)</f>
        <v>4.8765620237732392</v>
      </c>
      <c r="H118" s="18"/>
      <c r="I118" s="19"/>
      <c r="J118" s="81"/>
      <c r="K118" s="16"/>
      <c r="M118" s="21"/>
      <c r="N118" s="21"/>
    </row>
    <row r="119" spans="1:15" ht="15" customHeight="1" x14ac:dyDescent="0.25">
      <c r="A119" s="12"/>
      <c r="B119" s="82" t="s">
        <v>25</v>
      </c>
      <c r="C119" s="14"/>
      <c r="D119" s="15"/>
      <c r="E119" s="16"/>
      <c r="F119" s="16"/>
      <c r="G119" s="19">
        <f>SUM(G115:G118)</f>
        <v>4.8765620237732392</v>
      </c>
      <c r="H119" s="18" t="s">
        <v>73</v>
      </c>
      <c r="I119" s="19">
        <f>4490.81/10</f>
        <v>449.08100000000002</v>
      </c>
      <c r="J119" s="81">
        <f>G119*I119</f>
        <v>2189.97135019811</v>
      </c>
      <c r="K119" s="16"/>
      <c r="M119" s="21"/>
      <c r="N119" s="21"/>
      <c r="O119">
        <f>516.44/1.15</f>
        <v>449.07826086956533</v>
      </c>
    </row>
    <row r="120" spans="1:15" ht="15" customHeight="1" x14ac:dyDescent="0.25">
      <c r="A120" s="12"/>
      <c r="B120" s="82" t="s">
        <v>49</v>
      </c>
      <c r="C120" s="14"/>
      <c r="D120" s="15"/>
      <c r="E120" s="16"/>
      <c r="F120" s="16"/>
      <c r="G120" s="19"/>
      <c r="H120" s="18"/>
      <c r="I120" s="19"/>
      <c r="J120" s="81">
        <f>G119*0.13*(2723.31/10)</f>
        <v>172.64507162450471</v>
      </c>
      <c r="K120" s="16"/>
      <c r="M120" s="21"/>
      <c r="N120" s="21"/>
    </row>
    <row r="121" spans="1:15" ht="15" customHeight="1" x14ac:dyDescent="0.25">
      <c r="A121" s="12"/>
      <c r="B121" s="82"/>
      <c r="C121" s="14"/>
      <c r="D121" s="15"/>
      <c r="E121" s="16"/>
      <c r="F121" s="16"/>
      <c r="G121" s="19"/>
      <c r="H121" s="18"/>
      <c r="I121" s="19"/>
      <c r="J121" s="81"/>
      <c r="K121" s="16"/>
      <c r="M121" s="21"/>
      <c r="N121" s="21"/>
    </row>
    <row r="122" spans="1:15" ht="30.75" customHeight="1" x14ac:dyDescent="0.25">
      <c r="A122" s="12">
        <v>15</v>
      </c>
      <c r="B122" s="23" t="s">
        <v>77</v>
      </c>
      <c r="C122" s="85"/>
      <c r="D122" s="80"/>
      <c r="E122" s="80"/>
      <c r="F122" s="80"/>
      <c r="G122" s="80"/>
      <c r="H122" s="80"/>
      <c r="I122" s="80"/>
      <c r="J122" s="97"/>
      <c r="K122" s="89"/>
    </row>
    <row r="123" spans="1:15" ht="15" hidden="1" customHeight="1" x14ac:dyDescent="0.25">
      <c r="A123" s="12"/>
      <c r="B123" s="82" t="s">
        <v>54</v>
      </c>
      <c r="C123" s="14">
        <f>0*(1*2-1)</f>
        <v>0</v>
      </c>
      <c r="D123" s="15">
        <f>D115</f>
        <v>5.0289545870161536</v>
      </c>
      <c r="E123" s="16"/>
      <c r="F123" s="16"/>
      <c r="G123" s="80">
        <f t="shared" ref="G123" si="10">PRODUCT(C123:F123)</f>
        <v>0</v>
      </c>
      <c r="H123" s="18"/>
      <c r="I123" s="19"/>
      <c r="J123" s="81"/>
      <c r="K123" s="16"/>
      <c r="M123" s="21"/>
      <c r="N123" s="21"/>
    </row>
    <row r="124" spans="1:15" ht="15" customHeight="1" x14ac:dyDescent="0.25">
      <c r="A124" s="12"/>
      <c r="B124" s="82" t="s">
        <v>56</v>
      </c>
      <c r="C124" s="14">
        <f>2</f>
        <v>2</v>
      </c>
      <c r="D124" s="15">
        <f>(24/12/3.281)*4</f>
        <v>2.4382810118866196</v>
      </c>
      <c r="E124" s="16"/>
      <c r="F124" s="16"/>
      <c r="G124" s="80">
        <f>PRODUCT(C124:F124)</f>
        <v>4.8765620237732392</v>
      </c>
      <c r="H124" s="18"/>
      <c r="I124" s="19"/>
      <c r="J124" s="81"/>
      <c r="K124" s="16"/>
      <c r="M124" s="21"/>
      <c r="N124" s="21"/>
    </row>
    <row r="125" spans="1:15" ht="15" customHeight="1" x14ac:dyDescent="0.25">
      <c r="A125" s="12"/>
      <c r="B125" s="82" t="s">
        <v>25</v>
      </c>
      <c r="C125" s="14"/>
      <c r="D125" s="15"/>
      <c r="E125" s="16"/>
      <c r="F125" s="16"/>
      <c r="G125" s="19">
        <f>SUM(G123:G124)</f>
        <v>4.8765620237732392</v>
      </c>
      <c r="H125" s="18" t="s">
        <v>73</v>
      </c>
      <c r="I125" s="19">
        <f>462.97/1.15</f>
        <v>402.58260869565225</v>
      </c>
      <c r="J125" s="81">
        <f>G125*I125</f>
        <v>1963.2190609967799</v>
      </c>
      <c r="K125" s="16"/>
      <c r="M125" s="21"/>
      <c r="N125" s="21"/>
    </row>
    <row r="126" spans="1:15" ht="15" customHeight="1" x14ac:dyDescent="0.25">
      <c r="A126" s="12"/>
      <c r="B126" s="82" t="s">
        <v>49</v>
      </c>
      <c r="C126" s="14"/>
      <c r="D126" s="15"/>
      <c r="E126" s="16"/>
      <c r="F126" s="16"/>
      <c r="G126" s="19"/>
      <c r="H126" s="18"/>
      <c r="I126" s="19"/>
      <c r="J126" s="81">
        <f>G125*0.13*(2258.31/10)</f>
        <v>143.16625419079546</v>
      </c>
      <c r="K126" s="16"/>
      <c r="M126" s="21"/>
      <c r="N126" s="21"/>
    </row>
    <row r="127" spans="1:15" ht="15" customHeight="1" x14ac:dyDescent="0.25">
      <c r="A127" s="12"/>
      <c r="B127" s="89"/>
      <c r="C127" s="14"/>
      <c r="D127" s="15"/>
      <c r="E127" s="16"/>
      <c r="F127" s="16"/>
      <c r="G127" s="19"/>
      <c r="H127" s="18"/>
      <c r="I127" s="19"/>
      <c r="J127" s="81"/>
      <c r="K127" s="16"/>
      <c r="M127" s="21"/>
      <c r="N127" s="21"/>
    </row>
    <row r="128" spans="1:15" ht="47.25" x14ac:dyDescent="0.25">
      <c r="A128" s="12">
        <v>16</v>
      </c>
      <c r="B128" s="23" t="s">
        <v>78</v>
      </c>
      <c r="C128" s="14"/>
      <c r="D128" s="15"/>
      <c r="E128" s="16"/>
      <c r="F128" s="16"/>
      <c r="G128" s="19"/>
      <c r="H128" s="18"/>
      <c r="I128" s="19"/>
      <c r="J128" s="81"/>
      <c r="K128" s="16"/>
      <c r="M128" s="21"/>
      <c r="N128" s="21"/>
    </row>
    <row r="129" spans="1:14" ht="15" hidden="1" customHeight="1" x14ac:dyDescent="0.25">
      <c r="A129" s="12"/>
      <c r="B129" s="82" t="s">
        <v>54</v>
      </c>
      <c r="C129" s="14">
        <f>0*(1*2-1)</f>
        <v>0</v>
      </c>
      <c r="D129" s="15">
        <f>D153</f>
        <v>5.0289545870161536</v>
      </c>
      <c r="E129" s="16"/>
      <c r="F129" s="16"/>
      <c r="G129" s="80">
        <f t="shared" ref="G129" si="11">PRODUCT(C129:F129)</f>
        <v>0</v>
      </c>
      <c r="H129" s="18"/>
      <c r="I129" s="19"/>
      <c r="J129" s="81"/>
      <c r="K129" s="16"/>
      <c r="M129" s="21"/>
      <c r="N129" s="21"/>
    </row>
    <row r="130" spans="1:14" ht="15" customHeight="1" x14ac:dyDescent="0.25">
      <c r="A130" s="12"/>
      <c r="B130" s="82" t="s">
        <v>56</v>
      </c>
      <c r="C130" s="14">
        <f>2</f>
        <v>2</v>
      </c>
      <c r="D130" s="15">
        <f>(24/12/3.281)*4</f>
        <v>2.4382810118866196</v>
      </c>
      <c r="E130" s="16"/>
      <c r="F130" s="16"/>
      <c r="G130" s="80">
        <f>PRODUCT(C130:F130)</f>
        <v>4.8765620237732392</v>
      </c>
      <c r="H130" s="18"/>
      <c r="I130" s="19"/>
      <c r="J130" s="81"/>
      <c r="K130" s="16"/>
      <c r="M130" s="21"/>
      <c r="N130" s="21"/>
    </row>
    <row r="131" spans="1:14" ht="15" customHeight="1" x14ac:dyDescent="0.25">
      <c r="A131" s="12"/>
      <c r="B131" s="82" t="s">
        <v>25</v>
      </c>
      <c r="C131" s="14"/>
      <c r="D131" s="15"/>
      <c r="E131" s="16"/>
      <c r="F131" s="16"/>
      <c r="G131" s="19">
        <f>SUM(G129:G130)</f>
        <v>4.8765620237732392</v>
      </c>
      <c r="H131" s="18" t="s">
        <v>73</v>
      </c>
      <c r="I131" s="19">
        <f>4738.81/10</f>
        <v>473.88100000000003</v>
      </c>
      <c r="J131" s="81">
        <f>G131*I131</f>
        <v>2310.9100883876863</v>
      </c>
      <c r="K131" s="16"/>
      <c r="M131" s="21"/>
      <c r="N131" s="21"/>
    </row>
    <row r="132" spans="1:14" ht="15" customHeight="1" x14ac:dyDescent="0.25">
      <c r="A132" s="12"/>
      <c r="B132" s="82" t="s">
        <v>49</v>
      </c>
      <c r="C132" s="14"/>
      <c r="D132" s="15"/>
      <c r="E132" s="16"/>
      <c r="F132" s="16"/>
      <c r="G132" s="19"/>
      <c r="H132" s="18"/>
      <c r="I132" s="19"/>
      <c r="J132" s="81">
        <f>G131*0.13*(2971.31/10)</f>
        <v>188.36710758914961</v>
      </c>
      <c r="K132" s="16"/>
      <c r="M132" s="21"/>
      <c r="N132" s="21"/>
    </row>
    <row r="133" spans="1:14" ht="15" customHeight="1" x14ac:dyDescent="0.25">
      <c r="A133" s="12"/>
      <c r="B133" s="82"/>
      <c r="C133" s="14"/>
      <c r="D133" s="15"/>
      <c r="E133" s="16"/>
      <c r="F133" s="16"/>
      <c r="G133" s="19"/>
      <c r="H133" s="18"/>
      <c r="I133" s="19"/>
      <c r="J133" s="81"/>
      <c r="K133" s="16"/>
      <c r="M133" s="21"/>
      <c r="N133" s="21"/>
    </row>
    <row r="134" spans="1:14" ht="47.25" x14ac:dyDescent="0.25">
      <c r="A134" s="12">
        <v>17</v>
      </c>
      <c r="B134" s="23" t="s">
        <v>79</v>
      </c>
      <c r="C134" s="14"/>
      <c r="D134" s="15"/>
      <c r="E134" s="16"/>
      <c r="F134" s="16"/>
      <c r="G134" s="19"/>
      <c r="H134" s="18"/>
      <c r="I134" s="19"/>
      <c r="J134" s="81"/>
      <c r="K134" s="16"/>
      <c r="M134" s="21"/>
      <c r="N134" s="21"/>
    </row>
    <row r="135" spans="1:14" ht="15" hidden="1" customHeight="1" x14ac:dyDescent="0.25">
      <c r="A135" s="12"/>
      <c r="B135" s="82" t="s">
        <v>54</v>
      </c>
      <c r="C135" s="14">
        <f>0*(1*2-1)</f>
        <v>0</v>
      </c>
      <c r="D135" s="15">
        <f>D129</f>
        <v>5.0289545870161536</v>
      </c>
      <c r="E135" s="16"/>
      <c r="F135" s="16"/>
      <c r="G135" s="80">
        <f>PRODUCT(C135:F135)</f>
        <v>0</v>
      </c>
      <c r="H135" s="18"/>
      <c r="I135" s="19"/>
      <c r="J135" s="81"/>
      <c r="K135" s="16"/>
      <c r="M135" s="21"/>
      <c r="N135" s="21"/>
    </row>
    <row r="136" spans="1:14" ht="15" customHeight="1" x14ac:dyDescent="0.25">
      <c r="A136" s="12"/>
      <c r="B136" s="82" t="s">
        <v>56</v>
      </c>
      <c r="C136" s="14">
        <f>2</f>
        <v>2</v>
      </c>
      <c r="D136" s="15">
        <f>(24/12/3.281)*4</f>
        <v>2.4382810118866196</v>
      </c>
      <c r="E136" s="16"/>
      <c r="F136" s="16"/>
      <c r="G136" s="80">
        <f>PRODUCT(C136:F136)</f>
        <v>4.8765620237732392</v>
      </c>
      <c r="H136" s="18"/>
      <c r="I136" s="19"/>
      <c r="J136" s="81"/>
      <c r="K136" s="16"/>
      <c r="M136" s="21"/>
      <c r="N136" s="21"/>
    </row>
    <row r="137" spans="1:14" ht="15" customHeight="1" x14ac:dyDescent="0.25">
      <c r="A137" s="12"/>
      <c r="B137" s="82" t="s">
        <v>25</v>
      </c>
      <c r="C137" s="14"/>
      <c r="D137" s="15"/>
      <c r="E137" s="16"/>
      <c r="F137" s="16"/>
      <c r="G137" s="19">
        <f>SUM(G135:G136)</f>
        <v>4.8765620237732392</v>
      </c>
      <c r="H137" s="18" t="s">
        <v>73</v>
      </c>
      <c r="I137" s="19">
        <f>623.05/1.15</f>
        <v>541.78260869565213</v>
      </c>
      <c r="J137" s="81">
        <f>G137*I137</f>
        <v>2642.0364947060143</v>
      </c>
      <c r="K137" s="16"/>
      <c r="M137" s="21"/>
      <c r="N137" s="21"/>
    </row>
    <row r="138" spans="1:14" ht="15" customHeight="1" x14ac:dyDescent="0.25">
      <c r="A138" s="12"/>
      <c r="B138" s="82" t="s">
        <v>49</v>
      </c>
      <c r="C138" s="14"/>
      <c r="D138" s="15"/>
      <c r="E138" s="16"/>
      <c r="F138" s="16"/>
      <c r="G138" s="19"/>
      <c r="H138" s="18"/>
      <c r="I138" s="19"/>
      <c r="J138" s="81">
        <f>G137*0.13*(3650.31/10)</f>
        <v>231.41252057299602</v>
      </c>
      <c r="K138" s="16"/>
      <c r="M138" s="21"/>
      <c r="N138" s="21"/>
    </row>
    <row r="139" spans="1:14" ht="15" customHeight="1" x14ac:dyDescent="0.25">
      <c r="A139" s="12"/>
      <c r="B139" s="82"/>
      <c r="C139" s="14"/>
      <c r="D139" s="15"/>
      <c r="E139" s="16"/>
      <c r="F139" s="16"/>
      <c r="G139" s="19"/>
      <c r="H139" s="18"/>
      <c r="I139" s="19"/>
      <c r="J139" s="81"/>
      <c r="K139" s="16"/>
      <c r="M139" s="21"/>
      <c r="N139" s="21"/>
    </row>
    <row r="140" spans="1:14" ht="47.25" x14ac:dyDescent="0.25">
      <c r="A140" s="12">
        <v>18</v>
      </c>
      <c r="B140" s="23" t="s">
        <v>80</v>
      </c>
      <c r="C140" s="14"/>
      <c r="D140" s="15"/>
      <c r="E140" s="16"/>
      <c r="F140" s="16"/>
      <c r="G140" s="19"/>
      <c r="H140" s="18"/>
      <c r="I140" s="19"/>
      <c r="J140" s="81"/>
      <c r="K140" s="16"/>
      <c r="M140" s="21"/>
      <c r="N140" s="21"/>
    </row>
    <row r="141" spans="1:14" ht="15" hidden="1" customHeight="1" x14ac:dyDescent="0.25">
      <c r="A141" s="12"/>
      <c r="B141" s="82" t="s">
        <v>54</v>
      </c>
      <c r="C141" s="14">
        <f>0*(1*2-1)</f>
        <v>0</v>
      </c>
      <c r="D141" s="15">
        <f>D135</f>
        <v>5.0289545870161536</v>
      </c>
      <c r="E141" s="16"/>
      <c r="F141" s="16"/>
      <c r="G141" s="80">
        <f t="shared" ref="G141" si="12">PRODUCT(C141:F141)</f>
        <v>0</v>
      </c>
      <c r="H141" s="18"/>
      <c r="I141" s="19"/>
      <c r="J141" s="81"/>
      <c r="K141" s="16"/>
      <c r="M141" s="21"/>
      <c r="N141" s="21"/>
    </row>
    <row r="142" spans="1:14" ht="15" customHeight="1" x14ac:dyDescent="0.25">
      <c r="A142" s="12"/>
      <c r="B142" s="82" t="s">
        <v>56</v>
      </c>
      <c r="C142" s="14">
        <f>2</f>
        <v>2</v>
      </c>
      <c r="D142" s="15">
        <f>(24/12/3.281)*4</f>
        <v>2.4382810118866196</v>
      </c>
      <c r="E142" s="16"/>
      <c r="F142" s="16"/>
      <c r="G142" s="80">
        <f>PRODUCT(C142:F142)</f>
        <v>4.8765620237732392</v>
      </c>
      <c r="H142" s="18"/>
      <c r="I142" s="19"/>
      <c r="J142" s="81"/>
      <c r="K142" s="16"/>
      <c r="M142" s="21"/>
      <c r="N142" s="21"/>
    </row>
    <row r="143" spans="1:14" ht="15" customHeight="1" x14ac:dyDescent="0.25">
      <c r="A143" s="12"/>
      <c r="B143" s="82" t="s">
        <v>25</v>
      </c>
      <c r="C143" s="14"/>
      <c r="D143" s="15"/>
      <c r="E143" s="16"/>
      <c r="F143" s="16"/>
      <c r="G143" s="19">
        <f>SUM(G141:G142)</f>
        <v>4.8765620237732392</v>
      </c>
      <c r="H143" s="18" t="s">
        <v>73</v>
      </c>
      <c r="I143" s="19">
        <f>4862.81/10</f>
        <v>486.28100000000006</v>
      </c>
      <c r="J143" s="81">
        <f>G143*I143</f>
        <v>2371.3794574824747</v>
      </c>
      <c r="K143" s="16"/>
      <c r="M143" s="21"/>
      <c r="N143" s="21"/>
    </row>
    <row r="144" spans="1:14" ht="15" customHeight="1" x14ac:dyDescent="0.25">
      <c r="A144" s="12"/>
      <c r="B144" s="82" t="s">
        <v>49</v>
      </c>
      <c r="C144" s="14"/>
      <c r="D144" s="15"/>
      <c r="E144" s="16"/>
      <c r="F144" s="16"/>
      <c r="G144" s="19"/>
      <c r="H144" s="18"/>
      <c r="I144" s="19"/>
      <c r="J144" s="81">
        <f>G143*0.13*(3095.31/10)</f>
        <v>196.22812557147211</v>
      </c>
      <c r="K144" s="16"/>
      <c r="M144" s="21"/>
      <c r="N144" s="21"/>
    </row>
    <row r="145" spans="1:14" ht="15" customHeight="1" x14ac:dyDescent="0.25">
      <c r="A145" s="12"/>
      <c r="B145" s="82"/>
      <c r="C145" s="14"/>
      <c r="D145" s="15"/>
      <c r="E145" s="16"/>
      <c r="F145" s="16"/>
      <c r="G145" s="19"/>
      <c r="H145" s="18"/>
      <c r="I145" s="19"/>
      <c r="J145" s="81"/>
      <c r="K145" s="16"/>
      <c r="M145" s="21"/>
      <c r="N145" s="21"/>
    </row>
    <row r="146" spans="1:14" ht="47.25" x14ac:dyDescent="0.25">
      <c r="A146" s="12">
        <v>19</v>
      </c>
      <c r="B146" s="23" t="s">
        <v>81</v>
      </c>
      <c r="C146" s="14"/>
      <c r="D146" s="15"/>
      <c r="E146" s="16"/>
      <c r="F146" s="16"/>
      <c r="G146" s="19"/>
      <c r="H146" s="18"/>
      <c r="I146" s="19"/>
      <c r="J146" s="81"/>
      <c r="K146" s="16"/>
      <c r="M146" s="21"/>
      <c r="N146" s="21"/>
    </row>
    <row r="147" spans="1:14" ht="15" hidden="1" customHeight="1" x14ac:dyDescent="0.25">
      <c r="A147" s="12"/>
      <c r="B147" s="82" t="s">
        <v>54</v>
      </c>
      <c r="C147" s="14">
        <f>0*(1*2-1)</f>
        <v>0</v>
      </c>
      <c r="D147" s="15">
        <f>D141</f>
        <v>5.0289545870161536</v>
      </c>
      <c r="E147" s="16"/>
      <c r="F147" s="16"/>
      <c r="G147" s="80">
        <f t="shared" ref="G147" si="13">PRODUCT(C147:F147)</f>
        <v>0</v>
      </c>
      <c r="H147" s="18"/>
      <c r="I147" s="19"/>
      <c r="J147" s="81"/>
      <c r="K147" s="16"/>
      <c r="M147" s="21"/>
      <c r="N147" s="21"/>
    </row>
    <row r="148" spans="1:14" ht="15" customHeight="1" x14ac:dyDescent="0.25">
      <c r="A148" s="12"/>
      <c r="B148" s="82" t="s">
        <v>56</v>
      </c>
      <c r="C148" s="14">
        <f>2</f>
        <v>2</v>
      </c>
      <c r="D148" s="15">
        <f>(24/12/3.281)*4</f>
        <v>2.4382810118866196</v>
      </c>
      <c r="E148" s="16"/>
      <c r="F148" s="16"/>
      <c r="G148" s="80">
        <f>PRODUCT(C148:F148)</f>
        <v>4.8765620237732392</v>
      </c>
      <c r="H148" s="18"/>
      <c r="I148" s="19"/>
      <c r="J148" s="81"/>
      <c r="K148" s="16"/>
      <c r="M148" s="21"/>
      <c r="N148" s="21"/>
    </row>
    <row r="149" spans="1:14" ht="15" customHeight="1" x14ac:dyDescent="0.25">
      <c r="A149" s="12"/>
      <c r="B149" s="82" t="s">
        <v>25</v>
      </c>
      <c r="C149" s="14"/>
      <c r="D149" s="15"/>
      <c r="E149" s="16"/>
      <c r="F149" s="16"/>
      <c r="G149" s="19">
        <f>SUM(G147:G148)</f>
        <v>4.8765620237732392</v>
      </c>
      <c r="H149" s="18" t="s">
        <v>73</v>
      </c>
      <c r="I149" s="19">
        <f>4676.81/10</f>
        <v>467.68100000000004</v>
      </c>
      <c r="J149" s="81">
        <f>G149*I149</f>
        <v>2280.6754038402923</v>
      </c>
      <c r="K149" s="16"/>
      <c r="M149" s="21"/>
      <c r="N149" s="21"/>
    </row>
    <row r="150" spans="1:14" ht="15" customHeight="1" x14ac:dyDescent="0.25">
      <c r="A150" s="12"/>
      <c r="B150" s="82" t="s">
        <v>49</v>
      </c>
      <c r="C150" s="14"/>
      <c r="D150" s="15"/>
      <c r="E150" s="16"/>
      <c r="F150" s="16"/>
      <c r="G150" s="19"/>
      <c r="H150" s="18"/>
      <c r="I150" s="19"/>
      <c r="J150" s="81">
        <f>G149*0.13*(2909.31/10)</f>
        <v>184.43659859798839</v>
      </c>
      <c r="K150" s="16"/>
      <c r="M150" s="21"/>
      <c r="N150" s="21"/>
    </row>
    <row r="151" spans="1:14" ht="15" customHeight="1" x14ac:dyDescent="0.25">
      <c r="A151" s="12"/>
      <c r="B151" s="82"/>
      <c r="C151" s="14"/>
      <c r="D151" s="15"/>
      <c r="E151" s="16"/>
      <c r="F151" s="16"/>
      <c r="G151" s="19"/>
      <c r="H151" s="18"/>
      <c r="I151" s="19"/>
      <c r="J151" s="81"/>
      <c r="K151" s="16"/>
      <c r="M151" s="21"/>
      <c r="N151" s="21"/>
    </row>
    <row r="152" spans="1:14" ht="30.75" customHeight="1" x14ac:dyDescent="0.25">
      <c r="A152" s="12">
        <v>20</v>
      </c>
      <c r="B152" s="23" t="s">
        <v>82</v>
      </c>
      <c r="C152" s="85"/>
      <c r="D152" s="80"/>
      <c r="E152" s="80"/>
      <c r="F152" s="80"/>
      <c r="G152" s="80"/>
      <c r="H152" s="80"/>
      <c r="I152" s="80"/>
      <c r="J152" s="97"/>
      <c r="K152" s="89"/>
    </row>
    <row r="153" spans="1:14" ht="15" hidden="1" customHeight="1" x14ac:dyDescent="0.25">
      <c r="A153" s="12"/>
      <c r="B153" s="82" t="s">
        <v>54</v>
      </c>
      <c r="C153" s="14">
        <f>0*(2*2-2)</f>
        <v>0</v>
      </c>
      <c r="D153" s="15">
        <f>D115</f>
        <v>5.0289545870161536</v>
      </c>
      <c r="E153" s="16"/>
      <c r="F153" s="16"/>
      <c r="G153" s="80">
        <f t="shared" ref="G153" si="14">PRODUCT(C153:F153)</f>
        <v>0</v>
      </c>
      <c r="H153" s="18"/>
      <c r="I153" s="19"/>
      <c r="J153" s="81"/>
      <c r="K153" s="16"/>
      <c r="M153" s="21"/>
      <c r="N153" s="21"/>
    </row>
    <row r="154" spans="1:14" ht="15" customHeight="1" x14ac:dyDescent="0.25">
      <c r="A154" s="12"/>
      <c r="B154" s="82" t="s">
        <v>56</v>
      </c>
      <c r="C154" s="14">
        <f>2</f>
        <v>2</v>
      </c>
      <c r="D154" s="15">
        <f>(24/12/3.281)*4</f>
        <v>2.4382810118866196</v>
      </c>
      <c r="E154" s="16"/>
      <c r="F154" s="16"/>
      <c r="G154" s="80">
        <f>PRODUCT(C154:F154)</f>
        <v>4.8765620237732392</v>
      </c>
      <c r="H154" s="18"/>
      <c r="I154" s="19"/>
      <c r="J154" s="81"/>
      <c r="K154" s="16"/>
      <c r="M154" s="21"/>
      <c r="N154" s="21"/>
    </row>
    <row r="155" spans="1:14" ht="15" customHeight="1" x14ac:dyDescent="0.25">
      <c r="A155" s="12"/>
      <c r="B155" s="82" t="s">
        <v>25</v>
      </c>
      <c r="C155" s="14"/>
      <c r="D155" s="15"/>
      <c r="E155" s="16"/>
      <c r="F155" s="16"/>
      <c r="G155" s="19">
        <f>SUM(G153:G154)</f>
        <v>4.8765620237732392</v>
      </c>
      <c r="H155" s="18" t="s">
        <v>73</v>
      </c>
      <c r="I155" s="19">
        <f>3932.81/10</f>
        <v>393.28100000000001</v>
      </c>
      <c r="J155" s="81">
        <f>G155*I155</f>
        <v>1917.8591892715633</v>
      </c>
      <c r="K155" s="16"/>
      <c r="M155" s="21"/>
      <c r="N155" s="21"/>
    </row>
    <row r="156" spans="1:14" ht="15" customHeight="1" x14ac:dyDescent="0.25">
      <c r="A156" s="12"/>
      <c r="B156" s="82" t="s">
        <v>49</v>
      </c>
      <c r="C156" s="14"/>
      <c r="D156" s="15"/>
      <c r="E156" s="16"/>
      <c r="F156" s="16"/>
      <c r="G156" s="19"/>
      <c r="H156" s="18"/>
      <c r="I156" s="19"/>
      <c r="J156" s="81">
        <f>G155*0.13*(2165.31/10)</f>
        <v>137.27049070405363</v>
      </c>
      <c r="K156" s="16"/>
      <c r="M156" s="21"/>
      <c r="N156" s="21"/>
    </row>
    <row r="157" spans="1:14" ht="15" customHeight="1" x14ac:dyDescent="0.25">
      <c r="A157" s="12"/>
      <c r="B157" s="82"/>
      <c r="C157" s="14"/>
      <c r="D157" s="15"/>
      <c r="E157" s="16"/>
      <c r="F157" s="16"/>
      <c r="G157" s="19"/>
      <c r="H157" s="18"/>
      <c r="I157" s="19"/>
      <c r="J157" s="81"/>
      <c r="K157" s="16"/>
      <c r="M157" s="21"/>
      <c r="N157" s="21"/>
    </row>
    <row r="158" spans="1:14" ht="45" hidden="1" customHeight="1" x14ac:dyDescent="0.25">
      <c r="A158" s="84">
        <v>19</v>
      </c>
      <c r="B158" s="102" t="s">
        <v>123</v>
      </c>
      <c r="C158" s="85"/>
      <c r="D158" s="80"/>
      <c r="E158" s="80"/>
      <c r="F158" s="80"/>
      <c r="G158" s="80"/>
      <c r="H158" s="80"/>
      <c r="I158" s="80"/>
      <c r="J158" s="97"/>
      <c r="K158" s="89"/>
    </row>
    <row r="159" spans="1:14" ht="15" hidden="1" customHeight="1" x14ac:dyDescent="0.25">
      <c r="A159" s="84"/>
      <c r="B159" s="82" t="s">
        <v>83</v>
      </c>
      <c r="C159" s="85">
        <f>0*1*2</f>
        <v>0</v>
      </c>
      <c r="D159" s="80">
        <f>(2.75+2.6)/2</f>
        <v>2.6749999999999998</v>
      </c>
      <c r="E159" s="80">
        <v>6.2</v>
      </c>
      <c r="F159" s="80"/>
      <c r="G159" s="80">
        <f>PRODUCT(C159:F159)</f>
        <v>0</v>
      </c>
      <c r="H159" s="80"/>
      <c r="I159" s="80"/>
      <c r="J159" s="97"/>
      <c r="K159" s="89"/>
    </row>
    <row r="160" spans="1:14" ht="15" hidden="1" customHeight="1" x14ac:dyDescent="0.25">
      <c r="A160" s="84"/>
      <c r="B160" s="82"/>
      <c r="C160" s="85">
        <f>0*1</f>
        <v>0</v>
      </c>
      <c r="D160" s="80">
        <v>2.5</v>
      </c>
      <c r="E160" s="80">
        <f>3+0.675</f>
        <v>3.6749999999999998</v>
      </c>
      <c r="F160" s="80"/>
      <c r="G160" s="80">
        <f>PRODUCT(C160:F160)</f>
        <v>0</v>
      </c>
      <c r="H160" s="80"/>
      <c r="I160" s="80"/>
      <c r="J160" s="97"/>
      <c r="K160" s="89"/>
    </row>
    <row r="161" spans="1:14" ht="15" hidden="1" customHeight="1" x14ac:dyDescent="0.25">
      <c r="A161" s="84"/>
      <c r="B161" s="82" t="s">
        <v>25</v>
      </c>
      <c r="C161" s="85"/>
      <c r="D161" s="80"/>
      <c r="E161" s="80"/>
      <c r="F161" s="80"/>
      <c r="G161" s="86">
        <f>SUM(G159:G160)</f>
        <v>0</v>
      </c>
      <c r="H161" s="86" t="s">
        <v>26</v>
      </c>
      <c r="I161" s="87">
        <f>27795.91/10</f>
        <v>2779.5909999999999</v>
      </c>
      <c r="J161" s="88">
        <f>G161*I161</f>
        <v>0</v>
      </c>
      <c r="K161" s="89"/>
    </row>
    <row r="162" spans="1:14" ht="15" hidden="1" customHeight="1" x14ac:dyDescent="0.25">
      <c r="A162" s="12"/>
      <c r="B162" s="82" t="s">
        <v>49</v>
      </c>
      <c r="C162" s="14"/>
      <c r="D162" s="15"/>
      <c r="E162" s="16"/>
      <c r="F162" s="16"/>
      <c r="G162" s="19"/>
      <c r="H162" s="18"/>
      <c r="I162" s="19"/>
      <c r="J162" s="81">
        <f>G161*0.13*(17805.91/10)</f>
        <v>0</v>
      </c>
      <c r="K162" s="16"/>
      <c r="M162" s="21"/>
      <c r="N162" s="21"/>
    </row>
    <row r="163" spans="1:14" ht="15" hidden="1" customHeight="1" x14ac:dyDescent="0.25">
      <c r="A163" s="84"/>
      <c r="B163" s="82"/>
      <c r="C163" s="85"/>
      <c r="D163" s="80"/>
      <c r="E163" s="80"/>
      <c r="F163" s="80"/>
      <c r="G163" s="86"/>
      <c r="H163" s="86"/>
      <c r="I163" s="87"/>
      <c r="J163" s="88"/>
      <c r="K163" s="89"/>
    </row>
    <row r="164" spans="1:14" ht="31.5" hidden="1" x14ac:dyDescent="0.25">
      <c r="A164" s="12">
        <v>20</v>
      </c>
      <c r="B164" s="23" t="s">
        <v>84</v>
      </c>
      <c r="C164" s="85"/>
      <c r="D164" s="80"/>
      <c r="E164" s="80"/>
      <c r="F164" s="80"/>
      <c r="G164" s="80"/>
      <c r="H164" s="80"/>
      <c r="I164" s="80"/>
      <c r="J164" s="97"/>
      <c r="K164" s="89"/>
    </row>
    <row r="165" spans="1:14" ht="15" hidden="1" customHeight="1" x14ac:dyDescent="0.25">
      <c r="A165" s="84"/>
      <c r="B165" s="82" t="s">
        <v>85</v>
      </c>
      <c r="C165" s="85">
        <f>0*1</f>
        <v>0</v>
      </c>
      <c r="D165" s="80">
        <f>(2.75+2.6)/2</f>
        <v>2.6749999999999998</v>
      </c>
      <c r="E165" s="80">
        <v>6.2</v>
      </c>
      <c r="F165" s="80"/>
      <c r="G165" s="80">
        <f>PRODUCT(C165:F165)</f>
        <v>0</v>
      </c>
      <c r="H165" s="80"/>
      <c r="I165" s="80"/>
      <c r="J165" s="97"/>
      <c r="K165" s="89"/>
    </row>
    <row r="166" spans="1:14" ht="15" hidden="1" customHeight="1" x14ac:dyDescent="0.25">
      <c r="A166" s="84"/>
      <c r="B166" s="82" t="s">
        <v>86</v>
      </c>
      <c r="C166" s="85">
        <f>0*1</f>
        <v>0</v>
      </c>
      <c r="D166" s="80">
        <v>2</v>
      </c>
      <c r="E166" s="80">
        <v>3</v>
      </c>
      <c r="F166" s="80"/>
      <c r="G166" s="80">
        <f>PRODUCT(C166:F166)</f>
        <v>0</v>
      </c>
      <c r="H166" s="80"/>
      <c r="I166" s="80"/>
      <c r="J166" s="97"/>
      <c r="K166" s="89"/>
    </row>
    <row r="167" spans="1:14" ht="15" hidden="1" customHeight="1" x14ac:dyDescent="0.25">
      <c r="A167" s="84"/>
      <c r="B167" s="82" t="s">
        <v>25</v>
      </c>
      <c r="C167" s="85"/>
      <c r="D167" s="80"/>
      <c r="E167" s="80"/>
      <c r="F167" s="80"/>
      <c r="G167" s="86">
        <f>SUM(G165:G166)</f>
        <v>0</v>
      </c>
      <c r="H167" s="86" t="s">
        <v>26</v>
      </c>
      <c r="I167" s="87">
        <f>50406.04/100</f>
        <v>504.06040000000002</v>
      </c>
      <c r="J167" s="88">
        <f>G167*I167</f>
        <v>0</v>
      </c>
      <c r="K167" s="89"/>
    </row>
    <row r="168" spans="1:14" ht="15" hidden="1" customHeight="1" x14ac:dyDescent="0.25">
      <c r="A168" s="12"/>
      <c r="B168" s="82" t="s">
        <v>49</v>
      </c>
      <c r="C168" s="14"/>
      <c r="D168" s="15"/>
      <c r="E168" s="16"/>
      <c r="F168" s="16"/>
      <c r="G168" s="19"/>
      <c r="H168" s="18"/>
      <c r="I168" s="19"/>
      <c r="J168" s="81">
        <f>G167*0.13*(20166.04/100)</f>
        <v>0</v>
      </c>
      <c r="K168" s="16"/>
      <c r="M168" s="21"/>
      <c r="N168" s="21"/>
    </row>
    <row r="169" spans="1:14" ht="15" hidden="1" customHeight="1" x14ac:dyDescent="0.25">
      <c r="A169" s="12"/>
      <c r="B169" s="82"/>
      <c r="C169" s="14"/>
      <c r="D169" s="15"/>
      <c r="E169" s="16"/>
      <c r="F169" s="16"/>
      <c r="G169" s="19"/>
      <c r="H169" s="18"/>
      <c r="I169" s="19"/>
      <c r="J169" s="81"/>
      <c r="K169" s="16"/>
      <c r="M169" s="21"/>
      <c r="N169" s="21"/>
    </row>
    <row r="170" spans="1:14" ht="45" x14ac:dyDescent="0.25">
      <c r="A170" s="84">
        <v>21</v>
      </c>
      <c r="B170" s="102" t="s">
        <v>87</v>
      </c>
      <c r="C170" s="85"/>
      <c r="D170" s="80"/>
      <c r="E170" s="80"/>
      <c r="F170" s="80"/>
      <c r="G170" s="80"/>
      <c r="H170" s="80"/>
      <c r="I170" s="80"/>
      <c r="J170" s="97"/>
      <c r="K170" s="89"/>
    </row>
    <row r="171" spans="1:14" ht="15" customHeight="1" x14ac:dyDescent="0.25">
      <c r="A171" s="84"/>
      <c r="B171" s="82" t="s">
        <v>88</v>
      </c>
      <c r="C171" s="85">
        <f>1</f>
        <v>1</v>
      </c>
      <c r="D171" s="80">
        <f>11/3.281</f>
        <v>3.3526363913441024</v>
      </c>
      <c r="E171" s="80">
        <f>5/12/3.281</f>
        <v>0.12699380270242813</v>
      </c>
      <c r="F171" s="80">
        <f>8/12/3.281</f>
        <v>0.20319008432388497</v>
      </c>
      <c r="G171" s="80">
        <f t="shared" ref="G171:G176" si="15">PRODUCT(C171:F171)</f>
        <v>8.6511032086829934E-2</v>
      </c>
      <c r="H171" s="80"/>
      <c r="I171" s="80"/>
      <c r="J171" s="97"/>
      <c r="K171" s="89"/>
    </row>
    <row r="172" spans="1:14" ht="15" customHeight="1" x14ac:dyDescent="0.25">
      <c r="A172" s="84"/>
      <c r="B172" s="89"/>
      <c r="C172" s="85">
        <f>(8)</f>
        <v>8</v>
      </c>
      <c r="D172" s="80">
        <f>12/3.281</f>
        <v>3.6574215178299299</v>
      </c>
      <c r="E172" s="80">
        <f>3/12/3.281</f>
        <v>7.6196281621456863E-2</v>
      </c>
      <c r="F172" s="80">
        <f>4/12/3.281</f>
        <v>0.10159504216194248</v>
      </c>
      <c r="G172" s="80">
        <f t="shared" si="15"/>
        <v>0.22650161128188195</v>
      </c>
      <c r="H172" s="80"/>
      <c r="I172" s="80"/>
      <c r="J172" s="97"/>
      <c r="K172" s="89"/>
    </row>
    <row r="173" spans="1:14" ht="15" customHeight="1" x14ac:dyDescent="0.25">
      <c r="A173" s="84"/>
      <c r="B173" s="82"/>
      <c r="C173" s="85">
        <f>(3)</f>
        <v>3</v>
      </c>
      <c r="D173" s="80">
        <f>8/3.281</f>
        <v>2.4382810118866196</v>
      </c>
      <c r="E173" s="80">
        <f>7/12/3.281</f>
        <v>0.17779132378339937</v>
      </c>
      <c r="F173" s="80">
        <f>7/12/3.281</f>
        <v>0.17779132378339937</v>
      </c>
      <c r="G173" s="80">
        <f t="shared" si="15"/>
        <v>0.23122039485025456</v>
      </c>
      <c r="H173" s="80"/>
      <c r="I173" s="80"/>
      <c r="J173" s="97"/>
      <c r="K173" s="89"/>
    </row>
    <row r="174" spans="1:14" ht="15" customHeight="1" x14ac:dyDescent="0.25">
      <c r="A174" s="84"/>
      <c r="B174" s="82"/>
      <c r="C174" s="85">
        <f>22</f>
        <v>22</v>
      </c>
      <c r="D174" s="80">
        <f>12/3.281</f>
        <v>3.6574215178299299</v>
      </c>
      <c r="E174" s="80">
        <f>3/12/3.281</f>
        <v>7.6196281621456863E-2</v>
      </c>
      <c r="F174" s="80">
        <f>4/12/3.281</f>
        <v>0.10159504216194248</v>
      </c>
      <c r="G174" s="80">
        <f t="shared" si="15"/>
        <v>0.6228794310251754</v>
      </c>
      <c r="H174" s="80"/>
      <c r="I174" s="80"/>
      <c r="J174" s="97"/>
      <c r="K174" s="89"/>
    </row>
    <row r="175" spans="1:14" ht="15" customHeight="1" x14ac:dyDescent="0.25">
      <c r="A175" s="84"/>
      <c r="B175" s="82"/>
      <c r="C175" s="85">
        <f>(2)</f>
        <v>2</v>
      </c>
      <c r="D175" s="80">
        <f>12/3.281</f>
        <v>3.6574215178299299</v>
      </c>
      <c r="E175" s="80">
        <f>3/12/3.281</f>
        <v>7.6196281621456863E-2</v>
      </c>
      <c r="F175" s="80">
        <f>4/12/3.281</f>
        <v>0.10159504216194248</v>
      </c>
      <c r="G175" s="80">
        <f t="shared" si="15"/>
        <v>5.6625402820470488E-2</v>
      </c>
      <c r="H175" s="80"/>
      <c r="I175" s="80"/>
      <c r="J175" s="97"/>
      <c r="K175" s="89"/>
    </row>
    <row r="176" spans="1:14" ht="15" customHeight="1" x14ac:dyDescent="0.25">
      <c r="A176" s="84"/>
      <c r="B176" s="82"/>
      <c r="C176" s="85">
        <f>(1)</f>
        <v>1</v>
      </c>
      <c r="D176" s="80">
        <f>12/3.281</f>
        <v>3.6574215178299299</v>
      </c>
      <c r="E176" s="80">
        <f>6/12/3.281</f>
        <v>0.15239256324291373</v>
      </c>
      <c r="F176" s="80">
        <f>4/12/3.281</f>
        <v>0.10159504216194248</v>
      </c>
      <c r="G176" s="80">
        <f t="shared" si="15"/>
        <v>5.6625402820470488E-2</v>
      </c>
      <c r="H176" s="80"/>
      <c r="I176" s="80"/>
      <c r="J176" s="97"/>
      <c r="K176" s="89"/>
    </row>
    <row r="177" spans="1:13" ht="15" customHeight="1" x14ac:dyDescent="0.25">
      <c r="A177" s="84"/>
      <c r="B177" s="82" t="s">
        <v>25</v>
      </c>
      <c r="C177" s="85"/>
      <c r="D177" s="80"/>
      <c r="E177" s="80"/>
      <c r="F177" s="80"/>
      <c r="G177" s="86">
        <f>SUM(G171:G176)</f>
        <v>1.2803632748850826</v>
      </c>
      <c r="H177" s="86" t="s">
        <v>26</v>
      </c>
      <c r="I177" s="87">
        <f>369833.1/1.15</f>
        <v>321594</v>
      </c>
      <c r="J177" s="88">
        <f>G177*I177</f>
        <v>411757.14702339325</v>
      </c>
      <c r="K177" s="89"/>
    </row>
    <row r="178" spans="1:13" ht="15" customHeight="1" x14ac:dyDescent="0.25">
      <c r="A178" s="84"/>
      <c r="B178" s="82" t="s">
        <v>89</v>
      </c>
      <c r="C178" s="85"/>
      <c r="D178" s="80"/>
      <c r="E178" s="80"/>
      <c r="F178" s="80"/>
      <c r="G178" s="80"/>
      <c r="H178" s="80"/>
      <c r="I178" s="80"/>
      <c r="J178" s="97">
        <f>0.13*G177*(296712)</f>
        <v>49386.889242301339</v>
      </c>
      <c r="K178" s="89"/>
      <c r="M178" s="58"/>
    </row>
    <row r="179" spans="1:13" ht="15" customHeight="1" x14ac:dyDescent="0.25">
      <c r="A179" s="84"/>
      <c r="B179" s="82"/>
      <c r="C179" s="85"/>
      <c r="D179" s="80"/>
      <c r="E179" s="80"/>
      <c r="F179" s="80"/>
      <c r="G179" s="80"/>
      <c r="H179" s="80"/>
      <c r="I179" s="80"/>
      <c r="J179" s="97"/>
      <c r="K179" s="89"/>
      <c r="M179" s="58"/>
    </row>
    <row r="180" spans="1:13" ht="30" x14ac:dyDescent="0.25">
      <c r="A180" s="84">
        <v>22</v>
      </c>
      <c r="B180" s="103" t="s">
        <v>124</v>
      </c>
      <c r="C180" s="89"/>
      <c r="D180" s="89"/>
      <c r="E180" s="89"/>
      <c r="F180" s="89"/>
      <c r="G180" s="101"/>
      <c r="H180" s="80"/>
      <c r="I180" s="80"/>
      <c r="J180" s="97"/>
      <c r="K180" s="89"/>
    </row>
    <row r="181" spans="1:13" x14ac:dyDescent="0.25">
      <c r="A181" s="84"/>
      <c r="B181" s="82" t="s">
        <v>125</v>
      </c>
      <c r="C181" s="85">
        <f>2</f>
        <v>2</v>
      </c>
      <c r="D181" s="80">
        <f>10.5/3.281</f>
        <v>3.2002438281011885</v>
      </c>
      <c r="E181" s="80">
        <f>14/3.281</f>
        <v>4.2669917708015843</v>
      </c>
      <c r="F181" s="80"/>
      <c r="G181" s="80">
        <f>PRODUCT(C181:F181)</f>
        <v>27.310828158132662</v>
      </c>
      <c r="H181" s="80"/>
      <c r="I181" s="80"/>
      <c r="J181" s="97"/>
      <c r="K181" s="89"/>
    </row>
    <row r="182" spans="1:13" ht="15" customHeight="1" x14ac:dyDescent="0.25">
      <c r="A182" s="84"/>
      <c r="B182" s="82" t="s">
        <v>25</v>
      </c>
      <c r="C182" s="85"/>
      <c r="D182" s="80"/>
      <c r="E182" s="80"/>
      <c r="F182" s="80"/>
      <c r="G182" s="86">
        <f>SUM(G181)</f>
        <v>27.310828158132662</v>
      </c>
      <c r="H182" s="86" t="s">
        <v>26</v>
      </c>
      <c r="I182" s="87">
        <f>6829.24/1.15</f>
        <v>5938.4695652173914</v>
      </c>
      <c r="J182" s="88">
        <f>G182*I182</f>
        <v>162184.52181795295</v>
      </c>
      <c r="K182" s="89"/>
    </row>
    <row r="183" spans="1:13" ht="15" customHeight="1" x14ac:dyDescent="0.25">
      <c r="A183" s="84"/>
      <c r="B183" s="82" t="s">
        <v>89</v>
      </c>
      <c r="C183" s="85"/>
      <c r="D183" s="80"/>
      <c r="E183" s="80"/>
      <c r="F183" s="80"/>
      <c r="G183" s="80"/>
      <c r="H183" s="80"/>
      <c r="I183" s="80"/>
      <c r="J183" s="97">
        <f>0.13*G182*(573683.55/100)</f>
        <v>20368.104706556758</v>
      </c>
      <c r="K183" s="89"/>
      <c r="M183" s="58"/>
    </row>
    <row r="184" spans="1:13" ht="15" customHeight="1" x14ac:dyDescent="0.25">
      <c r="A184" s="84"/>
      <c r="B184" s="82"/>
      <c r="C184" s="85"/>
      <c r="D184" s="80"/>
      <c r="E184" s="80"/>
      <c r="F184" s="80"/>
      <c r="G184" s="80"/>
      <c r="H184" s="80"/>
      <c r="I184" s="80"/>
      <c r="J184" s="97"/>
      <c r="K184" s="89"/>
      <c r="M184" s="58"/>
    </row>
    <row r="185" spans="1:13" ht="45" x14ac:dyDescent="0.25">
      <c r="A185" s="12">
        <v>23</v>
      </c>
      <c r="B185" s="102" t="s">
        <v>90</v>
      </c>
      <c r="C185" s="85"/>
      <c r="D185" s="80"/>
      <c r="E185" s="80"/>
      <c r="F185" s="80"/>
      <c r="G185" s="86"/>
      <c r="H185" s="86"/>
      <c r="I185" s="87"/>
      <c r="J185" s="88"/>
      <c r="K185" s="89"/>
    </row>
    <row r="186" spans="1:13" ht="15" customHeight="1" x14ac:dyDescent="0.25">
      <c r="A186" s="84"/>
      <c r="B186" s="82" t="s">
        <v>88</v>
      </c>
      <c r="C186" s="85">
        <f>(3)</f>
        <v>3</v>
      </c>
      <c r="D186" s="80">
        <f>3/3.281</f>
        <v>0.91435537945748246</v>
      </c>
      <c r="E186" s="80">
        <f>6/12/3.281</f>
        <v>0.15239256324291373</v>
      </c>
      <c r="F186" s="80">
        <f>6/12/3.281</f>
        <v>0.15239256324291373</v>
      </c>
      <c r="G186" s="80">
        <f>PRODUCT(C186:F186)</f>
        <v>6.370357817302931E-2</v>
      </c>
      <c r="H186" s="80"/>
      <c r="I186" s="80"/>
      <c r="J186" s="97"/>
      <c r="K186" s="89"/>
    </row>
    <row r="187" spans="1:13" ht="15" customHeight="1" x14ac:dyDescent="0.25">
      <c r="A187" s="84"/>
      <c r="B187" s="82"/>
      <c r="C187" s="85">
        <f>(12)</f>
        <v>12</v>
      </c>
      <c r="D187" s="80">
        <f>5/3.281</f>
        <v>1.5239256324291375</v>
      </c>
      <c r="E187" s="80">
        <f>3/12/3.281</f>
        <v>7.6196281621456863E-2</v>
      </c>
      <c r="F187" s="80">
        <f>4/12/3.281</f>
        <v>0.10159504216194248</v>
      </c>
      <c r="G187" s="80">
        <f>PRODUCT(C187:F187)</f>
        <v>0.14156350705117624</v>
      </c>
      <c r="H187" s="80"/>
      <c r="I187" s="80"/>
      <c r="J187" s="97"/>
      <c r="K187" s="89"/>
    </row>
    <row r="188" spans="1:13" ht="15" customHeight="1" x14ac:dyDescent="0.25">
      <c r="A188" s="84"/>
      <c r="B188" s="82"/>
      <c r="C188" s="85">
        <f>(10)</f>
        <v>10</v>
      </c>
      <c r="D188" s="80">
        <f>1/3.281</f>
        <v>0.30478512648582745</v>
      </c>
      <c r="E188" s="80">
        <f>3/12/3.281</f>
        <v>7.6196281621456863E-2</v>
      </c>
      <c r="F188" s="80">
        <f>4/12/3.281</f>
        <v>0.10159504216194248</v>
      </c>
      <c r="G188" s="80">
        <f>PRODUCT(C188:F188)</f>
        <v>2.35939178418627E-2</v>
      </c>
      <c r="H188" s="80"/>
      <c r="I188" s="80"/>
      <c r="J188" s="97"/>
      <c r="K188" s="89"/>
    </row>
    <row r="189" spans="1:13" ht="15" customHeight="1" x14ac:dyDescent="0.25">
      <c r="A189" s="84"/>
      <c r="B189" s="82" t="s">
        <v>126</v>
      </c>
      <c r="C189" s="85">
        <v>2</v>
      </c>
      <c r="D189" s="80">
        <f>7/3.281</f>
        <v>2.1334958854007922</v>
      </c>
      <c r="E189" s="80">
        <f>0.15</f>
        <v>0.15</v>
      </c>
      <c r="F189" s="80">
        <v>0.15</v>
      </c>
      <c r="G189" s="80">
        <f>PRODUCT(C189:F189)</f>
        <v>9.6007314843035638E-2</v>
      </c>
      <c r="H189" s="80"/>
      <c r="I189" s="80"/>
      <c r="J189" s="97"/>
      <c r="K189" s="89"/>
    </row>
    <row r="190" spans="1:13" ht="15" customHeight="1" x14ac:dyDescent="0.25">
      <c r="A190" s="84"/>
      <c r="B190" s="82" t="s">
        <v>25</v>
      </c>
      <c r="C190" s="85"/>
      <c r="D190" s="80"/>
      <c r="E190" s="80"/>
      <c r="F190" s="80"/>
      <c r="G190" s="86">
        <f>SUM(G186:G189)</f>
        <v>0.32486831790910392</v>
      </c>
      <c r="H190" s="86" t="s">
        <v>26</v>
      </c>
      <c r="I190" s="87">
        <f>348511.67/1.15</f>
        <v>303053.62608695653</v>
      </c>
      <c r="J190" s="88">
        <f>G190*I190</f>
        <v>98452.521743124104</v>
      </c>
      <c r="K190" s="89"/>
    </row>
    <row r="191" spans="1:13" ht="15" customHeight="1" x14ac:dyDescent="0.25">
      <c r="A191" s="84"/>
      <c r="B191" s="82" t="s">
        <v>89</v>
      </c>
      <c r="C191" s="85"/>
      <c r="D191" s="80"/>
      <c r="E191" s="80"/>
      <c r="F191" s="80"/>
      <c r="G191" s="80"/>
      <c r="H191" s="80"/>
      <c r="I191" s="80"/>
      <c r="J191" s="97">
        <f>0.13*G190*(296712)</f>
        <v>12531.002684647985</v>
      </c>
      <c r="K191" s="89"/>
      <c r="M191" s="58"/>
    </row>
    <row r="192" spans="1:13" ht="15" customHeight="1" x14ac:dyDescent="0.25">
      <c r="A192" s="84"/>
      <c r="B192" s="82"/>
      <c r="C192" s="85"/>
      <c r="D192" s="80"/>
      <c r="E192" s="80"/>
      <c r="F192" s="80"/>
      <c r="G192" s="80"/>
      <c r="H192" s="80"/>
      <c r="I192" s="80"/>
      <c r="J192" s="97"/>
      <c r="K192" s="89"/>
      <c r="M192" s="58"/>
    </row>
    <row r="193" spans="1:19" ht="30" hidden="1" x14ac:dyDescent="0.25">
      <c r="A193" s="12">
        <v>25</v>
      </c>
      <c r="B193" s="103" t="s">
        <v>91</v>
      </c>
      <c r="C193" s="14"/>
      <c r="D193" s="15"/>
      <c r="E193" s="16"/>
      <c r="F193" s="16"/>
      <c r="G193" s="19"/>
      <c r="H193" s="18"/>
      <c r="I193" s="19"/>
      <c r="J193" s="81"/>
      <c r="K193" s="16"/>
      <c r="M193" s="21"/>
      <c r="N193" s="1"/>
      <c r="O193" s="1"/>
      <c r="P193" s="1"/>
      <c r="Q193" s="1"/>
      <c r="R193" s="21"/>
      <c r="S193" s="21"/>
    </row>
    <row r="194" spans="1:19" ht="15" hidden="1" customHeight="1" x14ac:dyDescent="0.25">
      <c r="A194" s="12"/>
      <c r="B194" s="13" t="str">
        <f>B52</f>
        <v>-at new roof</v>
      </c>
      <c r="C194" s="85">
        <f>0*2</f>
        <v>0</v>
      </c>
      <c r="D194" s="80">
        <f>D52</f>
        <v>4.5717768972874122</v>
      </c>
      <c r="E194" s="80">
        <f>E52</f>
        <v>3.2764401097226452</v>
      </c>
      <c r="F194" s="80"/>
      <c r="G194" s="80">
        <f t="shared" ref="G194" si="16">PRODUCT(C194:F194)</f>
        <v>0</v>
      </c>
      <c r="H194" s="18"/>
      <c r="I194" s="19"/>
      <c r="J194" s="81"/>
      <c r="K194" s="16"/>
      <c r="M194" s="21"/>
      <c r="N194" s="1"/>
      <c r="O194" s="1"/>
      <c r="P194" s="1"/>
      <c r="Q194" s="1"/>
      <c r="R194" s="21"/>
      <c r="S194" s="21"/>
    </row>
    <row r="195" spans="1:19" ht="15" hidden="1" customHeight="1" x14ac:dyDescent="0.25">
      <c r="A195" s="84"/>
      <c r="B195" s="82" t="s">
        <v>25</v>
      </c>
      <c r="C195" s="85"/>
      <c r="D195" s="80"/>
      <c r="E195" s="80"/>
      <c r="F195" s="80"/>
      <c r="G195" s="86">
        <f>SUM(G194:G194)</f>
        <v>0</v>
      </c>
      <c r="H195" s="86" t="s">
        <v>26</v>
      </c>
      <c r="I195" s="87">
        <f>5999.55/10</f>
        <v>599.95500000000004</v>
      </c>
      <c r="J195" s="88">
        <f>G195*I195</f>
        <v>0</v>
      </c>
      <c r="K195" s="89"/>
    </row>
    <row r="196" spans="1:19" ht="15" hidden="1" customHeight="1" x14ac:dyDescent="0.25">
      <c r="A196" s="84"/>
      <c r="B196" s="82" t="s">
        <v>89</v>
      </c>
      <c r="C196" s="85"/>
      <c r="D196" s="80"/>
      <c r="E196" s="80"/>
      <c r="F196" s="80"/>
      <c r="G196" s="80"/>
      <c r="H196" s="80"/>
      <c r="I196" s="80"/>
      <c r="J196" s="97">
        <f>0.13*G195*((1397.55)/10)</f>
        <v>0</v>
      </c>
      <c r="K196" s="89"/>
    </row>
    <row r="197" spans="1:19" ht="15" hidden="1" customHeight="1" x14ac:dyDescent="0.25">
      <c r="A197" s="12"/>
      <c r="B197" s="60"/>
      <c r="C197" s="14"/>
      <c r="D197" s="15"/>
      <c r="E197" s="16"/>
      <c r="F197" s="16"/>
      <c r="G197" s="19"/>
      <c r="H197" s="18"/>
      <c r="I197" s="19"/>
      <c r="J197" s="81"/>
      <c r="K197" s="16"/>
      <c r="M197" s="21"/>
      <c r="N197" s="1"/>
      <c r="O197" s="1"/>
      <c r="P197" s="1"/>
      <c r="Q197" s="1"/>
      <c r="R197" s="21"/>
      <c r="S197" s="21"/>
    </row>
    <row r="198" spans="1:19" hidden="1" x14ac:dyDescent="0.25">
      <c r="A198" s="12">
        <v>22</v>
      </c>
      <c r="B198" s="83" t="s">
        <v>92</v>
      </c>
      <c r="C198" s="85"/>
      <c r="D198" s="80"/>
      <c r="E198" s="80"/>
      <c r="F198" s="80"/>
      <c r="G198" s="80"/>
      <c r="H198" s="80"/>
      <c r="I198" s="80"/>
      <c r="J198" s="97"/>
      <c r="K198" s="89"/>
    </row>
    <row r="199" spans="1:19" ht="15" hidden="1" customHeight="1" x14ac:dyDescent="0.25">
      <c r="A199" s="84"/>
      <c r="B199" s="82" t="s">
        <v>93</v>
      </c>
      <c r="C199" s="85">
        <f>0*2</f>
        <v>0</v>
      </c>
      <c r="D199" s="80"/>
      <c r="E199" s="80"/>
      <c r="F199" s="80"/>
      <c r="G199" s="80">
        <f>PRODUCT(C199:F199)</f>
        <v>0</v>
      </c>
      <c r="H199" s="80"/>
      <c r="I199" s="80"/>
      <c r="J199" s="97"/>
      <c r="K199" s="89"/>
    </row>
    <row r="200" spans="1:19" ht="15" hidden="1" customHeight="1" x14ac:dyDescent="0.25">
      <c r="A200" s="84"/>
      <c r="B200" s="82" t="s">
        <v>25</v>
      </c>
      <c r="C200" s="85"/>
      <c r="D200" s="80"/>
      <c r="E200" s="80"/>
      <c r="F200" s="80"/>
      <c r="G200" s="86">
        <f>SUM(G199:G199)</f>
        <v>0</v>
      </c>
      <c r="H200" s="86" t="s">
        <v>94</v>
      </c>
      <c r="I200" s="87">
        <f>2365*1.15</f>
        <v>2719.75</v>
      </c>
      <c r="J200" s="88">
        <f>G200*I200</f>
        <v>0</v>
      </c>
      <c r="K200" s="89"/>
    </row>
    <row r="201" spans="1:19" ht="15" hidden="1" customHeight="1" x14ac:dyDescent="0.25">
      <c r="A201" s="12"/>
      <c r="B201" s="82" t="s">
        <v>49</v>
      </c>
      <c r="C201" s="14"/>
      <c r="D201" s="15"/>
      <c r="E201" s="16"/>
      <c r="F201" s="16"/>
      <c r="G201" s="19"/>
      <c r="H201" s="18"/>
      <c r="I201" s="19"/>
      <c r="J201" s="81">
        <f>J200*0.13</f>
        <v>0</v>
      </c>
      <c r="K201" s="16"/>
      <c r="M201" s="21"/>
      <c r="N201" s="21"/>
    </row>
    <row r="202" spans="1:19" ht="15" hidden="1" customHeight="1" x14ac:dyDescent="0.25">
      <c r="A202" s="84"/>
      <c r="B202" s="82"/>
      <c r="C202" s="85"/>
      <c r="D202" s="80"/>
      <c r="E202" s="80"/>
      <c r="F202" s="80"/>
      <c r="G202" s="86"/>
      <c r="H202" s="86"/>
      <c r="I202" s="87"/>
      <c r="J202" s="88"/>
      <c r="K202" s="89"/>
    </row>
    <row r="203" spans="1:19" ht="30.75" x14ac:dyDescent="0.25">
      <c r="A203" s="84">
        <v>24</v>
      </c>
      <c r="B203" s="11" t="s">
        <v>95</v>
      </c>
      <c r="C203" s="85"/>
      <c r="D203" s="80"/>
      <c r="E203" s="80"/>
      <c r="F203" s="80"/>
      <c r="G203" s="80"/>
      <c r="H203" s="80"/>
      <c r="I203" s="80"/>
      <c r="J203" s="97"/>
      <c r="K203" s="89"/>
    </row>
    <row r="204" spans="1:19" x14ac:dyDescent="0.25">
      <c r="A204" s="84"/>
      <c r="B204" s="82" t="s">
        <v>96</v>
      </c>
      <c r="C204" s="85">
        <v>2</v>
      </c>
      <c r="D204" s="80">
        <f>3.833/3.281</f>
        <v>1.1682413898201769</v>
      </c>
      <c r="E204" s="80">
        <v>7.4999999999999997E-2</v>
      </c>
      <c r="F204" s="80">
        <v>0.125</v>
      </c>
      <c r="G204" s="80">
        <f t="shared" ref="G204:G209" si="17">PRODUCT(C204:F204)</f>
        <v>2.1904526059128317E-2</v>
      </c>
      <c r="H204" s="80"/>
      <c r="I204" s="80"/>
      <c r="J204" s="97"/>
      <c r="K204" s="89"/>
    </row>
    <row r="205" spans="1:19" x14ac:dyDescent="0.25">
      <c r="A205" s="84"/>
      <c r="B205" s="82"/>
      <c r="C205" s="85">
        <v>2</v>
      </c>
      <c r="D205" s="80">
        <f>6/3.281</f>
        <v>1.8287107589149649</v>
      </c>
      <c r="E205" s="80">
        <v>7.4999999999999997E-2</v>
      </c>
      <c r="F205" s="80">
        <v>0.125</v>
      </c>
      <c r="G205" s="80">
        <f t="shared" si="17"/>
        <v>3.4288326729655594E-2</v>
      </c>
      <c r="H205" s="80"/>
      <c r="I205" s="80"/>
      <c r="J205" s="97"/>
      <c r="K205" s="89"/>
    </row>
    <row r="206" spans="1:19" x14ac:dyDescent="0.25">
      <c r="A206" s="84"/>
      <c r="B206" s="82"/>
      <c r="C206" s="85">
        <v>2</v>
      </c>
      <c r="D206" s="80">
        <f>6/3.281</f>
        <v>1.8287107589149649</v>
      </c>
      <c r="E206" s="80">
        <v>7.4999999999999997E-2</v>
      </c>
      <c r="F206" s="80">
        <v>7.4999999999999997E-2</v>
      </c>
      <c r="G206" s="80">
        <f t="shared" si="17"/>
        <v>2.0572996037793355E-2</v>
      </c>
      <c r="H206" s="80"/>
      <c r="I206" s="80"/>
      <c r="J206" s="97"/>
      <c r="K206" s="89"/>
    </row>
    <row r="207" spans="1:19" hidden="1" x14ac:dyDescent="0.25">
      <c r="A207" s="84"/>
      <c r="B207" s="82" t="s">
        <v>97</v>
      </c>
      <c r="C207" s="85">
        <f>0*2</f>
        <v>0</v>
      </c>
      <c r="D207" s="80">
        <f>3.5/3.281</f>
        <v>1.0667479427003961</v>
      </c>
      <c r="E207" s="80">
        <v>7.4999999999999997E-2</v>
      </c>
      <c r="F207" s="80">
        <v>0.125</v>
      </c>
      <c r="G207" s="80">
        <f t="shared" si="17"/>
        <v>0</v>
      </c>
      <c r="H207" s="80"/>
      <c r="I207" s="80"/>
      <c r="J207" s="97"/>
      <c r="K207" s="89"/>
    </row>
    <row r="208" spans="1:19" hidden="1" x14ac:dyDescent="0.25">
      <c r="A208" s="84"/>
      <c r="B208" s="82"/>
      <c r="C208" s="85">
        <f>0*2</f>
        <v>0</v>
      </c>
      <c r="D208" s="80">
        <f>4.5/3.281</f>
        <v>1.3715330691862238</v>
      </c>
      <c r="E208" s="80">
        <v>7.4999999999999997E-2</v>
      </c>
      <c r="F208" s="80">
        <v>0.125</v>
      </c>
      <c r="G208" s="80">
        <f t="shared" si="17"/>
        <v>0</v>
      </c>
      <c r="H208" s="80"/>
      <c r="I208" s="80"/>
      <c r="J208" s="97"/>
      <c r="K208" s="89"/>
    </row>
    <row r="209" spans="1:14" hidden="1" x14ac:dyDescent="0.25">
      <c r="A209" s="84"/>
      <c r="B209" s="82" t="s">
        <v>98</v>
      </c>
      <c r="C209" s="85">
        <f>2*0</f>
        <v>0</v>
      </c>
      <c r="D209" s="80">
        <f>(2*2+2.5*2)/3.281</f>
        <v>2.7430661383724475</v>
      </c>
      <c r="E209" s="80">
        <v>7.4999999999999997E-2</v>
      </c>
      <c r="F209" s="80">
        <v>0.125</v>
      </c>
      <c r="G209" s="80">
        <f t="shared" si="17"/>
        <v>0</v>
      </c>
      <c r="H209" s="80"/>
      <c r="I209" s="80"/>
      <c r="J209" s="97"/>
      <c r="K209" s="89"/>
    </row>
    <row r="210" spans="1:14" ht="15" customHeight="1" x14ac:dyDescent="0.25">
      <c r="A210" s="84"/>
      <c r="B210" s="82" t="s">
        <v>25</v>
      </c>
      <c r="C210" s="85"/>
      <c r="D210" s="80"/>
      <c r="E210" s="80"/>
      <c r="F210" s="80"/>
      <c r="G210" s="86">
        <f>SUM(G204:G209)</f>
        <v>7.6765848826577276E-2</v>
      </c>
      <c r="H210" s="86" t="s">
        <v>94</v>
      </c>
      <c r="I210" s="87">
        <f>283082.83</f>
        <v>283082.83</v>
      </c>
      <c r="J210" s="88">
        <f>G210*I210</f>
        <v>21731.093733179678</v>
      </c>
      <c r="K210" s="89"/>
    </row>
    <row r="211" spans="1:14" ht="15" customHeight="1" x14ac:dyDescent="0.25">
      <c r="A211" s="12"/>
      <c r="B211" s="82" t="s">
        <v>49</v>
      </c>
      <c r="C211" s="14"/>
      <c r="D211" s="15"/>
      <c r="E211" s="16"/>
      <c r="F211" s="16"/>
      <c r="G211" s="19"/>
      <c r="H211" s="18"/>
      <c r="I211" s="19"/>
      <c r="J211" s="81">
        <f>0.13*G210*239222.83</f>
        <v>2387.3386684739794</v>
      </c>
      <c r="K211" s="16"/>
      <c r="M211" s="21"/>
      <c r="N211" s="21"/>
    </row>
    <row r="212" spans="1:14" ht="15" customHeight="1" x14ac:dyDescent="0.25">
      <c r="A212" s="84"/>
      <c r="B212" s="82"/>
      <c r="C212" s="85"/>
      <c r="D212" s="80"/>
      <c r="E212" s="80"/>
      <c r="F212" s="80"/>
      <c r="G212" s="80"/>
      <c r="H212" s="80"/>
      <c r="I212" s="80"/>
      <c r="J212" s="97"/>
      <c r="K212" s="89"/>
    </row>
    <row r="213" spans="1:14" ht="30" x14ac:dyDescent="0.25">
      <c r="A213" s="12">
        <v>25</v>
      </c>
      <c r="B213" s="102" t="s">
        <v>99</v>
      </c>
      <c r="C213" s="14"/>
      <c r="D213" s="15"/>
      <c r="E213" s="16"/>
      <c r="F213" s="16"/>
      <c r="G213" s="19"/>
      <c r="H213" s="18"/>
      <c r="I213" s="19"/>
      <c r="J213" s="95"/>
      <c r="K213" s="16"/>
    </row>
    <row r="214" spans="1:14" hidden="1" x14ac:dyDescent="0.25">
      <c r="A214" s="12"/>
      <c r="B214" s="99" t="s">
        <v>100</v>
      </c>
      <c r="C214" s="14">
        <f>0*1</f>
        <v>0</v>
      </c>
      <c r="D214" s="15">
        <f>15/3.281</f>
        <v>4.5717768972874122</v>
      </c>
      <c r="E214" s="16">
        <v>7.4999999999999997E-2</v>
      </c>
      <c r="F214" s="89"/>
      <c r="G214" s="91">
        <f>PRODUCT(C214:E214)</f>
        <v>0</v>
      </c>
      <c r="H214" s="18"/>
      <c r="I214" s="19"/>
      <c r="J214" s="95"/>
      <c r="K214" s="16"/>
    </row>
    <row r="215" spans="1:14" x14ac:dyDescent="0.25">
      <c r="A215" s="12"/>
      <c r="B215" s="99" t="str">
        <f>B204</f>
        <v>-For Door</v>
      </c>
      <c r="C215" s="14">
        <v>2</v>
      </c>
      <c r="D215" s="15">
        <f>0.3</f>
        <v>0.3</v>
      </c>
      <c r="E215" s="16"/>
      <c r="F215" s="16">
        <f>D205</f>
        <v>1.8287107589149649</v>
      </c>
      <c r="G215" s="91">
        <f>PRODUCT(C215:F215)</f>
        <v>1.097226455348979</v>
      </c>
      <c r="H215" s="18"/>
      <c r="I215" s="19"/>
      <c r="J215" s="95"/>
      <c r="K215" s="16"/>
    </row>
    <row r="216" spans="1:14" x14ac:dyDescent="0.25">
      <c r="A216" s="12"/>
      <c r="B216" s="99"/>
      <c r="C216" s="14">
        <v>1</v>
      </c>
      <c r="D216" s="15">
        <f>(6*2+4*2)/3.281</f>
        <v>6.0957025297165499</v>
      </c>
      <c r="E216" s="16">
        <v>7.4999999999999997E-2</v>
      </c>
      <c r="F216" s="16"/>
      <c r="G216" s="91">
        <f>PRODUCT(C216:F216)</f>
        <v>0.45717768972874123</v>
      </c>
      <c r="H216" s="18"/>
      <c r="I216" s="19"/>
      <c r="J216" s="95"/>
      <c r="K216" s="16"/>
    </row>
    <row r="217" spans="1:14" hidden="1" x14ac:dyDescent="0.25">
      <c r="A217" s="12"/>
      <c r="B217" s="99" t="s">
        <v>98</v>
      </c>
      <c r="C217" s="14">
        <f>2*0</f>
        <v>0</v>
      </c>
      <c r="D217" s="15">
        <f>D209</f>
        <v>2.7430661383724475</v>
      </c>
      <c r="E217" s="16">
        <f>E209</f>
        <v>7.4999999999999997E-2</v>
      </c>
      <c r="F217" s="16"/>
      <c r="G217" s="91">
        <f>PRODUCT(C217:F217)</f>
        <v>0</v>
      </c>
      <c r="H217" s="18"/>
      <c r="I217" s="19"/>
      <c r="J217" s="95"/>
      <c r="K217" s="16"/>
    </row>
    <row r="218" spans="1:14" ht="15" customHeight="1" x14ac:dyDescent="0.25">
      <c r="A218" s="84"/>
      <c r="B218" s="99" t="s">
        <v>25</v>
      </c>
      <c r="C218" s="90"/>
      <c r="D218" s="91"/>
      <c r="E218" s="91"/>
      <c r="F218" s="91"/>
      <c r="G218" s="95">
        <f>SUM(G214:G217)</f>
        <v>1.5544041450777202</v>
      </c>
      <c r="H218" s="95" t="s">
        <v>26</v>
      </c>
      <c r="I218" s="96">
        <f>39251.14/1.15</f>
        <v>34131.426086956526</v>
      </c>
      <c r="J218" s="97">
        <f>G218*I218</f>
        <v>53054.030186979056</v>
      </c>
      <c r="K218" s="92"/>
    </row>
    <row r="219" spans="1:14" x14ac:dyDescent="0.25">
      <c r="A219" s="12"/>
      <c r="B219" s="102"/>
      <c r="C219" s="14"/>
      <c r="D219" s="15"/>
      <c r="E219" s="16"/>
      <c r="F219" s="16"/>
      <c r="G219" s="19"/>
      <c r="H219" s="18"/>
      <c r="I219" s="19"/>
      <c r="J219" s="95"/>
      <c r="K219" s="16"/>
    </row>
    <row r="220" spans="1:14" ht="45" hidden="1" x14ac:dyDescent="0.25">
      <c r="A220" s="84">
        <v>25</v>
      </c>
      <c r="B220" s="83" t="s">
        <v>101</v>
      </c>
      <c r="C220" s="85"/>
      <c r="D220" s="80"/>
      <c r="E220" s="80"/>
      <c r="F220" s="80"/>
      <c r="G220" s="80"/>
      <c r="H220" s="80"/>
      <c r="I220" s="80"/>
      <c r="J220" s="97"/>
      <c r="K220" s="89"/>
    </row>
    <row r="221" spans="1:14" ht="15" hidden="1" customHeight="1" x14ac:dyDescent="0.25">
      <c r="A221" s="84"/>
      <c r="B221" s="82" t="s">
        <v>102</v>
      </c>
      <c r="C221" s="85">
        <f>0*1</f>
        <v>0</v>
      </c>
      <c r="D221" s="80">
        <f>3/3.281</f>
        <v>0.91435537945748246</v>
      </c>
      <c r="E221" s="80">
        <f>4/3.281</f>
        <v>1.2191405059433098</v>
      </c>
      <c r="F221" s="80"/>
      <c r="G221" s="80">
        <f>PRODUCT(C221:F221)</f>
        <v>0</v>
      </c>
      <c r="H221" s="80"/>
      <c r="I221" s="80"/>
      <c r="J221" s="97"/>
      <c r="K221" s="89"/>
    </row>
    <row r="222" spans="1:14" ht="15" hidden="1" customHeight="1" x14ac:dyDescent="0.25">
      <c r="A222" s="84"/>
      <c r="B222" s="82" t="s">
        <v>98</v>
      </c>
      <c r="C222" s="85">
        <f>2*0</f>
        <v>0</v>
      </c>
      <c r="D222" s="80"/>
      <c r="E222" s="80">
        <f>2.5/3.281</f>
        <v>0.76196281621456874</v>
      </c>
      <c r="F222" s="80">
        <f>1.5/3.281</f>
        <v>0.45717768972874123</v>
      </c>
      <c r="G222" s="80">
        <f>PRODUCT(C222:F222)</f>
        <v>0</v>
      </c>
      <c r="H222" s="80"/>
      <c r="I222" s="80"/>
      <c r="J222" s="97"/>
      <c r="K222" s="89"/>
    </row>
    <row r="223" spans="1:14" ht="15" hidden="1" customHeight="1" x14ac:dyDescent="0.25">
      <c r="A223" s="84"/>
      <c r="B223" s="82" t="s">
        <v>25</v>
      </c>
      <c r="C223" s="85"/>
      <c r="D223" s="80"/>
      <c r="E223" s="80"/>
      <c r="F223" s="80"/>
      <c r="G223" s="86">
        <f>SUM(G221:G222)</f>
        <v>0</v>
      </c>
      <c r="H223" s="86" t="s">
        <v>26</v>
      </c>
      <c r="I223" s="87">
        <f>31552.5/0.92</f>
        <v>34296.195652173912</v>
      </c>
      <c r="J223" s="88">
        <f>G223*I223</f>
        <v>0</v>
      </c>
      <c r="K223" s="89"/>
    </row>
    <row r="224" spans="1:14" ht="15" hidden="1" customHeight="1" x14ac:dyDescent="0.25">
      <c r="A224" s="84"/>
      <c r="B224" s="82" t="s">
        <v>89</v>
      </c>
      <c r="C224" s="85"/>
      <c r="D224" s="80"/>
      <c r="E224" s="80"/>
      <c r="F224" s="80"/>
      <c r="G224" s="80"/>
      <c r="H224" s="80"/>
      <c r="I224" s="80"/>
      <c r="J224" s="97">
        <f>0.13*G223*((9742.5)/0.92)</f>
        <v>0</v>
      </c>
      <c r="K224" s="89"/>
      <c r="M224" s="58"/>
    </row>
    <row r="225" spans="1:19" ht="15" hidden="1" customHeight="1" x14ac:dyDescent="0.25">
      <c r="A225" s="84"/>
      <c r="B225" s="82"/>
      <c r="C225" s="85"/>
      <c r="D225" s="80"/>
      <c r="E225" s="80"/>
      <c r="F225" s="80"/>
      <c r="G225" s="80"/>
      <c r="H225" s="80"/>
      <c r="I225" s="80"/>
      <c r="J225" s="97"/>
      <c r="K225" s="89"/>
      <c r="M225" s="58"/>
    </row>
    <row r="226" spans="1:19" ht="30.75" x14ac:dyDescent="0.25">
      <c r="A226" s="84">
        <v>26</v>
      </c>
      <c r="B226" s="11" t="s">
        <v>103</v>
      </c>
      <c r="C226" s="85"/>
      <c r="D226" s="80"/>
      <c r="E226" s="80"/>
      <c r="F226" s="80"/>
      <c r="G226" s="80"/>
      <c r="H226" s="80"/>
      <c r="I226" s="80"/>
      <c r="J226" s="97"/>
      <c r="K226" s="89"/>
      <c r="M226" s="58"/>
    </row>
    <row r="227" spans="1:19" ht="15" customHeight="1" x14ac:dyDescent="0.25">
      <c r="A227" s="84"/>
      <c r="B227" s="82" t="s">
        <v>104</v>
      </c>
      <c r="C227" s="85">
        <v>1</v>
      </c>
      <c r="D227" s="80"/>
      <c r="E227" s="80">
        <f>3.5/3.281</f>
        <v>1.0667479427003961</v>
      </c>
      <c r="F227" s="80">
        <f>6/3.281</f>
        <v>1.8287107589149649</v>
      </c>
      <c r="G227" s="80">
        <f>PRODUCT(C227:F227)</f>
        <v>1.9507734398666188</v>
      </c>
      <c r="H227" s="80"/>
      <c r="I227" s="80"/>
      <c r="J227" s="97"/>
      <c r="K227" s="89"/>
    </row>
    <row r="228" spans="1:19" ht="15" customHeight="1" x14ac:dyDescent="0.25">
      <c r="A228" s="84"/>
      <c r="B228" s="82" t="s">
        <v>25</v>
      </c>
      <c r="C228" s="85"/>
      <c r="D228" s="80"/>
      <c r="E228" s="80"/>
      <c r="F228" s="80"/>
      <c r="G228" s="86">
        <f>SUM(G227:G227)</f>
        <v>1.9507734398666188</v>
      </c>
      <c r="H228" s="86" t="s">
        <v>26</v>
      </c>
      <c r="I228" s="87">
        <v>15731.39</v>
      </c>
      <c r="J228" s="88">
        <f>G228*I228</f>
        <v>30688.377784183325</v>
      </c>
      <c r="K228" s="89"/>
    </row>
    <row r="229" spans="1:19" ht="15" customHeight="1" x14ac:dyDescent="0.25">
      <c r="A229" s="84"/>
      <c r="B229" s="82" t="s">
        <v>89</v>
      </c>
      <c r="C229" s="85"/>
      <c r="D229" s="80"/>
      <c r="E229" s="80"/>
      <c r="F229" s="80"/>
      <c r="G229" s="80"/>
      <c r="H229" s="80"/>
      <c r="I229" s="80"/>
      <c r="J229" s="97">
        <f>0.13*G228*((20356.18)/2.114)</f>
        <v>2441.9765310069674</v>
      </c>
      <c r="K229" s="89"/>
      <c r="M229" s="58"/>
    </row>
    <row r="230" spans="1:19" ht="15.75" x14ac:dyDescent="0.25">
      <c r="A230" s="84"/>
      <c r="B230" s="11"/>
      <c r="C230" s="85"/>
      <c r="D230" s="80"/>
      <c r="E230" s="80"/>
      <c r="F230" s="80"/>
      <c r="G230" s="80"/>
      <c r="H230" s="80"/>
      <c r="I230" s="80"/>
      <c r="J230" s="97"/>
      <c r="K230" s="89"/>
      <c r="M230" s="58"/>
    </row>
    <row r="231" spans="1:19" ht="30" x14ac:dyDescent="0.25">
      <c r="A231" s="84">
        <v>27</v>
      </c>
      <c r="B231" s="83" t="s">
        <v>105</v>
      </c>
      <c r="C231" s="85"/>
      <c r="D231" s="80"/>
      <c r="E231" s="80"/>
      <c r="F231" s="80"/>
      <c r="G231" s="80"/>
      <c r="H231" s="80"/>
      <c r="I231" s="80"/>
      <c r="J231" s="97"/>
      <c r="K231" s="89"/>
    </row>
    <row r="232" spans="1:19" ht="15" customHeight="1" x14ac:dyDescent="0.25">
      <c r="A232" s="84"/>
      <c r="B232" s="82" t="s">
        <v>104</v>
      </c>
      <c r="C232" s="85">
        <v>1</v>
      </c>
      <c r="D232" s="80"/>
      <c r="E232" s="80">
        <f>3.5/3.281</f>
        <v>1.0667479427003961</v>
      </c>
      <c r="F232" s="80">
        <f>6/3.281</f>
        <v>1.8287107589149649</v>
      </c>
      <c r="G232" s="80">
        <f>PRODUCT(C232:F232)</f>
        <v>1.9507734398666188</v>
      </c>
      <c r="H232" s="80"/>
      <c r="I232" s="80"/>
      <c r="J232" s="97"/>
      <c r="K232" s="89"/>
    </row>
    <row r="233" spans="1:19" ht="15" customHeight="1" x14ac:dyDescent="0.25">
      <c r="A233" s="84"/>
      <c r="B233" s="82" t="s">
        <v>25</v>
      </c>
      <c r="C233" s="85"/>
      <c r="D233" s="80"/>
      <c r="E233" s="80"/>
      <c r="F233" s="80"/>
      <c r="G233" s="86">
        <f>SUM(G232:G232)</f>
        <v>1.9507734398666188</v>
      </c>
      <c r="H233" s="86" t="s">
        <v>26</v>
      </c>
      <c r="I233" s="87">
        <f>45908.09/1.15</f>
        <v>39920.078260869566</v>
      </c>
      <c r="J233" s="88">
        <f>G233*I233</f>
        <v>77875.028388701146</v>
      </c>
      <c r="K233" s="89"/>
    </row>
    <row r="234" spans="1:19" x14ac:dyDescent="0.25">
      <c r="A234" s="84"/>
      <c r="B234" s="83"/>
      <c r="C234" s="85"/>
      <c r="D234" s="80"/>
      <c r="E234" s="80"/>
      <c r="F234" s="80"/>
      <c r="G234" s="80"/>
      <c r="H234" s="80"/>
      <c r="I234" s="80"/>
      <c r="J234" s="97"/>
      <c r="K234" s="89"/>
    </row>
    <row r="235" spans="1:19" ht="30" hidden="1" x14ac:dyDescent="0.25">
      <c r="A235" s="12">
        <v>32</v>
      </c>
      <c r="B235" s="103" t="s">
        <v>106</v>
      </c>
      <c r="C235" s="14"/>
      <c r="D235" s="15"/>
      <c r="E235" s="16"/>
      <c r="F235" s="16"/>
      <c r="G235" s="19"/>
      <c r="H235" s="18"/>
      <c r="I235" s="19"/>
      <c r="J235" s="81"/>
      <c r="K235" s="16"/>
      <c r="M235" s="21"/>
      <c r="N235" s="1"/>
      <c r="O235" s="1"/>
      <c r="P235" s="1"/>
      <c r="Q235" s="1"/>
      <c r="R235" s="21"/>
      <c r="S235" s="21"/>
    </row>
    <row r="236" spans="1:19" ht="15" hidden="1" customHeight="1" x14ac:dyDescent="0.25">
      <c r="A236" s="12"/>
      <c r="B236" s="13" t="s">
        <v>107</v>
      </c>
      <c r="C236" s="14">
        <f>0*2</f>
        <v>0</v>
      </c>
      <c r="D236" s="15">
        <f>(15)/3.281</f>
        <v>4.5717768972874122</v>
      </c>
      <c r="E236" s="16">
        <f>((10.5-1.5)/3.281)</f>
        <v>2.7430661383724475</v>
      </c>
      <c r="F236" s="16"/>
      <c r="G236" s="80">
        <f t="shared" ref="G236" si="18">PRODUCT(C236:F236)</f>
        <v>0</v>
      </c>
      <c r="H236" s="18"/>
      <c r="I236" s="19"/>
      <c r="J236" s="81"/>
      <c r="K236" s="16"/>
      <c r="M236" s="21"/>
      <c r="N236" s="1"/>
      <c r="O236" s="1"/>
      <c r="P236" s="1"/>
      <c r="Q236" s="1"/>
      <c r="R236" s="21"/>
      <c r="S236" s="21"/>
    </row>
    <row r="237" spans="1:19" ht="15" hidden="1" customHeight="1" x14ac:dyDescent="0.25">
      <c r="A237" s="84"/>
      <c r="B237" s="82" t="s">
        <v>25</v>
      </c>
      <c r="C237" s="85"/>
      <c r="D237" s="80"/>
      <c r="E237" s="80"/>
      <c r="F237" s="80"/>
      <c r="G237" s="86">
        <f>SUM(G236:G236)</f>
        <v>0</v>
      </c>
      <c r="H237" s="86" t="s">
        <v>26</v>
      </c>
      <c r="I237" s="87">
        <f>(325188.75/100)</f>
        <v>3251.8874999999998</v>
      </c>
      <c r="J237" s="88">
        <f>G237*I237</f>
        <v>0</v>
      </c>
      <c r="K237" s="89"/>
    </row>
    <row r="238" spans="1:19" ht="15" hidden="1" customHeight="1" x14ac:dyDescent="0.25">
      <c r="A238" s="84"/>
      <c r="B238" s="82" t="s">
        <v>89</v>
      </c>
      <c r="C238" s="85"/>
      <c r="D238" s="80"/>
      <c r="E238" s="80"/>
      <c r="F238" s="80"/>
      <c r="G238" s="80"/>
      <c r="H238" s="80"/>
      <c r="I238" s="80"/>
      <c r="J238" s="97">
        <f>0.13*G237*((221748.75)/100)</f>
        <v>0</v>
      </c>
      <c r="K238" s="89"/>
    </row>
    <row r="239" spans="1:19" ht="15" hidden="1" customHeight="1" x14ac:dyDescent="0.25">
      <c r="A239" s="84"/>
      <c r="B239" s="82"/>
      <c r="C239" s="85"/>
      <c r="D239" s="80"/>
      <c r="E239" s="80"/>
      <c r="F239" s="80"/>
      <c r="G239" s="80"/>
      <c r="H239" s="80"/>
      <c r="I239" s="80"/>
      <c r="J239" s="97"/>
      <c r="K239" s="89"/>
    </row>
    <row r="240" spans="1:19" ht="30" hidden="1" x14ac:dyDescent="0.25">
      <c r="A240" s="12">
        <v>33</v>
      </c>
      <c r="B240" s="103" t="s">
        <v>108</v>
      </c>
      <c r="C240" s="85"/>
      <c r="D240" s="80"/>
      <c r="E240" s="80"/>
      <c r="F240" s="80"/>
      <c r="G240" s="80"/>
      <c r="H240" s="80"/>
      <c r="I240" s="80"/>
      <c r="J240" s="97"/>
      <c r="K240" s="89"/>
    </row>
    <row r="241" spans="1:19" ht="15" hidden="1" customHeight="1" x14ac:dyDescent="0.25">
      <c r="A241" s="12"/>
      <c r="B241" s="13" t="s">
        <v>107</v>
      </c>
      <c r="C241" s="14">
        <f>0*2*2</f>
        <v>0</v>
      </c>
      <c r="D241" s="15">
        <f>D236</f>
        <v>4.5717768972874122</v>
      </c>
      <c r="E241" s="16"/>
      <c r="F241" s="16"/>
      <c r="G241" s="80">
        <f>PRODUCT(C241:F241)</f>
        <v>0</v>
      </c>
      <c r="H241" s="18"/>
      <c r="I241" s="19"/>
      <c r="J241" s="81"/>
      <c r="K241" s="16"/>
      <c r="M241" s="21"/>
      <c r="N241" s="1"/>
      <c r="O241" s="1"/>
      <c r="P241" s="1"/>
      <c r="Q241" s="1"/>
      <c r="R241" s="21"/>
      <c r="S241" s="21"/>
    </row>
    <row r="242" spans="1:19" ht="15" hidden="1" customHeight="1" x14ac:dyDescent="0.25">
      <c r="A242" s="84"/>
      <c r="B242" s="82" t="s">
        <v>25</v>
      </c>
      <c r="C242" s="85"/>
      <c r="D242" s="80"/>
      <c r="E242" s="80"/>
      <c r="F242" s="80"/>
      <c r="G242" s="86">
        <f>SUM(G241:G241)</f>
        <v>0</v>
      </c>
      <c r="H242" s="86" t="s">
        <v>73</v>
      </c>
      <c r="I242" s="87">
        <v>1842.85</v>
      </c>
      <c r="J242" s="88">
        <f>G242*I242</f>
        <v>0</v>
      </c>
      <c r="K242" s="89"/>
    </row>
    <row r="243" spans="1:19" ht="15" hidden="1" customHeight="1" x14ac:dyDescent="0.25">
      <c r="A243" s="84"/>
      <c r="B243" s="82" t="s">
        <v>89</v>
      </c>
      <c r="C243" s="85"/>
      <c r="D243" s="80"/>
      <c r="E243" s="80"/>
      <c r="F243" s="80"/>
      <c r="G243" s="80"/>
      <c r="H243" s="80"/>
      <c r="I243" s="80"/>
      <c r="J243" s="97">
        <f>0.13*G242*((164000)/100)</f>
        <v>0</v>
      </c>
      <c r="K243" s="89"/>
    </row>
    <row r="244" spans="1:19" ht="15" hidden="1" customHeight="1" x14ac:dyDescent="0.25">
      <c r="A244" s="84"/>
      <c r="B244" s="82"/>
      <c r="C244" s="85"/>
      <c r="D244" s="80"/>
      <c r="E244" s="80"/>
      <c r="F244" s="80"/>
      <c r="G244" s="80"/>
      <c r="H244" s="80"/>
      <c r="I244" s="80"/>
      <c r="J244" s="97"/>
      <c r="K244" s="89"/>
    </row>
    <row r="245" spans="1:19" ht="30" hidden="1" x14ac:dyDescent="0.25">
      <c r="A245" s="84">
        <v>34</v>
      </c>
      <c r="B245" s="103" t="s">
        <v>109</v>
      </c>
      <c r="C245" s="85"/>
      <c r="D245" s="80"/>
      <c r="E245" s="80"/>
      <c r="F245" s="80"/>
      <c r="G245" s="80"/>
      <c r="H245" s="80"/>
      <c r="I245" s="80"/>
      <c r="J245" s="97"/>
      <c r="K245" s="89"/>
    </row>
    <row r="246" spans="1:19" hidden="1" x14ac:dyDescent="0.25">
      <c r="A246" s="84"/>
      <c r="B246" s="82" t="s">
        <v>110</v>
      </c>
      <c r="C246" s="85">
        <f>0*4</f>
        <v>0</v>
      </c>
      <c r="D246" s="80"/>
      <c r="E246" s="80"/>
      <c r="F246" s="80"/>
      <c r="G246" s="80">
        <f t="shared" ref="G246" si="19">PRODUCT(C246:F246)</f>
        <v>0</v>
      </c>
      <c r="H246" s="80"/>
      <c r="I246" s="80"/>
      <c r="J246" s="97"/>
      <c r="K246" s="89"/>
    </row>
    <row r="247" spans="1:19" ht="15" hidden="1" customHeight="1" x14ac:dyDescent="0.25">
      <c r="A247" s="84"/>
      <c r="B247" s="82" t="s">
        <v>25</v>
      </c>
      <c r="C247" s="85"/>
      <c r="D247" s="80"/>
      <c r="E247" s="80"/>
      <c r="F247" s="80"/>
      <c r="G247" s="86">
        <f>SUM(G246)</f>
        <v>0</v>
      </c>
      <c r="H247" s="86" t="s">
        <v>94</v>
      </c>
      <c r="I247" s="87">
        <v>279</v>
      </c>
      <c r="J247" s="88">
        <f>G247*I247</f>
        <v>0</v>
      </c>
      <c r="K247" s="89"/>
    </row>
    <row r="248" spans="1:19" ht="15" hidden="1" customHeight="1" x14ac:dyDescent="0.25">
      <c r="A248" s="84"/>
      <c r="B248" s="82" t="s">
        <v>89</v>
      </c>
      <c r="C248" s="85"/>
      <c r="D248" s="80"/>
      <c r="E248" s="80"/>
      <c r="F248" s="80"/>
      <c r="G248" s="80"/>
      <c r="H248" s="80"/>
      <c r="I248" s="80"/>
      <c r="J248" s="97">
        <f>0.13*J247</f>
        <v>0</v>
      </c>
      <c r="K248" s="89"/>
    </row>
    <row r="249" spans="1:19" hidden="1" x14ac:dyDescent="0.25">
      <c r="A249" s="84"/>
      <c r="B249" s="83"/>
      <c r="C249" s="85"/>
      <c r="D249" s="80"/>
      <c r="E249" s="80"/>
      <c r="F249" s="80"/>
      <c r="G249" s="80"/>
      <c r="H249" s="80"/>
      <c r="I249" s="80"/>
      <c r="J249" s="97"/>
      <c r="K249" s="89"/>
    </row>
    <row r="250" spans="1:19" s="1" customFormat="1" ht="60" hidden="1" x14ac:dyDescent="0.25">
      <c r="A250" s="84">
        <v>35</v>
      </c>
      <c r="B250" s="104" t="s">
        <v>111</v>
      </c>
      <c r="C250" s="90">
        <f>0*3</f>
        <v>0</v>
      </c>
      <c r="D250" s="91">
        <v>3.5</v>
      </c>
      <c r="E250" s="91"/>
      <c r="F250" s="91"/>
      <c r="G250" s="91">
        <f>PRODUCT(C250:F250)</f>
        <v>0</v>
      </c>
      <c r="H250" s="84"/>
      <c r="I250" s="84"/>
      <c r="J250" s="84"/>
      <c r="K250" s="92"/>
    </row>
    <row r="251" spans="1:19" ht="15" hidden="1" customHeight="1" x14ac:dyDescent="0.25">
      <c r="A251" s="84"/>
      <c r="B251" s="82" t="s">
        <v>25</v>
      </c>
      <c r="C251" s="85"/>
      <c r="D251" s="80"/>
      <c r="E251" s="80"/>
      <c r="F251" s="80"/>
      <c r="G251" s="86">
        <f>SUM(G250:G250)</f>
        <v>0</v>
      </c>
      <c r="H251" s="86" t="s">
        <v>112</v>
      </c>
      <c r="I251" s="86">
        <v>3914.14</v>
      </c>
      <c r="J251" s="88">
        <f>G250*I251</f>
        <v>0</v>
      </c>
      <c r="K251" s="89"/>
    </row>
    <row r="252" spans="1:19" ht="15" hidden="1" customHeight="1" x14ac:dyDescent="0.25">
      <c r="A252" s="84"/>
      <c r="B252" s="82" t="s">
        <v>89</v>
      </c>
      <c r="C252" s="85"/>
      <c r="D252" s="80"/>
      <c r="E252" s="80"/>
      <c r="F252" s="80"/>
      <c r="G252" s="80"/>
      <c r="H252" s="80"/>
      <c r="I252" s="80"/>
      <c r="J252" s="97">
        <f>0.13*G251*5918/5</f>
        <v>0</v>
      </c>
      <c r="K252" s="89"/>
      <c r="M252" s="58"/>
    </row>
    <row r="253" spans="1:19" ht="15" hidden="1" customHeight="1" x14ac:dyDescent="0.25">
      <c r="A253" s="84"/>
      <c r="B253" s="82"/>
      <c r="C253" s="85"/>
      <c r="D253" s="80"/>
      <c r="E253" s="80"/>
      <c r="F253" s="80"/>
      <c r="G253" s="80"/>
      <c r="H253" s="80"/>
      <c r="I253" s="80"/>
      <c r="J253" s="97"/>
      <c r="K253" s="89"/>
    </row>
    <row r="254" spans="1:19" s="1" customFormat="1" ht="30" x14ac:dyDescent="0.25">
      <c r="A254" s="12">
        <v>28</v>
      </c>
      <c r="B254" s="102" t="s">
        <v>113</v>
      </c>
      <c r="C254" s="90">
        <v>1</v>
      </c>
      <c r="D254" s="91"/>
      <c r="E254" s="91"/>
      <c r="F254" s="91"/>
      <c r="G254" s="95">
        <f>PRODUCT(C254:F254)</f>
        <v>1</v>
      </c>
      <c r="H254" s="95" t="s">
        <v>114</v>
      </c>
      <c r="I254" s="95">
        <v>40000</v>
      </c>
      <c r="J254" s="97">
        <f>G254*I254</f>
        <v>40000</v>
      </c>
      <c r="K254" s="92"/>
    </row>
    <row r="255" spans="1:19" ht="15" customHeight="1" x14ac:dyDescent="0.25">
      <c r="A255" s="84"/>
      <c r="B255" s="41"/>
      <c r="C255" s="85"/>
      <c r="D255" s="80"/>
      <c r="E255" s="80"/>
      <c r="F255" s="80"/>
      <c r="G255" s="80"/>
      <c r="H255" s="80"/>
      <c r="I255" s="80"/>
      <c r="J255" s="97"/>
      <c r="K255" s="89"/>
    </row>
    <row r="256" spans="1:19" ht="15" customHeight="1" x14ac:dyDescent="0.25">
      <c r="A256" s="12">
        <v>29</v>
      </c>
      <c r="B256" s="62" t="s">
        <v>115</v>
      </c>
      <c r="C256" s="14">
        <v>1</v>
      </c>
      <c r="D256" s="15"/>
      <c r="E256" s="16"/>
      <c r="F256" s="16"/>
      <c r="G256" s="95">
        <f t="shared" ref="G256" si="20">PRODUCT(C256:F256)</f>
        <v>1</v>
      </c>
      <c r="H256" s="18" t="s">
        <v>94</v>
      </c>
      <c r="I256" s="19">
        <v>1000</v>
      </c>
      <c r="J256" s="95">
        <f>G256*I256</f>
        <v>1000</v>
      </c>
      <c r="K256" s="16"/>
      <c r="M256" s="21"/>
      <c r="N256" s="21"/>
    </row>
    <row r="257" spans="1:14" ht="15" customHeight="1" x14ac:dyDescent="0.25">
      <c r="A257" s="12"/>
      <c r="B257" s="60"/>
      <c r="C257" s="14"/>
      <c r="D257" s="15"/>
      <c r="E257" s="16"/>
      <c r="F257" s="16"/>
      <c r="G257" s="19"/>
      <c r="H257" s="18"/>
      <c r="I257" s="19"/>
      <c r="J257" s="81"/>
      <c r="K257" s="16"/>
      <c r="M257" s="21"/>
      <c r="N257" s="21"/>
    </row>
    <row r="258" spans="1:14" x14ac:dyDescent="0.25">
      <c r="A258" s="84"/>
      <c r="B258" s="105" t="s">
        <v>116</v>
      </c>
      <c r="C258" s="106"/>
      <c r="D258" s="107"/>
      <c r="E258" s="107"/>
      <c r="F258" s="107"/>
      <c r="G258" s="81"/>
      <c r="H258" s="81"/>
      <c r="I258" s="81"/>
      <c r="J258" s="81">
        <f>SUM(J14:J256)</f>
        <v>1122907.5295896425</v>
      </c>
      <c r="K258" s="89"/>
    </row>
    <row r="259" spans="1:14" x14ac:dyDescent="0.25">
      <c r="A259" s="108"/>
      <c r="B259" s="109"/>
      <c r="C259" s="109"/>
      <c r="D259" s="109"/>
      <c r="E259" s="109"/>
      <c r="F259" s="109"/>
      <c r="G259" s="110"/>
      <c r="H259" s="110"/>
      <c r="I259" s="110"/>
      <c r="J259" s="110"/>
      <c r="K259" s="109"/>
    </row>
    <row r="260" spans="1:14" s="1" customFormat="1" x14ac:dyDescent="0.25">
      <c r="A260" s="111"/>
      <c r="B260" s="92" t="s">
        <v>117</v>
      </c>
      <c r="C260" s="181">
        <f>J258</f>
        <v>1122907.5295896425</v>
      </c>
      <c r="D260" s="182"/>
      <c r="E260" s="91">
        <v>100</v>
      </c>
      <c r="F260" s="112"/>
      <c r="G260" s="113"/>
      <c r="H260" s="112"/>
      <c r="I260" s="114"/>
      <c r="J260" s="115"/>
      <c r="K260" s="116"/>
    </row>
    <row r="261" spans="1:14" x14ac:dyDescent="0.25">
      <c r="A261" s="108"/>
      <c r="B261" s="92" t="s">
        <v>118</v>
      </c>
      <c r="C261" s="183">
        <v>1000000</v>
      </c>
      <c r="D261" s="184"/>
      <c r="E261" s="91"/>
      <c r="F261" s="109"/>
      <c r="G261" s="110"/>
      <c r="H261" s="110"/>
      <c r="I261" s="110"/>
      <c r="J261" s="110"/>
      <c r="K261" s="109"/>
    </row>
    <row r="262" spans="1:14" x14ac:dyDescent="0.25">
      <c r="A262" s="108"/>
      <c r="B262" s="92" t="s">
        <v>119</v>
      </c>
      <c r="C262" s="183">
        <f>C261-C264-C265</f>
        <v>950000</v>
      </c>
      <c r="D262" s="184"/>
      <c r="E262" s="91">
        <f>C262/C260*100</f>
        <v>84.601801570176477</v>
      </c>
      <c r="F262" s="109"/>
      <c r="G262" s="110"/>
      <c r="H262" s="110"/>
      <c r="I262" s="110"/>
      <c r="J262" s="110"/>
      <c r="K262" s="109"/>
    </row>
    <row r="263" spans="1:14" x14ac:dyDescent="0.25">
      <c r="A263" s="108"/>
      <c r="B263" s="92" t="s">
        <v>120</v>
      </c>
      <c r="C263" s="185">
        <f>C260-C262</f>
        <v>172907.52958964254</v>
      </c>
      <c r="D263" s="185"/>
      <c r="E263" s="91">
        <f>100-E262</f>
        <v>15.398198429823523</v>
      </c>
      <c r="F263" s="109"/>
      <c r="G263" s="110"/>
      <c r="H263" s="110"/>
      <c r="I263" s="110"/>
      <c r="J263" s="110"/>
      <c r="K263" s="109"/>
    </row>
    <row r="264" spans="1:14" x14ac:dyDescent="0.25">
      <c r="A264" s="108"/>
      <c r="B264" s="92" t="s">
        <v>121</v>
      </c>
      <c r="C264" s="181">
        <f>C261*0.03</f>
        <v>30000</v>
      </c>
      <c r="D264" s="182"/>
      <c r="E264" s="91">
        <v>3</v>
      </c>
      <c r="F264" s="109"/>
      <c r="G264" s="110"/>
      <c r="H264" s="110"/>
      <c r="I264" s="110"/>
      <c r="J264" s="110"/>
      <c r="K264" s="109"/>
    </row>
    <row r="265" spans="1:14" x14ac:dyDescent="0.25">
      <c r="A265" s="108"/>
      <c r="B265" s="92" t="s">
        <v>122</v>
      </c>
      <c r="C265" s="181">
        <f>C261*0.02</f>
        <v>20000</v>
      </c>
      <c r="D265" s="182"/>
      <c r="E265" s="91">
        <v>2</v>
      </c>
      <c r="F265" s="109"/>
      <c r="G265" s="110"/>
      <c r="H265" s="110"/>
      <c r="I265" s="110"/>
      <c r="J265" s="110"/>
      <c r="K265" s="109"/>
    </row>
  </sheetData>
  <mergeCells count="15">
    <mergeCell ref="C264:D264"/>
    <mergeCell ref="C265:D265"/>
    <mergeCell ref="A7:F7"/>
    <mergeCell ref="H7:K7"/>
    <mergeCell ref="C260:D260"/>
    <mergeCell ref="C261:D261"/>
    <mergeCell ref="C262:D262"/>
    <mergeCell ref="C263:D263"/>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00"/>
  <sheetViews>
    <sheetView view="pageBreakPreview" topLeftCell="A251" zoomScale="80" zoomScaleNormal="100" zoomScaleSheetLayoutView="80" workbookViewId="0">
      <selection activeCell="D256" sqref="D256"/>
    </sheetView>
  </sheetViews>
  <sheetFormatPr defaultRowHeight="15" x14ac:dyDescent="0.25"/>
  <cols>
    <col min="1" max="1" width="4.42578125" style="71" customWidth="1"/>
    <col min="2" max="2" width="31.28515625" customWidth="1"/>
    <col min="3" max="3" width="5.5703125" bestFit="1" customWidth="1"/>
    <col min="4" max="4" width="9.28515625" customWidth="1"/>
    <col min="5" max="5" width="7.85546875" customWidth="1"/>
    <col min="6" max="6" width="8.28515625" customWidth="1"/>
    <col min="7" max="7" width="8.5703125" style="72" customWidth="1"/>
    <col min="8" max="8" width="5.28515625" style="72" bestFit="1" customWidth="1"/>
    <col min="9" max="9" width="10.42578125" style="72" customWidth="1"/>
    <col min="10" max="10" width="10.5703125" style="72" bestFit="1" customWidth="1"/>
    <col min="11" max="11" width="8.85546875" customWidth="1"/>
    <col min="13" max="14" width="9.5703125" bestFit="1" customWidth="1"/>
  </cols>
  <sheetData>
    <row r="1" spans="1:14" s="1" customFormat="1" x14ac:dyDescent="0.25">
      <c r="A1" s="177" t="s">
        <v>0</v>
      </c>
      <c r="B1" s="177"/>
      <c r="C1" s="177"/>
      <c r="D1" s="177"/>
      <c r="E1" s="177"/>
      <c r="F1" s="177"/>
      <c r="G1" s="177"/>
      <c r="H1" s="177"/>
      <c r="I1" s="177"/>
      <c r="J1" s="177"/>
      <c r="K1" s="177"/>
    </row>
    <row r="2" spans="1:14" s="1" customFormat="1" ht="22.5" x14ac:dyDescent="0.25">
      <c r="A2" s="178" t="s">
        <v>1</v>
      </c>
      <c r="B2" s="178"/>
      <c r="C2" s="178"/>
      <c r="D2" s="178"/>
      <c r="E2" s="178"/>
      <c r="F2" s="178"/>
      <c r="G2" s="178"/>
      <c r="H2" s="178"/>
      <c r="I2" s="178"/>
      <c r="J2" s="178"/>
      <c r="K2" s="178"/>
    </row>
    <row r="3" spans="1:14" s="1" customFormat="1" x14ac:dyDescent="0.25">
      <c r="A3" s="179" t="s">
        <v>2</v>
      </c>
      <c r="B3" s="179"/>
      <c r="C3" s="179"/>
      <c r="D3" s="179"/>
      <c r="E3" s="179"/>
      <c r="F3" s="179"/>
      <c r="G3" s="179"/>
      <c r="H3" s="179"/>
      <c r="I3" s="179"/>
      <c r="J3" s="179"/>
      <c r="K3" s="179"/>
    </row>
    <row r="4" spans="1:14" s="1" customFormat="1" x14ac:dyDescent="0.25">
      <c r="A4" s="179" t="s">
        <v>3</v>
      </c>
      <c r="B4" s="179"/>
      <c r="C4" s="179"/>
      <c r="D4" s="179"/>
      <c r="E4" s="179"/>
      <c r="F4" s="179"/>
      <c r="G4" s="179"/>
      <c r="H4" s="179"/>
      <c r="I4" s="179"/>
      <c r="J4" s="179"/>
      <c r="K4" s="179"/>
    </row>
    <row r="5" spans="1:14" ht="18.75" x14ac:dyDescent="0.3">
      <c r="A5" s="180" t="s">
        <v>4</v>
      </c>
      <c r="B5" s="180"/>
      <c r="C5" s="180"/>
      <c r="D5" s="180"/>
      <c r="E5" s="180"/>
      <c r="F5" s="180"/>
      <c r="G5" s="180"/>
      <c r="H5" s="180"/>
      <c r="I5" s="180"/>
      <c r="J5" s="180"/>
      <c r="K5" s="180"/>
    </row>
    <row r="6" spans="1:14" ht="15.75" x14ac:dyDescent="0.25">
      <c r="A6" s="176" t="s">
        <v>5</v>
      </c>
      <c r="B6" s="176"/>
      <c r="C6" s="176"/>
      <c r="D6" s="176"/>
      <c r="E6" s="176"/>
      <c r="F6" s="176"/>
      <c r="G6" s="2"/>
      <c r="H6" s="172" t="s">
        <v>6</v>
      </c>
      <c r="I6" s="172"/>
      <c r="J6" s="172"/>
      <c r="K6" s="172"/>
    </row>
    <row r="7" spans="1:14" ht="15.75" x14ac:dyDescent="0.25">
      <c r="A7" s="171" t="s">
        <v>7</v>
      </c>
      <c r="B7" s="171"/>
      <c r="C7" s="171"/>
      <c r="D7" s="171"/>
      <c r="E7" s="171"/>
      <c r="F7" s="171"/>
      <c r="G7" s="3"/>
      <c r="H7" s="172" t="s">
        <v>8</v>
      </c>
      <c r="I7" s="172"/>
      <c r="J7" s="172"/>
      <c r="K7" s="172"/>
    </row>
    <row r="8" spans="1:14" s="122" customFormat="1" ht="15" customHeight="1" x14ac:dyDescent="0.25">
      <c r="A8" s="124" t="s">
        <v>9</v>
      </c>
      <c r="B8" s="125" t="s">
        <v>10</v>
      </c>
      <c r="C8" s="126" t="s">
        <v>11</v>
      </c>
      <c r="D8" s="127" t="s">
        <v>12</v>
      </c>
      <c r="E8" s="127" t="s">
        <v>13</v>
      </c>
      <c r="F8" s="127" t="s">
        <v>14</v>
      </c>
      <c r="G8" s="127" t="s">
        <v>15</v>
      </c>
      <c r="H8" s="126" t="s">
        <v>16</v>
      </c>
      <c r="I8" s="127" t="s">
        <v>17</v>
      </c>
      <c r="J8" s="127" t="s">
        <v>18</v>
      </c>
      <c r="K8" s="128" t="s">
        <v>19</v>
      </c>
    </row>
    <row r="9" spans="1:14" ht="30.75" hidden="1" x14ac:dyDescent="0.25">
      <c r="A9" s="129">
        <v>1</v>
      </c>
      <c r="B9" s="130" t="s">
        <v>20</v>
      </c>
      <c r="C9" s="126"/>
      <c r="D9" s="127"/>
      <c r="E9" s="127"/>
      <c r="F9" s="127"/>
      <c r="G9" s="127"/>
      <c r="H9" s="126"/>
      <c r="I9" s="127"/>
      <c r="J9" s="127"/>
      <c r="K9" s="128"/>
    </row>
    <row r="10" spans="1:14" ht="15" hidden="1" customHeight="1" x14ac:dyDescent="0.25">
      <c r="A10" s="12"/>
      <c r="B10" s="13" t="s">
        <v>21</v>
      </c>
      <c r="C10" s="14">
        <v>1</v>
      </c>
      <c r="D10" s="15"/>
      <c r="E10" s="16">
        <f>10.75/3.281</f>
        <v>3.2764401097226452</v>
      </c>
      <c r="F10" s="16">
        <f>(9.42+7.75)/3.281</f>
        <v>5.233160621761658</v>
      </c>
      <c r="G10" s="131">
        <f t="shared" ref="G10:G13" si="0">PRODUCT(C10:F10)</f>
        <v>17.146137361760992</v>
      </c>
      <c r="H10" s="18"/>
      <c r="I10" s="19"/>
      <c r="J10" s="132"/>
      <c r="K10" s="16"/>
      <c r="M10" s="21"/>
      <c r="N10" s="21"/>
    </row>
    <row r="11" spans="1:14" ht="15" hidden="1" customHeight="1" x14ac:dyDescent="0.25">
      <c r="A11" s="12"/>
      <c r="B11" s="13" t="s">
        <v>22</v>
      </c>
      <c r="C11" s="14">
        <v>-1</v>
      </c>
      <c r="D11" s="15">
        <f>3.5/3.281</f>
        <v>1.0667479427003961</v>
      </c>
      <c r="E11" s="16"/>
      <c r="F11" s="16">
        <v>1.5</v>
      </c>
      <c r="G11" s="131">
        <f t="shared" si="0"/>
        <v>-1.600121914050594</v>
      </c>
      <c r="H11" s="18"/>
      <c r="I11" s="19"/>
      <c r="J11" s="132"/>
      <c r="K11" s="16"/>
      <c r="M11" s="21"/>
      <c r="N11" s="21"/>
    </row>
    <row r="12" spans="1:14" ht="15" hidden="1" customHeight="1" x14ac:dyDescent="0.25">
      <c r="A12" s="12"/>
      <c r="B12" s="13" t="s">
        <v>23</v>
      </c>
      <c r="C12" s="14">
        <v>-1</v>
      </c>
      <c r="D12" s="15">
        <f>3.833/3.281</f>
        <v>1.1682413898201769</v>
      </c>
      <c r="E12" s="16"/>
      <c r="F12" s="16">
        <f>7.75/3.281</f>
        <v>2.3620847302651629</v>
      </c>
      <c r="G12" s="131">
        <f t="shared" si="0"/>
        <v>-2.7594851481579914</v>
      </c>
      <c r="H12" s="18"/>
      <c r="I12" s="19"/>
      <c r="J12" s="132"/>
      <c r="K12" s="16"/>
      <c r="M12" s="21"/>
      <c r="N12" s="21"/>
    </row>
    <row r="13" spans="1:14" ht="15" hidden="1" customHeight="1" x14ac:dyDescent="0.25">
      <c r="A13" s="12"/>
      <c r="B13" s="13" t="s">
        <v>24</v>
      </c>
      <c r="C13" s="14">
        <v>1</v>
      </c>
      <c r="D13" s="15"/>
      <c r="E13" s="16">
        <f>(5.75)/3.281</f>
        <v>1.752514477293508</v>
      </c>
      <c r="F13" s="16">
        <f>(9.42+7.75)/3.281</f>
        <v>5.233160621761658</v>
      </c>
      <c r="G13" s="131">
        <f t="shared" si="0"/>
        <v>9.1711897516396004</v>
      </c>
      <c r="H13" s="18"/>
      <c r="I13" s="19"/>
      <c r="J13" s="132"/>
      <c r="K13" s="16"/>
      <c r="M13" s="21"/>
      <c r="N13" s="21"/>
    </row>
    <row r="14" spans="1:14" ht="15" hidden="1" customHeight="1" x14ac:dyDescent="0.25">
      <c r="A14" s="12"/>
      <c r="B14" s="133" t="s">
        <v>25</v>
      </c>
      <c r="C14" s="14"/>
      <c r="D14" s="15"/>
      <c r="E14" s="16"/>
      <c r="F14" s="16"/>
      <c r="G14" s="19">
        <f>0*SUM(G10:G13)</f>
        <v>0</v>
      </c>
      <c r="H14" s="18" t="s">
        <v>26</v>
      </c>
      <c r="I14" s="19">
        <f>97.2</f>
        <v>97.2</v>
      </c>
      <c r="J14" s="132">
        <f>G14*I14</f>
        <v>0</v>
      </c>
      <c r="K14" s="16"/>
      <c r="M14" s="21"/>
      <c r="N14" s="21"/>
    </row>
    <row r="15" spans="1:14" ht="15" hidden="1" customHeight="1" x14ac:dyDescent="0.25">
      <c r="A15" s="12"/>
      <c r="B15" s="133"/>
      <c r="C15" s="14"/>
      <c r="D15" s="15"/>
      <c r="E15" s="16"/>
      <c r="F15" s="16"/>
      <c r="G15" s="19"/>
      <c r="H15" s="18"/>
      <c r="I15" s="19"/>
      <c r="J15" s="132"/>
      <c r="K15" s="16"/>
      <c r="M15" s="21"/>
      <c r="N15" s="21"/>
    </row>
    <row r="16" spans="1:14" ht="32.25" customHeight="1" x14ac:dyDescent="0.25">
      <c r="A16" s="12">
        <v>1</v>
      </c>
      <c r="B16" s="130" t="s">
        <v>27</v>
      </c>
      <c r="C16" s="14"/>
      <c r="D16" s="15"/>
      <c r="E16" s="16"/>
      <c r="F16" s="16"/>
      <c r="G16" s="19"/>
      <c r="H16" s="18"/>
      <c r="I16" s="19"/>
      <c r="J16" s="132"/>
      <c r="K16" s="16"/>
      <c r="M16" s="21"/>
      <c r="N16" s="21"/>
    </row>
    <row r="17" spans="1:14" ht="15" customHeight="1" x14ac:dyDescent="0.25">
      <c r="A17" s="12"/>
      <c r="B17" s="133" t="s">
        <v>28</v>
      </c>
      <c r="C17" s="14">
        <f>4</f>
        <v>4</v>
      </c>
      <c r="D17" s="15">
        <f>4.5/3.281</f>
        <v>1.3715330691862238</v>
      </c>
      <c r="E17" s="15">
        <f>4.5/3.281</f>
        <v>1.3715330691862238</v>
      </c>
      <c r="F17" s="16">
        <v>0.115</v>
      </c>
      <c r="G17" s="131">
        <f t="shared" ref="G17:G19" si="1">PRODUCT(C17:F17)</f>
        <v>0.86530736154083621</v>
      </c>
      <c r="H17" s="18"/>
      <c r="I17" s="19"/>
      <c r="J17" s="132"/>
      <c r="K17" s="16"/>
      <c r="M17" s="21"/>
      <c r="N17" s="21"/>
    </row>
    <row r="18" spans="1:14" ht="15" customHeight="1" x14ac:dyDescent="0.25">
      <c r="A18" s="12"/>
      <c r="B18" s="133"/>
      <c r="C18" s="14">
        <f>0.5*4</f>
        <v>2</v>
      </c>
      <c r="D18" s="15">
        <f>11/3.281</f>
        <v>3.3526363913441024</v>
      </c>
      <c r="E18" s="15">
        <v>0.23</v>
      </c>
      <c r="F18" s="16">
        <f>2.25/3.281</f>
        <v>0.68576653459311188</v>
      </c>
      <c r="G18" s="131">
        <f t="shared" si="1"/>
        <v>1.0575978863276887</v>
      </c>
      <c r="H18" s="18"/>
      <c r="I18" s="19"/>
      <c r="J18" s="132"/>
      <c r="K18" s="16"/>
      <c r="M18" s="21"/>
      <c r="N18" s="21"/>
    </row>
    <row r="19" spans="1:14" ht="15" customHeight="1" x14ac:dyDescent="0.25">
      <c r="A19" s="12"/>
      <c r="B19" s="133"/>
      <c r="C19" s="14">
        <v>8</v>
      </c>
      <c r="D19" s="15">
        <f>5/12/3.281</f>
        <v>0.12699380270242813</v>
      </c>
      <c r="E19" s="15">
        <v>0.23</v>
      </c>
      <c r="F19" s="16">
        <v>0.23</v>
      </c>
      <c r="G19" s="131">
        <f t="shared" si="1"/>
        <v>5.3743777303667591E-2</v>
      </c>
      <c r="H19" s="18"/>
      <c r="I19" s="19"/>
      <c r="J19" s="132"/>
      <c r="K19" s="16"/>
      <c r="M19" s="21"/>
      <c r="N19" s="21"/>
    </row>
    <row r="20" spans="1:14" ht="15" hidden="1" customHeight="1" x14ac:dyDescent="0.25">
      <c r="A20" s="12"/>
      <c r="B20" s="13" t="s">
        <v>29</v>
      </c>
      <c r="C20" s="14">
        <f>0*2</f>
        <v>0</v>
      </c>
      <c r="D20" s="15">
        <f>0.833/3.281</f>
        <v>0.25388601036269426</v>
      </c>
      <c r="E20" s="15">
        <f>0.833/3.281</f>
        <v>0.25388601036269426</v>
      </c>
      <c r="F20" s="16">
        <f>6.25/3.281</f>
        <v>1.9049070405364217</v>
      </c>
      <c r="G20" s="131">
        <f>PRODUCT(C20:F20)</f>
        <v>0</v>
      </c>
      <c r="H20" s="18"/>
      <c r="I20" s="19"/>
      <c r="J20" s="132"/>
      <c r="K20" s="16"/>
      <c r="M20" s="21"/>
      <c r="N20" s="21"/>
    </row>
    <row r="21" spans="1:14" ht="15" hidden="1" customHeight="1" x14ac:dyDescent="0.25">
      <c r="A21" s="12"/>
      <c r="B21" s="13"/>
      <c r="C21" s="14">
        <f>0*1</f>
        <v>0</v>
      </c>
      <c r="D21" s="15">
        <f>0.833/3.281</f>
        <v>0.25388601036269426</v>
      </c>
      <c r="E21" s="15">
        <f>0.833/3.281</f>
        <v>0.25388601036269426</v>
      </c>
      <c r="F21" s="15">
        <f>0.833/3.281</f>
        <v>0.25388601036269426</v>
      </c>
      <c r="G21" s="131">
        <f>PRODUCT(C21:F21)</f>
        <v>0</v>
      </c>
      <c r="H21" s="18"/>
      <c r="I21" s="19"/>
      <c r="J21" s="132"/>
      <c r="K21" s="16"/>
      <c r="M21" s="21"/>
      <c r="N21" s="21"/>
    </row>
    <row r="22" spans="1:14" ht="15" customHeight="1" x14ac:dyDescent="0.25">
      <c r="A22" s="12"/>
      <c r="B22" s="133" t="s">
        <v>25</v>
      </c>
      <c r="C22" s="14"/>
      <c r="D22" s="15"/>
      <c r="E22" s="16"/>
      <c r="F22" s="16"/>
      <c r="G22" s="19">
        <f>SUM(G17:G21)</f>
        <v>1.9766490251721924</v>
      </c>
      <c r="H22" s="18" t="s">
        <v>30</v>
      </c>
      <c r="I22" s="19">
        <f>1908</f>
        <v>1908</v>
      </c>
      <c r="J22" s="132">
        <f>G22*I22</f>
        <v>3771.4463400285431</v>
      </c>
      <c r="K22" s="16"/>
      <c r="M22" s="21"/>
      <c r="N22" s="21"/>
    </row>
    <row r="23" spans="1:14" ht="15" customHeight="1" x14ac:dyDescent="0.25">
      <c r="A23" s="12"/>
      <c r="B23" s="133"/>
      <c r="C23" s="14"/>
      <c r="D23" s="15"/>
      <c r="E23" s="16"/>
      <c r="F23" s="16"/>
      <c r="G23" s="19"/>
      <c r="H23" s="18"/>
      <c r="I23" s="19"/>
      <c r="J23" s="132"/>
      <c r="K23" s="16"/>
      <c r="M23" s="21"/>
      <c r="N23" s="21"/>
    </row>
    <row r="24" spans="1:14" ht="31.5" x14ac:dyDescent="0.25">
      <c r="A24" s="12">
        <v>2</v>
      </c>
      <c r="B24" s="134" t="s">
        <v>31</v>
      </c>
      <c r="C24" s="14"/>
      <c r="D24" s="15"/>
      <c r="E24" s="16"/>
      <c r="F24" s="16"/>
      <c r="G24" s="19"/>
      <c r="H24" s="18"/>
      <c r="I24" s="19"/>
      <c r="J24" s="132"/>
      <c r="K24" s="16"/>
      <c r="M24" s="21"/>
      <c r="N24" s="21"/>
    </row>
    <row r="25" spans="1:14" ht="15" customHeight="1" x14ac:dyDescent="0.25">
      <c r="A25" s="12"/>
      <c r="B25" s="13" t="s">
        <v>32</v>
      </c>
      <c r="C25" s="14">
        <f>4</f>
        <v>4</v>
      </c>
      <c r="D25" s="15">
        <f>(5.25/2)/3.281</f>
        <v>0.80006095702529711</v>
      </c>
      <c r="E25" s="16">
        <v>7.4999999999999997E-2</v>
      </c>
      <c r="F25" s="16">
        <f>3.75/3.281</f>
        <v>1.1429442243218531</v>
      </c>
      <c r="G25" s="131">
        <f>PRODUCT(C25:F25)</f>
        <v>0.2743275149812433</v>
      </c>
      <c r="H25" s="18"/>
      <c r="I25" s="19"/>
      <c r="J25" s="132"/>
      <c r="K25" s="16"/>
      <c r="M25" s="21"/>
      <c r="N25" s="21"/>
    </row>
    <row r="26" spans="1:14" ht="15" customHeight="1" x14ac:dyDescent="0.25">
      <c r="A26" s="12"/>
      <c r="B26" s="13" t="s">
        <v>33</v>
      </c>
      <c r="C26" s="14">
        <v>1</v>
      </c>
      <c r="D26" s="15">
        <f>(10.75+1.11935+3+11.5)/3.281</f>
        <v>8.0369856750990554</v>
      </c>
      <c r="E26" s="16">
        <f>10.75/3.281</f>
        <v>3.2764401097226452</v>
      </c>
      <c r="F26" s="16">
        <f>3/12/3.281</f>
        <v>7.6196281621456863E-2</v>
      </c>
      <c r="G26" s="131">
        <f t="shared" ref="G26:G27" si="2">PRODUCT(C26:F26)</f>
        <v>2.0064539947547146</v>
      </c>
      <c r="H26" s="18"/>
      <c r="I26" s="19"/>
      <c r="J26" s="132"/>
      <c r="K26" s="16"/>
      <c r="M26" s="16">
        <f>2.75/12/3.281</f>
        <v>6.9846591486335458E-2</v>
      </c>
      <c r="N26" s="21"/>
    </row>
    <row r="27" spans="1:14" ht="15" customHeight="1" x14ac:dyDescent="0.25">
      <c r="A27" s="12"/>
      <c r="B27" s="13" t="s">
        <v>128</v>
      </c>
      <c r="C27" s="14">
        <v>2</v>
      </c>
      <c r="D27" s="15">
        <f>10.5/3.281</f>
        <v>3.2002438281011885</v>
      </c>
      <c r="E27" s="16">
        <f>9/12/3.281</f>
        <v>0.22858884486437062</v>
      </c>
      <c r="F27" s="16">
        <f>9/12/3.281</f>
        <v>0.22858884486437062</v>
      </c>
      <c r="G27" s="131">
        <f t="shared" si="2"/>
        <v>0.33444378540840386</v>
      </c>
      <c r="H27" s="18"/>
      <c r="I27" s="19"/>
      <c r="J27" s="132"/>
      <c r="K27" s="16"/>
      <c r="M27" s="21"/>
      <c r="N27" s="21"/>
    </row>
    <row r="28" spans="1:14" ht="15" customHeight="1" x14ac:dyDescent="0.25">
      <c r="A28" s="12"/>
      <c r="B28" s="133" t="s">
        <v>25</v>
      </c>
      <c r="C28" s="14"/>
      <c r="D28" s="15"/>
      <c r="E28" s="16"/>
      <c r="F28" s="16"/>
      <c r="G28" s="19">
        <f>SUM(G25:G27)</f>
        <v>2.615225295144362</v>
      </c>
      <c r="H28" s="18" t="s">
        <v>30</v>
      </c>
      <c r="I28" s="19">
        <f>11385/1.15</f>
        <v>9900</v>
      </c>
      <c r="J28" s="132">
        <f>G28*I28</f>
        <v>25890.730421929184</v>
      </c>
      <c r="K28" s="16"/>
      <c r="M28" s="21"/>
      <c r="N28" s="21"/>
    </row>
    <row r="29" spans="1:14" ht="15" customHeight="1" x14ac:dyDescent="0.25">
      <c r="A29" s="129"/>
      <c r="B29" s="125"/>
      <c r="C29" s="126"/>
      <c r="D29" s="127"/>
      <c r="E29" s="127"/>
      <c r="F29" s="127"/>
      <c r="G29" s="127"/>
      <c r="H29" s="126"/>
      <c r="I29" s="127"/>
      <c r="J29" s="127"/>
      <c r="K29" s="128"/>
    </row>
    <row r="30" spans="1:14" ht="30" hidden="1" x14ac:dyDescent="0.25">
      <c r="A30" s="12">
        <v>3</v>
      </c>
      <c r="B30" s="135" t="s">
        <v>34</v>
      </c>
      <c r="C30" s="14"/>
      <c r="D30" s="15"/>
      <c r="E30" s="16"/>
      <c r="F30" s="16"/>
      <c r="G30" s="19"/>
      <c r="H30" s="18"/>
      <c r="I30" s="19"/>
      <c r="J30" s="132"/>
      <c r="K30" s="16"/>
      <c r="M30" s="21"/>
      <c r="N30" s="21"/>
    </row>
    <row r="31" spans="1:14" ht="15" hidden="1" customHeight="1" x14ac:dyDescent="0.25">
      <c r="A31" s="12"/>
      <c r="B31" s="133" t="s">
        <v>35</v>
      </c>
      <c r="C31" s="14">
        <f>0*2</f>
        <v>0</v>
      </c>
      <c r="D31" s="15">
        <f>0.6</f>
        <v>0.6</v>
      </c>
      <c r="E31" s="16">
        <v>0.6</v>
      </c>
      <c r="F31" s="16">
        <v>0.9</v>
      </c>
      <c r="G31" s="131">
        <f>PRODUCT(C31:F31)</f>
        <v>0</v>
      </c>
      <c r="H31" s="18"/>
      <c r="I31" s="19"/>
      <c r="J31" s="132"/>
      <c r="K31" s="16"/>
      <c r="M31" s="21"/>
      <c r="N31" s="21"/>
    </row>
    <row r="32" spans="1:14" ht="15" hidden="1" customHeight="1" x14ac:dyDescent="0.25">
      <c r="A32" s="136"/>
      <c r="B32" s="133" t="s">
        <v>25</v>
      </c>
      <c r="C32" s="137"/>
      <c r="D32" s="131"/>
      <c r="E32" s="131"/>
      <c r="F32" s="131"/>
      <c r="G32" s="138">
        <f>SUM(G31:G31)</f>
        <v>0</v>
      </c>
      <c r="H32" s="138" t="s">
        <v>30</v>
      </c>
      <c r="I32" s="139">
        <f>746.24/1.15</f>
        <v>648.90434782608702</v>
      </c>
      <c r="J32" s="140">
        <f>G32*I32</f>
        <v>0</v>
      </c>
      <c r="K32" s="141"/>
    </row>
    <row r="33" spans="1:11" ht="15" hidden="1" customHeight="1" x14ac:dyDescent="0.25">
      <c r="A33" s="136"/>
      <c r="B33" s="133"/>
      <c r="C33" s="137"/>
      <c r="D33" s="131"/>
      <c r="E33" s="131"/>
      <c r="F33" s="131"/>
      <c r="G33" s="138"/>
      <c r="H33" s="138"/>
      <c r="I33" s="139"/>
      <c r="J33" s="140"/>
      <c r="K33" s="141"/>
    </row>
    <row r="34" spans="1:11" ht="15.75" hidden="1" x14ac:dyDescent="0.25">
      <c r="A34" s="136">
        <v>4</v>
      </c>
      <c r="B34" s="142" t="s">
        <v>36</v>
      </c>
      <c r="C34" s="143"/>
      <c r="D34" s="144"/>
      <c r="E34" s="144"/>
      <c r="F34" s="144"/>
      <c r="G34" s="144"/>
      <c r="H34" s="145"/>
      <c r="I34" s="144"/>
      <c r="J34" s="144"/>
      <c r="K34" s="145"/>
    </row>
    <row r="35" spans="1:11" hidden="1" x14ac:dyDescent="0.25">
      <c r="A35" s="136"/>
      <c r="B35" s="146" t="s">
        <v>37</v>
      </c>
      <c r="C35" s="143">
        <f>1*C31</f>
        <v>0</v>
      </c>
      <c r="D35" s="144">
        <f>D31</f>
        <v>0.6</v>
      </c>
      <c r="E35" s="144">
        <f>E31</f>
        <v>0.6</v>
      </c>
      <c r="F35" s="144"/>
      <c r="G35" s="144">
        <f>PRODUCT(C35:F35)</f>
        <v>0</v>
      </c>
      <c r="H35" s="145"/>
      <c r="I35" s="145"/>
      <c r="J35" s="144"/>
      <c r="K35" s="145"/>
    </row>
    <row r="36" spans="1:11" hidden="1" x14ac:dyDescent="0.25">
      <c r="A36" s="136"/>
      <c r="B36" s="147" t="s">
        <v>25</v>
      </c>
      <c r="C36" s="143"/>
      <c r="D36" s="144"/>
      <c r="E36" s="144"/>
      <c r="F36" s="144"/>
      <c r="G36" s="148">
        <f>SUM(G35)</f>
        <v>0</v>
      </c>
      <c r="H36" s="18" t="s">
        <v>26</v>
      </c>
      <c r="I36" s="18">
        <v>985.37</v>
      </c>
      <c r="J36" s="149">
        <f>G36*I36</f>
        <v>0</v>
      </c>
      <c r="K36" s="145"/>
    </row>
    <row r="37" spans="1:11" hidden="1" x14ac:dyDescent="0.25">
      <c r="A37" s="136"/>
      <c r="B37" s="147" t="s">
        <v>38</v>
      </c>
      <c r="C37" s="143"/>
      <c r="D37" s="144"/>
      <c r="E37" s="144"/>
      <c r="F37" s="144"/>
      <c r="G37" s="144"/>
      <c r="H37" s="18"/>
      <c r="I37" s="144"/>
      <c r="J37" s="149">
        <f>0.13*G36*(8353.81)/10</f>
        <v>0</v>
      </c>
      <c r="K37" s="145"/>
    </row>
    <row r="38" spans="1:11" hidden="1" x14ac:dyDescent="0.25">
      <c r="A38" s="136"/>
      <c r="B38" s="145"/>
      <c r="C38" s="143"/>
      <c r="D38" s="144"/>
      <c r="E38" s="144"/>
      <c r="F38" s="144"/>
      <c r="G38" s="144"/>
      <c r="H38" s="145"/>
      <c r="I38" s="144"/>
      <c r="J38" s="144"/>
      <c r="K38" s="145"/>
    </row>
    <row r="39" spans="1:11" s="1" customFormat="1" ht="30" hidden="1" x14ac:dyDescent="0.25">
      <c r="A39" s="136">
        <v>5</v>
      </c>
      <c r="B39" s="150" t="s">
        <v>39</v>
      </c>
      <c r="C39" s="143"/>
      <c r="D39" s="144"/>
      <c r="E39" s="144"/>
      <c r="F39" s="144"/>
      <c r="G39" s="144"/>
      <c r="H39" s="145"/>
      <c r="I39" s="144"/>
      <c r="J39" s="144"/>
      <c r="K39" s="145"/>
    </row>
    <row r="40" spans="1:11" hidden="1" x14ac:dyDescent="0.25">
      <c r="A40" s="136"/>
      <c r="B40" s="146" t="s">
        <v>37</v>
      </c>
      <c r="C40" s="143">
        <f>1*C35</f>
        <v>0</v>
      </c>
      <c r="D40" s="144">
        <f>D35</f>
        <v>0.6</v>
      </c>
      <c r="E40" s="144">
        <f>E35</f>
        <v>0.6</v>
      </c>
      <c r="F40" s="144">
        <v>0.05</v>
      </c>
      <c r="G40" s="144">
        <f>PRODUCT(C40:F40)</f>
        <v>0</v>
      </c>
      <c r="H40" s="145"/>
      <c r="I40" s="145"/>
      <c r="J40" s="144"/>
      <c r="K40" s="145"/>
    </row>
    <row r="41" spans="1:11" hidden="1" x14ac:dyDescent="0.25">
      <c r="A41" s="136"/>
      <c r="B41" s="147" t="s">
        <v>25</v>
      </c>
      <c r="C41" s="143"/>
      <c r="D41" s="144"/>
      <c r="E41" s="144"/>
      <c r="F41" s="144"/>
      <c r="G41" s="148">
        <f>SUM(G40:G40)</f>
        <v>0</v>
      </c>
      <c r="H41" s="136" t="s">
        <v>30</v>
      </c>
      <c r="I41" s="18">
        <v>13509.07</v>
      </c>
      <c r="J41" s="149">
        <f>G41*I41</f>
        <v>0</v>
      </c>
      <c r="K41" s="145"/>
    </row>
    <row r="42" spans="1:11" hidden="1" x14ac:dyDescent="0.25">
      <c r="A42" s="136"/>
      <c r="B42" s="147" t="s">
        <v>38</v>
      </c>
      <c r="C42" s="143"/>
      <c r="D42" s="144"/>
      <c r="E42" s="144"/>
      <c r="F42" s="144"/>
      <c r="G42" s="144"/>
      <c r="H42" s="145"/>
      <c r="I42" s="144"/>
      <c r="J42" s="149">
        <f>0.13*G41*(8709.07)</f>
        <v>0</v>
      </c>
      <c r="K42" s="145"/>
    </row>
    <row r="43" spans="1:11" hidden="1" x14ac:dyDescent="0.25">
      <c r="A43" s="136"/>
      <c r="B43" s="147"/>
      <c r="C43" s="143"/>
      <c r="D43" s="144"/>
      <c r="E43" s="144"/>
      <c r="F43" s="144"/>
      <c r="G43" s="144"/>
      <c r="H43" s="145"/>
      <c r="I43" s="144"/>
      <c r="J43" s="149"/>
      <c r="K43" s="145"/>
    </row>
    <row r="44" spans="1:11" ht="45" hidden="1" x14ac:dyDescent="0.25">
      <c r="A44" s="12">
        <v>6</v>
      </c>
      <c r="B44" s="150" t="s">
        <v>40</v>
      </c>
      <c r="C44" s="143" t="s">
        <v>11</v>
      </c>
      <c r="D44" s="151" t="s">
        <v>41</v>
      </c>
      <c r="E44" s="151" t="s">
        <v>42</v>
      </c>
      <c r="F44" s="151" t="s">
        <v>43</v>
      </c>
      <c r="G44" s="151" t="s">
        <v>44</v>
      </c>
      <c r="H44" s="136"/>
      <c r="I44" s="148"/>
      <c r="J44" s="148"/>
      <c r="K44" s="16"/>
    </row>
    <row r="45" spans="1:11" ht="15" hidden="1" customHeight="1" x14ac:dyDescent="0.25">
      <c r="A45" s="12"/>
      <c r="B45" s="152" t="s">
        <v>37</v>
      </c>
      <c r="C45" s="14">
        <f>0*2*2*(TRUNC(22/6,0)+1)</f>
        <v>0</v>
      </c>
      <c r="D45" s="144">
        <f>24/12/3.281</f>
        <v>0.6095702529716549</v>
      </c>
      <c r="E45" s="144">
        <f>12*12/162</f>
        <v>0.88888888888888884</v>
      </c>
      <c r="F45" s="144">
        <f t="shared" ref="F45:F49" si="3">PRODUCT(C45:E45)</f>
        <v>0</v>
      </c>
      <c r="G45" s="153">
        <f t="shared" ref="G45:G49" si="4">F45/1000</f>
        <v>0</v>
      </c>
      <c r="H45" s="18"/>
      <c r="I45" s="19"/>
      <c r="J45" s="148"/>
      <c r="K45" s="16"/>
    </row>
    <row r="46" spans="1:11" ht="15" hidden="1" customHeight="1" x14ac:dyDescent="0.25">
      <c r="A46" s="12"/>
      <c r="B46" s="152" t="s">
        <v>45</v>
      </c>
      <c r="C46" s="14">
        <f>0*4*2</f>
        <v>0</v>
      </c>
      <c r="D46" s="144">
        <f>(6.5+0.583)/3.281</f>
        <v>2.1587930508991162</v>
      </c>
      <c r="E46" s="144">
        <f>12*12/162</f>
        <v>0.88888888888888884</v>
      </c>
      <c r="F46" s="144">
        <f t="shared" si="3"/>
        <v>0</v>
      </c>
      <c r="G46" s="153">
        <f t="shared" si="4"/>
        <v>0</v>
      </c>
      <c r="H46" s="18"/>
      <c r="I46" s="19"/>
      <c r="J46" s="148"/>
      <c r="K46" s="16"/>
    </row>
    <row r="47" spans="1:11" ht="15" hidden="1" customHeight="1" x14ac:dyDescent="0.25">
      <c r="A47" s="12"/>
      <c r="B47" s="152" t="s">
        <v>46</v>
      </c>
      <c r="C47" s="14">
        <f>0*TRUNC((6.12/0.5),0)</f>
        <v>0</v>
      </c>
      <c r="D47" s="144">
        <f>(0.33+0.33+0.33+0.33+0.083*2)/3.281</f>
        <v>0.45291069795793965</v>
      </c>
      <c r="E47" s="144">
        <f>8*8/162</f>
        <v>0.39506172839506171</v>
      </c>
      <c r="F47" s="144">
        <f t="shared" si="3"/>
        <v>0</v>
      </c>
      <c r="G47" s="153">
        <f t="shared" si="4"/>
        <v>0</v>
      </c>
      <c r="H47" s="18"/>
      <c r="I47" s="19"/>
      <c r="J47" s="148"/>
      <c r="K47" s="16"/>
    </row>
    <row r="48" spans="1:11" ht="15" hidden="1" customHeight="1" x14ac:dyDescent="0.25">
      <c r="A48" s="12"/>
      <c r="B48" s="152" t="s">
        <v>47</v>
      </c>
      <c r="C48" s="14">
        <f>0*TRUNC(10.75/0.5,0)</f>
        <v>0</v>
      </c>
      <c r="D48" s="144">
        <f>30/3.281</f>
        <v>9.1435537945748244</v>
      </c>
      <c r="E48" s="144">
        <f>8*8/162</f>
        <v>0.39506172839506171</v>
      </c>
      <c r="F48" s="144">
        <f t="shared" si="3"/>
        <v>0</v>
      </c>
      <c r="G48" s="153">
        <f t="shared" si="4"/>
        <v>0</v>
      </c>
      <c r="H48" s="18"/>
      <c r="I48" s="19"/>
      <c r="J48" s="148"/>
      <c r="K48" s="16"/>
    </row>
    <row r="49" spans="1:14" ht="15" hidden="1" customHeight="1" x14ac:dyDescent="0.25">
      <c r="A49" s="12"/>
      <c r="B49" s="152"/>
      <c r="C49" s="14">
        <f>0*TRUNC(30/0.5,0)</f>
        <v>0</v>
      </c>
      <c r="D49" s="144">
        <f>10.75/3.281</f>
        <v>3.2764401097226452</v>
      </c>
      <c r="E49" s="144">
        <f>8*8/162</f>
        <v>0.39506172839506171</v>
      </c>
      <c r="F49" s="144">
        <f t="shared" si="3"/>
        <v>0</v>
      </c>
      <c r="G49" s="153">
        <f t="shared" si="4"/>
        <v>0</v>
      </c>
      <c r="H49" s="18"/>
      <c r="I49" s="19"/>
      <c r="J49" s="148"/>
      <c r="K49" s="16"/>
    </row>
    <row r="50" spans="1:14" ht="15" hidden="1" customHeight="1" x14ac:dyDescent="0.25">
      <c r="A50" s="136"/>
      <c r="B50" s="152" t="s">
        <v>25</v>
      </c>
      <c r="C50" s="143"/>
      <c r="D50" s="144"/>
      <c r="E50" s="144"/>
      <c r="F50" s="144"/>
      <c r="G50" s="148">
        <f>SUM(G45:G49)</f>
        <v>0</v>
      </c>
      <c r="H50" s="148" t="s">
        <v>48</v>
      </c>
      <c r="I50" s="18">
        <v>130210</v>
      </c>
      <c r="J50" s="149">
        <f>G50*I50</f>
        <v>0</v>
      </c>
      <c r="K50" s="145"/>
    </row>
    <row r="51" spans="1:14" ht="15" hidden="1" customHeight="1" x14ac:dyDescent="0.25">
      <c r="A51" s="12"/>
      <c r="B51" s="152" t="s">
        <v>49</v>
      </c>
      <c r="C51" s="14"/>
      <c r="D51" s="15"/>
      <c r="E51" s="16"/>
      <c r="F51" s="16"/>
      <c r="G51" s="19"/>
      <c r="H51" s="18"/>
      <c r="I51" s="19"/>
      <c r="J51" s="148">
        <f>0.13*G50*105010</f>
        <v>0</v>
      </c>
      <c r="K51" s="16"/>
    </row>
    <row r="52" spans="1:14" ht="15" hidden="1" customHeight="1" x14ac:dyDescent="0.25">
      <c r="A52" s="12"/>
      <c r="B52" s="152"/>
      <c r="C52" s="14"/>
      <c r="D52" s="15"/>
      <c r="E52" s="16"/>
      <c r="F52" s="16"/>
      <c r="G52" s="19"/>
      <c r="H52" s="18"/>
      <c r="I52" s="19"/>
      <c r="J52" s="148"/>
      <c r="K52" s="16"/>
    </row>
    <row r="53" spans="1:14" s="1" customFormat="1" ht="30" hidden="1" x14ac:dyDescent="0.25">
      <c r="A53" s="12">
        <v>7</v>
      </c>
      <c r="B53" s="150" t="s">
        <v>50</v>
      </c>
      <c r="C53" s="14"/>
      <c r="D53" s="15"/>
      <c r="E53" s="16"/>
      <c r="F53" s="16"/>
      <c r="G53" s="19"/>
      <c r="H53" s="18"/>
      <c r="I53" s="19"/>
      <c r="J53" s="148"/>
      <c r="K53" s="16"/>
    </row>
    <row r="54" spans="1:14" hidden="1" x14ac:dyDescent="0.25">
      <c r="A54" s="136"/>
      <c r="B54" s="146" t="s">
        <v>45</v>
      </c>
      <c r="C54" s="143">
        <f>0*2</f>
        <v>0</v>
      </c>
      <c r="D54" s="144">
        <v>0.15</v>
      </c>
      <c r="E54" s="144">
        <v>0.15</v>
      </c>
      <c r="F54" s="144">
        <f>6.5/3.281</f>
        <v>1.9811033221578787</v>
      </c>
      <c r="G54" s="144">
        <f>PRODUCT(C54:F54)</f>
        <v>0</v>
      </c>
      <c r="H54" s="145"/>
      <c r="I54" s="145"/>
      <c r="J54" s="144"/>
      <c r="K54" s="145"/>
    </row>
    <row r="55" spans="1:14" hidden="1" x14ac:dyDescent="0.25">
      <c r="A55" s="136"/>
      <c r="B55" s="146" t="s">
        <v>51</v>
      </c>
      <c r="C55" s="143">
        <f>0*2</f>
        <v>0</v>
      </c>
      <c r="D55" s="144">
        <f>15/3.281</f>
        <v>4.5717768972874122</v>
      </c>
      <c r="E55" s="144">
        <f>10.75/3.281</f>
        <v>3.2764401097226452</v>
      </c>
      <c r="F55" s="144">
        <v>0.05</v>
      </c>
      <c r="G55" s="144">
        <f>PRODUCT(C55:F55)</f>
        <v>0</v>
      </c>
      <c r="H55" s="145"/>
      <c r="I55" s="145"/>
      <c r="J55" s="144"/>
      <c r="K55" s="145"/>
    </row>
    <row r="56" spans="1:14" ht="15" hidden="1" customHeight="1" x14ac:dyDescent="0.25">
      <c r="A56" s="136"/>
      <c r="B56" s="152" t="s">
        <v>25</v>
      </c>
      <c r="C56" s="143"/>
      <c r="D56" s="144"/>
      <c r="E56" s="144"/>
      <c r="F56" s="144"/>
      <c r="G56" s="148">
        <f>SUM(G54:G55)</f>
        <v>0</v>
      </c>
      <c r="H56" s="148" t="s">
        <v>30</v>
      </c>
      <c r="I56" s="18">
        <v>14200.82</v>
      </c>
      <c r="J56" s="149">
        <f>G56*I56</f>
        <v>0</v>
      </c>
      <c r="K56" s="145"/>
    </row>
    <row r="57" spans="1:14" ht="15" hidden="1" customHeight="1" x14ac:dyDescent="0.25">
      <c r="A57" s="12"/>
      <c r="B57" s="152" t="s">
        <v>52</v>
      </c>
      <c r="C57" s="14"/>
      <c r="D57" s="15"/>
      <c r="E57" s="16"/>
      <c r="F57" s="16"/>
      <c r="G57" s="19"/>
      <c r="H57" s="18"/>
      <c r="I57" s="19"/>
      <c r="J57" s="148">
        <f>0.13*G56*10250.02</f>
        <v>0</v>
      </c>
      <c r="K57" s="16"/>
    </row>
    <row r="58" spans="1:14" ht="15" hidden="1" customHeight="1" x14ac:dyDescent="0.25">
      <c r="A58" s="12"/>
      <c r="B58" s="152"/>
      <c r="C58" s="14"/>
      <c r="D58" s="15"/>
      <c r="E58" s="16"/>
      <c r="F58" s="16"/>
      <c r="G58" s="19"/>
      <c r="H58" s="18"/>
      <c r="I58" s="19"/>
      <c r="J58" s="148"/>
      <c r="K58" s="16"/>
    </row>
    <row r="59" spans="1:14" ht="30.75" hidden="1" x14ac:dyDescent="0.25">
      <c r="A59" s="136">
        <v>8</v>
      </c>
      <c r="B59" s="130" t="s">
        <v>53</v>
      </c>
      <c r="C59" s="137"/>
      <c r="D59" s="131"/>
      <c r="E59" s="131"/>
      <c r="F59" s="131"/>
      <c r="G59" s="138"/>
      <c r="H59" s="138"/>
      <c r="I59" s="139"/>
      <c r="J59" s="140"/>
      <c r="K59" s="141"/>
      <c r="N59">
        <f>6.2*3.281+0.23*2</f>
        <v>20.802200000000003</v>
      </c>
    </row>
    <row r="60" spans="1:14" ht="15" hidden="1" customHeight="1" x14ac:dyDescent="0.25">
      <c r="A60" s="136"/>
      <c r="B60" s="133" t="s">
        <v>54</v>
      </c>
      <c r="C60" s="137">
        <f>0*2</f>
        <v>0</v>
      </c>
      <c r="D60" s="131">
        <f>(10.75/3.281)</f>
        <v>3.2764401097226452</v>
      </c>
      <c r="E60" s="131">
        <f>0.1</f>
        <v>0.1</v>
      </c>
      <c r="F60" s="131">
        <v>0.9</v>
      </c>
      <c r="G60" s="131">
        <f>PRODUCT(C60:F60)</f>
        <v>0</v>
      </c>
      <c r="H60" s="131"/>
      <c r="I60" s="131"/>
      <c r="J60" s="149"/>
      <c r="K60" s="141"/>
    </row>
    <row r="61" spans="1:14" ht="15" hidden="1" customHeight="1" x14ac:dyDescent="0.25">
      <c r="A61" s="136"/>
      <c r="B61" s="133"/>
      <c r="C61" s="137">
        <f>0*2</f>
        <v>0</v>
      </c>
      <c r="D61" s="131">
        <f>(6.2)</f>
        <v>6.2</v>
      </c>
      <c r="E61" s="131">
        <v>0.23</v>
      </c>
      <c r="F61" s="131">
        <v>0.9</v>
      </c>
      <c r="G61" s="131">
        <f>PRODUCT(C61:F61)</f>
        <v>0</v>
      </c>
      <c r="H61" s="131"/>
      <c r="I61" s="131"/>
      <c r="J61" s="149"/>
      <c r="K61" s="141"/>
    </row>
    <row r="62" spans="1:14" ht="15" hidden="1" customHeight="1" x14ac:dyDescent="0.25">
      <c r="A62" s="136"/>
      <c r="B62" s="133" t="s">
        <v>68</v>
      </c>
      <c r="C62" s="137">
        <f>0*-2</f>
        <v>0</v>
      </c>
      <c r="D62" s="131">
        <f>2/3.281</f>
        <v>0.6095702529716549</v>
      </c>
      <c r="E62" s="131">
        <f>E60</f>
        <v>0.1</v>
      </c>
      <c r="F62" s="131">
        <f>3/3.281</f>
        <v>0.91435537945748246</v>
      </c>
      <c r="G62" s="131">
        <f>PRODUCT(C62:F62)</f>
        <v>0</v>
      </c>
      <c r="H62" s="131"/>
      <c r="I62" s="131"/>
      <c r="J62" s="149"/>
      <c r="K62" s="141"/>
    </row>
    <row r="63" spans="1:14" ht="15" hidden="1" customHeight="1" x14ac:dyDescent="0.25">
      <c r="A63" s="136"/>
      <c r="B63" s="133" t="s">
        <v>25</v>
      </c>
      <c r="C63" s="137"/>
      <c r="D63" s="131"/>
      <c r="E63" s="131"/>
      <c r="F63" s="131"/>
      <c r="G63" s="138">
        <f>SUM(G60:G62)</f>
        <v>0</v>
      </c>
      <c r="H63" s="138" t="s">
        <v>30</v>
      </c>
      <c r="I63" s="139">
        <v>15375.48</v>
      </c>
      <c r="J63" s="140">
        <f>G63*I63</f>
        <v>0</v>
      </c>
      <c r="K63" s="141"/>
    </row>
    <row r="64" spans="1:14" ht="15" hidden="1" customHeight="1" x14ac:dyDescent="0.25">
      <c r="A64" s="12"/>
      <c r="B64" s="133" t="s">
        <v>49</v>
      </c>
      <c r="C64" s="14"/>
      <c r="D64" s="15"/>
      <c r="E64" s="16"/>
      <c r="F64" s="16"/>
      <c r="G64" s="19"/>
      <c r="H64" s="18"/>
      <c r="I64" s="19"/>
      <c r="J64" s="132">
        <f>0.13*G63*10946.58</f>
        <v>0</v>
      </c>
      <c r="K64" s="16"/>
      <c r="M64" s="21"/>
      <c r="N64" s="21"/>
    </row>
    <row r="65" spans="1:14" ht="15" hidden="1" customHeight="1" x14ac:dyDescent="0.25">
      <c r="A65" s="136"/>
      <c r="B65" s="133"/>
      <c r="C65" s="137"/>
      <c r="D65" s="131"/>
      <c r="E65" s="131"/>
      <c r="F65" s="131"/>
      <c r="G65" s="138"/>
      <c r="H65" s="138"/>
      <c r="I65" s="139"/>
      <c r="J65" s="140"/>
      <c r="K65" s="141"/>
    </row>
    <row r="66" spans="1:14" ht="30.75" hidden="1" x14ac:dyDescent="0.25">
      <c r="A66" s="136">
        <v>9</v>
      </c>
      <c r="B66" s="130" t="s">
        <v>55</v>
      </c>
      <c r="C66" s="137"/>
      <c r="D66" s="131"/>
      <c r="E66" s="131"/>
      <c r="F66" s="131"/>
      <c r="G66" s="138"/>
      <c r="H66" s="138"/>
      <c r="I66" s="139"/>
      <c r="J66" s="140"/>
      <c r="K66" s="141"/>
    </row>
    <row r="67" spans="1:14" ht="15" hidden="1" customHeight="1" x14ac:dyDescent="0.25">
      <c r="A67" s="136"/>
      <c r="B67" s="133" t="s">
        <v>56</v>
      </c>
      <c r="C67" s="137">
        <f>0*2</f>
        <v>0</v>
      </c>
      <c r="D67" s="131">
        <f>24/12/3.281</f>
        <v>0.6095702529716549</v>
      </c>
      <c r="E67" s="131">
        <f>24/12/3.281</f>
        <v>0.6095702529716549</v>
      </c>
      <c r="F67" s="131">
        <f>24/12/3.281</f>
        <v>0.6095702529716549</v>
      </c>
      <c r="G67" s="131">
        <f>PRODUCT(C67:F67)</f>
        <v>0</v>
      </c>
      <c r="H67" s="131"/>
      <c r="I67" s="131"/>
      <c r="J67" s="149"/>
      <c r="K67" s="141"/>
    </row>
    <row r="68" spans="1:14" ht="15" hidden="1" customHeight="1" x14ac:dyDescent="0.25">
      <c r="A68" s="136"/>
      <c r="B68" s="133" t="s">
        <v>57</v>
      </c>
      <c r="C68" s="137">
        <f>0*-2</f>
        <v>0</v>
      </c>
      <c r="D68" s="131">
        <f>0.15</f>
        <v>0.15</v>
      </c>
      <c r="E68" s="131">
        <f>0.15</f>
        <v>0.15</v>
      </c>
      <c r="F68" s="131">
        <f>24/12/3.281</f>
        <v>0.6095702529716549</v>
      </c>
      <c r="G68" s="131">
        <f>PRODUCT(C68:F68)</f>
        <v>0</v>
      </c>
      <c r="H68" s="131"/>
      <c r="I68" s="131"/>
      <c r="J68" s="149"/>
      <c r="K68" s="141"/>
    </row>
    <row r="69" spans="1:14" ht="15" hidden="1" customHeight="1" x14ac:dyDescent="0.25">
      <c r="A69" s="136"/>
      <c r="B69" s="133" t="s">
        <v>25</v>
      </c>
      <c r="C69" s="137"/>
      <c r="D69" s="131"/>
      <c r="E69" s="131"/>
      <c r="F69" s="131"/>
      <c r="G69" s="138">
        <f>SUM(G67:G68)</f>
        <v>0</v>
      </c>
      <c r="H69" s="138" t="s">
        <v>30</v>
      </c>
      <c r="I69" s="139">
        <v>14520.78</v>
      </c>
      <c r="J69" s="140">
        <f>G69*I69</f>
        <v>0</v>
      </c>
      <c r="K69" s="141"/>
    </row>
    <row r="70" spans="1:14" ht="15" hidden="1" customHeight="1" x14ac:dyDescent="0.25">
      <c r="A70" s="12"/>
      <c r="B70" s="133" t="s">
        <v>49</v>
      </c>
      <c r="C70" s="14"/>
      <c r="D70" s="15"/>
      <c r="E70" s="16"/>
      <c r="F70" s="16"/>
      <c r="G70" s="19"/>
      <c r="H70" s="18"/>
      <c r="I70" s="19"/>
      <c r="J70" s="132">
        <f>0.13*G69*10555.39</f>
        <v>0</v>
      </c>
      <c r="K70" s="16"/>
      <c r="M70" s="21"/>
      <c r="N70" s="21"/>
    </row>
    <row r="71" spans="1:14" ht="15" hidden="1" customHeight="1" x14ac:dyDescent="0.25">
      <c r="A71" s="136"/>
      <c r="B71" s="133"/>
      <c r="C71" s="137"/>
      <c r="D71" s="131"/>
      <c r="E71" s="131"/>
      <c r="F71" s="131"/>
      <c r="G71" s="138"/>
      <c r="H71" s="138"/>
      <c r="I71" s="139"/>
      <c r="J71" s="140"/>
      <c r="K71" s="141"/>
    </row>
    <row r="72" spans="1:14" ht="47.25" hidden="1" x14ac:dyDescent="0.25">
      <c r="A72" s="12">
        <v>10</v>
      </c>
      <c r="B72" s="134" t="s">
        <v>58</v>
      </c>
      <c r="C72" s="141"/>
      <c r="D72" s="141"/>
      <c r="E72" s="141"/>
      <c r="F72" s="141"/>
      <c r="G72" s="154"/>
      <c r="H72" s="18"/>
      <c r="I72" s="19"/>
      <c r="J72" s="19"/>
      <c r="K72" s="16"/>
      <c r="M72" s="21"/>
    </row>
    <row r="73" spans="1:14" ht="15" hidden="1" customHeight="1" x14ac:dyDescent="0.25">
      <c r="A73" s="12"/>
      <c r="B73" s="13" t="s">
        <v>59</v>
      </c>
      <c r="C73" s="14">
        <f>1*0</f>
        <v>0</v>
      </c>
      <c r="D73" s="15"/>
      <c r="E73" s="16">
        <f>10.75/3.281</f>
        <v>3.2764401097226452</v>
      </c>
      <c r="F73" s="16">
        <f>(9.42+7.75)/3.281</f>
        <v>5.233160621761658</v>
      </c>
      <c r="G73" s="131">
        <f t="shared" ref="G73:G78" si="5">PRODUCT(C73:F73)</f>
        <v>0</v>
      </c>
      <c r="H73" s="18"/>
      <c r="I73" s="19"/>
      <c r="J73" s="132"/>
      <c r="K73" s="16"/>
      <c r="M73" s="21"/>
      <c r="N73" s="21"/>
    </row>
    <row r="74" spans="1:14" ht="15" hidden="1" customHeight="1" x14ac:dyDescent="0.25">
      <c r="A74" s="12"/>
      <c r="B74" s="13" t="s">
        <v>22</v>
      </c>
      <c r="C74" s="14">
        <f>0*-1</f>
        <v>0</v>
      </c>
      <c r="D74" s="15">
        <f>3.5/3.281</f>
        <v>1.0667479427003961</v>
      </c>
      <c r="E74" s="16"/>
      <c r="F74" s="16">
        <f>4.5/3.281</f>
        <v>1.3715330691862238</v>
      </c>
      <c r="G74" s="131">
        <f t="shared" si="5"/>
        <v>0</v>
      </c>
      <c r="H74" s="18"/>
      <c r="I74" s="19"/>
      <c r="J74" s="132"/>
      <c r="K74" s="16"/>
      <c r="M74" s="21"/>
      <c r="N74" s="21"/>
    </row>
    <row r="75" spans="1:14" ht="15" hidden="1" customHeight="1" x14ac:dyDescent="0.25">
      <c r="A75" s="12"/>
      <c r="B75" s="13" t="s">
        <v>23</v>
      </c>
      <c r="C75" s="14">
        <f>0*-1</f>
        <v>0</v>
      </c>
      <c r="D75" s="15">
        <f>3.833/3.281</f>
        <v>1.1682413898201769</v>
      </c>
      <c r="E75" s="16"/>
      <c r="F75" s="16">
        <f>6.5/3.281</f>
        <v>1.9811033221578787</v>
      </c>
      <c r="G75" s="131">
        <f t="shared" si="5"/>
        <v>0</v>
      </c>
      <c r="H75" s="18"/>
      <c r="I75" s="19"/>
      <c r="J75" s="132"/>
      <c r="K75" s="16"/>
      <c r="M75" s="21"/>
      <c r="N75" s="21"/>
    </row>
    <row r="76" spans="1:14" ht="15" hidden="1" customHeight="1" x14ac:dyDescent="0.25">
      <c r="A76" s="12"/>
      <c r="B76" s="13" t="s">
        <v>60</v>
      </c>
      <c r="C76" s="14">
        <f>0*1</f>
        <v>0</v>
      </c>
      <c r="D76" s="15"/>
      <c r="E76" s="16">
        <f>(5.75)/3.281</f>
        <v>1.752514477293508</v>
      </c>
      <c r="F76" s="16">
        <f>(9.42+7.75)/3.281</f>
        <v>5.233160621761658</v>
      </c>
      <c r="G76" s="131">
        <f t="shared" si="5"/>
        <v>0</v>
      </c>
      <c r="H76" s="18"/>
      <c r="I76" s="19"/>
      <c r="J76" s="132"/>
      <c r="K76" s="16"/>
      <c r="M76" s="21"/>
      <c r="N76" s="21"/>
    </row>
    <row r="77" spans="1:14" ht="15" hidden="1" customHeight="1" x14ac:dyDescent="0.25">
      <c r="A77" s="12"/>
      <c r="B77" s="13" t="s">
        <v>61</v>
      </c>
      <c r="C77" s="14">
        <f>0*-1</f>
        <v>0</v>
      </c>
      <c r="D77" s="15">
        <f>E73+E76</f>
        <v>5.0289545870161536</v>
      </c>
      <c r="E77" s="16"/>
      <c r="F77" s="16">
        <f>13*0.15</f>
        <v>1.95</v>
      </c>
      <c r="G77" s="131">
        <f t="shared" si="5"/>
        <v>0</v>
      </c>
      <c r="H77" s="18"/>
      <c r="I77" s="19"/>
      <c r="J77" s="132"/>
      <c r="K77" s="16"/>
      <c r="M77" s="21"/>
      <c r="N77" s="21"/>
    </row>
    <row r="78" spans="1:14" ht="15" hidden="1" customHeight="1" x14ac:dyDescent="0.25">
      <c r="A78" s="12"/>
      <c r="B78" s="13"/>
      <c r="C78" s="14">
        <f>0*-1</f>
        <v>0</v>
      </c>
      <c r="D78" s="15">
        <f>D77</f>
        <v>5.0289545870161536</v>
      </c>
      <c r="E78" s="16"/>
      <c r="F78" s="16">
        <f>8/12/3.281</f>
        <v>0.20319008432388497</v>
      </c>
      <c r="G78" s="131">
        <f t="shared" si="5"/>
        <v>0</v>
      </c>
      <c r="H78" s="18"/>
      <c r="I78" s="19"/>
      <c r="J78" s="132"/>
      <c r="K78" s="16"/>
      <c r="M78" s="21"/>
      <c r="N78" s="21"/>
    </row>
    <row r="79" spans="1:14" s="53" customFormat="1" ht="15" hidden="1" customHeight="1" x14ac:dyDescent="0.25">
      <c r="A79" s="136"/>
      <c r="B79" s="133" t="s">
        <v>62</v>
      </c>
      <c r="C79" s="137">
        <f>0*1</f>
        <v>0</v>
      </c>
      <c r="D79" s="131">
        <f>2.75+6.2+6.2+2.6</f>
        <v>17.75</v>
      </c>
      <c r="E79" s="131"/>
      <c r="F79" s="131">
        <f>2.6</f>
        <v>2.6</v>
      </c>
      <c r="G79" s="131">
        <f>PRODUCT(C79:F79)</f>
        <v>0</v>
      </c>
      <c r="H79" s="131"/>
      <c r="I79" s="131"/>
      <c r="J79" s="149"/>
      <c r="K79" s="141"/>
    </row>
    <row r="80" spans="1:14" s="53" customFormat="1" ht="15" hidden="1" customHeight="1" x14ac:dyDescent="0.25">
      <c r="A80" s="136"/>
      <c r="B80" s="133" t="s">
        <v>63</v>
      </c>
      <c r="C80" s="137">
        <f>0*-1</f>
        <v>0</v>
      </c>
      <c r="D80" s="131">
        <f>4/3.281</f>
        <v>1.2191405059433098</v>
      </c>
      <c r="E80" s="131"/>
      <c r="F80" s="131">
        <f>6.5/3.281</f>
        <v>1.9811033221578787</v>
      </c>
      <c r="G80" s="131">
        <f t="shared" ref="G80:G93" si="6">PRODUCT(C80:F80)</f>
        <v>0</v>
      </c>
      <c r="H80" s="131"/>
      <c r="I80" s="131"/>
      <c r="J80" s="149"/>
      <c r="K80" s="141"/>
    </row>
    <row r="81" spans="1:14" s="53" customFormat="1" ht="15" hidden="1" customHeight="1" x14ac:dyDescent="0.25">
      <c r="A81" s="136"/>
      <c r="B81" s="133" t="s">
        <v>64</v>
      </c>
      <c r="C81" s="137">
        <f>0*-0.5*8</f>
        <v>0</v>
      </c>
      <c r="D81" s="131">
        <f>0.667/3.281</f>
        <v>0.20329167936604695</v>
      </c>
      <c r="E81" s="131">
        <f>0.667/3.281</f>
        <v>0.20329167936604695</v>
      </c>
      <c r="F81" s="131"/>
      <c r="G81" s="131">
        <f t="shared" si="6"/>
        <v>0</v>
      </c>
      <c r="H81" s="131"/>
      <c r="I81" s="131"/>
      <c r="J81" s="149"/>
      <c r="K81" s="141"/>
    </row>
    <row r="82" spans="1:14" s="53" customFormat="1" ht="15" hidden="1" customHeight="1" x14ac:dyDescent="0.25">
      <c r="A82" s="136"/>
      <c r="B82" s="133" t="s">
        <v>65</v>
      </c>
      <c r="C82" s="137">
        <f>0*2</f>
        <v>0</v>
      </c>
      <c r="D82" s="131">
        <f>2.6</f>
        <v>2.6</v>
      </c>
      <c r="E82" s="131"/>
      <c r="F82" s="131">
        <f>2.6</f>
        <v>2.6</v>
      </c>
      <c r="G82" s="131">
        <f t="shared" si="6"/>
        <v>0</v>
      </c>
      <c r="H82" s="131"/>
      <c r="I82" s="131"/>
      <c r="J82" s="149"/>
      <c r="K82" s="141"/>
    </row>
    <row r="83" spans="1:14" s="53" customFormat="1" ht="15" hidden="1" customHeight="1" x14ac:dyDescent="0.25">
      <c r="A83" s="136"/>
      <c r="B83" s="133"/>
      <c r="C83" s="137">
        <f>0*2</f>
        <v>0</v>
      </c>
      <c r="D83" s="131">
        <f>6.2-D82</f>
        <v>3.6</v>
      </c>
      <c r="E83" s="131"/>
      <c r="F83" s="131">
        <f>2.6</f>
        <v>2.6</v>
      </c>
      <c r="G83" s="131">
        <f t="shared" si="6"/>
        <v>0</v>
      </c>
      <c r="H83" s="131"/>
      <c r="I83" s="131"/>
      <c r="J83" s="149"/>
      <c r="K83" s="141"/>
    </row>
    <row r="84" spans="1:14" s="53" customFormat="1" ht="15" hidden="1" customHeight="1" x14ac:dyDescent="0.25">
      <c r="A84" s="136"/>
      <c r="B84" s="133" t="s">
        <v>22</v>
      </c>
      <c r="C84" s="137">
        <f>0*-1</f>
        <v>0</v>
      </c>
      <c r="D84" s="131">
        <f>3.5/3.281</f>
        <v>1.0667479427003961</v>
      </c>
      <c r="E84" s="131"/>
      <c r="F84" s="131">
        <f>4.5/3.281</f>
        <v>1.3715330691862238</v>
      </c>
      <c r="G84" s="131">
        <f t="shared" si="6"/>
        <v>0</v>
      </c>
      <c r="H84" s="131"/>
      <c r="I84" s="131"/>
      <c r="J84" s="149"/>
      <c r="K84" s="141"/>
    </row>
    <row r="85" spans="1:14" s="53" customFormat="1" ht="15" hidden="1" customHeight="1" x14ac:dyDescent="0.25">
      <c r="A85" s="136"/>
      <c r="B85" s="133" t="s">
        <v>66</v>
      </c>
      <c r="C85" s="137">
        <f>0*1</f>
        <v>0</v>
      </c>
      <c r="D85" s="131">
        <f>10.75/3.281</f>
        <v>3.2764401097226452</v>
      </c>
      <c r="E85" s="131"/>
      <c r="F85" s="131">
        <v>0.9</v>
      </c>
      <c r="G85" s="131">
        <f t="shared" si="6"/>
        <v>0</v>
      </c>
      <c r="H85" s="131"/>
      <c r="I85" s="131"/>
      <c r="J85" s="149"/>
      <c r="K85" s="141"/>
    </row>
    <row r="86" spans="1:14" s="53" customFormat="1" ht="15" hidden="1" customHeight="1" x14ac:dyDescent="0.25">
      <c r="A86" s="136"/>
      <c r="B86" s="133"/>
      <c r="C86" s="137">
        <f>0*1</f>
        <v>0</v>
      </c>
      <c r="D86" s="131"/>
      <c r="E86" s="131">
        <f>E76</f>
        <v>1.752514477293508</v>
      </c>
      <c r="F86" s="131">
        <v>0.9</v>
      </c>
      <c r="G86" s="131">
        <f t="shared" si="6"/>
        <v>0</v>
      </c>
      <c r="H86" s="131"/>
      <c r="I86" s="131"/>
      <c r="J86" s="149"/>
      <c r="K86" s="141"/>
    </row>
    <row r="87" spans="1:14" s="53" customFormat="1" ht="15" hidden="1" customHeight="1" x14ac:dyDescent="0.25">
      <c r="A87" s="136"/>
      <c r="B87" s="133" t="s">
        <v>67</v>
      </c>
      <c r="C87" s="137">
        <f>0*2</f>
        <v>0</v>
      </c>
      <c r="D87" s="131">
        <f>D82</f>
        <v>2.6</v>
      </c>
      <c r="E87" s="131"/>
      <c r="F87" s="131">
        <v>0.9</v>
      </c>
      <c r="G87" s="131">
        <f t="shared" si="6"/>
        <v>0</v>
      </c>
      <c r="H87" s="131"/>
      <c r="I87" s="131"/>
      <c r="J87" s="149"/>
      <c r="K87" s="141"/>
    </row>
    <row r="88" spans="1:14" s="53" customFormat="1" ht="15" hidden="1" customHeight="1" x14ac:dyDescent="0.25">
      <c r="A88" s="136"/>
      <c r="B88" s="133"/>
      <c r="C88" s="137">
        <f>0*2</f>
        <v>0</v>
      </c>
      <c r="D88" s="131"/>
      <c r="E88" s="131">
        <v>6.2</v>
      </c>
      <c r="F88" s="131">
        <v>0.9</v>
      </c>
      <c r="G88" s="131">
        <f t="shared" si="6"/>
        <v>0</v>
      </c>
      <c r="H88" s="131"/>
      <c r="I88" s="131"/>
      <c r="J88" s="149"/>
      <c r="K88" s="141"/>
    </row>
    <row r="89" spans="1:14" s="53" customFormat="1" ht="15" hidden="1" customHeight="1" x14ac:dyDescent="0.25">
      <c r="A89" s="136"/>
      <c r="B89" s="133" t="s">
        <v>68</v>
      </c>
      <c r="C89" s="137">
        <f>0*-2</f>
        <v>0</v>
      </c>
      <c r="D89" s="131"/>
      <c r="E89" s="131">
        <f>3/3.281</f>
        <v>0.91435537945748246</v>
      </c>
      <c r="F89" s="131">
        <f>2/3.281</f>
        <v>0.6095702529716549</v>
      </c>
      <c r="G89" s="131">
        <f t="shared" si="6"/>
        <v>0</v>
      </c>
      <c r="H89" s="131"/>
      <c r="I89" s="131"/>
      <c r="J89" s="149"/>
      <c r="K89" s="141"/>
    </row>
    <row r="90" spans="1:14" s="53" customFormat="1" ht="15" hidden="1" customHeight="1" x14ac:dyDescent="0.25">
      <c r="A90" s="136"/>
      <c r="B90" s="133" t="s">
        <v>69</v>
      </c>
      <c r="C90" s="137">
        <f>0*2*4</f>
        <v>0</v>
      </c>
      <c r="D90" s="131">
        <f>16/12/3.281</f>
        <v>0.40638016864776993</v>
      </c>
      <c r="E90" s="131"/>
      <c r="F90" s="131">
        <f>5/3.281</f>
        <v>1.5239256324291375</v>
      </c>
      <c r="G90" s="131">
        <f t="shared" si="6"/>
        <v>0</v>
      </c>
      <c r="H90" s="131"/>
      <c r="I90" s="131"/>
      <c r="J90" s="149"/>
      <c r="K90" s="141"/>
    </row>
    <row r="91" spans="1:14" s="53" customFormat="1" ht="15" hidden="1" customHeight="1" x14ac:dyDescent="0.25">
      <c r="A91" s="136"/>
      <c r="B91" s="133" t="s">
        <v>70</v>
      </c>
      <c r="C91" s="137">
        <f>0*-2*4</f>
        <v>0</v>
      </c>
      <c r="D91" s="131">
        <f>16/12/3.281</f>
        <v>0.40638016864776993</v>
      </c>
      <c r="E91" s="131"/>
      <c r="F91" s="131">
        <f>8/12/3.281</f>
        <v>0.20319008432388497</v>
      </c>
      <c r="G91" s="131">
        <f t="shared" si="6"/>
        <v>0</v>
      </c>
      <c r="H91" s="131"/>
      <c r="I91" s="131"/>
      <c r="J91" s="149"/>
      <c r="K91" s="141"/>
    </row>
    <row r="92" spans="1:14" s="53" customFormat="1" ht="15" hidden="1" customHeight="1" x14ac:dyDescent="0.25">
      <c r="A92" s="136"/>
      <c r="B92" s="133" t="s">
        <v>71</v>
      </c>
      <c r="C92" s="137">
        <f>0*1</f>
        <v>0</v>
      </c>
      <c r="D92" s="131">
        <f>10.75/3.281</f>
        <v>3.2764401097226452</v>
      </c>
      <c r="E92" s="131"/>
      <c r="F92" s="131">
        <f>F73</f>
        <v>5.233160621761658</v>
      </c>
      <c r="G92" s="131">
        <f t="shared" si="6"/>
        <v>0</v>
      </c>
      <c r="H92" s="131"/>
      <c r="I92" s="131"/>
      <c r="J92" s="149"/>
      <c r="K92" s="141"/>
    </row>
    <row r="93" spans="1:14" s="53" customFormat="1" ht="15" hidden="1" customHeight="1" x14ac:dyDescent="0.25">
      <c r="A93" s="136"/>
      <c r="B93" s="133"/>
      <c r="C93" s="137">
        <f>0*1</f>
        <v>0</v>
      </c>
      <c r="D93" s="131">
        <f>10.75/3.281</f>
        <v>3.2764401097226452</v>
      </c>
      <c r="E93" s="131"/>
      <c r="F93" s="131">
        <f>F85</f>
        <v>0.9</v>
      </c>
      <c r="G93" s="131">
        <f t="shared" si="6"/>
        <v>0</v>
      </c>
      <c r="H93" s="131"/>
      <c r="I93" s="131"/>
      <c r="J93" s="149"/>
      <c r="K93" s="141"/>
    </row>
    <row r="94" spans="1:14" ht="15" hidden="1" customHeight="1" x14ac:dyDescent="0.25">
      <c r="A94" s="12"/>
      <c r="B94" s="133" t="s">
        <v>25</v>
      </c>
      <c r="C94" s="14"/>
      <c r="D94" s="15"/>
      <c r="E94" s="16"/>
      <c r="F94" s="16"/>
      <c r="G94" s="19">
        <f>SUM(G73:G93)</f>
        <v>0</v>
      </c>
      <c r="H94" s="18" t="s">
        <v>26</v>
      </c>
      <c r="I94" s="19">
        <f>515448.67/100</f>
        <v>5154.4866999999995</v>
      </c>
      <c r="J94" s="132">
        <f>G94*I94</f>
        <v>0</v>
      </c>
      <c r="K94" s="16"/>
      <c r="M94" s="21"/>
      <c r="N94" s="21"/>
    </row>
    <row r="95" spans="1:14" ht="15" hidden="1" customHeight="1" x14ac:dyDescent="0.25">
      <c r="A95" s="12"/>
      <c r="B95" s="133" t="s">
        <v>49</v>
      </c>
      <c r="C95" s="14"/>
      <c r="D95" s="15"/>
      <c r="E95" s="16"/>
      <c r="F95" s="16"/>
      <c r="G95" s="19"/>
      <c r="H95" s="18"/>
      <c r="I95" s="19"/>
      <c r="J95" s="132">
        <f>G94*0.13*(328838.67/100)</f>
        <v>0</v>
      </c>
      <c r="K95" s="16"/>
      <c r="M95" s="21"/>
      <c r="N95" s="21"/>
    </row>
    <row r="96" spans="1:14" ht="15" hidden="1" customHeight="1" x14ac:dyDescent="0.25">
      <c r="A96" s="12"/>
      <c r="B96" s="133"/>
      <c r="C96" s="14"/>
      <c r="D96" s="15"/>
      <c r="E96" s="16"/>
      <c r="F96" s="16"/>
      <c r="G96" s="19"/>
      <c r="H96" s="18"/>
      <c r="I96" s="19"/>
      <c r="J96" s="132"/>
      <c r="K96" s="16"/>
      <c r="M96" s="21"/>
      <c r="N96" s="21"/>
    </row>
    <row r="97" spans="1:14" ht="47.25" hidden="1" x14ac:dyDescent="0.25">
      <c r="A97" s="12">
        <v>11</v>
      </c>
      <c r="B97" s="134" t="s">
        <v>72</v>
      </c>
      <c r="C97" s="14"/>
      <c r="D97" s="15"/>
      <c r="E97" s="16"/>
      <c r="F97" s="16"/>
      <c r="G97" s="19"/>
      <c r="H97" s="18"/>
      <c r="I97" s="19"/>
      <c r="J97" s="132"/>
      <c r="K97" s="16"/>
      <c r="M97" s="21"/>
      <c r="N97" s="21"/>
    </row>
    <row r="98" spans="1:14" ht="15" hidden="1" customHeight="1" x14ac:dyDescent="0.25">
      <c r="A98" s="12"/>
      <c r="B98" s="133" t="s">
        <v>54</v>
      </c>
      <c r="C98" s="14">
        <f>(0*1+1*2)*0</f>
        <v>0</v>
      </c>
      <c r="D98" s="15">
        <f>E73+E76</f>
        <v>5.0289545870161536</v>
      </c>
      <c r="E98" s="16"/>
      <c r="F98" s="16"/>
      <c r="G98" s="131">
        <f>PRODUCT(C98:F98)</f>
        <v>0</v>
      </c>
      <c r="H98" s="18"/>
      <c r="I98" s="19"/>
      <c r="J98" s="132"/>
      <c r="K98" s="16"/>
      <c r="M98" s="21"/>
      <c r="N98" s="21"/>
    </row>
    <row r="99" spans="1:14" ht="15" hidden="1" customHeight="1" x14ac:dyDescent="0.25">
      <c r="A99" s="12"/>
      <c r="B99" s="133" t="s">
        <v>56</v>
      </c>
      <c r="C99" s="14">
        <f>0*2</f>
        <v>0</v>
      </c>
      <c r="D99" s="15">
        <f>(24/12/3.281)*4</f>
        <v>2.4382810118866196</v>
      </c>
      <c r="E99" s="16"/>
      <c r="F99" s="16"/>
      <c r="G99" s="131">
        <f>PRODUCT(C99:F99)</f>
        <v>0</v>
      </c>
      <c r="H99" s="18"/>
      <c r="I99" s="19"/>
      <c r="J99" s="132"/>
      <c r="K99" s="16"/>
      <c r="M99" s="21"/>
      <c r="N99" s="21"/>
    </row>
    <row r="100" spans="1:14" ht="15" hidden="1" customHeight="1" x14ac:dyDescent="0.25">
      <c r="A100" s="12"/>
      <c r="B100" s="133" t="s">
        <v>25</v>
      </c>
      <c r="C100" s="14"/>
      <c r="D100" s="15"/>
      <c r="E100" s="16"/>
      <c r="F100" s="16"/>
      <c r="G100" s="19">
        <f>SUM(G98:G99)</f>
        <v>0</v>
      </c>
      <c r="H100" s="18" t="s">
        <v>73</v>
      </c>
      <c r="I100" s="19">
        <f>3932.81/10</f>
        <v>393.28100000000001</v>
      </c>
      <c r="J100" s="132">
        <f>G100*I100</f>
        <v>0</v>
      </c>
      <c r="K100" s="16"/>
      <c r="M100" s="21"/>
      <c r="N100" s="21"/>
    </row>
    <row r="101" spans="1:14" ht="15" hidden="1" customHeight="1" x14ac:dyDescent="0.25">
      <c r="A101" s="12"/>
      <c r="B101" s="133" t="s">
        <v>49</v>
      </c>
      <c r="C101" s="14"/>
      <c r="D101" s="15"/>
      <c r="E101" s="16"/>
      <c r="F101" s="16"/>
      <c r="G101" s="19"/>
      <c r="H101" s="18"/>
      <c r="I101" s="19"/>
      <c r="J101" s="132">
        <f>G100*0.13*(2165.31/10)</f>
        <v>0</v>
      </c>
      <c r="K101" s="16"/>
      <c r="M101" s="21"/>
      <c r="N101" s="21"/>
    </row>
    <row r="102" spans="1:14" ht="15" hidden="1" customHeight="1" x14ac:dyDescent="0.25">
      <c r="A102" s="12"/>
      <c r="B102" s="133"/>
      <c r="C102" s="14"/>
      <c r="D102" s="15"/>
      <c r="E102" s="16"/>
      <c r="F102" s="16"/>
      <c r="G102" s="19"/>
      <c r="H102" s="18"/>
      <c r="I102" s="19"/>
      <c r="J102" s="132"/>
      <c r="K102" s="16"/>
      <c r="M102" s="21"/>
      <c r="N102" s="21"/>
    </row>
    <row r="103" spans="1:14" ht="30.75" hidden="1" customHeight="1" x14ac:dyDescent="0.25">
      <c r="A103" s="12">
        <v>12</v>
      </c>
      <c r="B103" s="134" t="s">
        <v>74</v>
      </c>
      <c r="C103" s="137"/>
      <c r="D103" s="131"/>
      <c r="E103" s="131"/>
      <c r="F103" s="131"/>
      <c r="G103" s="131"/>
      <c r="H103" s="131"/>
      <c r="I103" s="131"/>
      <c r="J103" s="149"/>
      <c r="K103" s="141"/>
    </row>
    <row r="104" spans="1:14" ht="15" hidden="1" customHeight="1" x14ac:dyDescent="0.25">
      <c r="A104" s="12"/>
      <c r="B104" s="133" t="s">
        <v>54</v>
      </c>
      <c r="C104" s="14">
        <f>0*1</f>
        <v>0</v>
      </c>
      <c r="D104" s="15">
        <f>D98</f>
        <v>5.0289545870161536</v>
      </c>
      <c r="E104" s="16"/>
      <c r="F104" s="16"/>
      <c r="G104" s="131">
        <f t="shared" ref="G104" si="7">PRODUCT(C104:F104)</f>
        <v>0</v>
      </c>
      <c r="H104" s="18"/>
      <c r="I104" s="19"/>
      <c r="J104" s="132"/>
      <c r="K104" s="16"/>
      <c r="M104" s="21"/>
      <c r="N104" s="21"/>
    </row>
    <row r="105" spans="1:14" ht="15" hidden="1" customHeight="1" x14ac:dyDescent="0.25">
      <c r="A105" s="12"/>
      <c r="B105" s="133" t="s">
        <v>56</v>
      </c>
      <c r="C105" s="14">
        <f>0*2</f>
        <v>0</v>
      </c>
      <c r="D105" s="15">
        <f>(24/12/3.281)*4</f>
        <v>2.4382810118866196</v>
      </c>
      <c r="E105" s="16"/>
      <c r="F105" s="16"/>
      <c r="G105" s="131">
        <f>PRODUCT(C105:F105)</f>
        <v>0</v>
      </c>
      <c r="H105" s="18"/>
      <c r="I105" s="19"/>
      <c r="J105" s="132"/>
      <c r="K105" s="16"/>
      <c r="M105" s="21"/>
      <c r="N105" s="21"/>
    </row>
    <row r="106" spans="1:14" ht="15" hidden="1" customHeight="1" x14ac:dyDescent="0.25">
      <c r="A106" s="12"/>
      <c r="B106" s="133" t="s">
        <v>25</v>
      </c>
      <c r="C106" s="14"/>
      <c r="D106" s="15"/>
      <c r="E106" s="16"/>
      <c r="F106" s="16"/>
      <c r="G106" s="19">
        <f>SUM(G104:G105)</f>
        <v>0</v>
      </c>
      <c r="H106" s="18" t="s">
        <v>73</v>
      </c>
      <c r="I106" s="19">
        <f>4676.81/10</f>
        <v>467.68100000000004</v>
      </c>
      <c r="J106" s="132">
        <f>G106*I106</f>
        <v>0</v>
      </c>
      <c r="K106" s="16"/>
      <c r="M106" s="21"/>
      <c r="N106" s="21"/>
    </row>
    <row r="107" spans="1:14" ht="15" hidden="1" customHeight="1" x14ac:dyDescent="0.25">
      <c r="A107" s="12"/>
      <c r="B107" s="133" t="s">
        <v>49</v>
      </c>
      <c r="C107" s="14"/>
      <c r="D107" s="15"/>
      <c r="E107" s="16"/>
      <c r="F107" s="16"/>
      <c r="G107" s="19"/>
      <c r="H107" s="18"/>
      <c r="I107" s="19"/>
      <c r="J107" s="132">
        <f>G106*0.13*(2909.31/10)</f>
        <v>0</v>
      </c>
      <c r="K107" s="16"/>
      <c r="M107" s="21"/>
      <c r="N107" s="21"/>
    </row>
    <row r="108" spans="1:14" ht="15" hidden="1" customHeight="1" x14ac:dyDescent="0.25">
      <c r="A108" s="12"/>
      <c r="B108" s="133"/>
      <c r="C108" s="14"/>
      <c r="D108" s="15"/>
      <c r="E108" s="16"/>
      <c r="F108" s="16"/>
      <c r="G108" s="19"/>
      <c r="H108" s="18"/>
      <c r="I108" s="19"/>
      <c r="J108" s="132"/>
      <c r="K108" s="16"/>
      <c r="M108" s="21"/>
      <c r="N108" s="21"/>
    </row>
    <row r="109" spans="1:14" ht="47.25" hidden="1" x14ac:dyDescent="0.25">
      <c r="A109" s="12">
        <v>13</v>
      </c>
      <c r="B109" s="134" t="s">
        <v>75</v>
      </c>
      <c r="C109" s="14"/>
      <c r="D109" s="15"/>
      <c r="E109" s="16"/>
      <c r="F109" s="16"/>
      <c r="G109" s="19"/>
      <c r="H109" s="18"/>
      <c r="I109" s="19"/>
      <c r="J109" s="132"/>
      <c r="K109" s="16"/>
      <c r="M109" s="21"/>
      <c r="N109" s="21"/>
    </row>
    <row r="110" spans="1:14" ht="15" hidden="1" customHeight="1" x14ac:dyDescent="0.25">
      <c r="A110" s="12"/>
      <c r="B110" s="133" t="s">
        <v>54</v>
      </c>
      <c r="C110" s="14">
        <f>0*(1*2+1*2)</f>
        <v>0</v>
      </c>
      <c r="D110" s="15">
        <f>D104</f>
        <v>5.0289545870161536</v>
      </c>
      <c r="E110" s="16"/>
      <c r="F110" s="16"/>
      <c r="G110" s="131">
        <f t="shared" ref="G110:G112" si="8">PRODUCT(C110:F110)</f>
        <v>0</v>
      </c>
      <c r="H110" s="18"/>
      <c r="I110" s="19"/>
      <c r="J110" s="132"/>
      <c r="K110" s="16"/>
      <c r="M110" s="21"/>
      <c r="N110" s="21"/>
    </row>
    <row r="111" spans="1:14" ht="15" hidden="1" customHeight="1" x14ac:dyDescent="0.25">
      <c r="A111" s="12"/>
      <c r="B111" s="13" t="s">
        <v>22</v>
      </c>
      <c r="C111" s="14">
        <f>0*-1</f>
        <v>0</v>
      </c>
      <c r="D111" s="15">
        <f>3.5/3.281</f>
        <v>1.0667479427003961</v>
      </c>
      <c r="E111" s="16"/>
      <c r="F111" s="16"/>
      <c r="G111" s="131">
        <f t="shared" si="8"/>
        <v>0</v>
      </c>
      <c r="H111" s="18"/>
      <c r="I111" s="19"/>
      <c r="J111" s="132"/>
      <c r="K111" s="16"/>
      <c r="M111" s="21"/>
      <c r="N111" s="21"/>
    </row>
    <row r="112" spans="1:14" ht="15" hidden="1" customHeight="1" x14ac:dyDescent="0.25">
      <c r="A112" s="12"/>
      <c r="B112" s="13" t="s">
        <v>23</v>
      </c>
      <c r="C112" s="14">
        <f>0*-1</f>
        <v>0</v>
      </c>
      <c r="D112" s="15">
        <f>3.833/3.281</f>
        <v>1.1682413898201769</v>
      </c>
      <c r="E112" s="16"/>
      <c r="F112" s="16"/>
      <c r="G112" s="131">
        <f t="shared" si="8"/>
        <v>0</v>
      </c>
      <c r="H112" s="18"/>
      <c r="I112" s="19"/>
      <c r="J112" s="132"/>
      <c r="K112" s="16"/>
      <c r="M112" s="21"/>
      <c r="N112" s="21"/>
    </row>
    <row r="113" spans="1:15" ht="15" hidden="1" customHeight="1" x14ac:dyDescent="0.25">
      <c r="A113" s="12"/>
      <c r="B113" s="133" t="s">
        <v>56</v>
      </c>
      <c r="C113" s="14">
        <f>0*2*2</f>
        <v>0</v>
      </c>
      <c r="D113" s="15">
        <f>(24/12/3.281)*4</f>
        <v>2.4382810118866196</v>
      </c>
      <c r="E113" s="16"/>
      <c r="F113" s="16"/>
      <c r="G113" s="131">
        <f>PRODUCT(C113:F113)</f>
        <v>0</v>
      </c>
      <c r="H113" s="18"/>
      <c r="I113" s="19"/>
      <c r="J113" s="132"/>
      <c r="K113" s="16"/>
      <c r="M113" s="21"/>
      <c r="N113" s="21"/>
    </row>
    <row r="114" spans="1:15" ht="15" hidden="1" customHeight="1" x14ac:dyDescent="0.25">
      <c r="A114" s="12"/>
      <c r="B114" s="133" t="s">
        <v>25</v>
      </c>
      <c r="C114" s="14"/>
      <c r="D114" s="15"/>
      <c r="E114" s="16"/>
      <c r="F114" s="16"/>
      <c r="G114" s="19">
        <f>SUM(G110:G113)</f>
        <v>0</v>
      </c>
      <c r="H114" s="18" t="s">
        <v>73</v>
      </c>
      <c r="I114" s="19">
        <f>4118.81/10</f>
        <v>411.88100000000003</v>
      </c>
      <c r="J114" s="132">
        <f>G114*I114</f>
        <v>0</v>
      </c>
      <c r="K114" s="16"/>
      <c r="M114" s="21"/>
      <c r="N114" s="21"/>
    </row>
    <row r="115" spans="1:15" ht="15" hidden="1" customHeight="1" x14ac:dyDescent="0.25">
      <c r="A115" s="12"/>
      <c r="B115" s="133" t="s">
        <v>49</v>
      </c>
      <c r="C115" s="14"/>
      <c r="D115" s="15"/>
      <c r="E115" s="16"/>
      <c r="F115" s="16"/>
      <c r="G115" s="19"/>
      <c r="H115" s="18"/>
      <c r="I115" s="19"/>
      <c r="J115" s="132">
        <f>G114*0.13*(2351.31/10)</f>
        <v>0</v>
      </c>
      <c r="K115" s="16"/>
      <c r="M115" s="21"/>
      <c r="N115" s="21"/>
    </row>
    <row r="116" spans="1:15" ht="15" hidden="1" customHeight="1" x14ac:dyDescent="0.25">
      <c r="A116" s="12"/>
      <c r="B116" s="133"/>
      <c r="C116" s="14"/>
      <c r="D116" s="15"/>
      <c r="E116" s="16"/>
      <c r="F116" s="16"/>
      <c r="G116" s="19"/>
      <c r="H116" s="18"/>
      <c r="I116" s="19"/>
      <c r="J116" s="132"/>
      <c r="K116" s="16"/>
      <c r="M116" s="21"/>
      <c r="N116" s="21"/>
    </row>
    <row r="117" spans="1:15" ht="47.25" hidden="1" x14ac:dyDescent="0.25">
      <c r="A117" s="12">
        <v>14</v>
      </c>
      <c r="B117" s="134" t="s">
        <v>76</v>
      </c>
      <c r="C117" s="14"/>
      <c r="D117" s="15"/>
      <c r="E117" s="16"/>
      <c r="F117" s="16"/>
      <c r="G117" s="19"/>
      <c r="H117" s="18"/>
      <c r="I117" s="19"/>
      <c r="J117" s="132"/>
      <c r="K117" s="16"/>
      <c r="M117" s="21"/>
      <c r="N117" s="21"/>
    </row>
    <row r="118" spans="1:15" ht="15" hidden="1" customHeight="1" x14ac:dyDescent="0.25">
      <c r="A118" s="12"/>
      <c r="B118" s="133" t="s">
        <v>54</v>
      </c>
      <c r="C118" s="14">
        <f>0*2</f>
        <v>0</v>
      </c>
      <c r="D118" s="15">
        <f>D110</f>
        <v>5.0289545870161536</v>
      </c>
      <c r="E118" s="16"/>
      <c r="F118" s="16"/>
      <c r="G118" s="131">
        <f t="shared" ref="G118:G120" si="9">PRODUCT(C118:F118)</f>
        <v>0</v>
      </c>
      <c r="H118" s="18"/>
      <c r="I118" s="19"/>
      <c r="J118" s="132"/>
      <c r="K118" s="16"/>
      <c r="M118" s="21"/>
      <c r="N118" s="21"/>
    </row>
    <row r="119" spans="1:15" ht="15" hidden="1" customHeight="1" x14ac:dyDescent="0.25">
      <c r="A119" s="12"/>
      <c r="B119" s="13" t="s">
        <v>22</v>
      </c>
      <c r="C119" s="14">
        <f>0*-1</f>
        <v>0</v>
      </c>
      <c r="D119" s="15">
        <f>3.5/3.281</f>
        <v>1.0667479427003961</v>
      </c>
      <c r="E119" s="16"/>
      <c r="F119" s="16"/>
      <c r="G119" s="131">
        <f t="shared" si="9"/>
        <v>0</v>
      </c>
      <c r="H119" s="18"/>
      <c r="I119" s="19"/>
      <c r="J119" s="132"/>
      <c r="K119" s="16"/>
      <c r="M119" s="21"/>
      <c r="N119" s="21"/>
    </row>
    <row r="120" spans="1:15" ht="15" hidden="1" customHeight="1" x14ac:dyDescent="0.25">
      <c r="A120" s="12"/>
      <c r="B120" s="13" t="s">
        <v>23</v>
      </c>
      <c r="C120" s="14">
        <f>0*-1</f>
        <v>0</v>
      </c>
      <c r="D120" s="15">
        <f>3.833/3.281</f>
        <v>1.1682413898201769</v>
      </c>
      <c r="E120" s="16"/>
      <c r="F120" s="16"/>
      <c r="G120" s="131">
        <f t="shared" si="9"/>
        <v>0</v>
      </c>
      <c r="H120" s="18"/>
      <c r="I120" s="19"/>
      <c r="J120" s="132"/>
      <c r="K120" s="16"/>
      <c r="M120" s="21"/>
      <c r="N120" s="21"/>
    </row>
    <row r="121" spans="1:15" ht="15" hidden="1" customHeight="1" x14ac:dyDescent="0.25">
      <c r="A121" s="12"/>
      <c r="B121" s="133" t="s">
        <v>56</v>
      </c>
      <c r="C121" s="14">
        <f>0*2</f>
        <v>0</v>
      </c>
      <c r="D121" s="15">
        <f>(24/12/3.281)*4</f>
        <v>2.4382810118866196</v>
      </c>
      <c r="E121" s="16"/>
      <c r="F121" s="16"/>
      <c r="G121" s="131">
        <f>PRODUCT(C121:F121)</f>
        <v>0</v>
      </c>
      <c r="H121" s="18"/>
      <c r="I121" s="19"/>
      <c r="J121" s="132"/>
      <c r="K121" s="16"/>
      <c r="M121" s="21"/>
      <c r="N121" s="21"/>
    </row>
    <row r="122" spans="1:15" ht="15" hidden="1" customHeight="1" x14ac:dyDescent="0.25">
      <c r="A122" s="12"/>
      <c r="B122" s="133" t="s">
        <v>25</v>
      </c>
      <c r="C122" s="14"/>
      <c r="D122" s="15"/>
      <c r="E122" s="16"/>
      <c r="F122" s="16"/>
      <c r="G122" s="19">
        <f>SUM(G118:G121)</f>
        <v>0</v>
      </c>
      <c r="H122" s="18" t="s">
        <v>73</v>
      </c>
      <c r="I122" s="19">
        <f>4490.81/10</f>
        <v>449.08100000000002</v>
      </c>
      <c r="J122" s="132">
        <f>G122*I122</f>
        <v>0</v>
      </c>
      <c r="K122" s="16"/>
      <c r="M122" s="21"/>
      <c r="N122" s="21"/>
      <c r="O122">
        <f>516.44/1.15</f>
        <v>449.07826086956533</v>
      </c>
    </row>
    <row r="123" spans="1:15" ht="15" hidden="1" customHeight="1" x14ac:dyDescent="0.25">
      <c r="A123" s="12"/>
      <c r="B123" s="133" t="s">
        <v>49</v>
      </c>
      <c r="C123" s="14"/>
      <c r="D123" s="15"/>
      <c r="E123" s="16"/>
      <c r="F123" s="16"/>
      <c r="G123" s="19"/>
      <c r="H123" s="18"/>
      <c r="I123" s="19"/>
      <c r="J123" s="132">
        <f>G122*0.13*(2723.31/10)</f>
        <v>0</v>
      </c>
      <c r="K123" s="16"/>
      <c r="M123" s="21"/>
      <c r="N123" s="21"/>
    </row>
    <row r="124" spans="1:15" ht="15" hidden="1" customHeight="1" x14ac:dyDescent="0.25">
      <c r="A124" s="12"/>
      <c r="B124" s="133"/>
      <c r="C124" s="14"/>
      <c r="D124" s="15"/>
      <c r="E124" s="16"/>
      <c r="F124" s="16"/>
      <c r="G124" s="19"/>
      <c r="H124" s="18"/>
      <c r="I124" s="19"/>
      <c r="J124" s="132"/>
      <c r="K124" s="16"/>
      <c r="M124" s="21"/>
      <c r="N124" s="21"/>
    </row>
    <row r="125" spans="1:15" ht="30.75" hidden="1" customHeight="1" x14ac:dyDescent="0.25">
      <c r="A125" s="12">
        <v>15</v>
      </c>
      <c r="B125" s="134" t="s">
        <v>77</v>
      </c>
      <c r="C125" s="137"/>
      <c r="D125" s="131"/>
      <c r="E125" s="131"/>
      <c r="F125" s="131"/>
      <c r="G125" s="131"/>
      <c r="H125" s="131"/>
      <c r="I125" s="131"/>
      <c r="J125" s="149"/>
      <c r="K125" s="141"/>
    </row>
    <row r="126" spans="1:15" ht="15" hidden="1" customHeight="1" x14ac:dyDescent="0.25">
      <c r="A126" s="12"/>
      <c r="B126" s="133" t="s">
        <v>54</v>
      </c>
      <c r="C126" s="14">
        <f>0*(1*2-1)</f>
        <v>0</v>
      </c>
      <c r="D126" s="15">
        <f>D118</f>
        <v>5.0289545870161536</v>
      </c>
      <c r="E126" s="16"/>
      <c r="F126" s="16"/>
      <c r="G126" s="131">
        <f t="shared" ref="G126" si="10">PRODUCT(C126:F126)</f>
        <v>0</v>
      </c>
      <c r="H126" s="18"/>
      <c r="I126" s="19"/>
      <c r="J126" s="132"/>
      <c r="K126" s="16"/>
      <c r="M126" s="21"/>
      <c r="N126" s="21"/>
    </row>
    <row r="127" spans="1:15" ht="15" hidden="1" customHeight="1" x14ac:dyDescent="0.25">
      <c r="A127" s="12"/>
      <c r="B127" s="133" t="s">
        <v>56</v>
      </c>
      <c r="C127" s="14">
        <f>0*2</f>
        <v>0</v>
      </c>
      <c r="D127" s="15">
        <f>(24/12/3.281)*4</f>
        <v>2.4382810118866196</v>
      </c>
      <c r="E127" s="16"/>
      <c r="F127" s="16"/>
      <c r="G127" s="131">
        <f>PRODUCT(C127:F127)</f>
        <v>0</v>
      </c>
      <c r="H127" s="18"/>
      <c r="I127" s="19"/>
      <c r="J127" s="132"/>
      <c r="K127" s="16"/>
      <c r="M127" s="21"/>
      <c r="N127" s="21"/>
    </row>
    <row r="128" spans="1:15" ht="15" hidden="1" customHeight="1" x14ac:dyDescent="0.25">
      <c r="A128" s="12"/>
      <c r="B128" s="133" t="s">
        <v>25</v>
      </c>
      <c r="C128" s="14"/>
      <c r="D128" s="15"/>
      <c r="E128" s="16"/>
      <c r="F128" s="16"/>
      <c r="G128" s="19">
        <f>SUM(G126:G127)</f>
        <v>0</v>
      </c>
      <c r="H128" s="18" t="s">
        <v>73</v>
      </c>
      <c r="I128" s="19">
        <f>462.97/1.15</f>
        <v>402.58260869565225</v>
      </c>
      <c r="J128" s="132">
        <f>G128*I128</f>
        <v>0</v>
      </c>
      <c r="K128" s="16"/>
      <c r="M128" s="21"/>
      <c r="N128" s="21"/>
    </row>
    <row r="129" spans="1:14" ht="15" hidden="1" customHeight="1" x14ac:dyDescent="0.25">
      <c r="A129" s="12"/>
      <c r="B129" s="133" t="s">
        <v>49</v>
      </c>
      <c r="C129" s="14"/>
      <c r="D129" s="15"/>
      <c r="E129" s="16"/>
      <c r="F129" s="16"/>
      <c r="G129" s="19"/>
      <c r="H129" s="18"/>
      <c r="I129" s="19"/>
      <c r="J129" s="132">
        <f>G128*0.13*(2258.31/10)</f>
        <v>0</v>
      </c>
      <c r="K129" s="16"/>
      <c r="M129" s="21"/>
      <c r="N129" s="21"/>
    </row>
    <row r="130" spans="1:14" ht="15" hidden="1" customHeight="1" x14ac:dyDescent="0.25">
      <c r="A130" s="12"/>
      <c r="B130" s="141"/>
      <c r="C130" s="14"/>
      <c r="D130" s="15"/>
      <c r="E130" s="16"/>
      <c r="F130" s="16"/>
      <c r="G130" s="19"/>
      <c r="H130" s="18"/>
      <c r="I130" s="19"/>
      <c r="J130" s="132"/>
      <c r="K130" s="16"/>
      <c r="M130" s="21"/>
      <c r="N130" s="21"/>
    </row>
    <row r="131" spans="1:14" ht="47.25" hidden="1" x14ac:dyDescent="0.25">
      <c r="A131" s="12">
        <v>16</v>
      </c>
      <c r="B131" s="134" t="s">
        <v>78</v>
      </c>
      <c r="C131" s="14"/>
      <c r="D131" s="15"/>
      <c r="E131" s="16"/>
      <c r="F131" s="16"/>
      <c r="G131" s="19"/>
      <c r="H131" s="18"/>
      <c r="I131" s="19"/>
      <c r="J131" s="132"/>
      <c r="K131" s="16"/>
      <c r="M131" s="21"/>
      <c r="N131" s="21"/>
    </row>
    <row r="132" spans="1:14" ht="15" hidden="1" customHeight="1" x14ac:dyDescent="0.25">
      <c r="A132" s="12"/>
      <c r="B132" s="133" t="s">
        <v>54</v>
      </c>
      <c r="C132" s="14">
        <f>0*(1*2-1)</f>
        <v>0</v>
      </c>
      <c r="D132" s="15">
        <f>D156</f>
        <v>5.0289545870161536</v>
      </c>
      <c r="E132" s="16"/>
      <c r="F132" s="16"/>
      <c r="G132" s="131">
        <f t="shared" ref="G132" si="11">PRODUCT(C132:F132)</f>
        <v>0</v>
      </c>
      <c r="H132" s="18"/>
      <c r="I132" s="19"/>
      <c r="J132" s="132"/>
      <c r="K132" s="16"/>
      <c r="M132" s="21"/>
      <c r="N132" s="21"/>
    </row>
    <row r="133" spans="1:14" ht="15" hidden="1" customHeight="1" x14ac:dyDescent="0.25">
      <c r="A133" s="12"/>
      <c r="B133" s="133" t="s">
        <v>56</v>
      </c>
      <c r="C133" s="14">
        <f>0*2</f>
        <v>0</v>
      </c>
      <c r="D133" s="15">
        <f>(24/12/3.281)*4</f>
        <v>2.4382810118866196</v>
      </c>
      <c r="E133" s="16"/>
      <c r="F133" s="16"/>
      <c r="G133" s="131">
        <f>PRODUCT(C133:F133)</f>
        <v>0</v>
      </c>
      <c r="H133" s="18"/>
      <c r="I133" s="19"/>
      <c r="J133" s="132"/>
      <c r="K133" s="16"/>
      <c r="M133" s="21"/>
      <c r="N133" s="21"/>
    </row>
    <row r="134" spans="1:14" ht="15" hidden="1" customHeight="1" x14ac:dyDescent="0.25">
      <c r="A134" s="12"/>
      <c r="B134" s="133" t="s">
        <v>25</v>
      </c>
      <c r="C134" s="14"/>
      <c r="D134" s="15"/>
      <c r="E134" s="16"/>
      <c r="F134" s="16"/>
      <c r="G134" s="19">
        <f>SUM(G132:G133)</f>
        <v>0</v>
      </c>
      <c r="H134" s="18" t="s">
        <v>73</v>
      </c>
      <c r="I134" s="19">
        <f>4738.81/10</f>
        <v>473.88100000000003</v>
      </c>
      <c r="J134" s="132">
        <f>G134*I134</f>
        <v>0</v>
      </c>
      <c r="K134" s="16"/>
      <c r="M134" s="21"/>
      <c r="N134" s="21"/>
    </row>
    <row r="135" spans="1:14" ht="15" hidden="1" customHeight="1" x14ac:dyDescent="0.25">
      <c r="A135" s="12"/>
      <c r="B135" s="133" t="s">
        <v>49</v>
      </c>
      <c r="C135" s="14"/>
      <c r="D135" s="15"/>
      <c r="E135" s="16"/>
      <c r="F135" s="16"/>
      <c r="G135" s="19"/>
      <c r="H135" s="18"/>
      <c r="I135" s="19"/>
      <c r="J135" s="132">
        <f>G134*0.13*(2971.31/10)</f>
        <v>0</v>
      </c>
      <c r="K135" s="16"/>
      <c r="M135" s="21"/>
      <c r="N135" s="21"/>
    </row>
    <row r="136" spans="1:14" ht="15" hidden="1" customHeight="1" x14ac:dyDescent="0.25">
      <c r="A136" s="12"/>
      <c r="B136" s="133"/>
      <c r="C136" s="14"/>
      <c r="D136" s="15"/>
      <c r="E136" s="16"/>
      <c r="F136" s="16"/>
      <c r="G136" s="19"/>
      <c r="H136" s="18"/>
      <c r="I136" s="19"/>
      <c r="J136" s="132"/>
      <c r="K136" s="16"/>
      <c r="M136" s="21"/>
      <c r="N136" s="21"/>
    </row>
    <row r="137" spans="1:14" ht="47.25" hidden="1" x14ac:dyDescent="0.25">
      <c r="A137" s="12">
        <v>17</v>
      </c>
      <c r="B137" s="134" t="s">
        <v>79</v>
      </c>
      <c r="C137" s="14"/>
      <c r="D137" s="15"/>
      <c r="E137" s="16"/>
      <c r="F137" s="16"/>
      <c r="G137" s="19"/>
      <c r="H137" s="18"/>
      <c r="I137" s="19"/>
      <c r="J137" s="132"/>
      <c r="K137" s="16"/>
      <c r="M137" s="21"/>
      <c r="N137" s="21"/>
    </row>
    <row r="138" spans="1:14" ht="15" hidden="1" customHeight="1" x14ac:dyDescent="0.25">
      <c r="A138" s="12"/>
      <c r="B138" s="133" t="s">
        <v>54</v>
      </c>
      <c r="C138" s="14">
        <f>0*(1*2-1)</f>
        <v>0</v>
      </c>
      <c r="D138" s="15">
        <f>D132</f>
        <v>5.0289545870161536</v>
      </c>
      <c r="E138" s="16"/>
      <c r="F138" s="16"/>
      <c r="G138" s="131">
        <f>PRODUCT(C138:F138)</f>
        <v>0</v>
      </c>
      <c r="H138" s="18"/>
      <c r="I138" s="19"/>
      <c r="J138" s="132"/>
      <c r="K138" s="16"/>
      <c r="M138" s="21"/>
      <c r="N138" s="21"/>
    </row>
    <row r="139" spans="1:14" ht="15" hidden="1" customHeight="1" x14ac:dyDescent="0.25">
      <c r="A139" s="12"/>
      <c r="B139" s="133" t="s">
        <v>56</v>
      </c>
      <c r="C139" s="14">
        <f>0*2</f>
        <v>0</v>
      </c>
      <c r="D139" s="15">
        <f>(24/12/3.281)*4</f>
        <v>2.4382810118866196</v>
      </c>
      <c r="E139" s="16"/>
      <c r="F139" s="16"/>
      <c r="G139" s="131">
        <f>PRODUCT(C139:F139)</f>
        <v>0</v>
      </c>
      <c r="H139" s="18"/>
      <c r="I139" s="19"/>
      <c r="J139" s="132"/>
      <c r="K139" s="16"/>
      <c r="M139" s="21"/>
      <c r="N139" s="21"/>
    </row>
    <row r="140" spans="1:14" ht="15" hidden="1" customHeight="1" x14ac:dyDescent="0.25">
      <c r="A140" s="12"/>
      <c r="B140" s="133" t="s">
        <v>25</v>
      </c>
      <c r="C140" s="14"/>
      <c r="D140" s="15"/>
      <c r="E140" s="16"/>
      <c r="F140" s="16"/>
      <c r="G140" s="19">
        <f>SUM(G138:G139)</f>
        <v>0</v>
      </c>
      <c r="H140" s="18" t="s">
        <v>73</v>
      </c>
      <c r="I140" s="19">
        <f>623.05/1.15</f>
        <v>541.78260869565213</v>
      </c>
      <c r="J140" s="132">
        <f>G140*I140</f>
        <v>0</v>
      </c>
      <c r="K140" s="16"/>
      <c r="M140" s="21"/>
      <c r="N140" s="21"/>
    </row>
    <row r="141" spans="1:14" ht="15" hidden="1" customHeight="1" x14ac:dyDescent="0.25">
      <c r="A141" s="12"/>
      <c r="B141" s="133" t="s">
        <v>49</v>
      </c>
      <c r="C141" s="14"/>
      <c r="D141" s="15"/>
      <c r="E141" s="16"/>
      <c r="F141" s="16"/>
      <c r="G141" s="19"/>
      <c r="H141" s="18"/>
      <c r="I141" s="19"/>
      <c r="J141" s="132">
        <f>G140*0.13*(3650.31/10)</f>
        <v>0</v>
      </c>
      <c r="K141" s="16"/>
      <c r="M141" s="21"/>
      <c r="N141" s="21"/>
    </row>
    <row r="142" spans="1:14" ht="15" hidden="1" customHeight="1" x14ac:dyDescent="0.25">
      <c r="A142" s="12"/>
      <c r="B142" s="133"/>
      <c r="C142" s="14"/>
      <c r="D142" s="15"/>
      <c r="E142" s="16"/>
      <c r="F142" s="16"/>
      <c r="G142" s="19"/>
      <c r="H142" s="18"/>
      <c r="I142" s="19"/>
      <c r="J142" s="132"/>
      <c r="K142" s="16"/>
      <c r="M142" s="21"/>
      <c r="N142" s="21"/>
    </row>
    <row r="143" spans="1:14" ht="47.25" hidden="1" x14ac:dyDescent="0.25">
      <c r="A143" s="12">
        <v>18</v>
      </c>
      <c r="B143" s="134" t="s">
        <v>80</v>
      </c>
      <c r="C143" s="14"/>
      <c r="D143" s="15"/>
      <c r="E143" s="16"/>
      <c r="F143" s="16"/>
      <c r="G143" s="19"/>
      <c r="H143" s="18"/>
      <c r="I143" s="19"/>
      <c r="J143" s="132"/>
      <c r="K143" s="16"/>
      <c r="M143" s="21"/>
      <c r="N143" s="21"/>
    </row>
    <row r="144" spans="1:14" ht="15" hidden="1" customHeight="1" x14ac:dyDescent="0.25">
      <c r="A144" s="12"/>
      <c r="B144" s="133" t="s">
        <v>54</v>
      </c>
      <c r="C144" s="14">
        <f>0*(1*2-1)</f>
        <v>0</v>
      </c>
      <c r="D144" s="15">
        <f>D138</f>
        <v>5.0289545870161536</v>
      </c>
      <c r="E144" s="16"/>
      <c r="F144" s="16"/>
      <c r="G144" s="131">
        <f t="shared" ref="G144" si="12">PRODUCT(C144:F144)</f>
        <v>0</v>
      </c>
      <c r="H144" s="18"/>
      <c r="I144" s="19"/>
      <c r="J144" s="132"/>
      <c r="K144" s="16"/>
      <c r="M144" s="21"/>
      <c r="N144" s="21"/>
    </row>
    <row r="145" spans="1:14" ht="15" hidden="1" customHeight="1" x14ac:dyDescent="0.25">
      <c r="A145" s="12"/>
      <c r="B145" s="133" t="s">
        <v>56</v>
      </c>
      <c r="C145" s="14">
        <f>0*2</f>
        <v>0</v>
      </c>
      <c r="D145" s="15">
        <f>(24/12/3.281)*4</f>
        <v>2.4382810118866196</v>
      </c>
      <c r="E145" s="16"/>
      <c r="F145" s="16"/>
      <c r="G145" s="131">
        <f>PRODUCT(C145:F145)</f>
        <v>0</v>
      </c>
      <c r="H145" s="18"/>
      <c r="I145" s="19"/>
      <c r="J145" s="132"/>
      <c r="K145" s="16"/>
      <c r="M145" s="21"/>
      <c r="N145" s="21"/>
    </row>
    <row r="146" spans="1:14" ht="15" hidden="1" customHeight="1" x14ac:dyDescent="0.25">
      <c r="A146" s="12"/>
      <c r="B146" s="133" t="s">
        <v>25</v>
      </c>
      <c r="C146" s="14"/>
      <c r="D146" s="15"/>
      <c r="E146" s="16"/>
      <c r="F146" s="16"/>
      <c r="G146" s="19">
        <f>SUM(G144:G145)</f>
        <v>0</v>
      </c>
      <c r="H146" s="18" t="s">
        <v>73</v>
      </c>
      <c r="I146" s="19">
        <f>4862.81/10</f>
        <v>486.28100000000006</v>
      </c>
      <c r="J146" s="132">
        <f>G146*I146</f>
        <v>0</v>
      </c>
      <c r="K146" s="16"/>
      <c r="M146" s="21"/>
      <c r="N146" s="21"/>
    </row>
    <row r="147" spans="1:14" ht="15" hidden="1" customHeight="1" x14ac:dyDescent="0.25">
      <c r="A147" s="12"/>
      <c r="B147" s="133" t="s">
        <v>49</v>
      </c>
      <c r="C147" s="14"/>
      <c r="D147" s="15"/>
      <c r="E147" s="16"/>
      <c r="F147" s="16"/>
      <c r="G147" s="19"/>
      <c r="H147" s="18"/>
      <c r="I147" s="19"/>
      <c r="J147" s="132">
        <f>G146*0.13*(3095.31/10)</f>
        <v>0</v>
      </c>
      <c r="K147" s="16"/>
      <c r="M147" s="21"/>
      <c r="N147" s="21"/>
    </row>
    <row r="148" spans="1:14" ht="15" hidden="1" customHeight="1" x14ac:dyDescent="0.25">
      <c r="A148" s="12"/>
      <c r="B148" s="133"/>
      <c r="C148" s="14"/>
      <c r="D148" s="15"/>
      <c r="E148" s="16"/>
      <c r="F148" s="16"/>
      <c r="G148" s="19"/>
      <c r="H148" s="18"/>
      <c r="I148" s="19"/>
      <c r="J148" s="132"/>
      <c r="K148" s="16"/>
      <c r="M148" s="21"/>
      <c r="N148" s="21"/>
    </row>
    <row r="149" spans="1:14" ht="47.25" hidden="1" x14ac:dyDescent="0.25">
      <c r="A149" s="12">
        <v>19</v>
      </c>
      <c r="B149" s="134" t="s">
        <v>81</v>
      </c>
      <c r="C149" s="14"/>
      <c r="D149" s="15"/>
      <c r="E149" s="16"/>
      <c r="F149" s="16"/>
      <c r="G149" s="19"/>
      <c r="H149" s="18"/>
      <c r="I149" s="19"/>
      <c r="J149" s="132"/>
      <c r="K149" s="16"/>
      <c r="M149" s="21"/>
      <c r="N149" s="21"/>
    </row>
    <row r="150" spans="1:14" ht="15" hidden="1" customHeight="1" x14ac:dyDescent="0.25">
      <c r="A150" s="12"/>
      <c r="B150" s="133" t="s">
        <v>54</v>
      </c>
      <c r="C150" s="14">
        <f>0*(1*2-1)</f>
        <v>0</v>
      </c>
      <c r="D150" s="15">
        <f>D144</f>
        <v>5.0289545870161536</v>
      </c>
      <c r="E150" s="16"/>
      <c r="F150" s="16"/>
      <c r="G150" s="131">
        <f t="shared" ref="G150" si="13">PRODUCT(C150:F150)</f>
        <v>0</v>
      </c>
      <c r="H150" s="18"/>
      <c r="I150" s="19"/>
      <c r="J150" s="132"/>
      <c r="K150" s="16"/>
      <c r="M150" s="21"/>
      <c r="N150" s="21"/>
    </row>
    <row r="151" spans="1:14" ht="15" hidden="1" customHeight="1" x14ac:dyDescent="0.25">
      <c r="A151" s="12"/>
      <c r="B151" s="133" t="s">
        <v>56</v>
      </c>
      <c r="C151" s="14">
        <f>0*2</f>
        <v>0</v>
      </c>
      <c r="D151" s="15">
        <f>(24/12/3.281)*4</f>
        <v>2.4382810118866196</v>
      </c>
      <c r="E151" s="16"/>
      <c r="F151" s="16"/>
      <c r="G151" s="131">
        <f>PRODUCT(C151:F151)</f>
        <v>0</v>
      </c>
      <c r="H151" s="18"/>
      <c r="I151" s="19"/>
      <c r="J151" s="132"/>
      <c r="K151" s="16"/>
      <c r="M151" s="21"/>
      <c r="N151" s="21"/>
    </row>
    <row r="152" spans="1:14" ht="15" hidden="1" customHeight="1" x14ac:dyDescent="0.25">
      <c r="A152" s="12"/>
      <c r="B152" s="133" t="s">
        <v>25</v>
      </c>
      <c r="C152" s="14"/>
      <c r="D152" s="15"/>
      <c r="E152" s="16"/>
      <c r="F152" s="16"/>
      <c r="G152" s="19">
        <f>SUM(G150:G151)</f>
        <v>0</v>
      </c>
      <c r="H152" s="18" t="s">
        <v>73</v>
      </c>
      <c r="I152" s="19">
        <f>4676.81/10</f>
        <v>467.68100000000004</v>
      </c>
      <c r="J152" s="132">
        <f>G152*I152</f>
        <v>0</v>
      </c>
      <c r="K152" s="16"/>
      <c r="M152" s="21"/>
      <c r="N152" s="21"/>
    </row>
    <row r="153" spans="1:14" ht="15" hidden="1" customHeight="1" x14ac:dyDescent="0.25">
      <c r="A153" s="12"/>
      <c r="B153" s="133" t="s">
        <v>49</v>
      </c>
      <c r="C153" s="14"/>
      <c r="D153" s="15"/>
      <c r="E153" s="16"/>
      <c r="F153" s="16"/>
      <c r="G153" s="19"/>
      <c r="H153" s="18"/>
      <c r="I153" s="19"/>
      <c r="J153" s="132">
        <f>G152*0.13*(2909.31/10)</f>
        <v>0</v>
      </c>
      <c r="K153" s="16"/>
      <c r="M153" s="21"/>
      <c r="N153" s="21"/>
    </row>
    <row r="154" spans="1:14" ht="15" hidden="1" customHeight="1" x14ac:dyDescent="0.25">
      <c r="A154" s="12"/>
      <c r="B154" s="133"/>
      <c r="C154" s="14"/>
      <c r="D154" s="15"/>
      <c r="E154" s="16"/>
      <c r="F154" s="16"/>
      <c r="G154" s="19"/>
      <c r="H154" s="18"/>
      <c r="I154" s="19"/>
      <c r="J154" s="132"/>
      <c r="K154" s="16"/>
      <c r="M154" s="21"/>
      <c r="N154" s="21"/>
    </row>
    <row r="155" spans="1:14" ht="30.75" hidden="1" customHeight="1" x14ac:dyDescent="0.25">
      <c r="A155" s="12">
        <v>20</v>
      </c>
      <c r="B155" s="134" t="s">
        <v>82</v>
      </c>
      <c r="C155" s="137"/>
      <c r="D155" s="131"/>
      <c r="E155" s="131"/>
      <c r="F155" s="131"/>
      <c r="G155" s="131"/>
      <c r="H155" s="131"/>
      <c r="I155" s="131"/>
      <c r="J155" s="149"/>
      <c r="K155" s="141"/>
    </row>
    <row r="156" spans="1:14" ht="15" hidden="1" customHeight="1" x14ac:dyDescent="0.25">
      <c r="A156" s="12"/>
      <c r="B156" s="133" t="s">
        <v>54</v>
      </c>
      <c r="C156" s="14">
        <f>0*(2*2-2)</f>
        <v>0</v>
      </c>
      <c r="D156" s="15">
        <f>D118</f>
        <v>5.0289545870161536</v>
      </c>
      <c r="E156" s="16"/>
      <c r="F156" s="16"/>
      <c r="G156" s="131">
        <f t="shared" ref="G156" si="14">PRODUCT(C156:F156)</f>
        <v>0</v>
      </c>
      <c r="H156" s="18"/>
      <c r="I156" s="19"/>
      <c r="J156" s="132"/>
      <c r="K156" s="16"/>
      <c r="M156" s="21"/>
      <c r="N156" s="21"/>
    </row>
    <row r="157" spans="1:14" ht="15" hidden="1" customHeight="1" x14ac:dyDescent="0.25">
      <c r="A157" s="12"/>
      <c r="B157" s="133" t="s">
        <v>56</v>
      </c>
      <c r="C157" s="14">
        <f>0*2</f>
        <v>0</v>
      </c>
      <c r="D157" s="15">
        <f>(24/12/3.281)*4</f>
        <v>2.4382810118866196</v>
      </c>
      <c r="E157" s="16"/>
      <c r="F157" s="16"/>
      <c r="G157" s="131">
        <f>PRODUCT(C157:F157)</f>
        <v>0</v>
      </c>
      <c r="H157" s="18"/>
      <c r="I157" s="19"/>
      <c r="J157" s="132"/>
      <c r="K157" s="16"/>
      <c r="M157" s="21"/>
      <c r="N157" s="21"/>
    </row>
    <row r="158" spans="1:14" ht="15" hidden="1" customHeight="1" x14ac:dyDescent="0.25">
      <c r="A158" s="12"/>
      <c r="B158" s="133" t="s">
        <v>25</v>
      </c>
      <c r="C158" s="14"/>
      <c r="D158" s="15"/>
      <c r="E158" s="16"/>
      <c r="F158" s="16"/>
      <c r="G158" s="19">
        <f>SUM(G156:G157)</f>
        <v>0</v>
      </c>
      <c r="H158" s="18" t="s">
        <v>73</v>
      </c>
      <c r="I158" s="19">
        <f>3932.81/10</f>
        <v>393.28100000000001</v>
      </c>
      <c r="J158" s="132">
        <f>G158*I158</f>
        <v>0</v>
      </c>
      <c r="K158" s="16"/>
      <c r="M158" s="21"/>
      <c r="N158" s="21"/>
    </row>
    <row r="159" spans="1:14" ht="15" hidden="1" customHeight="1" x14ac:dyDescent="0.25">
      <c r="A159" s="12"/>
      <c r="B159" s="133" t="s">
        <v>49</v>
      </c>
      <c r="C159" s="14"/>
      <c r="D159" s="15"/>
      <c r="E159" s="16"/>
      <c r="F159" s="16"/>
      <c r="G159" s="19"/>
      <c r="H159" s="18"/>
      <c r="I159" s="19"/>
      <c r="J159" s="132">
        <f>G158*0.13*(2165.31/10)</f>
        <v>0</v>
      </c>
      <c r="K159" s="16"/>
      <c r="M159" s="21"/>
      <c r="N159" s="21"/>
    </row>
    <row r="160" spans="1:14" ht="15" hidden="1" customHeight="1" x14ac:dyDescent="0.25">
      <c r="A160" s="12"/>
      <c r="B160" s="133"/>
      <c r="C160" s="14"/>
      <c r="D160" s="15"/>
      <c r="E160" s="16"/>
      <c r="F160" s="16"/>
      <c r="G160" s="19"/>
      <c r="H160" s="18"/>
      <c r="I160" s="19"/>
      <c r="J160" s="132"/>
      <c r="K160" s="16"/>
      <c r="M160" s="21"/>
      <c r="N160" s="21"/>
    </row>
    <row r="161" spans="1:14" ht="45" hidden="1" customHeight="1" x14ac:dyDescent="0.25">
      <c r="A161" s="136">
        <v>19</v>
      </c>
      <c r="B161" s="155" t="s">
        <v>123</v>
      </c>
      <c r="C161" s="137"/>
      <c r="D161" s="131"/>
      <c r="E161" s="131"/>
      <c r="F161" s="131"/>
      <c r="G161" s="131"/>
      <c r="H161" s="131"/>
      <c r="I161" s="131"/>
      <c r="J161" s="149"/>
      <c r="K161" s="141"/>
    </row>
    <row r="162" spans="1:14" ht="15" hidden="1" customHeight="1" x14ac:dyDescent="0.25">
      <c r="A162" s="136"/>
      <c r="B162" s="133" t="s">
        <v>83</v>
      </c>
      <c r="C162" s="137">
        <f>0*1*2</f>
        <v>0</v>
      </c>
      <c r="D162" s="131">
        <f>(2.75+2.6)/2</f>
        <v>2.6749999999999998</v>
      </c>
      <c r="E162" s="131">
        <v>6.2</v>
      </c>
      <c r="F162" s="131"/>
      <c r="G162" s="131">
        <f>PRODUCT(C162:F162)</f>
        <v>0</v>
      </c>
      <c r="H162" s="131"/>
      <c r="I162" s="131"/>
      <c r="J162" s="149"/>
      <c r="K162" s="141"/>
    </row>
    <row r="163" spans="1:14" ht="15" hidden="1" customHeight="1" x14ac:dyDescent="0.25">
      <c r="A163" s="136"/>
      <c r="B163" s="133"/>
      <c r="C163" s="137">
        <f>0*1</f>
        <v>0</v>
      </c>
      <c r="D163" s="131">
        <v>2.5</v>
      </c>
      <c r="E163" s="131">
        <f>3+0.675</f>
        <v>3.6749999999999998</v>
      </c>
      <c r="F163" s="131"/>
      <c r="G163" s="131">
        <f>PRODUCT(C163:F163)</f>
        <v>0</v>
      </c>
      <c r="H163" s="131"/>
      <c r="I163" s="131"/>
      <c r="J163" s="149"/>
      <c r="K163" s="141"/>
    </row>
    <row r="164" spans="1:14" ht="15" hidden="1" customHeight="1" x14ac:dyDescent="0.25">
      <c r="A164" s="136"/>
      <c r="B164" s="133" t="s">
        <v>25</v>
      </c>
      <c r="C164" s="137"/>
      <c r="D164" s="131"/>
      <c r="E164" s="131"/>
      <c r="F164" s="131"/>
      <c r="G164" s="138">
        <f>SUM(G162:G163)</f>
        <v>0</v>
      </c>
      <c r="H164" s="138" t="s">
        <v>26</v>
      </c>
      <c r="I164" s="139">
        <f>27795.91/10</f>
        <v>2779.5909999999999</v>
      </c>
      <c r="J164" s="140">
        <f>G164*I164</f>
        <v>0</v>
      </c>
      <c r="K164" s="141"/>
    </row>
    <row r="165" spans="1:14" ht="15" hidden="1" customHeight="1" x14ac:dyDescent="0.25">
      <c r="A165" s="12"/>
      <c r="B165" s="133" t="s">
        <v>49</v>
      </c>
      <c r="C165" s="14"/>
      <c r="D165" s="15"/>
      <c r="E165" s="16"/>
      <c r="F165" s="16"/>
      <c r="G165" s="19"/>
      <c r="H165" s="18"/>
      <c r="I165" s="19"/>
      <c r="J165" s="132">
        <f>G164*0.13*(17805.91/10)</f>
        <v>0</v>
      </c>
      <c r="K165" s="16"/>
      <c r="M165" s="21"/>
      <c r="N165" s="21"/>
    </row>
    <row r="166" spans="1:14" ht="15" hidden="1" customHeight="1" x14ac:dyDescent="0.25">
      <c r="A166" s="136"/>
      <c r="B166" s="133"/>
      <c r="C166" s="137"/>
      <c r="D166" s="131"/>
      <c r="E166" s="131"/>
      <c r="F166" s="131"/>
      <c r="G166" s="138"/>
      <c r="H166" s="138"/>
      <c r="I166" s="139"/>
      <c r="J166" s="140"/>
      <c r="K166" s="141"/>
    </row>
    <row r="167" spans="1:14" ht="31.5" hidden="1" x14ac:dyDescent="0.25">
      <c r="A167" s="12">
        <v>20</v>
      </c>
      <c r="B167" s="134" t="s">
        <v>84</v>
      </c>
      <c r="C167" s="137"/>
      <c r="D167" s="131"/>
      <c r="E167" s="131"/>
      <c r="F167" s="131"/>
      <c r="G167" s="131"/>
      <c r="H167" s="131"/>
      <c r="I167" s="131"/>
      <c r="J167" s="149"/>
      <c r="K167" s="141"/>
    </row>
    <row r="168" spans="1:14" ht="15" hidden="1" customHeight="1" x14ac:dyDescent="0.25">
      <c r="A168" s="136"/>
      <c r="B168" s="133" t="s">
        <v>85</v>
      </c>
      <c r="C168" s="137">
        <f>0*1</f>
        <v>0</v>
      </c>
      <c r="D168" s="131">
        <f>(2.75+2.6)/2</f>
        <v>2.6749999999999998</v>
      </c>
      <c r="E168" s="131">
        <v>6.2</v>
      </c>
      <c r="F168" s="131"/>
      <c r="G168" s="131">
        <f>PRODUCT(C168:F168)</f>
        <v>0</v>
      </c>
      <c r="H168" s="131"/>
      <c r="I168" s="131"/>
      <c r="J168" s="149"/>
      <c r="K168" s="141"/>
    </row>
    <row r="169" spans="1:14" ht="15" hidden="1" customHeight="1" x14ac:dyDescent="0.25">
      <c r="A169" s="136"/>
      <c r="B169" s="133" t="s">
        <v>86</v>
      </c>
      <c r="C169" s="137">
        <f>0*1</f>
        <v>0</v>
      </c>
      <c r="D169" s="131">
        <v>2</v>
      </c>
      <c r="E169" s="131">
        <v>3</v>
      </c>
      <c r="F169" s="131"/>
      <c r="G169" s="131">
        <f>PRODUCT(C169:F169)</f>
        <v>0</v>
      </c>
      <c r="H169" s="131"/>
      <c r="I169" s="131"/>
      <c r="J169" s="149"/>
      <c r="K169" s="141"/>
    </row>
    <row r="170" spans="1:14" ht="15" hidden="1" customHeight="1" x14ac:dyDescent="0.25">
      <c r="A170" s="136"/>
      <c r="B170" s="133" t="s">
        <v>25</v>
      </c>
      <c r="C170" s="137"/>
      <c r="D170" s="131"/>
      <c r="E170" s="131"/>
      <c r="F170" s="131"/>
      <c r="G170" s="138">
        <f>SUM(G168:G169)</f>
        <v>0</v>
      </c>
      <c r="H170" s="138" t="s">
        <v>26</v>
      </c>
      <c r="I170" s="139">
        <f>50406.04/100</f>
        <v>504.06040000000002</v>
      </c>
      <c r="J170" s="140">
        <f>G170*I170</f>
        <v>0</v>
      </c>
      <c r="K170" s="141"/>
    </row>
    <row r="171" spans="1:14" ht="15" hidden="1" customHeight="1" x14ac:dyDescent="0.25">
      <c r="A171" s="12"/>
      <c r="B171" s="133" t="s">
        <v>49</v>
      </c>
      <c r="C171" s="14"/>
      <c r="D171" s="15"/>
      <c r="E171" s="16"/>
      <c r="F171" s="16"/>
      <c r="G171" s="19"/>
      <c r="H171" s="18"/>
      <c r="I171" s="19"/>
      <c r="J171" s="132">
        <f>G170*0.13*(20166.04/100)</f>
        <v>0</v>
      </c>
      <c r="K171" s="16"/>
      <c r="M171" s="21"/>
      <c r="N171" s="21"/>
    </row>
    <row r="172" spans="1:14" ht="15" hidden="1" customHeight="1" x14ac:dyDescent="0.25">
      <c r="A172" s="12"/>
      <c r="B172" s="133"/>
      <c r="C172" s="14"/>
      <c r="D172" s="15"/>
      <c r="E172" s="16"/>
      <c r="F172" s="16"/>
      <c r="G172" s="19"/>
      <c r="H172" s="18"/>
      <c r="I172" s="19"/>
      <c r="J172" s="132"/>
      <c r="K172" s="16"/>
      <c r="M172" s="21"/>
      <c r="N172" s="21"/>
    </row>
    <row r="173" spans="1:14" ht="45" x14ac:dyDescent="0.25">
      <c r="A173" s="136">
        <v>3</v>
      </c>
      <c r="B173" s="155" t="s">
        <v>87</v>
      </c>
      <c r="C173" s="137"/>
      <c r="D173" s="131"/>
      <c r="E173" s="131"/>
      <c r="F173" s="131"/>
      <c r="G173" s="131"/>
      <c r="H173" s="131"/>
      <c r="I173" s="131"/>
      <c r="J173" s="149"/>
      <c r="K173" s="141"/>
    </row>
    <row r="174" spans="1:14" ht="15" customHeight="1" x14ac:dyDescent="0.25">
      <c r="A174" s="136"/>
      <c r="B174" s="133" t="s">
        <v>130</v>
      </c>
      <c r="C174" s="137">
        <v>13</v>
      </c>
      <c r="D174" s="131">
        <f>119/12/3.281</f>
        <v>3.0224525043177888</v>
      </c>
      <c r="E174" s="131">
        <f>3/12/3.281</f>
        <v>7.6196281621456863E-2</v>
      </c>
      <c r="F174" s="131">
        <f>4/12/3.281</f>
        <v>0.10159504216194248</v>
      </c>
      <c r="G174" s="131">
        <f>PRODUCT(C174:F174)</f>
        <v>0.30416492417801333</v>
      </c>
      <c r="H174" s="131"/>
      <c r="I174" s="131"/>
      <c r="J174" s="149"/>
      <c r="K174" s="141"/>
    </row>
    <row r="175" spans="1:14" ht="15" customHeight="1" x14ac:dyDescent="0.25">
      <c r="A175" s="136"/>
      <c r="B175" s="133" t="s">
        <v>133</v>
      </c>
      <c r="C175" s="137">
        <v>1</v>
      </c>
      <c r="D175" s="131">
        <f>11/3.281</f>
        <v>3.3526363913441024</v>
      </c>
      <c r="E175" s="131">
        <f t="shared" ref="E175:E181" si="15">3/12/3.281</f>
        <v>7.6196281621456863E-2</v>
      </c>
      <c r="F175" s="131">
        <f t="shared" ref="F175:F181" si="16">4/12/3.281</f>
        <v>0.10159504216194248</v>
      </c>
      <c r="G175" s="131">
        <f t="shared" ref="G175:G184" si="17">PRODUCT(C175:F175)</f>
        <v>2.5953309626048974E-2</v>
      </c>
      <c r="H175" s="131"/>
      <c r="I175" s="131"/>
      <c r="J175" s="149"/>
      <c r="K175" s="141"/>
    </row>
    <row r="176" spans="1:14" ht="15" customHeight="1" x14ac:dyDescent="0.25">
      <c r="A176" s="136"/>
      <c r="B176" s="133"/>
      <c r="C176" s="137">
        <v>1</v>
      </c>
      <c r="D176" s="131">
        <f>10.25/3.281</f>
        <v>3.1240475464797317</v>
      </c>
      <c r="E176" s="131">
        <f t="shared" si="15"/>
        <v>7.6196281621456863E-2</v>
      </c>
      <c r="F176" s="131">
        <f t="shared" si="16"/>
        <v>0.10159504216194248</v>
      </c>
      <c r="G176" s="131">
        <f t="shared" si="17"/>
        <v>2.4183765787909272E-2</v>
      </c>
      <c r="H176" s="131"/>
      <c r="I176" s="131"/>
      <c r="J176" s="149"/>
      <c r="K176" s="141"/>
    </row>
    <row r="177" spans="1:14" ht="15" customHeight="1" x14ac:dyDescent="0.25">
      <c r="A177" s="136"/>
      <c r="B177" s="133" t="s">
        <v>134</v>
      </c>
      <c r="C177" s="137">
        <v>1</v>
      </c>
      <c r="D177" s="131">
        <f>10.17/3.281</f>
        <v>3.0996647363608654</v>
      </c>
      <c r="E177" s="131">
        <f t="shared" si="15"/>
        <v>7.6196281621456863E-2</v>
      </c>
      <c r="F177" s="131">
        <f t="shared" si="16"/>
        <v>0.10159504216194248</v>
      </c>
      <c r="G177" s="131">
        <f t="shared" si="17"/>
        <v>2.3995014445174368E-2</v>
      </c>
      <c r="H177" s="131"/>
      <c r="I177" s="131"/>
      <c r="J177" s="149"/>
      <c r="K177" s="141"/>
    </row>
    <row r="178" spans="1:14" ht="15" customHeight="1" x14ac:dyDescent="0.25">
      <c r="A178" s="136"/>
      <c r="B178" s="133" t="s">
        <v>151</v>
      </c>
      <c r="C178" s="137">
        <f>2*2*2</f>
        <v>8</v>
      </c>
      <c r="D178" s="131">
        <f>9.25/3.281</f>
        <v>2.8192624199939043</v>
      </c>
      <c r="E178" s="131">
        <f t="shared" si="15"/>
        <v>7.6196281621456863E-2</v>
      </c>
      <c r="F178" s="131">
        <f t="shared" si="16"/>
        <v>0.10159504216194248</v>
      </c>
      <c r="G178" s="131">
        <f t="shared" si="17"/>
        <v>0.17459499202978401</v>
      </c>
      <c r="H178" s="131"/>
      <c r="I178" s="131"/>
      <c r="J178" s="149"/>
      <c r="K178" s="141"/>
      <c r="M178">
        <f>9.25+9.25</f>
        <v>18.5</v>
      </c>
      <c r="N178">
        <f>15.667+0.25+0.25</f>
        <v>16.167000000000002</v>
      </c>
    </row>
    <row r="179" spans="1:14" ht="15" customHeight="1" x14ac:dyDescent="0.25">
      <c r="A179" s="136"/>
      <c r="B179" s="133"/>
      <c r="C179" s="137">
        <f t="shared" ref="C179:C181" si="18">2*2*2</f>
        <v>8</v>
      </c>
      <c r="D179" s="131">
        <f>16.5/3.281-D178</f>
        <v>2.2096921670222494</v>
      </c>
      <c r="E179" s="131">
        <f t="shared" si="15"/>
        <v>7.6196281621456863E-2</v>
      </c>
      <c r="F179" s="131">
        <f t="shared" si="16"/>
        <v>0.10159504216194248</v>
      </c>
      <c r="G179" s="131">
        <f t="shared" si="17"/>
        <v>0.13684472348280369</v>
      </c>
      <c r="H179" s="131"/>
      <c r="I179" s="131"/>
      <c r="J179" s="149"/>
      <c r="K179" s="141"/>
    </row>
    <row r="180" spans="1:14" ht="15" customHeight="1" x14ac:dyDescent="0.25">
      <c r="A180" s="136"/>
      <c r="B180" s="133"/>
      <c r="C180" s="137">
        <f t="shared" si="18"/>
        <v>8</v>
      </c>
      <c r="D180" s="131">
        <f>9.25/3.281</f>
        <v>2.8192624199939043</v>
      </c>
      <c r="E180" s="131">
        <f t="shared" si="15"/>
        <v>7.6196281621456863E-2</v>
      </c>
      <c r="F180" s="131">
        <f t="shared" si="16"/>
        <v>0.10159504216194248</v>
      </c>
      <c r="G180" s="131">
        <f t="shared" si="17"/>
        <v>0.17459499202978401</v>
      </c>
      <c r="H180" s="131"/>
      <c r="I180" s="131"/>
      <c r="J180" s="149"/>
      <c r="K180" s="141"/>
    </row>
    <row r="181" spans="1:14" ht="15" customHeight="1" x14ac:dyDescent="0.25">
      <c r="A181" s="136"/>
      <c r="B181" s="133"/>
      <c r="C181" s="137">
        <f t="shared" si="18"/>
        <v>8</v>
      </c>
      <c r="D181" s="131">
        <f>15.917/3.281-D180</f>
        <v>2.0320024382810113</v>
      </c>
      <c r="E181" s="131">
        <f t="shared" si="15"/>
        <v>7.6196281621456863E-2</v>
      </c>
      <c r="F181" s="131">
        <f t="shared" si="16"/>
        <v>0.10159504216194248</v>
      </c>
      <c r="G181" s="131">
        <f t="shared" si="17"/>
        <v>0.12584052020135889</v>
      </c>
      <c r="H181" s="131"/>
      <c r="I181" s="131"/>
      <c r="J181" s="149"/>
      <c r="K181" s="141"/>
    </row>
    <row r="182" spans="1:14" ht="15" customHeight="1" x14ac:dyDescent="0.25">
      <c r="A182" s="136"/>
      <c r="B182" s="133" t="s">
        <v>153</v>
      </c>
      <c r="C182" s="137">
        <v>2</v>
      </c>
      <c r="D182" s="131">
        <f>10.333/3.281</f>
        <v>3.1493447119780553</v>
      </c>
      <c r="E182" s="131">
        <f>5/12/3.281</f>
        <v>0.12699380270242813</v>
      </c>
      <c r="F182" s="131">
        <f>4/12/3.281</f>
        <v>0.10159504216194248</v>
      </c>
      <c r="G182" s="131">
        <f t="shared" si="17"/>
        <v>8.1265317686655777E-2</v>
      </c>
      <c r="H182" s="131"/>
      <c r="I182" s="131"/>
      <c r="J182" s="149"/>
      <c r="K182" s="141"/>
    </row>
    <row r="183" spans="1:14" ht="15" customHeight="1" x14ac:dyDescent="0.25">
      <c r="A183" s="136"/>
      <c r="B183" s="133" t="s">
        <v>154</v>
      </c>
      <c r="C183" s="137">
        <v>1</v>
      </c>
      <c r="D183" s="131">
        <f>10.33/3.281</f>
        <v>3.148430356598598</v>
      </c>
      <c r="E183" s="131">
        <f>6/12/3.281</f>
        <v>0.15239256324291373</v>
      </c>
      <c r="F183" s="131">
        <f>5/12/3.281</f>
        <v>0.12699380270242813</v>
      </c>
      <c r="G183" s="131">
        <f t="shared" si="17"/>
        <v>6.0931292826610445E-2</v>
      </c>
      <c r="H183" s="131"/>
      <c r="I183" s="131"/>
      <c r="J183" s="149"/>
      <c r="K183" s="141"/>
    </row>
    <row r="184" spans="1:14" ht="15" customHeight="1" x14ac:dyDescent="0.25">
      <c r="A184" s="136"/>
      <c r="B184" s="133" t="s">
        <v>152</v>
      </c>
      <c r="C184" s="137">
        <v>1</v>
      </c>
      <c r="D184" s="131">
        <f>10/3.281</f>
        <v>3.047851264858275</v>
      </c>
      <c r="E184" s="131">
        <f>3/12/3.281</f>
        <v>7.6196281621456863E-2</v>
      </c>
      <c r="F184" s="131">
        <f>5/12/3.281</f>
        <v>0.12699380270242813</v>
      </c>
      <c r="G184" s="131">
        <f t="shared" si="17"/>
        <v>2.9492397302328385E-2</v>
      </c>
      <c r="H184" s="131"/>
      <c r="I184" s="131"/>
      <c r="J184" s="149"/>
      <c r="K184" s="141"/>
    </row>
    <row r="185" spans="1:14" ht="15" customHeight="1" x14ac:dyDescent="0.25">
      <c r="A185" s="136"/>
      <c r="B185" s="133" t="s">
        <v>25</v>
      </c>
      <c r="C185" s="137"/>
      <c r="D185" s="131"/>
      <c r="E185" s="131"/>
      <c r="F185" s="131"/>
      <c r="G185" s="138">
        <f>SUM(G174:G184)</f>
        <v>1.1618612495964711</v>
      </c>
      <c r="H185" s="138" t="s">
        <v>30</v>
      </c>
      <c r="I185" s="139">
        <f>369833.1/1.15</f>
        <v>321594</v>
      </c>
      <c r="J185" s="140">
        <f>G185*I185</f>
        <v>373647.6067027275</v>
      </c>
      <c r="K185" s="141"/>
    </row>
    <row r="186" spans="1:14" ht="15" customHeight="1" x14ac:dyDescent="0.25">
      <c r="A186" s="136"/>
      <c r="B186" s="133" t="s">
        <v>89</v>
      </c>
      <c r="C186" s="137"/>
      <c r="D186" s="131"/>
      <c r="E186" s="131"/>
      <c r="F186" s="131"/>
      <c r="G186" s="131"/>
      <c r="H186" s="131"/>
      <c r="I186" s="131"/>
      <c r="J186" s="149">
        <f>0.13*G185*(296712)</f>
        <v>44815.96276173486</v>
      </c>
      <c r="K186" s="141"/>
      <c r="M186" s="58"/>
    </row>
    <row r="187" spans="1:14" ht="15" customHeight="1" x14ac:dyDescent="0.25">
      <c r="A187" s="136"/>
      <c r="B187" s="133"/>
      <c r="C187" s="137"/>
      <c r="D187" s="131"/>
      <c r="E187" s="131"/>
      <c r="F187" s="131"/>
      <c r="G187" s="131"/>
      <c r="H187" s="131"/>
      <c r="I187" s="131"/>
      <c r="J187" s="149"/>
      <c r="K187" s="141"/>
      <c r="M187" s="58"/>
    </row>
    <row r="188" spans="1:14" ht="30" x14ac:dyDescent="0.25">
      <c r="A188" s="136">
        <v>4</v>
      </c>
      <c r="B188" s="156" t="s">
        <v>124</v>
      </c>
      <c r="C188" s="141"/>
      <c r="D188" s="141"/>
      <c r="E188" s="141"/>
      <c r="F188" s="141"/>
      <c r="G188" s="154"/>
      <c r="H188" s="131"/>
      <c r="I188" s="131"/>
      <c r="J188" s="149"/>
      <c r="K188" s="141"/>
    </row>
    <row r="189" spans="1:14" x14ac:dyDescent="0.25">
      <c r="A189" s="136"/>
      <c r="B189" s="133" t="s">
        <v>157</v>
      </c>
      <c r="C189" s="137">
        <v>1</v>
      </c>
      <c r="D189" s="131">
        <f>9.583/3.281</f>
        <v>2.9207558671136846</v>
      </c>
      <c r="E189" s="131">
        <f>15.667/3.281</f>
        <v>4.7750685766534593</v>
      </c>
      <c r="F189" s="131"/>
      <c r="G189" s="131">
        <f>PRODUCT(C189:F189)</f>
        <v>13.946809561130783</v>
      </c>
      <c r="H189" s="131"/>
      <c r="I189" s="131"/>
      <c r="J189" s="149"/>
      <c r="K189" s="141"/>
    </row>
    <row r="190" spans="1:14" x14ac:dyDescent="0.25">
      <c r="A190" s="136"/>
      <c r="B190" s="133"/>
      <c r="C190" s="137">
        <v>1</v>
      </c>
      <c r="D190" s="131">
        <f>10.583/3.281</f>
        <v>3.2255409935995121</v>
      </c>
      <c r="E190" s="131">
        <f>(1+4.5/12+9/12)/3.281</f>
        <v>0.64766839378238339</v>
      </c>
      <c r="F190" s="131"/>
      <c r="G190" s="131">
        <f t="shared" ref="G190:G194" si="19">PRODUCT(C190:F190)</f>
        <v>2.0890809544038289</v>
      </c>
      <c r="H190" s="131"/>
      <c r="I190" s="131"/>
      <c r="J190" s="149"/>
      <c r="K190" s="141"/>
      <c r="N190" s="121">
        <f>SUM(J185:J211)</f>
        <v>923391.35164367489</v>
      </c>
    </row>
    <row r="191" spans="1:14" x14ac:dyDescent="0.25">
      <c r="A191" s="136"/>
      <c r="B191" s="133" t="s">
        <v>158</v>
      </c>
      <c r="C191" s="137">
        <v>1</v>
      </c>
      <c r="D191" s="131">
        <f>10.583/3.281</f>
        <v>3.2255409935995121</v>
      </c>
      <c r="E191" s="131">
        <f>(16.25-2.833)/3.281</f>
        <v>4.0893020420603472</v>
      </c>
      <c r="F191" s="131"/>
      <c r="G191" s="131">
        <f t="shared" si="19"/>
        <v>13.190211371875845</v>
      </c>
      <c r="H191" s="131"/>
      <c r="I191" s="131"/>
      <c r="J191" s="149"/>
      <c r="K191" s="141"/>
    </row>
    <row r="192" spans="1:14" x14ac:dyDescent="0.25">
      <c r="A192" s="136"/>
      <c r="B192" s="133"/>
      <c r="C192" s="137">
        <v>1</v>
      </c>
      <c r="D192" s="131">
        <f>10.667/3.281</f>
        <v>3.2511429442243216</v>
      </c>
      <c r="E192" s="131">
        <f>2.833/3.281</f>
        <v>0.86345626333434933</v>
      </c>
      <c r="F192" s="131"/>
      <c r="G192" s="131">
        <f t="shared" si="19"/>
        <v>2.8072197381857675</v>
      </c>
      <c r="H192" s="131"/>
      <c r="I192" s="131"/>
      <c r="J192" s="149"/>
      <c r="K192" s="141"/>
    </row>
    <row r="193" spans="1:18" x14ac:dyDescent="0.25">
      <c r="A193" s="136"/>
      <c r="B193" s="133"/>
      <c r="C193" s="137">
        <v>1</v>
      </c>
      <c r="D193" s="131">
        <f>10.667/3.281</f>
        <v>3.2511429442243216</v>
      </c>
      <c r="E193" s="131">
        <f>(1+19.5/12)/3.281</f>
        <v>0.80006095702529711</v>
      </c>
      <c r="F193" s="131"/>
      <c r="G193" s="131">
        <f t="shared" si="19"/>
        <v>2.6011125353821529</v>
      </c>
      <c r="H193" s="131"/>
      <c r="I193" s="131"/>
      <c r="J193" s="149"/>
      <c r="K193" s="141"/>
    </row>
    <row r="194" spans="1:18" x14ac:dyDescent="0.25">
      <c r="A194" s="136"/>
      <c r="B194" s="133" t="s">
        <v>159</v>
      </c>
      <c r="C194" s="137">
        <v>1</v>
      </c>
      <c r="D194" s="131">
        <f>(8.75)/3.281</f>
        <v>2.6668698567509903</v>
      </c>
      <c r="E194" s="131">
        <f>(23-1.333-1.667)/3.281</f>
        <v>6.0957025297165499</v>
      </c>
      <c r="F194" s="131"/>
      <c r="G194" s="131">
        <f t="shared" si="19"/>
        <v>16.256445332221826</v>
      </c>
      <c r="H194" s="131"/>
      <c r="I194" s="131"/>
      <c r="J194" s="149"/>
      <c r="K194" s="141"/>
      <c r="N194">
        <f>20.42/3.281</f>
        <v>6.223712282840598</v>
      </c>
      <c r="O194">
        <f>8.75/3.281</f>
        <v>2.6668698567509903</v>
      </c>
      <c r="P194">
        <f>20.25/3.281</f>
        <v>6.1718988113380062</v>
      </c>
      <c r="Q194">
        <f>10.5-1.5</f>
        <v>9</v>
      </c>
      <c r="R194">
        <f>Q194/3.281</f>
        <v>2.7430661383724475</v>
      </c>
    </row>
    <row r="195" spans="1:18" ht="15" customHeight="1" x14ac:dyDescent="0.25">
      <c r="A195" s="136"/>
      <c r="B195" s="133" t="s">
        <v>25</v>
      </c>
      <c r="C195" s="137"/>
      <c r="D195" s="131"/>
      <c r="E195" s="131"/>
      <c r="F195" s="131"/>
      <c r="G195" s="138">
        <f>SUM(G189:G194)</f>
        <v>50.890879493200202</v>
      </c>
      <c r="H195" s="138" t="s">
        <v>26</v>
      </c>
      <c r="I195" s="139">
        <f>6829.24/1.15</f>
        <v>5938.4695652173914</v>
      </c>
      <c r="J195" s="140">
        <f>G195*I195</f>
        <v>302213.93901751528</v>
      </c>
      <c r="K195" s="141"/>
    </row>
    <row r="196" spans="1:18" ht="15" customHeight="1" x14ac:dyDescent="0.25">
      <c r="A196" s="136"/>
      <c r="B196" s="133" t="s">
        <v>89</v>
      </c>
      <c r="C196" s="137"/>
      <c r="D196" s="131"/>
      <c r="E196" s="131"/>
      <c r="F196" s="131"/>
      <c r="G196" s="131"/>
      <c r="H196" s="131"/>
      <c r="I196" s="131"/>
      <c r="J196" s="149">
        <f>0.13*G195*(573683.55/100)</f>
        <v>37953.838533365684</v>
      </c>
      <c r="K196" s="141"/>
      <c r="M196" s="58"/>
    </row>
    <row r="197" spans="1:18" ht="15" customHeight="1" x14ac:dyDescent="0.25">
      <c r="A197" s="136"/>
      <c r="B197" s="133"/>
      <c r="C197" s="137"/>
      <c r="D197" s="131"/>
      <c r="E197" s="131"/>
      <c r="F197" s="131"/>
      <c r="G197" s="131"/>
      <c r="H197" s="131"/>
      <c r="I197" s="131"/>
      <c r="J197" s="149"/>
      <c r="K197" s="141"/>
      <c r="M197" s="58"/>
    </row>
    <row r="198" spans="1:18" ht="45" x14ac:dyDescent="0.25">
      <c r="A198" s="12">
        <v>5</v>
      </c>
      <c r="B198" s="155" t="s">
        <v>90</v>
      </c>
      <c r="C198" s="137"/>
      <c r="D198" s="131"/>
      <c r="E198" s="131"/>
      <c r="F198" s="131"/>
      <c r="G198" s="138"/>
      <c r="H198" s="138"/>
      <c r="I198" s="139"/>
      <c r="J198" s="140"/>
      <c r="K198" s="141"/>
      <c r="M198">
        <f>M199*3.281</f>
        <v>22.503</v>
      </c>
    </row>
    <row r="199" spans="1:18" ht="15" customHeight="1" x14ac:dyDescent="0.25">
      <c r="A199" s="136"/>
      <c r="B199" s="133" t="s">
        <v>88</v>
      </c>
      <c r="C199" s="137">
        <v>1</v>
      </c>
      <c r="D199" s="131">
        <f>21.5/3.281</f>
        <v>6.5528802194452904</v>
      </c>
      <c r="E199" s="131">
        <f>3/12/3.281</f>
        <v>7.6196281621456863E-2</v>
      </c>
      <c r="F199" s="131">
        <f>4/12/3.281</f>
        <v>0.10159504216194248</v>
      </c>
      <c r="G199" s="131">
        <f t="shared" ref="G199:G209" si="20">PRODUCT(C199:F199)</f>
        <v>5.0726923360004811E-2</v>
      </c>
      <c r="H199" s="131"/>
      <c r="I199" s="131"/>
      <c r="J199" s="149"/>
      <c r="K199" s="141"/>
      <c r="M199">
        <f>(23.17-0.667)/3.281</f>
        <v>6.8585797013105756</v>
      </c>
      <c r="N199">
        <f>7.25*2+7</f>
        <v>21.5</v>
      </c>
      <c r="O199">
        <f>N199/3.281</f>
        <v>6.5528802194452904</v>
      </c>
      <c r="P199">
        <f>20/3.281</f>
        <v>6.0957025297165499</v>
      </c>
    </row>
    <row r="200" spans="1:18" ht="15" customHeight="1" x14ac:dyDescent="0.25">
      <c r="A200" s="136"/>
      <c r="B200" s="133"/>
      <c r="C200" s="137">
        <v>1</v>
      </c>
      <c r="D200" s="131">
        <f>21.5/3.281</f>
        <v>6.5528802194452904</v>
      </c>
      <c r="E200" s="131">
        <f>3/12/3.281</f>
        <v>7.6196281621456863E-2</v>
      </c>
      <c r="F200" s="131">
        <f>4/12/3.281</f>
        <v>0.10159504216194248</v>
      </c>
      <c r="G200" s="131">
        <f t="shared" si="20"/>
        <v>5.0726923360004811E-2</v>
      </c>
      <c r="H200" s="131"/>
      <c r="I200" s="131"/>
      <c r="J200" s="149"/>
      <c r="K200" s="141"/>
      <c r="M200" s="50">
        <f>(7.25*2+7+0.25)/3.281</f>
        <v>6.6290765010667476</v>
      </c>
    </row>
    <row r="201" spans="1:18" ht="15" customHeight="1" x14ac:dyDescent="0.25">
      <c r="A201" s="136"/>
      <c r="B201" s="133" t="s">
        <v>131</v>
      </c>
      <c r="C201" s="137">
        <v>9</v>
      </c>
      <c r="D201" s="131">
        <f>52/12/3.281</f>
        <v>1.3207355481052523</v>
      </c>
      <c r="E201" s="131">
        <f t="shared" ref="E201:E203" si="21">3/12/3.281</f>
        <v>7.6196281621456863E-2</v>
      </c>
      <c r="F201" s="131">
        <f t="shared" ref="F201:F203" si="22">4/12/3.281</f>
        <v>0.10159504216194248</v>
      </c>
      <c r="G201" s="131">
        <f t="shared" si="20"/>
        <v>9.201627958326454E-2</v>
      </c>
      <c r="H201" s="131"/>
      <c r="I201" s="131"/>
      <c r="J201" s="149"/>
      <c r="K201" s="141"/>
      <c r="N201">
        <f>2.82+0.19</f>
        <v>3.01</v>
      </c>
      <c r="Q201">
        <f>20.42/3.281</f>
        <v>6.223712282840598</v>
      </c>
    </row>
    <row r="202" spans="1:18" ht="30" x14ac:dyDescent="0.25">
      <c r="A202" s="136"/>
      <c r="B202" s="133" t="s">
        <v>132</v>
      </c>
      <c r="C202" s="137">
        <v>9</v>
      </c>
      <c r="D202" s="131">
        <f>3.917/3.281</f>
        <v>1.1938433404449862</v>
      </c>
      <c r="E202" s="131">
        <f t="shared" si="21"/>
        <v>7.6196281621456863E-2</v>
      </c>
      <c r="F202" s="131">
        <f t="shared" si="22"/>
        <v>0.10159504216194248</v>
      </c>
      <c r="G202" s="131">
        <f t="shared" si="20"/>
        <v>8.3175638567918583E-2</v>
      </c>
      <c r="H202" s="131"/>
      <c r="I202" s="131"/>
      <c r="J202" s="149"/>
      <c r="K202" s="141"/>
    </row>
    <row r="203" spans="1:18" x14ac:dyDescent="0.25">
      <c r="A203" s="136"/>
      <c r="B203" s="133" t="s">
        <v>135</v>
      </c>
      <c r="C203" s="137">
        <f>4</f>
        <v>4</v>
      </c>
      <c r="D203" s="131">
        <f>2.75/3.281</f>
        <v>0.8381590978360256</v>
      </c>
      <c r="E203" s="131">
        <f t="shared" si="21"/>
        <v>7.6196281621456863E-2</v>
      </c>
      <c r="F203" s="131">
        <f t="shared" si="22"/>
        <v>0.10159504216194248</v>
      </c>
      <c r="G203" s="131">
        <f t="shared" si="20"/>
        <v>2.5953309626048974E-2</v>
      </c>
      <c r="H203" s="131"/>
      <c r="I203" s="131"/>
      <c r="J203" s="149"/>
      <c r="K203" s="141"/>
    </row>
    <row r="204" spans="1:18" x14ac:dyDescent="0.25">
      <c r="A204" s="136"/>
      <c r="B204" s="133" t="s">
        <v>136</v>
      </c>
      <c r="C204" s="137">
        <f>8</f>
        <v>8</v>
      </c>
      <c r="D204" s="131">
        <f>12/12/3.281</f>
        <v>0.30478512648582745</v>
      </c>
      <c r="E204" s="131">
        <f>3/12/3.281</f>
        <v>7.6196281621456863E-2</v>
      </c>
      <c r="F204" s="131">
        <f>5/12/3.281</f>
        <v>0.12699380270242813</v>
      </c>
      <c r="G204" s="131">
        <f t="shared" si="20"/>
        <v>2.3593917841862707E-2</v>
      </c>
      <c r="H204" s="131"/>
      <c r="I204" s="131"/>
      <c r="J204" s="149"/>
      <c r="K204" s="141"/>
    </row>
    <row r="205" spans="1:18" x14ac:dyDescent="0.25">
      <c r="A205" s="136"/>
      <c r="B205" s="133" t="s">
        <v>137</v>
      </c>
      <c r="C205" s="137">
        <v>2</v>
      </c>
      <c r="D205" s="131">
        <f>7.833/3.281</f>
        <v>2.3873818957634869</v>
      </c>
      <c r="E205" s="131">
        <f>4/12/3.281</f>
        <v>0.10159504216194248</v>
      </c>
      <c r="F205" s="131">
        <f>4/12/3.281</f>
        <v>0.10159504216194248</v>
      </c>
      <c r="G205" s="131">
        <f t="shared" si="20"/>
        <v>4.9282975588082818E-2</v>
      </c>
      <c r="H205" s="131"/>
      <c r="I205" s="131"/>
      <c r="J205" s="149"/>
      <c r="K205" s="141"/>
      <c r="M205">
        <f>2.34*3.281</f>
        <v>7.6775399999999996</v>
      </c>
      <c r="N205">
        <f>7.75/3.281</f>
        <v>2.3620847302651629</v>
      </c>
      <c r="O205">
        <f>2.34*3.281</f>
        <v>7.6775399999999996</v>
      </c>
      <c r="P205">
        <f>O205+0.25*1</f>
        <v>7.9275399999999996</v>
      </c>
    </row>
    <row r="206" spans="1:18" x14ac:dyDescent="0.25">
      <c r="A206" s="136"/>
      <c r="B206" s="133"/>
      <c r="C206" s="137">
        <v>1</v>
      </c>
      <c r="D206" s="131">
        <f>7.833/3.281</f>
        <v>2.3873818957634869</v>
      </c>
      <c r="E206" s="131">
        <f>4/12/3.281</f>
        <v>0.10159504216194248</v>
      </c>
      <c r="F206" s="131">
        <f>5/12/3.281</f>
        <v>0.12699380270242813</v>
      </c>
      <c r="G206" s="131">
        <f t="shared" si="20"/>
        <v>3.0801859742551771E-2</v>
      </c>
      <c r="H206" s="131"/>
      <c r="I206" s="131"/>
      <c r="J206" s="149"/>
      <c r="K206" s="141"/>
    </row>
    <row r="207" spans="1:18" x14ac:dyDescent="0.25">
      <c r="A207" s="136"/>
      <c r="B207" s="133" t="s">
        <v>152</v>
      </c>
      <c r="C207" s="137">
        <v>2</v>
      </c>
      <c r="D207" s="131">
        <v>0.55000000000000004</v>
      </c>
      <c r="E207" s="131">
        <f>3/12/3.281</f>
        <v>7.6196281621456863E-2</v>
      </c>
      <c r="F207" s="131">
        <f>4/12/3.281</f>
        <v>0.10159504216194248</v>
      </c>
      <c r="G207" s="131">
        <f t="shared" si="20"/>
        <v>8.5152808883066696E-3</v>
      </c>
      <c r="H207" s="131"/>
      <c r="I207" s="131"/>
      <c r="J207" s="149"/>
      <c r="K207" s="141"/>
    </row>
    <row r="208" spans="1:18" x14ac:dyDescent="0.25">
      <c r="A208" s="136"/>
      <c r="B208" s="133" t="s">
        <v>155</v>
      </c>
      <c r="C208" s="137">
        <v>2</v>
      </c>
      <c r="D208" s="131">
        <f>6.5/3.281</f>
        <v>1.9811033221578787</v>
      </c>
      <c r="E208" s="131">
        <f>3/12/3.281</f>
        <v>7.6196281621456863E-2</v>
      </c>
      <c r="F208" s="131">
        <f>4/12/3.281</f>
        <v>0.10159504216194248</v>
      </c>
      <c r="G208" s="131">
        <f t="shared" si="20"/>
        <v>3.0672093194421515E-2</v>
      </c>
      <c r="H208" s="131"/>
      <c r="I208" s="131"/>
      <c r="J208" s="149"/>
      <c r="K208" s="141"/>
    </row>
    <row r="209" spans="1:19" x14ac:dyDescent="0.25">
      <c r="A209" s="136"/>
      <c r="B209" s="133" t="s">
        <v>156</v>
      </c>
      <c r="C209" s="137">
        <f>12+9*2*2+8*2*2*2-5</f>
        <v>107</v>
      </c>
      <c r="D209" s="131">
        <f>1/3.281</f>
        <v>0.30478512648582745</v>
      </c>
      <c r="E209" s="131">
        <f>1/12/3.281</f>
        <v>2.5398760540485621E-2</v>
      </c>
      <c r="F209" s="131">
        <f>1.75/12/3.281</f>
        <v>4.4447830945849844E-2</v>
      </c>
      <c r="G209" s="131">
        <f t="shared" si="20"/>
        <v>3.6816342632406594E-2</v>
      </c>
      <c r="H209" s="131"/>
      <c r="I209" s="131"/>
      <c r="J209" s="149"/>
      <c r="K209" s="141"/>
      <c r="M209" s="121">
        <f>SUM(J185:J211)</f>
        <v>923391.35164367489</v>
      </c>
    </row>
    <row r="210" spans="1:19" ht="15" customHeight="1" x14ac:dyDescent="0.25">
      <c r="A210" s="136"/>
      <c r="B210" s="133" t="s">
        <v>25</v>
      </c>
      <c r="C210" s="137"/>
      <c r="D210" s="131"/>
      <c r="E210" s="131"/>
      <c r="F210" s="131"/>
      <c r="G210" s="138">
        <f>SUM(G199:G209)</f>
        <v>0.48228154438487375</v>
      </c>
      <c r="H210" s="138" t="s">
        <v>30</v>
      </c>
      <c r="I210" s="139">
        <f>348511.67/1.15</f>
        <v>303053.62608695653</v>
      </c>
      <c r="J210" s="140">
        <f>G210*I210</f>
        <v>146157.17082065347</v>
      </c>
      <c r="K210" s="141"/>
    </row>
    <row r="211" spans="1:19" ht="15" customHeight="1" x14ac:dyDescent="0.25">
      <c r="A211" s="136"/>
      <c r="B211" s="133" t="s">
        <v>89</v>
      </c>
      <c r="C211" s="137"/>
      <c r="D211" s="131"/>
      <c r="E211" s="131"/>
      <c r="F211" s="131"/>
      <c r="G211" s="131"/>
      <c r="H211" s="131"/>
      <c r="I211" s="131"/>
      <c r="J211" s="149">
        <f>0.13*G210*(296712)</f>
        <v>18602.833807678206</v>
      </c>
      <c r="K211" s="141"/>
      <c r="M211" s="58"/>
    </row>
    <row r="212" spans="1:19" ht="15" customHeight="1" x14ac:dyDescent="0.25">
      <c r="A212" s="136"/>
      <c r="B212" s="133"/>
      <c r="C212" s="137"/>
      <c r="D212" s="131"/>
      <c r="E212" s="131"/>
      <c r="F212" s="131"/>
      <c r="G212" s="131"/>
      <c r="H212" s="131"/>
      <c r="I212" s="131"/>
      <c r="J212" s="149"/>
      <c r="K212" s="141"/>
      <c r="M212" s="58"/>
    </row>
    <row r="213" spans="1:19" ht="30" hidden="1" x14ac:dyDescent="0.25">
      <c r="A213" s="12">
        <v>25</v>
      </c>
      <c r="B213" s="156" t="s">
        <v>91</v>
      </c>
      <c r="C213" s="14"/>
      <c r="D213" s="15"/>
      <c r="E213" s="16"/>
      <c r="F213" s="16"/>
      <c r="G213" s="19"/>
      <c r="H213" s="18"/>
      <c r="I213" s="19"/>
      <c r="J213" s="132"/>
      <c r="K213" s="16"/>
      <c r="M213" s="21"/>
      <c r="N213" s="1"/>
      <c r="O213" s="1"/>
      <c r="P213" s="1"/>
      <c r="Q213" s="1"/>
      <c r="R213" s="21"/>
      <c r="S213" s="21"/>
    </row>
    <row r="214" spans="1:19" ht="15" hidden="1" customHeight="1" x14ac:dyDescent="0.25">
      <c r="A214" s="12"/>
      <c r="B214" s="13" t="str">
        <f>B55</f>
        <v>-at new roof</v>
      </c>
      <c r="C214" s="137">
        <f>0*2</f>
        <v>0</v>
      </c>
      <c r="D214" s="131">
        <f>D55</f>
        <v>4.5717768972874122</v>
      </c>
      <c r="E214" s="131">
        <f>E55</f>
        <v>3.2764401097226452</v>
      </c>
      <c r="F214" s="131"/>
      <c r="G214" s="131">
        <f t="shared" ref="G214" si="23">PRODUCT(C214:F214)</f>
        <v>0</v>
      </c>
      <c r="H214" s="18"/>
      <c r="I214" s="19"/>
      <c r="J214" s="132"/>
      <c r="K214" s="16"/>
      <c r="M214" s="21"/>
      <c r="N214" s="1"/>
      <c r="O214" s="1"/>
      <c r="P214" s="1"/>
      <c r="Q214" s="1"/>
      <c r="R214" s="21"/>
      <c r="S214" s="21"/>
    </row>
    <row r="215" spans="1:19" ht="15" hidden="1" customHeight="1" x14ac:dyDescent="0.25">
      <c r="A215" s="136"/>
      <c r="B215" s="133" t="s">
        <v>25</v>
      </c>
      <c r="C215" s="137"/>
      <c r="D215" s="131"/>
      <c r="E215" s="131"/>
      <c r="F215" s="131"/>
      <c r="G215" s="138">
        <f>SUM(G214:G214)</f>
        <v>0</v>
      </c>
      <c r="H215" s="138" t="s">
        <v>26</v>
      </c>
      <c r="I215" s="139">
        <f>5999.55/10</f>
        <v>599.95500000000004</v>
      </c>
      <c r="J215" s="140">
        <f>G215*I215</f>
        <v>0</v>
      </c>
      <c r="K215" s="141"/>
    </row>
    <row r="216" spans="1:19" ht="15" hidden="1" customHeight="1" x14ac:dyDescent="0.25">
      <c r="A216" s="136"/>
      <c r="B216" s="133" t="s">
        <v>89</v>
      </c>
      <c r="C216" s="137"/>
      <c r="D216" s="131"/>
      <c r="E216" s="131"/>
      <c r="F216" s="131"/>
      <c r="G216" s="131"/>
      <c r="H216" s="131"/>
      <c r="I216" s="131"/>
      <c r="J216" s="149">
        <f>0.13*G215*((1397.55)/10)</f>
        <v>0</v>
      </c>
      <c r="K216" s="141"/>
    </row>
    <row r="217" spans="1:19" ht="15" hidden="1" customHeight="1" x14ac:dyDescent="0.25">
      <c r="A217" s="12"/>
      <c r="B217" s="60"/>
      <c r="C217" s="14"/>
      <c r="D217" s="15"/>
      <c r="E217" s="16"/>
      <c r="F217" s="16"/>
      <c r="G217" s="19"/>
      <c r="H217" s="18"/>
      <c r="I217" s="19"/>
      <c r="J217" s="132"/>
      <c r="K217" s="16"/>
      <c r="M217" s="21"/>
      <c r="N217" s="1"/>
      <c r="O217" s="1"/>
      <c r="P217" s="1"/>
      <c r="Q217" s="1"/>
      <c r="R217" s="21"/>
      <c r="S217" s="21"/>
    </row>
    <row r="218" spans="1:19" hidden="1" x14ac:dyDescent="0.25">
      <c r="A218" s="12">
        <v>22</v>
      </c>
      <c r="B218" s="135" t="s">
        <v>92</v>
      </c>
      <c r="C218" s="137"/>
      <c r="D218" s="131"/>
      <c r="E218" s="131"/>
      <c r="F218" s="131"/>
      <c r="G218" s="131"/>
      <c r="H218" s="131"/>
      <c r="I218" s="131"/>
      <c r="J218" s="149"/>
      <c r="K218" s="141"/>
    </row>
    <row r="219" spans="1:19" ht="15" hidden="1" customHeight="1" x14ac:dyDescent="0.25">
      <c r="A219" s="136"/>
      <c r="B219" s="133" t="s">
        <v>93</v>
      </c>
      <c r="C219" s="137">
        <f>0*2</f>
        <v>0</v>
      </c>
      <c r="D219" s="131"/>
      <c r="E219" s="131"/>
      <c r="F219" s="131"/>
      <c r="G219" s="131">
        <f>PRODUCT(C219:F219)</f>
        <v>0</v>
      </c>
      <c r="H219" s="131"/>
      <c r="I219" s="131"/>
      <c r="J219" s="149"/>
      <c r="K219" s="141"/>
    </row>
    <row r="220" spans="1:19" ht="15" hidden="1" customHeight="1" x14ac:dyDescent="0.25">
      <c r="A220" s="136"/>
      <c r="B220" s="133" t="s">
        <v>25</v>
      </c>
      <c r="C220" s="137"/>
      <c r="D220" s="131"/>
      <c r="E220" s="131"/>
      <c r="F220" s="131"/>
      <c r="G220" s="138">
        <f>SUM(G219:G219)</f>
        <v>0</v>
      </c>
      <c r="H220" s="138" t="s">
        <v>94</v>
      </c>
      <c r="I220" s="139">
        <f>2365*1.15</f>
        <v>2719.75</v>
      </c>
      <c r="J220" s="140">
        <f>G220*I220</f>
        <v>0</v>
      </c>
      <c r="K220" s="141"/>
    </row>
    <row r="221" spans="1:19" ht="15" hidden="1" customHeight="1" x14ac:dyDescent="0.25">
      <c r="A221" s="12"/>
      <c r="B221" s="133" t="s">
        <v>49</v>
      </c>
      <c r="C221" s="14"/>
      <c r="D221" s="15"/>
      <c r="E221" s="16"/>
      <c r="F221" s="16"/>
      <c r="G221" s="19"/>
      <c r="H221" s="18"/>
      <c r="I221" s="19"/>
      <c r="J221" s="132">
        <f>J220*0.13</f>
        <v>0</v>
      </c>
      <c r="K221" s="16"/>
      <c r="M221" s="21"/>
      <c r="N221" s="21"/>
    </row>
    <row r="222" spans="1:19" ht="15" hidden="1" customHeight="1" x14ac:dyDescent="0.25">
      <c r="A222" s="136"/>
      <c r="B222" s="133"/>
      <c r="C222" s="137"/>
      <c r="D222" s="131"/>
      <c r="E222" s="131"/>
      <c r="F222" s="131"/>
      <c r="G222" s="138"/>
      <c r="H222" s="138"/>
      <c r="I222" s="139"/>
      <c r="J222" s="140"/>
      <c r="K222" s="141"/>
    </row>
    <row r="223" spans="1:19" ht="30.75" x14ac:dyDescent="0.25">
      <c r="A223" s="136">
        <v>6</v>
      </c>
      <c r="B223" s="130" t="s">
        <v>95</v>
      </c>
      <c r="C223" s="137"/>
      <c r="D223" s="131"/>
      <c r="E223" s="131"/>
      <c r="F223" s="131"/>
      <c r="G223" s="131"/>
      <c r="H223" s="131"/>
      <c r="I223" s="131"/>
      <c r="J223" s="149"/>
      <c r="K223" s="141"/>
    </row>
    <row r="224" spans="1:19" x14ac:dyDescent="0.25">
      <c r="A224" s="136"/>
      <c r="B224" s="133" t="s">
        <v>96</v>
      </c>
      <c r="C224" s="137">
        <f>1*2</f>
        <v>2</v>
      </c>
      <c r="D224" s="131">
        <f>3.833/3.281</f>
        <v>1.1682413898201769</v>
      </c>
      <c r="E224" s="131">
        <v>7.4999999999999997E-2</v>
      </c>
      <c r="F224" s="131">
        <v>0.125</v>
      </c>
      <c r="G224" s="166">
        <f t="shared" ref="G224:G229" si="24">PRODUCT(C224:F224)</f>
        <v>2.1904526059128317E-2</v>
      </c>
      <c r="H224" s="131"/>
      <c r="I224" s="131"/>
      <c r="J224" s="149"/>
      <c r="K224" s="141"/>
    </row>
    <row r="225" spans="1:14" x14ac:dyDescent="0.25">
      <c r="A225" s="136"/>
      <c r="B225" s="133"/>
      <c r="C225" s="137">
        <f>1*2</f>
        <v>2</v>
      </c>
      <c r="D225" s="131">
        <f>6/3.281</f>
        <v>1.8287107589149649</v>
      </c>
      <c r="E225" s="131">
        <v>7.4999999999999997E-2</v>
      </c>
      <c r="F225" s="131">
        <v>0.125</v>
      </c>
      <c r="G225" s="166">
        <f t="shared" si="24"/>
        <v>3.4288326729655594E-2</v>
      </c>
      <c r="H225" s="131"/>
      <c r="I225" s="131"/>
      <c r="J225" s="149"/>
      <c r="K225" s="141"/>
    </row>
    <row r="226" spans="1:14" hidden="1" x14ac:dyDescent="0.25">
      <c r="A226" s="136"/>
      <c r="B226" s="133"/>
      <c r="C226" s="137">
        <f t="shared" ref="C226:C229" si="25">0*2</f>
        <v>0</v>
      </c>
      <c r="D226" s="131">
        <f>6/3.281</f>
        <v>1.8287107589149649</v>
      </c>
      <c r="E226" s="131">
        <v>7.4999999999999997E-2</v>
      </c>
      <c r="F226" s="131">
        <v>7.4999999999999997E-2</v>
      </c>
      <c r="G226" s="166">
        <f t="shared" si="24"/>
        <v>0</v>
      </c>
      <c r="H226" s="131"/>
      <c r="I226" s="131"/>
      <c r="J226" s="149"/>
      <c r="K226" s="141"/>
    </row>
    <row r="227" spans="1:14" hidden="1" x14ac:dyDescent="0.25">
      <c r="A227" s="136"/>
      <c r="B227" s="133" t="s">
        <v>97</v>
      </c>
      <c r="C227" s="137">
        <f t="shared" si="25"/>
        <v>0</v>
      </c>
      <c r="D227" s="131">
        <f>3.5/3.281</f>
        <v>1.0667479427003961</v>
      </c>
      <c r="E227" s="131">
        <v>7.4999999999999997E-2</v>
      </c>
      <c r="F227" s="131">
        <v>0.125</v>
      </c>
      <c r="G227" s="166">
        <f t="shared" si="24"/>
        <v>0</v>
      </c>
      <c r="H227" s="131"/>
      <c r="I227" s="131"/>
      <c r="J227" s="149"/>
      <c r="K227" s="141"/>
    </row>
    <row r="228" spans="1:14" hidden="1" x14ac:dyDescent="0.25">
      <c r="A228" s="136"/>
      <c r="B228" s="133"/>
      <c r="C228" s="137">
        <f t="shared" si="25"/>
        <v>0</v>
      </c>
      <c r="D228" s="131">
        <f>4.5/3.281</f>
        <v>1.3715330691862238</v>
      </c>
      <c r="E228" s="131">
        <v>7.4999999999999997E-2</v>
      </c>
      <c r="F228" s="131">
        <v>0.125</v>
      </c>
      <c r="G228" s="166">
        <f t="shared" si="24"/>
        <v>0</v>
      </c>
      <c r="H228" s="131"/>
      <c r="I228" s="131"/>
      <c r="J228" s="149"/>
      <c r="K228" s="141"/>
    </row>
    <row r="229" spans="1:14" hidden="1" x14ac:dyDescent="0.25">
      <c r="A229" s="136"/>
      <c r="B229" s="133" t="s">
        <v>98</v>
      </c>
      <c r="C229" s="137">
        <f t="shared" si="25"/>
        <v>0</v>
      </c>
      <c r="D229" s="131">
        <f>(2*2+2.5*2)/3.281</f>
        <v>2.7430661383724475</v>
      </c>
      <c r="E229" s="131">
        <v>7.4999999999999997E-2</v>
      </c>
      <c r="F229" s="131">
        <v>0.125</v>
      </c>
      <c r="G229" s="166">
        <f t="shared" si="24"/>
        <v>0</v>
      </c>
      <c r="H229" s="131"/>
      <c r="I229" s="131"/>
      <c r="J229" s="149"/>
      <c r="K229" s="141"/>
    </row>
    <row r="230" spans="1:14" ht="15" customHeight="1" x14ac:dyDescent="0.25">
      <c r="A230" s="136"/>
      <c r="B230" s="133" t="s">
        <v>25</v>
      </c>
      <c r="C230" s="137"/>
      <c r="D230" s="131"/>
      <c r="E230" s="131"/>
      <c r="F230" s="131"/>
      <c r="G230" s="167">
        <f>SUM(G224:G229)</f>
        <v>5.6192852788783915E-2</v>
      </c>
      <c r="H230" s="138" t="s">
        <v>30</v>
      </c>
      <c r="I230" s="139">
        <f>283082.83</f>
        <v>283082.83</v>
      </c>
      <c r="J230" s="140">
        <f>G230*I230</f>
        <v>15907.231793222343</v>
      </c>
      <c r="K230" s="141"/>
    </row>
    <row r="231" spans="1:14" ht="15" customHeight="1" x14ac:dyDescent="0.25">
      <c r="A231" s="12"/>
      <c r="B231" s="133" t="s">
        <v>49</v>
      </c>
      <c r="C231" s="14"/>
      <c r="D231" s="15"/>
      <c r="E231" s="16"/>
      <c r="F231" s="16"/>
      <c r="G231" s="19"/>
      <c r="H231" s="18"/>
      <c r="I231" s="19"/>
      <c r="J231" s="132">
        <f>0.13*G230*239222.83</f>
        <v>1747.5397250878164</v>
      </c>
      <c r="K231" s="16"/>
      <c r="M231" s="21"/>
      <c r="N231" s="21"/>
    </row>
    <row r="232" spans="1:14" ht="15" customHeight="1" x14ac:dyDescent="0.25">
      <c r="A232" s="136"/>
      <c r="B232" s="133"/>
      <c r="C232" s="137"/>
      <c r="D232" s="131"/>
      <c r="E232" s="131"/>
      <c r="F232" s="131"/>
      <c r="G232" s="131"/>
      <c r="H232" s="131"/>
      <c r="I232" s="131"/>
      <c r="J232" s="149"/>
      <c r="K232" s="141"/>
    </row>
    <row r="233" spans="1:14" ht="30" hidden="1" x14ac:dyDescent="0.25">
      <c r="A233" s="12">
        <v>25</v>
      </c>
      <c r="B233" s="155" t="s">
        <v>99</v>
      </c>
      <c r="C233" s="14"/>
      <c r="D233" s="15"/>
      <c r="E233" s="16"/>
      <c r="F233" s="16"/>
      <c r="G233" s="19"/>
      <c r="H233" s="18"/>
      <c r="I233" s="19"/>
      <c r="J233" s="148"/>
      <c r="K233" s="16"/>
    </row>
    <row r="234" spans="1:14" hidden="1" x14ac:dyDescent="0.25">
      <c r="A234" s="12"/>
      <c r="B234" s="152" t="s">
        <v>100</v>
      </c>
      <c r="C234" s="14">
        <f>0*1</f>
        <v>0</v>
      </c>
      <c r="D234" s="15">
        <f>15/3.281</f>
        <v>4.5717768972874122</v>
      </c>
      <c r="E234" s="16">
        <v>7.4999999999999997E-2</v>
      </c>
      <c r="F234" s="141"/>
      <c r="G234" s="144">
        <f>PRODUCT(C234:E234)</f>
        <v>0</v>
      </c>
      <c r="H234" s="18"/>
      <c r="I234" s="19"/>
      <c r="J234" s="148"/>
      <c r="K234" s="16"/>
    </row>
    <row r="235" spans="1:14" hidden="1" x14ac:dyDescent="0.25">
      <c r="A235" s="12"/>
      <c r="B235" s="152" t="str">
        <f>B224</f>
        <v>-For Door</v>
      </c>
      <c r="C235" s="14">
        <f>0*2</f>
        <v>0</v>
      </c>
      <c r="D235" s="15">
        <f>0.3</f>
        <v>0.3</v>
      </c>
      <c r="E235" s="16"/>
      <c r="F235" s="16">
        <f>D225</f>
        <v>1.8287107589149649</v>
      </c>
      <c r="G235" s="144">
        <f>PRODUCT(C235:F235)</f>
        <v>0</v>
      </c>
      <c r="H235" s="18"/>
      <c r="I235" s="19"/>
      <c r="J235" s="148"/>
      <c r="K235" s="16"/>
    </row>
    <row r="236" spans="1:14" hidden="1" x14ac:dyDescent="0.25">
      <c r="A236" s="12"/>
      <c r="B236" s="152"/>
      <c r="C236" s="14">
        <f>1*0</f>
        <v>0</v>
      </c>
      <c r="D236" s="15">
        <f>(6*2+4*2)/3.281</f>
        <v>6.0957025297165499</v>
      </c>
      <c r="E236" s="16">
        <v>7.4999999999999997E-2</v>
      </c>
      <c r="F236" s="16"/>
      <c r="G236" s="144">
        <f>PRODUCT(C236:F236)</f>
        <v>0</v>
      </c>
      <c r="H236" s="18"/>
      <c r="I236" s="19"/>
      <c r="J236" s="148"/>
      <c r="K236" s="16"/>
    </row>
    <row r="237" spans="1:14" hidden="1" x14ac:dyDescent="0.25">
      <c r="A237" s="12"/>
      <c r="B237" s="152" t="s">
        <v>98</v>
      </c>
      <c r="C237" s="14">
        <f>2*0</f>
        <v>0</v>
      </c>
      <c r="D237" s="15">
        <f>D229</f>
        <v>2.7430661383724475</v>
      </c>
      <c r="E237" s="16">
        <f>E229</f>
        <v>7.4999999999999997E-2</v>
      </c>
      <c r="F237" s="16"/>
      <c r="G237" s="144">
        <f>PRODUCT(C237:F237)</f>
        <v>0</v>
      </c>
      <c r="H237" s="18"/>
      <c r="I237" s="19"/>
      <c r="J237" s="148"/>
      <c r="K237" s="16"/>
    </row>
    <row r="238" spans="1:14" ht="15" hidden="1" customHeight="1" x14ac:dyDescent="0.25">
      <c r="A238" s="136"/>
      <c r="B238" s="152" t="s">
        <v>25</v>
      </c>
      <c r="C238" s="143"/>
      <c r="D238" s="144"/>
      <c r="E238" s="144"/>
      <c r="F238" s="144"/>
      <c r="G238" s="148">
        <f>SUM(G234:G237)</f>
        <v>0</v>
      </c>
      <c r="H238" s="148" t="s">
        <v>26</v>
      </c>
      <c r="I238" s="18">
        <f>39251.14/1.15</f>
        <v>34131.426086956526</v>
      </c>
      <c r="J238" s="149">
        <f>G238*I238</f>
        <v>0</v>
      </c>
      <c r="K238" s="145"/>
    </row>
    <row r="239" spans="1:14" hidden="1" x14ac:dyDescent="0.25">
      <c r="A239" s="12"/>
      <c r="B239" s="155"/>
      <c r="C239" s="14"/>
      <c r="D239" s="15"/>
      <c r="E239" s="16"/>
      <c r="F239" s="16"/>
      <c r="G239" s="19"/>
      <c r="H239" s="18"/>
      <c r="I239" s="19"/>
      <c r="J239" s="148"/>
      <c r="K239" s="16"/>
    </row>
    <row r="240" spans="1:14" ht="45" hidden="1" x14ac:dyDescent="0.25">
      <c r="A240" s="136">
        <v>25</v>
      </c>
      <c r="B240" s="135" t="s">
        <v>101</v>
      </c>
      <c r="C240" s="137"/>
      <c r="D240" s="131"/>
      <c r="E240" s="131"/>
      <c r="F240" s="131"/>
      <c r="G240" s="131"/>
      <c r="H240" s="131"/>
      <c r="I240" s="131"/>
      <c r="J240" s="149"/>
      <c r="K240" s="141"/>
    </row>
    <row r="241" spans="1:14" ht="15" hidden="1" customHeight="1" x14ac:dyDescent="0.25">
      <c r="A241" s="136"/>
      <c r="B241" s="133" t="s">
        <v>102</v>
      </c>
      <c r="C241" s="137">
        <f>0*1</f>
        <v>0</v>
      </c>
      <c r="D241" s="131">
        <f>3/3.281</f>
        <v>0.91435537945748246</v>
      </c>
      <c r="E241" s="131">
        <f>4/3.281</f>
        <v>1.2191405059433098</v>
      </c>
      <c r="F241" s="131"/>
      <c r="G241" s="131">
        <f>PRODUCT(C241:F241)</f>
        <v>0</v>
      </c>
      <c r="H241" s="131"/>
      <c r="I241" s="131"/>
      <c r="J241" s="149"/>
      <c r="K241" s="141"/>
    </row>
    <row r="242" spans="1:14" ht="15" hidden="1" customHeight="1" x14ac:dyDescent="0.25">
      <c r="A242" s="136"/>
      <c r="B242" s="133" t="s">
        <v>98</v>
      </c>
      <c r="C242" s="137">
        <f>2*0</f>
        <v>0</v>
      </c>
      <c r="D242" s="131"/>
      <c r="E242" s="131">
        <f>2.5/3.281</f>
        <v>0.76196281621456874</v>
      </c>
      <c r="F242" s="131">
        <f>1.5/3.281</f>
        <v>0.45717768972874123</v>
      </c>
      <c r="G242" s="131">
        <f>PRODUCT(C242:F242)</f>
        <v>0</v>
      </c>
      <c r="H242" s="131"/>
      <c r="I242" s="131"/>
      <c r="J242" s="149"/>
      <c r="K242" s="141"/>
    </row>
    <row r="243" spans="1:14" ht="15" hidden="1" customHeight="1" x14ac:dyDescent="0.25">
      <c r="A243" s="136"/>
      <c r="B243" s="133" t="s">
        <v>25</v>
      </c>
      <c r="C243" s="137"/>
      <c r="D243" s="131"/>
      <c r="E243" s="131"/>
      <c r="F243" s="131"/>
      <c r="G243" s="138">
        <f>SUM(G241:G242)</f>
        <v>0</v>
      </c>
      <c r="H243" s="138" t="s">
        <v>26</v>
      </c>
      <c r="I243" s="139">
        <f>31552.5/0.92</f>
        <v>34296.195652173912</v>
      </c>
      <c r="J243" s="140">
        <f>G243*I243</f>
        <v>0</v>
      </c>
      <c r="K243" s="141"/>
    </row>
    <row r="244" spans="1:14" ht="15" hidden="1" customHeight="1" x14ac:dyDescent="0.25">
      <c r="A244" s="136"/>
      <c r="B244" s="133" t="s">
        <v>89</v>
      </c>
      <c r="C244" s="137"/>
      <c r="D244" s="131"/>
      <c r="E244" s="131"/>
      <c r="F244" s="131"/>
      <c r="G244" s="131"/>
      <c r="H244" s="131"/>
      <c r="I244" s="131"/>
      <c r="J244" s="149">
        <f>0.13*G243*((9742.5)/0.92)</f>
        <v>0</v>
      </c>
      <c r="K244" s="141"/>
      <c r="M244" s="58"/>
    </row>
    <row r="245" spans="1:14" ht="15" hidden="1" customHeight="1" x14ac:dyDescent="0.25">
      <c r="A245" s="136"/>
      <c r="B245" s="133"/>
      <c r="C245" s="137"/>
      <c r="D245" s="131"/>
      <c r="E245" s="131"/>
      <c r="F245" s="131"/>
      <c r="G245" s="131"/>
      <c r="H245" s="131"/>
      <c r="I245" s="131"/>
      <c r="J245" s="149"/>
      <c r="K245" s="141"/>
      <c r="M245" s="58"/>
    </row>
    <row r="246" spans="1:14" ht="30.75" hidden="1" x14ac:dyDescent="0.25">
      <c r="A246" s="136">
        <v>26</v>
      </c>
      <c r="B246" s="130" t="s">
        <v>103</v>
      </c>
      <c r="C246" s="137"/>
      <c r="D246" s="131"/>
      <c r="E246" s="131"/>
      <c r="F246" s="131"/>
      <c r="G246" s="131"/>
      <c r="H246" s="131"/>
      <c r="I246" s="131"/>
      <c r="J246" s="149"/>
      <c r="K246" s="141"/>
      <c r="M246" s="58"/>
    </row>
    <row r="247" spans="1:14" ht="15" hidden="1" customHeight="1" x14ac:dyDescent="0.25">
      <c r="A247" s="136"/>
      <c r="B247" s="133" t="s">
        <v>104</v>
      </c>
      <c r="C247" s="137">
        <f>1*0</f>
        <v>0</v>
      </c>
      <c r="D247" s="131"/>
      <c r="E247" s="131">
        <f>3.5/3.281</f>
        <v>1.0667479427003961</v>
      </c>
      <c r="F247" s="131">
        <f>6/3.281</f>
        <v>1.8287107589149649</v>
      </c>
      <c r="G247" s="131">
        <f>PRODUCT(C247:F247)</f>
        <v>0</v>
      </c>
      <c r="H247" s="131"/>
      <c r="I247" s="131"/>
      <c r="J247" s="149"/>
      <c r="K247" s="141"/>
    </row>
    <row r="248" spans="1:14" ht="15" hidden="1" customHeight="1" x14ac:dyDescent="0.25">
      <c r="A248" s="136"/>
      <c r="B248" s="133" t="s">
        <v>25</v>
      </c>
      <c r="C248" s="137"/>
      <c r="D248" s="131"/>
      <c r="E248" s="131"/>
      <c r="F248" s="131"/>
      <c r="G248" s="138">
        <f>SUM(G247:G247)</f>
        <v>0</v>
      </c>
      <c r="H248" s="138" t="s">
        <v>26</v>
      </c>
      <c r="I248" s="139">
        <v>15731.39</v>
      </c>
      <c r="J248" s="140">
        <f>G248*I248</f>
        <v>0</v>
      </c>
      <c r="K248" s="141"/>
    </row>
    <row r="249" spans="1:14" ht="15" hidden="1" customHeight="1" x14ac:dyDescent="0.25">
      <c r="A249" s="136"/>
      <c r="B249" s="133" t="s">
        <v>89</v>
      </c>
      <c r="C249" s="137"/>
      <c r="D249" s="131"/>
      <c r="E249" s="131"/>
      <c r="F249" s="131"/>
      <c r="G249" s="131"/>
      <c r="H249" s="131"/>
      <c r="I249" s="131"/>
      <c r="J249" s="149">
        <f>0.13*G248*((20356.18)/2.114)</f>
        <v>0</v>
      </c>
      <c r="K249" s="141"/>
      <c r="M249" s="58"/>
    </row>
    <row r="250" spans="1:14" ht="15.75" hidden="1" x14ac:dyDescent="0.25">
      <c r="A250" s="136"/>
      <c r="B250" s="130"/>
      <c r="C250" s="137"/>
      <c r="D250" s="131"/>
      <c r="E250" s="131"/>
      <c r="F250" s="131"/>
      <c r="G250" s="131"/>
      <c r="H250" s="131"/>
      <c r="I250" s="131"/>
      <c r="J250" s="149"/>
      <c r="K250" s="141"/>
      <c r="M250" s="58"/>
    </row>
    <row r="251" spans="1:14" ht="30.75" x14ac:dyDescent="0.25">
      <c r="A251" s="136">
        <v>7</v>
      </c>
      <c r="B251" s="130" t="s">
        <v>129</v>
      </c>
      <c r="C251" s="137"/>
      <c r="D251" s="131"/>
      <c r="E251" s="131"/>
      <c r="F251" s="131"/>
      <c r="G251" s="131"/>
      <c r="H251" s="131"/>
      <c r="I251" s="131"/>
      <c r="J251" s="149"/>
      <c r="K251" s="141"/>
      <c r="M251" s="58"/>
    </row>
    <row r="252" spans="1:14" ht="15" customHeight="1" x14ac:dyDescent="0.25">
      <c r="A252" s="136"/>
      <c r="B252" s="133" t="s">
        <v>54</v>
      </c>
      <c r="C252" s="137">
        <f>0.5*4</f>
        <v>2</v>
      </c>
      <c r="D252" s="131">
        <f>((23.17-1.25-1.583-0.333)/2)/3.281</f>
        <v>3.0484608351112472</v>
      </c>
      <c r="E252" s="131">
        <v>0.23</v>
      </c>
      <c r="F252" s="131">
        <f>7/3.281</f>
        <v>2.1334958854007922</v>
      </c>
      <c r="G252" s="131">
        <f>PRODUCT(C252:F252)</f>
        <v>2.991784178317042</v>
      </c>
      <c r="H252" s="131"/>
      <c r="I252" s="131"/>
      <c r="J252" s="149"/>
      <c r="K252" s="141"/>
      <c r="N252">
        <f>7.333/3.281</f>
        <v>2.234989332520573</v>
      </c>
    </row>
    <row r="253" spans="1:14" ht="15" customHeight="1" x14ac:dyDescent="0.25">
      <c r="A253" s="136"/>
      <c r="B253" s="133"/>
      <c r="C253" s="137">
        <v>2</v>
      </c>
      <c r="D253" s="131">
        <f>(23.17-1.25-1.583)/3.281</f>
        <v>6.1984151173422743</v>
      </c>
      <c r="E253" s="131">
        <v>0.23</v>
      </c>
      <c r="F253" s="131">
        <f>2.25/3.281</f>
        <v>0.68576653459311188</v>
      </c>
      <c r="G253" s="131">
        <f>PRODUCT(C253:F253)</f>
        <v>1.9553062012951095</v>
      </c>
      <c r="H253" s="131"/>
      <c r="I253" s="131"/>
      <c r="J253" s="149"/>
      <c r="K253" s="141"/>
    </row>
    <row r="254" spans="1:14" ht="15" customHeight="1" x14ac:dyDescent="0.25">
      <c r="A254" s="136"/>
      <c r="B254" s="133"/>
      <c r="C254" s="137">
        <v>1</v>
      </c>
      <c r="D254" s="131">
        <f>10.75/3.281</f>
        <v>3.2764401097226452</v>
      </c>
      <c r="E254" s="131">
        <v>0.35</v>
      </c>
      <c r="F254" s="131">
        <f>27/12/3.281</f>
        <v>0.68576653459311188</v>
      </c>
      <c r="G254" s="131">
        <f t="shared" ref="G254:G257" si="26">PRODUCT(C254:F254)</f>
        <v>0.78640554294623077</v>
      </c>
      <c r="H254" s="131"/>
      <c r="I254" s="131"/>
      <c r="J254" s="149"/>
      <c r="K254" s="141"/>
      <c r="M254">
        <f>3.24*3.281</f>
        <v>10.630440000000002</v>
      </c>
    </row>
    <row r="255" spans="1:14" ht="15" customHeight="1" x14ac:dyDescent="0.25">
      <c r="A255" s="136"/>
      <c r="B255" s="133"/>
      <c r="C255" s="137">
        <f>1*0.5</f>
        <v>0.5</v>
      </c>
      <c r="D255" s="131">
        <f>10.65625/3.281</f>
        <v>3.2478665041145991</v>
      </c>
      <c r="E255" s="131">
        <v>0.35</v>
      </c>
      <c r="F255" s="131">
        <f>9/12/3.281</f>
        <v>0.22858884486437062</v>
      </c>
      <c r="G255" s="131">
        <f t="shared" si="26"/>
        <v>0.12992455917861662</v>
      </c>
      <c r="H255" s="131"/>
      <c r="I255" s="131"/>
      <c r="J255" s="149"/>
      <c r="K255" s="141"/>
    </row>
    <row r="256" spans="1:14" ht="15" customHeight="1" x14ac:dyDescent="0.25">
      <c r="A256" s="136"/>
      <c r="B256" s="133"/>
      <c r="C256" s="137">
        <v>1</v>
      </c>
      <c r="D256" s="131">
        <f>10.75/3.281</f>
        <v>3.2764401097226452</v>
      </c>
      <c r="E256" s="131">
        <v>0.45</v>
      </c>
      <c r="F256" s="131">
        <f>27/12/3.281</f>
        <v>0.68576653459311188</v>
      </c>
      <c r="G256" s="131">
        <f t="shared" si="26"/>
        <v>1.0110928409308682</v>
      </c>
      <c r="H256" s="131"/>
      <c r="I256" s="131"/>
      <c r="J256" s="149"/>
      <c r="K256" s="141"/>
    </row>
    <row r="257" spans="1:19" ht="15" customHeight="1" x14ac:dyDescent="0.25">
      <c r="A257" s="136"/>
      <c r="B257" s="133"/>
      <c r="C257" s="137">
        <f>0.5*1</f>
        <v>0.5</v>
      </c>
      <c r="D257" s="131">
        <f>10.75/3.281</f>
        <v>3.2764401097226452</v>
      </c>
      <c r="E257" s="131">
        <v>0.45</v>
      </c>
      <c r="F257" s="131">
        <f>9/12/3.281</f>
        <v>0.22858884486437062</v>
      </c>
      <c r="G257" s="131">
        <f t="shared" si="26"/>
        <v>0.16851547348847803</v>
      </c>
      <c r="H257" s="131"/>
      <c r="I257" s="131"/>
      <c r="J257" s="149"/>
      <c r="K257" s="141"/>
    </row>
    <row r="258" spans="1:19" ht="15" customHeight="1" x14ac:dyDescent="0.25">
      <c r="A258" s="136"/>
      <c r="B258" s="133" t="s">
        <v>25</v>
      </c>
      <c r="C258" s="137"/>
      <c r="D258" s="131"/>
      <c r="E258" s="131"/>
      <c r="F258" s="131"/>
      <c r="G258" s="138">
        <f>SUM(G252:G257)</f>
        <v>7.043028796156344</v>
      </c>
      <c r="H258" s="138" t="s">
        <v>30</v>
      </c>
      <c r="I258" s="139">
        <v>14984.29</v>
      </c>
      <c r="J258" s="140">
        <f>G258*I258</f>
        <v>105534.78595995755</v>
      </c>
      <c r="K258" s="141"/>
    </row>
    <row r="259" spans="1:19" ht="15" customHeight="1" x14ac:dyDescent="0.25">
      <c r="A259" s="136"/>
      <c r="B259" s="133" t="s">
        <v>89</v>
      </c>
      <c r="C259" s="137"/>
      <c r="D259" s="131"/>
      <c r="E259" s="131"/>
      <c r="F259" s="131"/>
      <c r="G259" s="131"/>
      <c r="H259" s="131"/>
      <c r="I259" s="131"/>
      <c r="J259" s="149">
        <f>0.13*G258*10555.39</f>
        <v>9664.4490442058923</v>
      </c>
      <c r="K259" s="141"/>
      <c r="M259" s="58"/>
    </row>
    <row r="260" spans="1:19" ht="15.75" x14ac:dyDescent="0.25">
      <c r="A260" s="136"/>
      <c r="B260" s="130"/>
      <c r="C260" s="137"/>
      <c r="D260" s="131"/>
      <c r="E260" s="131"/>
      <c r="F260" s="131"/>
      <c r="G260" s="131"/>
      <c r="H260" s="131"/>
      <c r="I260" s="131"/>
      <c r="J260" s="149"/>
      <c r="K260" s="141"/>
      <c r="M260" s="58"/>
    </row>
    <row r="261" spans="1:19" ht="30" hidden="1" x14ac:dyDescent="0.25">
      <c r="A261" s="136">
        <v>27</v>
      </c>
      <c r="B261" s="135" t="s">
        <v>105</v>
      </c>
      <c r="C261" s="137"/>
      <c r="D261" s="131"/>
      <c r="E261" s="131"/>
      <c r="F261" s="131"/>
      <c r="G261" s="131"/>
      <c r="H261" s="131"/>
      <c r="I261" s="131"/>
      <c r="J261" s="149"/>
      <c r="K261" s="141"/>
    </row>
    <row r="262" spans="1:19" ht="15" hidden="1" customHeight="1" x14ac:dyDescent="0.25">
      <c r="A262" s="136"/>
      <c r="B262" s="133" t="s">
        <v>104</v>
      </c>
      <c r="C262" s="137">
        <f>1*0</f>
        <v>0</v>
      </c>
      <c r="D262" s="131"/>
      <c r="E262" s="131">
        <f>3.5/3.281</f>
        <v>1.0667479427003961</v>
      </c>
      <c r="F262" s="131">
        <f>6/3.281</f>
        <v>1.8287107589149649</v>
      </c>
      <c r="G262" s="131">
        <f>PRODUCT(C262:F262)</f>
        <v>0</v>
      </c>
      <c r="H262" s="131"/>
      <c r="I262" s="131"/>
      <c r="J262" s="149"/>
      <c r="K262" s="141"/>
    </row>
    <row r="263" spans="1:19" ht="15" hidden="1" customHeight="1" x14ac:dyDescent="0.25">
      <c r="A263" s="136"/>
      <c r="B263" s="133" t="s">
        <v>25</v>
      </c>
      <c r="C263" s="137"/>
      <c r="D263" s="131"/>
      <c r="E263" s="131"/>
      <c r="F263" s="131"/>
      <c r="G263" s="138">
        <f>SUM(G262:G262)</f>
        <v>0</v>
      </c>
      <c r="H263" s="138" t="s">
        <v>26</v>
      </c>
      <c r="I263" s="139">
        <f>45908.09/1.15</f>
        <v>39920.078260869566</v>
      </c>
      <c r="J263" s="140">
        <f>G263*I263</f>
        <v>0</v>
      </c>
      <c r="K263" s="141"/>
    </row>
    <row r="264" spans="1:19" hidden="1" x14ac:dyDescent="0.25">
      <c r="A264" s="136"/>
      <c r="B264" s="135"/>
      <c r="C264" s="137"/>
      <c r="D264" s="131"/>
      <c r="E264" s="131"/>
      <c r="F264" s="131"/>
      <c r="G264" s="131"/>
      <c r="H264" s="131"/>
      <c r="I264" s="131"/>
      <c r="J264" s="149"/>
      <c r="K264" s="141"/>
    </row>
    <row r="265" spans="1:19" ht="30" hidden="1" x14ac:dyDescent="0.25">
      <c r="A265" s="12">
        <v>32</v>
      </c>
      <c r="B265" s="156" t="s">
        <v>106</v>
      </c>
      <c r="C265" s="14"/>
      <c r="D265" s="15"/>
      <c r="E265" s="16"/>
      <c r="F265" s="16"/>
      <c r="G265" s="19"/>
      <c r="H265" s="18"/>
      <c r="I265" s="19"/>
      <c r="J265" s="132"/>
      <c r="K265" s="16"/>
      <c r="M265" s="21"/>
      <c r="N265" s="1"/>
      <c r="O265" s="1"/>
      <c r="P265" s="1"/>
      <c r="Q265" s="1"/>
      <c r="R265" s="21"/>
      <c r="S265" s="21"/>
    </row>
    <row r="266" spans="1:19" ht="15" hidden="1" customHeight="1" x14ac:dyDescent="0.25">
      <c r="A266" s="12"/>
      <c r="B266" s="13" t="s">
        <v>107</v>
      </c>
      <c r="C266" s="14">
        <f>0*2</f>
        <v>0</v>
      </c>
      <c r="D266" s="15">
        <f>(15)/3.281</f>
        <v>4.5717768972874122</v>
      </c>
      <c r="E266" s="16">
        <f>((10.5-1.5)/3.281)</f>
        <v>2.7430661383724475</v>
      </c>
      <c r="F266" s="16"/>
      <c r="G266" s="131">
        <f t="shared" ref="G266" si="27">PRODUCT(C266:F266)</f>
        <v>0</v>
      </c>
      <c r="H266" s="18"/>
      <c r="I266" s="19"/>
      <c r="J266" s="132"/>
      <c r="K266" s="16"/>
      <c r="M266" s="21"/>
      <c r="N266" s="1"/>
      <c r="O266" s="1"/>
      <c r="P266" s="1"/>
      <c r="Q266" s="1"/>
      <c r="R266" s="21"/>
      <c r="S266" s="21"/>
    </row>
    <row r="267" spans="1:19" ht="15" hidden="1" customHeight="1" x14ac:dyDescent="0.25">
      <c r="A267" s="136"/>
      <c r="B267" s="133" t="s">
        <v>25</v>
      </c>
      <c r="C267" s="137"/>
      <c r="D267" s="131"/>
      <c r="E267" s="131"/>
      <c r="F267" s="131"/>
      <c r="G267" s="138">
        <f>SUM(G266:G266)</f>
        <v>0</v>
      </c>
      <c r="H267" s="138" t="s">
        <v>26</v>
      </c>
      <c r="I267" s="139">
        <f>(325188.75/100)</f>
        <v>3251.8874999999998</v>
      </c>
      <c r="J267" s="140">
        <f>G267*I267</f>
        <v>0</v>
      </c>
      <c r="K267" s="141"/>
    </row>
    <row r="268" spans="1:19" ht="15" hidden="1" customHeight="1" x14ac:dyDescent="0.25">
      <c r="A268" s="136"/>
      <c r="B268" s="133" t="s">
        <v>89</v>
      </c>
      <c r="C268" s="137"/>
      <c r="D268" s="131"/>
      <c r="E268" s="131"/>
      <c r="F268" s="131"/>
      <c r="G268" s="131"/>
      <c r="H268" s="131"/>
      <c r="I268" s="131"/>
      <c r="J268" s="149">
        <f>0.13*G267*((221748.75)/100)</f>
        <v>0</v>
      </c>
      <c r="K268" s="141"/>
    </row>
    <row r="269" spans="1:19" ht="15" hidden="1" customHeight="1" x14ac:dyDescent="0.25">
      <c r="A269" s="136"/>
      <c r="B269" s="133"/>
      <c r="C269" s="137"/>
      <c r="D269" s="131"/>
      <c r="E269" s="131"/>
      <c r="F269" s="131"/>
      <c r="G269" s="131"/>
      <c r="H269" s="131"/>
      <c r="I269" s="131"/>
      <c r="J269" s="149"/>
      <c r="K269" s="141"/>
    </row>
    <row r="270" spans="1:19" ht="30" hidden="1" x14ac:dyDescent="0.25">
      <c r="A270" s="12">
        <v>33</v>
      </c>
      <c r="B270" s="156" t="s">
        <v>108</v>
      </c>
      <c r="C270" s="137"/>
      <c r="D270" s="131"/>
      <c r="E270" s="131"/>
      <c r="F270" s="131"/>
      <c r="G270" s="131"/>
      <c r="H270" s="131"/>
      <c r="I270" s="131"/>
      <c r="J270" s="149"/>
      <c r="K270" s="141"/>
    </row>
    <row r="271" spans="1:19" ht="15" hidden="1" customHeight="1" x14ac:dyDescent="0.25">
      <c r="A271" s="12"/>
      <c r="B271" s="13" t="s">
        <v>107</v>
      </c>
      <c r="C271" s="14">
        <f>0*2*2</f>
        <v>0</v>
      </c>
      <c r="D271" s="15">
        <f>D266</f>
        <v>4.5717768972874122</v>
      </c>
      <c r="E271" s="16"/>
      <c r="F271" s="16"/>
      <c r="G271" s="131">
        <f>PRODUCT(C271:F271)</f>
        <v>0</v>
      </c>
      <c r="H271" s="18"/>
      <c r="I271" s="19"/>
      <c r="J271" s="132"/>
      <c r="K271" s="16"/>
      <c r="M271" s="21"/>
      <c r="N271" s="1"/>
      <c r="O271" s="1"/>
      <c r="P271" s="1"/>
      <c r="Q271" s="1"/>
      <c r="R271" s="21"/>
      <c r="S271" s="21"/>
    </row>
    <row r="272" spans="1:19" ht="15" hidden="1" customHeight="1" x14ac:dyDescent="0.25">
      <c r="A272" s="136"/>
      <c r="B272" s="133" t="s">
        <v>25</v>
      </c>
      <c r="C272" s="137"/>
      <c r="D272" s="131"/>
      <c r="E272" s="131"/>
      <c r="F272" s="131"/>
      <c r="G272" s="138">
        <f>SUM(G271:G271)</f>
        <v>0</v>
      </c>
      <c r="H272" s="138" t="s">
        <v>73</v>
      </c>
      <c r="I272" s="139">
        <v>1842.85</v>
      </c>
      <c r="J272" s="140">
        <f>G272*I272</f>
        <v>0</v>
      </c>
      <c r="K272" s="141"/>
    </row>
    <row r="273" spans="1:15" ht="15" hidden="1" customHeight="1" x14ac:dyDescent="0.25">
      <c r="A273" s="136"/>
      <c r="B273" s="133" t="s">
        <v>89</v>
      </c>
      <c r="C273" s="137"/>
      <c r="D273" s="131"/>
      <c r="E273" s="131"/>
      <c r="F273" s="131"/>
      <c r="G273" s="131"/>
      <c r="H273" s="131"/>
      <c r="I273" s="131"/>
      <c r="J273" s="149">
        <f>0.13*G272*((164000)/100)</f>
        <v>0</v>
      </c>
      <c r="K273" s="141"/>
    </row>
    <row r="274" spans="1:15" ht="15" hidden="1" customHeight="1" x14ac:dyDescent="0.25">
      <c r="A274" s="136"/>
      <c r="B274" s="133"/>
      <c r="C274" s="137"/>
      <c r="D274" s="131"/>
      <c r="E274" s="131"/>
      <c r="F274" s="131"/>
      <c r="G274" s="131"/>
      <c r="H274" s="131"/>
      <c r="I274" s="131"/>
      <c r="J274" s="149"/>
      <c r="K274" s="141"/>
    </row>
    <row r="275" spans="1:15" ht="30" hidden="1" x14ac:dyDescent="0.25">
      <c r="A275" s="136">
        <v>34</v>
      </c>
      <c r="B275" s="156" t="s">
        <v>109</v>
      </c>
      <c r="C275" s="137"/>
      <c r="D275" s="131"/>
      <c r="E275" s="131"/>
      <c r="F275" s="131"/>
      <c r="G275" s="131"/>
      <c r="H275" s="131"/>
      <c r="I275" s="131"/>
      <c r="J275" s="149"/>
      <c r="K275" s="141"/>
    </row>
    <row r="276" spans="1:15" hidden="1" x14ac:dyDescent="0.25">
      <c r="A276" s="136"/>
      <c r="B276" s="133" t="s">
        <v>110</v>
      </c>
      <c r="C276" s="137">
        <f>0*4</f>
        <v>0</v>
      </c>
      <c r="D276" s="131"/>
      <c r="E276" s="131"/>
      <c r="F276" s="131"/>
      <c r="G276" s="131">
        <f t="shared" ref="G276" si="28">PRODUCT(C276:F276)</f>
        <v>0</v>
      </c>
      <c r="H276" s="131"/>
      <c r="I276" s="131"/>
      <c r="J276" s="149"/>
      <c r="K276" s="141"/>
    </row>
    <row r="277" spans="1:15" ht="15" hidden="1" customHeight="1" x14ac:dyDescent="0.25">
      <c r="A277" s="136"/>
      <c r="B277" s="133" t="s">
        <v>25</v>
      </c>
      <c r="C277" s="137"/>
      <c r="D277" s="131"/>
      <c r="E277" s="131"/>
      <c r="F277" s="131"/>
      <c r="G277" s="138">
        <f>SUM(G276)</f>
        <v>0</v>
      </c>
      <c r="H277" s="138" t="s">
        <v>94</v>
      </c>
      <c r="I277" s="139">
        <v>279</v>
      </c>
      <c r="J277" s="140">
        <f>G277*I277</f>
        <v>0</v>
      </c>
      <c r="K277" s="141"/>
    </row>
    <row r="278" spans="1:15" ht="15" hidden="1" customHeight="1" x14ac:dyDescent="0.25">
      <c r="A278" s="136"/>
      <c r="B278" s="133" t="s">
        <v>89</v>
      </c>
      <c r="C278" s="137"/>
      <c r="D278" s="131"/>
      <c r="E278" s="131"/>
      <c r="F278" s="131"/>
      <c r="G278" s="131"/>
      <c r="H278" s="131"/>
      <c r="I278" s="131"/>
      <c r="J278" s="149">
        <f>0.13*J277</f>
        <v>0</v>
      </c>
      <c r="K278" s="141"/>
    </row>
    <row r="279" spans="1:15" hidden="1" x14ac:dyDescent="0.25">
      <c r="A279" s="136"/>
      <c r="B279" s="135"/>
      <c r="C279" s="137"/>
      <c r="D279" s="131"/>
      <c r="E279" s="131"/>
      <c r="F279" s="131"/>
      <c r="G279" s="131"/>
      <c r="H279" s="131"/>
      <c r="I279" s="131"/>
      <c r="J279" s="149"/>
      <c r="K279" s="141"/>
    </row>
    <row r="280" spans="1:15" s="1" customFormat="1" ht="60" hidden="1" x14ac:dyDescent="0.25">
      <c r="A280" s="136">
        <v>35</v>
      </c>
      <c r="B280" s="157" t="s">
        <v>111</v>
      </c>
      <c r="C280" s="143">
        <f>0*3</f>
        <v>0</v>
      </c>
      <c r="D280" s="144">
        <v>3.5</v>
      </c>
      <c r="E280" s="144"/>
      <c r="F280" s="144"/>
      <c r="G280" s="144">
        <f>PRODUCT(C280:F280)</f>
        <v>0</v>
      </c>
      <c r="H280" s="136"/>
      <c r="I280" s="136"/>
      <c r="J280" s="136"/>
      <c r="K280" s="145"/>
    </row>
    <row r="281" spans="1:15" ht="15" hidden="1" customHeight="1" x14ac:dyDescent="0.25">
      <c r="A281" s="136"/>
      <c r="B281" s="133" t="s">
        <v>25</v>
      </c>
      <c r="C281" s="137"/>
      <c r="D281" s="131"/>
      <c r="E281" s="131"/>
      <c r="F281" s="131"/>
      <c r="G281" s="138">
        <f>SUM(G280:G280)</f>
        <v>0</v>
      </c>
      <c r="H281" s="138" t="s">
        <v>112</v>
      </c>
      <c r="I281" s="138">
        <v>3914.14</v>
      </c>
      <c r="J281" s="140">
        <f>G280*I281</f>
        <v>0</v>
      </c>
      <c r="K281" s="141"/>
    </row>
    <row r="282" spans="1:15" ht="15" hidden="1" customHeight="1" x14ac:dyDescent="0.25">
      <c r="A282" s="136"/>
      <c r="B282" s="133" t="s">
        <v>89</v>
      </c>
      <c r="C282" s="137"/>
      <c r="D282" s="131"/>
      <c r="E282" s="131"/>
      <c r="F282" s="131"/>
      <c r="G282" s="131"/>
      <c r="H282" s="131"/>
      <c r="I282" s="131"/>
      <c r="J282" s="149">
        <f>0.13*G281*5918/5</f>
        <v>0</v>
      </c>
      <c r="K282" s="141"/>
      <c r="M282" s="58"/>
    </row>
    <row r="283" spans="1:15" ht="15" hidden="1" customHeight="1" x14ac:dyDescent="0.25">
      <c r="A283" s="136"/>
      <c r="B283" s="133"/>
      <c r="C283" s="137"/>
      <c r="D283" s="131"/>
      <c r="E283" s="131"/>
      <c r="F283" s="131"/>
      <c r="G283" s="131"/>
      <c r="H283" s="131"/>
      <c r="I283" s="131"/>
      <c r="J283" s="149"/>
      <c r="K283" s="141"/>
    </row>
    <row r="284" spans="1:15" s="1" customFormat="1" ht="30" x14ac:dyDescent="0.25">
      <c r="A284" s="12">
        <v>8</v>
      </c>
      <c r="B284" s="155" t="s">
        <v>113</v>
      </c>
      <c r="C284" s="143">
        <f>1*1</f>
        <v>1</v>
      </c>
      <c r="D284" s="144"/>
      <c r="E284" s="144"/>
      <c r="F284" s="144"/>
      <c r="G284" s="148">
        <f>PRODUCT(C284:F284)</f>
        <v>1</v>
      </c>
      <c r="H284" s="148" t="s">
        <v>114</v>
      </c>
      <c r="I284" s="148">
        <v>36000</v>
      </c>
      <c r="J284" s="149">
        <f>G284*I284</f>
        <v>36000</v>
      </c>
      <c r="K284" s="145"/>
      <c r="N284" s="1">
        <f>14/12/3.281</f>
        <v>0.35558264756679875</v>
      </c>
      <c r="O284" s="1">
        <f>18/12/3.281</f>
        <v>0.45717768972874123</v>
      </c>
    </row>
    <row r="285" spans="1:15" ht="15" customHeight="1" x14ac:dyDescent="0.25">
      <c r="A285" s="136"/>
      <c r="B285" s="150"/>
      <c r="C285" s="137"/>
      <c r="D285" s="131"/>
      <c r="E285" s="131"/>
      <c r="F285" s="131"/>
      <c r="G285" s="131"/>
      <c r="H285" s="131"/>
      <c r="I285" s="131"/>
      <c r="J285" s="149"/>
      <c r="K285" s="141"/>
    </row>
    <row r="286" spans="1:15" ht="15" customHeight="1" x14ac:dyDescent="0.25">
      <c r="A286" s="12">
        <v>9</v>
      </c>
      <c r="B286" s="62" t="s">
        <v>115</v>
      </c>
      <c r="C286" s="14">
        <v>1</v>
      </c>
      <c r="D286" s="15"/>
      <c r="E286" s="16"/>
      <c r="F286" s="16"/>
      <c r="G286" s="148">
        <f t="shared" ref="G286" si="29">PRODUCT(C286:F286)</f>
        <v>1</v>
      </c>
      <c r="H286" s="18" t="s">
        <v>94</v>
      </c>
      <c r="I286" s="19">
        <v>1000</v>
      </c>
      <c r="J286" s="148">
        <f>G286*I286</f>
        <v>1000</v>
      </c>
      <c r="K286" s="16"/>
      <c r="M286" s="21"/>
      <c r="N286" s="21"/>
    </row>
    <row r="287" spans="1:15" ht="15" customHeight="1" x14ac:dyDescent="0.25">
      <c r="A287" s="12"/>
      <c r="B287" s="60"/>
      <c r="C287" s="14"/>
      <c r="D287" s="15"/>
      <c r="E287" s="16"/>
      <c r="F287" s="16"/>
      <c r="G287" s="19"/>
      <c r="H287" s="18"/>
      <c r="I287" s="19"/>
      <c r="J287" s="132"/>
      <c r="K287" s="16"/>
      <c r="M287" s="21"/>
      <c r="N287" s="21"/>
    </row>
    <row r="288" spans="1:15" x14ac:dyDescent="0.25">
      <c r="A288" s="136"/>
      <c r="B288" s="158" t="s">
        <v>116</v>
      </c>
      <c r="C288" s="159"/>
      <c r="D288" s="160"/>
      <c r="E288" s="160"/>
      <c r="F288" s="160"/>
      <c r="G288" s="132"/>
      <c r="H288" s="132"/>
      <c r="I288" s="132"/>
      <c r="J288" s="132">
        <f>SUM(J14:J286)</f>
        <v>1122907.5349281062</v>
      </c>
      <c r="K288" s="141"/>
    </row>
    <row r="289" spans="1:11" x14ac:dyDescent="0.25">
      <c r="A289" s="108"/>
      <c r="B289" s="109"/>
      <c r="C289" s="109"/>
      <c r="D289" s="109"/>
      <c r="E289" s="109"/>
      <c r="F289" s="109"/>
      <c r="G289" s="110"/>
      <c r="H289" s="110"/>
      <c r="I289" s="110"/>
      <c r="J289" s="110"/>
      <c r="K289" s="109"/>
    </row>
    <row r="290" spans="1:11" s="1" customFormat="1" x14ac:dyDescent="0.25">
      <c r="A290" s="111"/>
      <c r="B290" s="145" t="s">
        <v>117</v>
      </c>
      <c r="C290" s="186">
        <f>J288</f>
        <v>1122907.5349281062</v>
      </c>
      <c r="D290" s="186"/>
      <c r="E290" s="144">
        <v>100</v>
      </c>
      <c r="F290" s="112"/>
      <c r="G290" s="113"/>
      <c r="H290" s="112"/>
      <c r="I290" s="114"/>
      <c r="J290" s="115"/>
      <c r="K290" s="116"/>
    </row>
    <row r="291" spans="1:11" x14ac:dyDescent="0.25">
      <c r="A291" s="108"/>
      <c r="B291" s="145" t="s">
        <v>118</v>
      </c>
      <c r="C291" s="187">
        <v>1000000</v>
      </c>
      <c r="D291" s="187"/>
      <c r="E291" s="144"/>
      <c r="F291" s="109"/>
      <c r="G291" s="110"/>
      <c r="H291" s="110"/>
      <c r="I291" s="110"/>
      <c r="J291" s="110"/>
      <c r="K291" s="109"/>
    </row>
    <row r="292" spans="1:11" x14ac:dyDescent="0.25">
      <c r="A292" s="108"/>
      <c r="B292" s="145" t="s">
        <v>119</v>
      </c>
      <c r="C292" s="187">
        <f>C291-C294-C295</f>
        <v>950000</v>
      </c>
      <c r="D292" s="187"/>
      <c r="E292" s="144">
        <f>C292/C290*100</f>
        <v>84.601801167967352</v>
      </c>
      <c r="F292" s="109"/>
      <c r="G292" s="110"/>
      <c r="H292" s="110"/>
      <c r="I292" s="110"/>
      <c r="K292" s="109"/>
    </row>
    <row r="293" spans="1:11" x14ac:dyDescent="0.25">
      <c r="A293" s="108"/>
      <c r="B293" s="145" t="s">
        <v>120</v>
      </c>
      <c r="C293" s="186">
        <f>C290-C292</f>
        <v>172907.53492810624</v>
      </c>
      <c r="D293" s="186"/>
      <c r="E293" s="144">
        <f>100-E292</f>
        <v>15.398198832032648</v>
      </c>
      <c r="F293" s="109"/>
      <c r="G293" s="110"/>
      <c r="H293" s="110"/>
      <c r="I293" s="110"/>
      <c r="J293" s="110"/>
      <c r="K293" s="109"/>
    </row>
    <row r="294" spans="1:11" x14ac:dyDescent="0.25">
      <c r="A294" s="108"/>
      <c r="B294" s="145" t="s">
        <v>121</v>
      </c>
      <c r="C294" s="186">
        <f>C291*0.03</f>
        <v>30000</v>
      </c>
      <c r="D294" s="186"/>
      <c r="E294" s="144">
        <v>3</v>
      </c>
      <c r="F294" s="109"/>
      <c r="G294" s="110"/>
      <c r="H294" s="110"/>
      <c r="I294" s="110"/>
      <c r="J294" s="110"/>
      <c r="K294" s="109"/>
    </row>
    <row r="295" spans="1:11" x14ac:dyDescent="0.25">
      <c r="A295" s="108"/>
      <c r="B295" s="145" t="s">
        <v>122</v>
      </c>
      <c r="C295" s="186">
        <f>C291*0.02</f>
        <v>20000</v>
      </c>
      <c r="D295" s="186"/>
      <c r="E295" s="144">
        <v>2</v>
      </c>
      <c r="F295" s="109"/>
      <c r="G295" s="110"/>
      <c r="H295" s="110"/>
      <c r="I295" s="110"/>
      <c r="J295" s="110"/>
      <c r="K295" s="109"/>
    </row>
    <row r="298" spans="1:11" x14ac:dyDescent="0.25">
      <c r="C298" s="193">
        <v>1122907.5280790622</v>
      </c>
      <c r="D298" s="193"/>
      <c r="J298" s="110">
        <f>J288*2</f>
        <v>2245815.0698562125</v>
      </c>
    </row>
    <row r="299" spans="1:11" x14ac:dyDescent="0.25">
      <c r="C299" s="193"/>
      <c r="D299" s="193"/>
    </row>
    <row r="300" spans="1:11" x14ac:dyDescent="0.25">
      <c r="C300" s="193"/>
      <c r="D300" s="193"/>
    </row>
  </sheetData>
  <mergeCells count="18">
    <mergeCell ref="C298:D298"/>
    <mergeCell ref="C299:D299"/>
    <mergeCell ref="C300:D300"/>
    <mergeCell ref="A6:F6"/>
    <mergeCell ref="H6:K6"/>
    <mergeCell ref="A1:K1"/>
    <mergeCell ref="A2:K2"/>
    <mergeCell ref="A3:K3"/>
    <mergeCell ref="A4:K4"/>
    <mergeCell ref="A5:K5"/>
    <mergeCell ref="C294:D294"/>
    <mergeCell ref="C295:D295"/>
    <mergeCell ref="A7:F7"/>
    <mergeCell ref="H7:K7"/>
    <mergeCell ref="C290:D290"/>
    <mergeCell ref="C291:D291"/>
    <mergeCell ref="C292:D292"/>
    <mergeCell ref="C293:D293"/>
  </mergeCells>
  <printOptions horizontalCentered="1"/>
  <pageMargins left="0.7" right="0.7" top="0.75" bottom="0.75" header="0.3" footer="0.3"/>
  <pageSetup paperSize="9" scale="78" orientation="portrait" horizontalDpi="300" verticalDpi="300" r:id="rId1"/>
  <headerFooter>
    <oddFooter>&amp;LPrepared By:
Kristal Suwal&amp;CChecked By:
Er. Milan Phuyal&amp;RApproved By:
Er. Prakash Singh Saud</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A23" zoomScaleNormal="100" workbookViewId="0">
      <selection activeCell="B32" sqref="B3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4" max="14" width="10.5703125" bestFit="1" customWidth="1"/>
  </cols>
  <sheetData>
    <row r="1" spans="1:13" x14ac:dyDescent="0.25">
      <c r="A1" s="190" t="s">
        <v>0</v>
      </c>
      <c r="B1" s="190"/>
      <c r="C1" s="190"/>
      <c r="D1" s="190"/>
      <c r="E1" s="190"/>
      <c r="F1" s="190"/>
      <c r="G1" s="190"/>
      <c r="H1" s="190"/>
      <c r="I1" s="190"/>
      <c r="J1" s="190"/>
      <c r="K1" s="190"/>
    </row>
    <row r="2" spans="1:13" ht="25.5" x14ac:dyDescent="0.35">
      <c r="A2" s="191" t="s">
        <v>1</v>
      </c>
      <c r="B2" s="191"/>
      <c r="C2" s="191"/>
      <c r="D2" s="191"/>
      <c r="E2" s="191"/>
      <c r="F2" s="191"/>
      <c r="G2" s="191"/>
      <c r="H2" s="191"/>
      <c r="I2" s="191"/>
      <c r="J2" s="191"/>
      <c r="K2" s="191"/>
    </row>
    <row r="3" spans="1:13" s="1" customFormat="1" x14ac:dyDescent="0.25">
      <c r="A3" s="179" t="s">
        <v>2</v>
      </c>
      <c r="B3" s="179"/>
      <c r="C3" s="179"/>
      <c r="D3" s="179"/>
      <c r="E3" s="179"/>
      <c r="F3" s="179"/>
      <c r="G3" s="179"/>
      <c r="H3" s="179"/>
      <c r="I3" s="179"/>
      <c r="J3" s="179"/>
      <c r="K3" s="179"/>
    </row>
    <row r="4" spans="1:13" s="1" customFormat="1" x14ac:dyDescent="0.25">
      <c r="A4" s="179" t="s">
        <v>3</v>
      </c>
      <c r="B4" s="179"/>
      <c r="C4" s="179"/>
      <c r="D4" s="179"/>
      <c r="E4" s="179"/>
      <c r="F4" s="179"/>
      <c r="G4" s="179"/>
      <c r="H4" s="179"/>
      <c r="I4" s="179"/>
      <c r="J4" s="179"/>
      <c r="K4" s="179"/>
    </row>
    <row r="5" spans="1:13" ht="18.75" x14ac:dyDescent="0.3">
      <c r="A5" s="192" t="s">
        <v>138</v>
      </c>
      <c r="B5" s="192"/>
      <c r="C5" s="192"/>
      <c r="D5" s="192"/>
      <c r="E5" s="192"/>
      <c r="F5" s="192"/>
      <c r="G5" s="192"/>
      <c r="H5" s="192"/>
      <c r="I5" s="192"/>
      <c r="J5" s="192"/>
      <c r="K5" s="192"/>
    </row>
    <row r="6" spans="1:13" ht="18.75" x14ac:dyDescent="0.3">
      <c r="A6" s="117" t="s">
        <v>139</v>
      </c>
      <c r="B6" s="117"/>
      <c r="C6" s="188">
        <f>F36</f>
        <v>1122907.5349281062</v>
      </c>
      <c r="D6" s="189"/>
      <c r="E6" s="118"/>
      <c r="F6" s="117"/>
      <c r="G6" s="117"/>
      <c r="H6" s="117" t="s">
        <v>140</v>
      </c>
      <c r="I6" s="117"/>
      <c r="J6" s="188">
        <f>I36</f>
        <v>1090255.627394822</v>
      </c>
      <c r="K6" s="189"/>
    </row>
    <row r="7" spans="1:13" x14ac:dyDescent="0.25">
      <c r="A7" s="119" t="s">
        <v>141</v>
      </c>
      <c r="B7" s="119"/>
      <c r="C7" s="119"/>
      <c r="D7" s="119"/>
      <c r="F7" s="193"/>
      <c r="G7" s="193"/>
      <c r="I7" s="194" t="s">
        <v>142</v>
      </c>
      <c r="J7" s="194"/>
      <c r="K7" s="194"/>
    </row>
    <row r="8" spans="1:13" ht="15.75" x14ac:dyDescent="0.25">
      <c r="A8" s="176" t="str">
        <f>F_estimate!A6</f>
        <v>Project:- इन्द्रायणी माई राख्ने घर व्यवस्थापन</v>
      </c>
      <c r="B8" s="176"/>
      <c r="C8" s="176"/>
      <c r="D8" s="176"/>
      <c r="E8" s="176"/>
      <c r="F8" s="176"/>
      <c r="I8" s="195" t="s">
        <v>143</v>
      </c>
      <c r="J8" s="195"/>
      <c r="K8" s="195"/>
    </row>
    <row r="9" spans="1:13" ht="15.75" x14ac:dyDescent="0.25">
      <c r="A9" s="176" t="str">
        <f>F_estimate!A7</f>
        <v>Location:- Shankharapur Municipality 9</v>
      </c>
      <c r="B9" s="176"/>
      <c r="C9" s="176"/>
      <c r="D9" s="176"/>
      <c r="E9" s="176"/>
      <c r="F9" s="176"/>
      <c r="I9" s="195" t="s">
        <v>160</v>
      </c>
      <c r="J9" s="195"/>
      <c r="K9" s="195"/>
    </row>
    <row r="10" spans="1:13" hidden="1" x14ac:dyDescent="0.25"/>
    <row r="11" spans="1:13" x14ac:dyDescent="0.25">
      <c r="A11" s="197" t="s">
        <v>144</v>
      </c>
      <c r="B11" s="197" t="s">
        <v>145</v>
      </c>
      <c r="C11" s="197" t="s">
        <v>16</v>
      </c>
      <c r="D11" s="198" t="s">
        <v>146</v>
      </c>
      <c r="E11" s="198"/>
      <c r="F11" s="198"/>
      <c r="G11" s="198" t="s">
        <v>147</v>
      </c>
      <c r="H11" s="198"/>
      <c r="I11" s="198"/>
      <c r="J11" s="197" t="s">
        <v>148</v>
      </c>
      <c r="K11" s="196" t="s">
        <v>19</v>
      </c>
    </row>
    <row r="12" spans="1:13" x14ac:dyDescent="0.25">
      <c r="A12" s="197"/>
      <c r="B12" s="197"/>
      <c r="C12" s="197"/>
      <c r="D12" s="141" t="s">
        <v>149</v>
      </c>
      <c r="E12" s="141" t="s">
        <v>17</v>
      </c>
      <c r="F12" s="141" t="s">
        <v>18</v>
      </c>
      <c r="G12" s="141" t="s">
        <v>149</v>
      </c>
      <c r="H12" s="141" t="s">
        <v>17</v>
      </c>
      <c r="I12" s="141" t="s">
        <v>18</v>
      </c>
      <c r="J12" s="197"/>
      <c r="K12" s="196"/>
    </row>
    <row r="13" spans="1:13" s="1" customFormat="1" ht="30" x14ac:dyDescent="0.2">
      <c r="A13" s="161">
        <f>F_estimate!A16</f>
        <v>1</v>
      </c>
      <c r="B13" s="130" t="str">
        <f>F_estimate!B16</f>
        <v>l;d]G6 jf jh|df hf]8]sf] uf/f] eTsfO{ To;af6 cfPsf] ;fdfu+|L !) dL</v>
      </c>
      <c r="C13" s="144" t="str">
        <f>F_estimate!H22</f>
        <v>cum</v>
      </c>
      <c r="D13" s="144">
        <f>F_estimate!G22</f>
        <v>1.9766490251721924</v>
      </c>
      <c r="E13" s="144">
        <f>F_estimate!I22</f>
        <v>1908</v>
      </c>
      <c r="F13" s="144">
        <f>D13*E13</f>
        <v>3771.4463400285431</v>
      </c>
      <c r="G13" s="144">
        <f>'valuated roof only'!G22</f>
        <v>1.9766490251721924</v>
      </c>
      <c r="H13" s="144">
        <f>'valuated roof only'!I22</f>
        <v>1908</v>
      </c>
      <c r="I13" s="144">
        <f>G13*H13</f>
        <v>3771.4463400285431</v>
      </c>
      <c r="J13" s="162">
        <f>I13-F13</f>
        <v>0</v>
      </c>
      <c r="K13" s="157"/>
      <c r="M13" s="1">
        <f t="shared" ref="M13:M21" si="0">1.25*F13</f>
        <v>4714.3079250356786</v>
      </c>
    </row>
    <row r="14" spans="1:13" s="1" customFormat="1" x14ac:dyDescent="0.25">
      <c r="A14" s="161"/>
      <c r="B14" s="62"/>
      <c r="C14" s="144"/>
      <c r="D14" s="144"/>
      <c r="E14" s="144"/>
      <c r="F14" s="144"/>
      <c r="G14" s="144"/>
      <c r="H14" s="144"/>
      <c r="I14" s="144"/>
      <c r="J14" s="162"/>
      <c r="K14" s="157"/>
    </row>
    <row r="15" spans="1:13" s="1" customFormat="1" ht="30" x14ac:dyDescent="0.25">
      <c r="A15" s="161">
        <f>F_estimate!A24</f>
        <v>2</v>
      </c>
      <c r="B15" s="62" t="str">
        <f>F_estimate!B24</f>
        <v>Dismantling R.C.C. or R.B.C work and throwing away.</v>
      </c>
      <c r="C15" s="144" t="str">
        <f>F_estimate!H28</f>
        <v>cum</v>
      </c>
      <c r="D15" s="144">
        <f>F_estimate!G28</f>
        <v>2.615225295144362</v>
      </c>
      <c r="E15" s="144">
        <f>F_estimate!I28</f>
        <v>9900</v>
      </c>
      <c r="F15" s="144">
        <f>D15*E15</f>
        <v>25890.730421929184</v>
      </c>
      <c r="G15" s="144">
        <f>'valuated roof only'!G28</f>
        <v>2.5976511108586458</v>
      </c>
      <c r="H15" s="144">
        <f>'valuated roof only'!I28</f>
        <v>9900</v>
      </c>
      <c r="I15" s="144">
        <f>G15*H15</f>
        <v>25716.745997500591</v>
      </c>
      <c r="J15" s="162">
        <f>I15-F15</f>
        <v>-173.98442442859232</v>
      </c>
      <c r="K15" s="157"/>
      <c r="M15" s="1">
        <f t="shared" si="0"/>
        <v>32363.41302741148</v>
      </c>
    </row>
    <row r="16" spans="1:13" s="1" customFormat="1" x14ac:dyDescent="0.25">
      <c r="A16" s="161"/>
      <c r="B16" s="62"/>
      <c r="C16" s="144"/>
      <c r="D16" s="144"/>
      <c r="E16" s="144"/>
      <c r="F16" s="144"/>
      <c r="G16" s="144"/>
      <c r="H16" s="144"/>
      <c r="I16" s="144"/>
      <c r="J16" s="162"/>
      <c r="K16" s="157"/>
    </row>
    <row r="17" spans="1:14" s="1" customFormat="1" ht="30" x14ac:dyDescent="0.25">
      <c r="A17" s="161">
        <f>F_estimate!A173</f>
        <v>3</v>
      </c>
      <c r="B17" s="62" t="str">
        <f>F_estimate!B173</f>
        <v>Nepali Sal wood work for beam,joist,column etc.(8'- 0" to 12'-0")</v>
      </c>
      <c r="C17" s="144" t="str">
        <f>F_estimate!H185</f>
        <v>cum</v>
      </c>
      <c r="D17" s="144">
        <f>F_estimate!G185</f>
        <v>1.1618612495964711</v>
      </c>
      <c r="E17" s="144">
        <f>F_estimate!I185</f>
        <v>321594</v>
      </c>
      <c r="F17" s="144">
        <f>D17*E17</f>
        <v>373647.6067027275</v>
      </c>
      <c r="G17" s="144">
        <f>'valuated roof only'!G185</f>
        <v>1.2184866524169418</v>
      </c>
      <c r="H17" s="144">
        <f>'valuated roof only'!I185</f>
        <v>321594</v>
      </c>
      <c r="I17" s="144">
        <f>G17*H17</f>
        <v>391857.99649737397</v>
      </c>
      <c r="J17" s="162">
        <f>I17-F17</f>
        <v>18210.389794646471</v>
      </c>
      <c r="K17" s="157"/>
      <c r="M17" s="1">
        <f>1.25*F17</f>
        <v>467059.50837840937</v>
      </c>
    </row>
    <row r="18" spans="1:14" s="1" customFormat="1" x14ac:dyDescent="0.25">
      <c r="A18" s="161"/>
      <c r="B18" s="60" t="str">
        <f>F_estimate!B186</f>
        <v>VAT calculation</v>
      </c>
      <c r="C18" s="144"/>
      <c r="D18" s="144"/>
      <c r="E18" s="144"/>
      <c r="F18" s="144">
        <f>F_estimate!J186</f>
        <v>44815.96276173486</v>
      </c>
      <c r="G18" s="144"/>
      <c r="H18" s="144"/>
      <c r="I18" s="144">
        <f>'valuated roof only'!J186</f>
        <v>47000.149509551637</v>
      </c>
      <c r="J18" s="162">
        <f>I18-F18</f>
        <v>2184.1867478167769</v>
      </c>
      <c r="K18" s="157"/>
    </row>
    <row r="19" spans="1:14" s="1" customFormat="1" x14ac:dyDescent="0.25">
      <c r="A19" s="161"/>
      <c r="B19" s="62"/>
      <c r="C19" s="144"/>
      <c r="D19" s="144"/>
      <c r="E19" s="144"/>
      <c r="F19" s="144"/>
      <c r="G19" s="144"/>
      <c r="H19" s="144"/>
      <c r="I19" s="144"/>
      <c r="J19" s="162"/>
      <c r="K19" s="157"/>
    </row>
    <row r="20" spans="1:14" s="1" customFormat="1" x14ac:dyDescent="0.25">
      <c r="A20" s="161">
        <f>F_estimate!A188</f>
        <v>4</v>
      </c>
      <c r="B20" s="62" t="str">
        <f>F_estimate!B188</f>
        <v>1"thick Nepali Sal wood planking works</v>
      </c>
      <c r="C20" s="144" t="str">
        <f>F_estimate!H195</f>
        <v>sqm</v>
      </c>
      <c r="D20" s="144">
        <f>F_estimate!G195</f>
        <v>50.890879493200202</v>
      </c>
      <c r="E20" s="144">
        <f>F_estimate!I195</f>
        <v>5938.4695652173914</v>
      </c>
      <c r="F20" s="144">
        <f>D20*E20</f>
        <v>302213.93901751528</v>
      </c>
      <c r="G20" s="144">
        <f>'valuated roof only'!G199</f>
        <v>51.057712221883577</v>
      </c>
      <c r="H20" s="144">
        <f>'valuated roof only'!I199</f>
        <v>5938.4695652173914</v>
      </c>
      <c r="I20" s="144">
        <f>G20*H20</f>
        <v>303204.67009928363</v>
      </c>
      <c r="J20" s="162">
        <f>I20-F20</f>
        <v>990.73108176834648</v>
      </c>
      <c r="K20" s="157"/>
      <c r="M20" s="1">
        <f t="shared" si="0"/>
        <v>377767.42377189407</v>
      </c>
      <c r="N20" s="120">
        <f>SUM(J20:J21)</f>
        <v>1115.1530314297852</v>
      </c>
    </row>
    <row r="21" spans="1:14" s="1" customFormat="1" x14ac:dyDescent="0.25">
      <c r="A21" s="161"/>
      <c r="B21" s="60" t="str">
        <f>F_estimate!B196</f>
        <v>VAT calculation</v>
      </c>
      <c r="C21" s="144"/>
      <c r="D21" s="144"/>
      <c r="E21" s="144"/>
      <c r="F21" s="144">
        <f>F_estimate!J196</f>
        <v>37953.838533365684</v>
      </c>
      <c r="G21" s="144"/>
      <c r="H21" s="144"/>
      <c r="I21" s="144">
        <f>'valuated roof only'!J200</f>
        <v>38078.260483027123</v>
      </c>
      <c r="J21" s="162">
        <f>I21-F21</f>
        <v>124.4219496614387</v>
      </c>
      <c r="K21" s="157"/>
      <c r="M21" s="1">
        <f t="shared" si="0"/>
        <v>47442.298166707107</v>
      </c>
      <c r="N21" s="120">
        <f>SUM(J20:J27)</f>
        <v>-14922.722273347177</v>
      </c>
    </row>
    <row r="22" spans="1:14" s="1" customFormat="1" x14ac:dyDescent="0.25">
      <c r="A22" s="161"/>
      <c r="B22" s="62"/>
      <c r="C22" s="144"/>
      <c r="D22" s="144"/>
      <c r="E22" s="144"/>
      <c r="F22" s="144"/>
      <c r="G22" s="144"/>
      <c r="H22" s="144"/>
      <c r="I22" s="144"/>
      <c r="J22" s="162"/>
      <c r="K22" s="157"/>
    </row>
    <row r="23" spans="1:14" s="1" customFormat="1" ht="30" x14ac:dyDescent="0.25">
      <c r="A23" s="161">
        <f>F_estimate!A198</f>
        <v>5</v>
      </c>
      <c r="B23" s="62" t="str">
        <f>F_estimate!B198</f>
        <v>Sal Timber work for beam,joist,column etc.(up to 8'- 0" )</v>
      </c>
      <c r="C23" s="144" t="str">
        <f>F_estimate!H210</f>
        <v>cum</v>
      </c>
      <c r="D23" s="144">
        <f>F_estimate!G210</f>
        <v>0.48228154438487375</v>
      </c>
      <c r="E23" s="144">
        <f>F_estimate!I210</f>
        <v>303053.62608695653</v>
      </c>
      <c r="F23" s="144">
        <f>D23*E23</f>
        <v>146157.17082065347</v>
      </c>
      <c r="G23" s="144">
        <f>'valuated roof only'!G214</f>
        <v>0.48701448430395139</v>
      </c>
      <c r="H23" s="144">
        <f>'valuated roof only'!I214</f>
        <v>303053.62608695653</v>
      </c>
      <c r="I23" s="144">
        <f>G23*H23</f>
        <v>147591.50542518165</v>
      </c>
      <c r="J23" s="162">
        <f>I23-F23</f>
        <v>1434.3346045281796</v>
      </c>
      <c r="K23" s="157"/>
      <c r="M23" s="1">
        <f t="shared" ref="M23:M24" si="1">1.25*F23</f>
        <v>182696.46352581683</v>
      </c>
    </row>
    <row r="24" spans="1:14" s="1" customFormat="1" x14ac:dyDescent="0.25">
      <c r="A24" s="161"/>
      <c r="B24" s="60" t="str">
        <f>F_estimate!B211</f>
        <v>VAT calculation</v>
      </c>
      <c r="C24" s="144"/>
      <c r="D24" s="144"/>
      <c r="E24" s="144"/>
      <c r="F24" s="144">
        <f>F_estimate!J211</f>
        <v>18602.833807678206</v>
      </c>
      <c r="G24" s="144"/>
      <c r="H24" s="144"/>
      <c r="I24" s="144">
        <f>'valuated roof only'!J215</f>
        <v>18785.395416683223</v>
      </c>
      <c r="J24" s="162">
        <f>I24-F24</f>
        <v>182.56160900501709</v>
      </c>
      <c r="K24" s="157"/>
      <c r="M24" s="1">
        <f t="shared" si="1"/>
        <v>23253.542259597758</v>
      </c>
    </row>
    <row r="25" spans="1:14" s="1" customFormat="1" x14ac:dyDescent="0.25">
      <c r="A25" s="161"/>
      <c r="B25" s="62"/>
      <c r="C25" s="144"/>
      <c r="D25" s="144"/>
      <c r="E25" s="144"/>
      <c r="F25" s="144"/>
      <c r="G25" s="144"/>
      <c r="H25" s="144"/>
      <c r="I25" s="144"/>
      <c r="J25" s="162"/>
      <c r="K25" s="157"/>
    </row>
    <row r="26" spans="1:14" s="1" customFormat="1" x14ac:dyDescent="0.2">
      <c r="A26" s="161">
        <f>F_estimate!A223</f>
        <v>6</v>
      </c>
      <c r="B26" s="130" t="str">
        <f>F_estimate!B223</f>
        <v>cu|fv sf7sf] rf}s; agfO hf]8\g] sfd</v>
      </c>
      <c r="C26" s="144" t="str">
        <f>F_estimate!H230</f>
        <v>cum</v>
      </c>
      <c r="D26" s="144">
        <f>F_estimate!G230</f>
        <v>5.6192852788783915E-2</v>
      </c>
      <c r="E26" s="144">
        <f>F_estimate!I230</f>
        <v>283082.83</v>
      </c>
      <c r="F26" s="144">
        <f>D26*E26</f>
        <v>15907.231793222343</v>
      </c>
      <c r="G26" s="144">
        <f>'valuated roof only'!G234</f>
        <v>0</v>
      </c>
      <c r="H26" s="144">
        <f>'valuated roof only'!I234</f>
        <v>283082.83</v>
      </c>
      <c r="I26" s="144">
        <f>G26*H26</f>
        <v>0</v>
      </c>
      <c r="J26" s="162">
        <f>I26-F26</f>
        <v>-15907.231793222343</v>
      </c>
      <c r="K26" s="157"/>
      <c r="M26" s="1">
        <f t="shared" ref="M26:M27" si="2">1.25*F26</f>
        <v>19884.039741527929</v>
      </c>
    </row>
    <row r="27" spans="1:14" s="1" customFormat="1" x14ac:dyDescent="0.25">
      <c r="A27" s="161"/>
      <c r="B27" s="60" t="str">
        <f>F_estimate!B231</f>
        <v>-VAT 13% for materials</v>
      </c>
      <c r="C27" s="144"/>
      <c r="D27" s="144"/>
      <c r="E27" s="144"/>
      <c r="F27" s="144">
        <f>F_estimate!J231</f>
        <v>1747.5397250878164</v>
      </c>
      <c r="G27" s="144"/>
      <c r="H27" s="144"/>
      <c r="I27" s="144">
        <f>'valuated roof only'!J235</f>
        <v>0</v>
      </c>
      <c r="J27" s="162">
        <f>I27-F27</f>
        <v>-1747.5397250878164</v>
      </c>
      <c r="K27" s="157"/>
      <c r="M27" s="1">
        <f t="shared" si="2"/>
        <v>2184.4246563597703</v>
      </c>
    </row>
    <row r="28" spans="1:14" s="1" customFormat="1" x14ac:dyDescent="0.25">
      <c r="A28" s="161"/>
      <c r="B28" s="62"/>
      <c r="C28" s="144"/>
      <c r="D28" s="144"/>
      <c r="E28" s="144"/>
      <c r="F28" s="144"/>
      <c r="G28" s="144"/>
      <c r="H28" s="144"/>
      <c r="I28" s="144"/>
      <c r="J28" s="162"/>
      <c r="K28" s="157"/>
    </row>
    <row r="29" spans="1:14" s="1" customFormat="1" ht="30" x14ac:dyDescent="0.2">
      <c r="A29" s="161">
        <f>F_estimate!A251</f>
        <v>7</v>
      </c>
      <c r="B29" s="130" t="str">
        <f>F_estimate!B251</f>
        <v>e'O{+tNnfeGbf dfly lrDgL e§fsf] O{+6fsf] uf/f] l;d]G6 d;nf -!M^_ df</v>
      </c>
      <c r="C29" s="144" t="str">
        <f>F_estimate!H258</f>
        <v>cum</v>
      </c>
      <c r="D29" s="144">
        <f>F_estimate!G258</f>
        <v>7.043028796156344</v>
      </c>
      <c r="E29" s="144">
        <f>F_estimate!I258</f>
        <v>14984.29</v>
      </c>
      <c r="F29" s="144">
        <f>D29*E29</f>
        <v>105534.78595995755</v>
      </c>
      <c r="G29" s="144">
        <f>'valuated roof only'!G263</f>
        <v>6.923823679745178</v>
      </c>
      <c r="H29" s="144">
        <f>'valuated roof only'!I263</f>
        <v>14984.29</v>
      </c>
      <c r="I29" s="144">
        <f>G29*H29</f>
        <v>103748.58192616887</v>
      </c>
      <c r="J29" s="162">
        <f>I29-F29</f>
        <v>-1786.2040337886719</v>
      </c>
      <c r="K29" s="157"/>
      <c r="M29" s="1">
        <f t="shared" ref="M29:M30" si="3">1.25*F29</f>
        <v>131918.48244994693</v>
      </c>
    </row>
    <row r="30" spans="1:14" s="1" customFormat="1" x14ac:dyDescent="0.25">
      <c r="A30" s="161"/>
      <c r="B30" s="60" t="str">
        <f>F_estimate!B259</f>
        <v>VAT calculation</v>
      </c>
      <c r="C30" s="144"/>
      <c r="D30" s="144"/>
      <c r="E30" s="144"/>
      <c r="F30" s="144">
        <f>F_estimate!J259</f>
        <v>9664.4490442058923</v>
      </c>
      <c r="G30" s="144"/>
      <c r="H30" s="144"/>
      <c r="I30" s="144">
        <f>'valuated roof only'!J264</f>
        <v>9500.8757000229089</v>
      </c>
      <c r="J30" s="162">
        <f>I30-F30</f>
        <v>-163.57334418298342</v>
      </c>
      <c r="K30" s="157"/>
      <c r="M30" s="1">
        <f t="shared" si="3"/>
        <v>12080.561305257364</v>
      </c>
    </row>
    <row r="31" spans="1:14" s="1" customFormat="1" x14ac:dyDescent="0.25">
      <c r="A31" s="161"/>
      <c r="B31" s="62"/>
      <c r="C31" s="144"/>
      <c r="D31" s="144"/>
      <c r="E31" s="144"/>
      <c r="F31" s="144"/>
      <c r="G31" s="144"/>
      <c r="H31" s="144"/>
      <c r="I31" s="144"/>
      <c r="J31" s="162"/>
      <c r="K31" s="157"/>
    </row>
    <row r="32" spans="1:14" s="1" customFormat="1" x14ac:dyDescent="0.25">
      <c r="A32" s="161">
        <f>F_estimate!A284</f>
        <v>8</v>
      </c>
      <c r="B32" s="62" t="str">
        <f>F_estimate!B284</f>
        <v>Provisional sum for unforseen works</v>
      </c>
      <c r="C32" s="144" t="str">
        <f>F_estimate!H284</f>
        <v>PS</v>
      </c>
      <c r="D32" s="144">
        <f>F_estimate!G284</f>
        <v>1</v>
      </c>
      <c r="E32" s="144">
        <f>F_estimate!I284</f>
        <v>36000</v>
      </c>
      <c r="F32" s="144">
        <f>D32*E32</f>
        <v>36000</v>
      </c>
      <c r="G32" s="144">
        <f>'valuated roof only'!G289</f>
        <v>0</v>
      </c>
      <c r="H32" s="144">
        <f>'valuated roof only'!I289</f>
        <v>36000</v>
      </c>
      <c r="I32" s="144">
        <f>G32*H32</f>
        <v>0</v>
      </c>
      <c r="J32" s="162">
        <f>I32-F32</f>
        <v>-36000</v>
      </c>
      <c r="K32" s="157"/>
      <c r="M32" s="1">
        <f t="shared" ref="M32" si="4">1.25*F32</f>
        <v>45000</v>
      </c>
    </row>
    <row r="33" spans="1:13" s="1" customFormat="1" x14ac:dyDescent="0.25">
      <c r="A33" s="161"/>
      <c r="B33" s="62"/>
      <c r="C33" s="144"/>
      <c r="D33" s="144"/>
      <c r="E33" s="144"/>
      <c r="F33" s="144"/>
      <c r="G33" s="144"/>
      <c r="H33" s="144"/>
      <c r="I33" s="144"/>
      <c r="J33" s="162"/>
      <c r="K33" s="157"/>
    </row>
    <row r="34" spans="1:13" s="1" customFormat="1" x14ac:dyDescent="0.25">
      <c r="A34" s="161">
        <f>F_estimate!A286</f>
        <v>9</v>
      </c>
      <c r="B34" s="62" t="str">
        <f>F_estimate!B286</f>
        <v>Information board (सुचना पाटि)</v>
      </c>
      <c r="C34" s="144" t="str">
        <f>F_estimate!H286</f>
        <v>no.</v>
      </c>
      <c r="D34" s="144">
        <f>F_estimate!G286</f>
        <v>1</v>
      </c>
      <c r="E34" s="144">
        <f>F_estimate!I286</f>
        <v>1000</v>
      </c>
      <c r="F34" s="144">
        <f>D34*E34</f>
        <v>1000</v>
      </c>
      <c r="G34" s="144">
        <f>'valuated roof only'!G291</f>
        <v>1</v>
      </c>
      <c r="H34" s="144">
        <f>'valuated roof only'!I291</f>
        <v>1000</v>
      </c>
      <c r="I34" s="144">
        <f>G34*H34</f>
        <v>1000</v>
      </c>
      <c r="J34" s="162">
        <f>I34-F34</f>
        <v>0</v>
      </c>
      <c r="K34" s="157"/>
      <c r="M34" s="1">
        <f t="shared" ref="M34" si="5">1.25*F34</f>
        <v>1250</v>
      </c>
    </row>
    <row r="35" spans="1:13" s="1" customFormat="1" hidden="1" x14ac:dyDescent="0.25">
      <c r="A35" s="163"/>
      <c r="B35" s="163"/>
      <c r="C35" s="144"/>
      <c r="D35" s="144"/>
      <c r="E35" s="144"/>
      <c r="F35" s="144"/>
      <c r="G35" s="144"/>
      <c r="H35" s="144"/>
      <c r="I35" s="144"/>
      <c r="J35" s="162"/>
      <c r="K35" s="157"/>
    </row>
    <row r="36" spans="1:13" x14ac:dyDescent="0.25">
      <c r="A36" s="141"/>
      <c r="B36" s="164" t="s">
        <v>150</v>
      </c>
      <c r="C36" s="164"/>
      <c r="D36" s="132"/>
      <c r="E36" s="132"/>
      <c r="F36" s="132">
        <f>SUM(F13:F35)</f>
        <v>1122907.5349281062</v>
      </c>
      <c r="G36" s="132"/>
      <c r="H36" s="132"/>
      <c r="I36" s="132">
        <f>SUM(I13:I35)</f>
        <v>1090255.627394822</v>
      </c>
      <c r="J36" s="165">
        <f>I36-F36</f>
        <v>-32651.907533284277</v>
      </c>
      <c r="K36" s="141"/>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04"/>
  <sheetViews>
    <sheetView tabSelected="1" topLeftCell="A258" zoomScaleNormal="100" zoomScaleSheetLayoutView="80" workbookViewId="0">
      <selection activeCell="G176" sqref="G176"/>
    </sheetView>
  </sheetViews>
  <sheetFormatPr defaultRowHeight="15" x14ac:dyDescent="0.25"/>
  <cols>
    <col min="1" max="1" width="4.42578125" style="71" customWidth="1"/>
    <col min="2" max="2" width="31.28515625" customWidth="1"/>
    <col min="3" max="3" width="5.5703125" bestFit="1" customWidth="1"/>
    <col min="4" max="4" width="9.28515625" customWidth="1"/>
    <col min="5" max="5" width="7.85546875" customWidth="1"/>
    <col min="6" max="6" width="8.28515625" customWidth="1"/>
    <col min="7" max="7" width="8.5703125" style="72" customWidth="1"/>
    <col min="8" max="8" width="5.28515625" style="72" bestFit="1" customWidth="1"/>
    <col min="9" max="9" width="10.42578125" style="72" customWidth="1"/>
    <col min="10" max="10" width="10.5703125" style="72" bestFit="1" customWidth="1"/>
    <col min="11" max="11" width="8.85546875" customWidth="1"/>
    <col min="13" max="14" width="9.5703125" bestFit="1" customWidth="1"/>
  </cols>
  <sheetData>
    <row r="1" spans="1:14" s="1" customFormat="1" x14ac:dyDescent="0.25">
      <c r="A1" s="177" t="s">
        <v>0</v>
      </c>
      <c r="B1" s="177"/>
      <c r="C1" s="177"/>
      <c r="D1" s="177"/>
      <c r="E1" s="177"/>
      <c r="F1" s="177"/>
      <c r="G1" s="177"/>
      <c r="H1" s="177"/>
      <c r="I1" s="177"/>
      <c r="J1" s="177"/>
      <c r="K1" s="177"/>
    </row>
    <row r="2" spans="1:14" s="1" customFormat="1" ht="22.5" x14ac:dyDescent="0.25">
      <c r="A2" s="178" t="s">
        <v>1</v>
      </c>
      <c r="B2" s="178"/>
      <c r="C2" s="178"/>
      <c r="D2" s="178"/>
      <c r="E2" s="178"/>
      <c r="F2" s="178"/>
      <c r="G2" s="178"/>
      <c r="H2" s="178"/>
      <c r="I2" s="178"/>
      <c r="J2" s="178"/>
      <c r="K2" s="178"/>
    </row>
    <row r="3" spans="1:14" s="1" customFormat="1" x14ac:dyDescent="0.25">
      <c r="A3" s="179" t="s">
        <v>2</v>
      </c>
      <c r="B3" s="179"/>
      <c r="C3" s="179"/>
      <c r="D3" s="179"/>
      <c r="E3" s="179"/>
      <c r="F3" s="179"/>
      <c r="G3" s="179"/>
      <c r="H3" s="179"/>
      <c r="I3" s="179"/>
      <c r="J3" s="179"/>
      <c r="K3" s="179"/>
    </row>
    <row r="4" spans="1:14" s="1" customFormat="1" x14ac:dyDescent="0.25">
      <c r="A4" s="179" t="s">
        <v>3</v>
      </c>
      <c r="B4" s="179"/>
      <c r="C4" s="179"/>
      <c r="D4" s="179"/>
      <c r="E4" s="179"/>
      <c r="F4" s="179"/>
      <c r="G4" s="179"/>
      <c r="H4" s="179"/>
      <c r="I4" s="179"/>
      <c r="J4" s="179"/>
      <c r="K4" s="179"/>
    </row>
    <row r="5" spans="1:14" ht="18.75" x14ac:dyDescent="0.3">
      <c r="A5" s="180" t="s">
        <v>161</v>
      </c>
      <c r="B5" s="180"/>
      <c r="C5" s="180"/>
      <c r="D5" s="180"/>
      <c r="E5" s="180"/>
      <c r="F5" s="180"/>
      <c r="G5" s="180"/>
      <c r="H5" s="180"/>
      <c r="I5" s="180"/>
      <c r="J5" s="180"/>
      <c r="K5" s="180"/>
    </row>
    <row r="6" spans="1:14" ht="15.75" x14ac:dyDescent="0.25">
      <c r="A6" s="176" t="s">
        <v>5</v>
      </c>
      <c r="B6" s="176"/>
      <c r="C6" s="176"/>
      <c r="D6" s="176"/>
      <c r="E6" s="176"/>
      <c r="F6" s="176"/>
      <c r="G6" s="2"/>
      <c r="H6" s="172" t="s">
        <v>6</v>
      </c>
      <c r="I6" s="172"/>
      <c r="J6" s="172"/>
      <c r="K6" s="172"/>
    </row>
    <row r="7" spans="1:14" ht="15.75" x14ac:dyDescent="0.25">
      <c r="A7" s="171" t="s">
        <v>7</v>
      </c>
      <c r="B7" s="171"/>
      <c r="C7" s="171"/>
      <c r="D7" s="171"/>
      <c r="E7" s="171"/>
      <c r="F7" s="171"/>
      <c r="G7" s="3"/>
      <c r="H7" s="172" t="s">
        <v>8</v>
      </c>
      <c r="I7" s="172"/>
      <c r="J7" s="172"/>
      <c r="K7" s="172"/>
    </row>
    <row r="8" spans="1:14" s="9" customFormat="1" ht="15" customHeight="1" x14ac:dyDescent="0.25">
      <c r="A8" s="124" t="s">
        <v>9</v>
      </c>
      <c r="B8" s="125" t="s">
        <v>10</v>
      </c>
      <c r="C8" s="126" t="s">
        <v>11</v>
      </c>
      <c r="D8" s="127" t="s">
        <v>12</v>
      </c>
      <c r="E8" s="127" t="s">
        <v>13</v>
      </c>
      <c r="F8" s="127" t="s">
        <v>14</v>
      </c>
      <c r="G8" s="127" t="s">
        <v>15</v>
      </c>
      <c r="H8" s="126" t="s">
        <v>16</v>
      </c>
      <c r="I8" s="127" t="s">
        <v>17</v>
      </c>
      <c r="J8" s="127" t="s">
        <v>18</v>
      </c>
      <c r="K8" s="128" t="s">
        <v>19</v>
      </c>
    </row>
    <row r="9" spans="1:14" ht="30.75" hidden="1" x14ac:dyDescent="0.25">
      <c r="A9" s="129">
        <v>1</v>
      </c>
      <c r="B9" s="130" t="s">
        <v>20</v>
      </c>
      <c r="C9" s="126"/>
      <c r="D9" s="127"/>
      <c r="E9" s="127"/>
      <c r="F9" s="127"/>
      <c r="G9" s="127"/>
      <c r="H9" s="126"/>
      <c r="I9" s="127"/>
      <c r="J9" s="127"/>
      <c r="K9" s="128"/>
    </row>
    <row r="10" spans="1:14" ht="15" hidden="1" customHeight="1" x14ac:dyDescent="0.25">
      <c r="A10" s="12"/>
      <c r="B10" s="13" t="s">
        <v>21</v>
      </c>
      <c r="C10" s="14">
        <v>1</v>
      </c>
      <c r="D10" s="15"/>
      <c r="E10" s="16">
        <f>10.75/3.281</f>
        <v>3.2764401097226452</v>
      </c>
      <c r="F10" s="16">
        <f>(9.42+7.75)/3.281</f>
        <v>5.233160621761658</v>
      </c>
      <c r="G10" s="131">
        <f t="shared" ref="G10:G13" si="0">PRODUCT(C10:F10)</f>
        <v>17.146137361760992</v>
      </c>
      <c r="H10" s="18"/>
      <c r="I10" s="19"/>
      <c r="J10" s="132"/>
      <c r="K10" s="16"/>
      <c r="M10" s="21"/>
      <c r="N10" s="21"/>
    </row>
    <row r="11" spans="1:14" ht="15" hidden="1" customHeight="1" x14ac:dyDescent="0.25">
      <c r="A11" s="12"/>
      <c r="B11" s="13" t="s">
        <v>22</v>
      </c>
      <c r="C11" s="14">
        <v>-1</v>
      </c>
      <c r="D11" s="15">
        <f>3.5/3.281</f>
        <v>1.0667479427003961</v>
      </c>
      <c r="E11" s="16"/>
      <c r="F11" s="16">
        <v>1.5</v>
      </c>
      <c r="G11" s="131">
        <f t="shared" si="0"/>
        <v>-1.600121914050594</v>
      </c>
      <c r="H11" s="18"/>
      <c r="I11" s="19"/>
      <c r="J11" s="132"/>
      <c r="K11" s="16"/>
      <c r="M11" s="21"/>
      <c r="N11" s="21"/>
    </row>
    <row r="12" spans="1:14" ht="15" hidden="1" customHeight="1" x14ac:dyDescent="0.25">
      <c r="A12" s="12"/>
      <c r="B12" s="13" t="s">
        <v>23</v>
      </c>
      <c r="C12" s="14">
        <v>-1</v>
      </c>
      <c r="D12" s="15">
        <f>3.833/3.281</f>
        <v>1.1682413898201769</v>
      </c>
      <c r="E12" s="16"/>
      <c r="F12" s="16">
        <f>7.75/3.281</f>
        <v>2.3620847302651629</v>
      </c>
      <c r="G12" s="131">
        <f t="shared" si="0"/>
        <v>-2.7594851481579914</v>
      </c>
      <c r="H12" s="18"/>
      <c r="I12" s="19"/>
      <c r="J12" s="132"/>
      <c r="K12" s="16"/>
      <c r="M12" s="21"/>
      <c r="N12" s="21"/>
    </row>
    <row r="13" spans="1:14" ht="15" hidden="1" customHeight="1" x14ac:dyDescent="0.25">
      <c r="A13" s="12"/>
      <c r="B13" s="13" t="s">
        <v>24</v>
      </c>
      <c r="C13" s="14">
        <v>1</v>
      </c>
      <c r="D13" s="15"/>
      <c r="E13" s="16">
        <f>(5.75)/3.281</f>
        <v>1.752514477293508</v>
      </c>
      <c r="F13" s="16">
        <f>(9.42+7.75)/3.281</f>
        <v>5.233160621761658</v>
      </c>
      <c r="G13" s="131">
        <f t="shared" si="0"/>
        <v>9.1711897516396004</v>
      </c>
      <c r="H13" s="18"/>
      <c r="I13" s="19"/>
      <c r="J13" s="132"/>
      <c r="K13" s="16"/>
      <c r="M13" s="21"/>
      <c r="N13" s="21"/>
    </row>
    <row r="14" spans="1:14" ht="15" hidden="1" customHeight="1" x14ac:dyDescent="0.25">
      <c r="A14" s="12"/>
      <c r="B14" s="133" t="s">
        <v>25</v>
      </c>
      <c r="C14" s="14"/>
      <c r="D14" s="15"/>
      <c r="E14" s="16"/>
      <c r="F14" s="16"/>
      <c r="G14" s="19">
        <f>0*SUM(G10:G13)</f>
        <v>0</v>
      </c>
      <c r="H14" s="18" t="s">
        <v>26</v>
      </c>
      <c r="I14" s="19">
        <f>97.2</f>
        <v>97.2</v>
      </c>
      <c r="J14" s="132">
        <f>G14*I14</f>
        <v>0</v>
      </c>
      <c r="K14" s="16"/>
      <c r="M14" s="21"/>
      <c r="N14" s="21"/>
    </row>
    <row r="15" spans="1:14" ht="15" hidden="1" customHeight="1" x14ac:dyDescent="0.25">
      <c r="A15" s="12"/>
      <c r="B15" s="133"/>
      <c r="C15" s="14"/>
      <c r="D15" s="15"/>
      <c r="E15" s="16"/>
      <c r="F15" s="16"/>
      <c r="G15" s="19"/>
      <c r="H15" s="18"/>
      <c r="I15" s="19"/>
      <c r="J15" s="132"/>
      <c r="K15" s="16"/>
      <c r="M15" s="21"/>
      <c r="N15" s="21"/>
    </row>
    <row r="16" spans="1:14" ht="32.25" customHeight="1" x14ac:dyDescent="0.25">
      <c r="A16" s="12">
        <v>1</v>
      </c>
      <c r="B16" s="130" t="s">
        <v>27</v>
      </c>
      <c r="C16" s="14"/>
      <c r="D16" s="15"/>
      <c r="E16" s="16"/>
      <c r="F16" s="16"/>
      <c r="G16" s="19"/>
      <c r="H16" s="18"/>
      <c r="I16" s="19"/>
      <c r="J16" s="132"/>
      <c r="K16" s="16"/>
      <c r="M16" s="21"/>
      <c r="N16" s="21"/>
    </row>
    <row r="17" spans="1:14" ht="15" customHeight="1" x14ac:dyDescent="0.25">
      <c r="A17" s="12"/>
      <c r="B17" s="133" t="s">
        <v>28</v>
      </c>
      <c r="C17" s="14">
        <f>4</f>
        <v>4</v>
      </c>
      <c r="D17" s="15">
        <f>4.5/3.281</f>
        <v>1.3715330691862238</v>
      </c>
      <c r="E17" s="15">
        <f>4.5/3.281</f>
        <v>1.3715330691862238</v>
      </c>
      <c r="F17" s="16">
        <v>0.115</v>
      </c>
      <c r="G17" s="131">
        <f t="shared" ref="G17:G19" si="1">PRODUCT(C17:F17)</f>
        <v>0.86530736154083621</v>
      </c>
      <c r="H17" s="18"/>
      <c r="I17" s="19"/>
      <c r="J17" s="132"/>
      <c r="K17" s="16"/>
      <c r="M17" s="21"/>
      <c r="N17" s="21"/>
    </row>
    <row r="18" spans="1:14" ht="15" customHeight="1" x14ac:dyDescent="0.25">
      <c r="A18" s="12"/>
      <c r="B18" s="133"/>
      <c r="C18" s="14">
        <f>0.5*4</f>
        <v>2</v>
      </c>
      <c r="D18" s="15">
        <f>11/3.281</f>
        <v>3.3526363913441024</v>
      </c>
      <c r="E18" s="15">
        <v>0.23</v>
      </c>
      <c r="F18" s="16">
        <f>2.25/3.281</f>
        <v>0.68576653459311188</v>
      </c>
      <c r="G18" s="131">
        <f t="shared" si="1"/>
        <v>1.0575978863276887</v>
      </c>
      <c r="H18" s="18"/>
      <c r="I18" s="19"/>
      <c r="J18" s="132"/>
      <c r="K18" s="16"/>
      <c r="M18" s="21"/>
      <c r="N18" s="21"/>
    </row>
    <row r="19" spans="1:14" ht="15" customHeight="1" x14ac:dyDescent="0.25">
      <c r="A19" s="12"/>
      <c r="B19" s="133"/>
      <c r="C19" s="14">
        <v>8</v>
      </c>
      <c r="D19" s="15">
        <f>5/12/3.281</f>
        <v>0.12699380270242813</v>
      </c>
      <c r="E19" s="15">
        <v>0.23</v>
      </c>
      <c r="F19" s="16">
        <v>0.23</v>
      </c>
      <c r="G19" s="131">
        <f t="shared" si="1"/>
        <v>5.3743777303667591E-2</v>
      </c>
      <c r="H19" s="18"/>
      <c r="I19" s="19"/>
      <c r="J19" s="132"/>
      <c r="K19" s="16"/>
      <c r="M19" s="21"/>
      <c r="N19" s="21"/>
    </row>
    <row r="20" spans="1:14" ht="15" customHeight="1" x14ac:dyDescent="0.25">
      <c r="A20" s="12"/>
      <c r="B20" s="13" t="s">
        <v>29</v>
      </c>
      <c r="C20" s="14">
        <f>0*2</f>
        <v>0</v>
      </c>
      <c r="D20" s="15">
        <f>0.833/3.281</f>
        <v>0.25388601036269426</v>
      </c>
      <c r="E20" s="15">
        <f>0.833/3.281</f>
        <v>0.25388601036269426</v>
      </c>
      <c r="F20" s="16">
        <f>6.25/3.281</f>
        <v>1.9049070405364217</v>
      </c>
      <c r="G20" s="131">
        <f>PRODUCT(C20:F20)</f>
        <v>0</v>
      </c>
      <c r="H20" s="18"/>
      <c r="I20" s="19"/>
      <c r="J20" s="132"/>
      <c r="K20" s="16"/>
      <c r="M20" s="21"/>
      <c r="N20" s="21"/>
    </row>
    <row r="21" spans="1:14" ht="15" customHeight="1" x14ac:dyDescent="0.25">
      <c r="A21" s="12"/>
      <c r="B21" s="13"/>
      <c r="C21" s="14">
        <f>0*1</f>
        <v>0</v>
      </c>
      <c r="D21" s="15">
        <f>0.833/3.281</f>
        <v>0.25388601036269426</v>
      </c>
      <c r="E21" s="15">
        <f>0.833/3.281</f>
        <v>0.25388601036269426</v>
      </c>
      <c r="F21" s="15">
        <f>0.833/3.281</f>
        <v>0.25388601036269426</v>
      </c>
      <c r="G21" s="131">
        <f>PRODUCT(C21:F21)</f>
        <v>0</v>
      </c>
      <c r="H21" s="18"/>
      <c r="I21" s="19"/>
      <c r="J21" s="132"/>
      <c r="K21" s="16"/>
      <c r="M21" s="21"/>
      <c r="N21" s="21"/>
    </row>
    <row r="22" spans="1:14" ht="15" customHeight="1" x14ac:dyDescent="0.25">
      <c r="A22" s="12"/>
      <c r="B22" s="133" t="s">
        <v>25</v>
      </c>
      <c r="C22" s="14"/>
      <c r="D22" s="15"/>
      <c r="E22" s="16"/>
      <c r="F22" s="16"/>
      <c r="G22" s="19">
        <f>SUM(G17:G21)</f>
        <v>1.9766490251721924</v>
      </c>
      <c r="H22" s="18" t="s">
        <v>30</v>
      </c>
      <c r="I22" s="19">
        <f>1908</f>
        <v>1908</v>
      </c>
      <c r="J22" s="132">
        <f>G22*I22</f>
        <v>3771.4463400285431</v>
      </c>
      <c r="K22" s="16"/>
      <c r="M22" s="21"/>
      <c r="N22" s="21"/>
    </row>
    <row r="23" spans="1:14" ht="15" customHeight="1" x14ac:dyDescent="0.25">
      <c r="A23" s="12"/>
      <c r="B23" s="133"/>
      <c r="C23" s="14"/>
      <c r="D23" s="15"/>
      <c r="E23" s="16"/>
      <c r="F23" s="16"/>
      <c r="G23" s="19"/>
      <c r="H23" s="18"/>
      <c r="I23" s="19"/>
      <c r="J23" s="132"/>
      <c r="K23" s="16"/>
      <c r="M23" s="21"/>
      <c r="N23" s="21"/>
    </row>
    <row r="24" spans="1:14" ht="31.5" x14ac:dyDescent="0.25">
      <c r="A24" s="12">
        <v>2</v>
      </c>
      <c r="B24" s="134" t="s">
        <v>31</v>
      </c>
      <c r="C24" s="14"/>
      <c r="D24" s="15"/>
      <c r="E24" s="16"/>
      <c r="F24" s="16"/>
      <c r="G24" s="19"/>
      <c r="H24" s="18"/>
      <c r="I24" s="19"/>
      <c r="J24" s="132"/>
      <c r="K24" s="16"/>
      <c r="M24" s="21"/>
      <c r="N24" s="21"/>
    </row>
    <row r="25" spans="1:14" ht="15" customHeight="1" x14ac:dyDescent="0.25">
      <c r="A25" s="12"/>
      <c r="B25" s="13" t="s">
        <v>32</v>
      </c>
      <c r="C25" s="14">
        <f>4</f>
        <v>4</v>
      </c>
      <c r="D25" s="15">
        <f>(5.25/2)/3.281</f>
        <v>0.80006095702529711</v>
      </c>
      <c r="E25" s="16">
        <v>7.4999999999999997E-2</v>
      </c>
      <c r="F25" s="16">
        <f>3.75/3.281</f>
        <v>1.1429442243218531</v>
      </c>
      <c r="G25" s="131">
        <f>PRODUCT(C25:F25)</f>
        <v>0.2743275149812433</v>
      </c>
      <c r="H25" s="18"/>
      <c r="I25" s="19"/>
      <c r="J25" s="132"/>
      <c r="K25" s="16"/>
      <c r="M25" s="21"/>
      <c r="N25" s="21"/>
    </row>
    <row r="26" spans="1:14" ht="15" customHeight="1" x14ac:dyDescent="0.25">
      <c r="A26" s="12"/>
      <c r="B26" s="13" t="s">
        <v>33</v>
      </c>
      <c r="C26" s="14">
        <v>1</v>
      </c>
      <c r="D26" s="15">
        <f>(10.75+1.25+3+11.5)/3.281</f>
        <v>8.076805851874429</v>
      </c>
      <c r="E26" s="16">
        <f>10.75/3.281</f>
        <v>3.2764401097226452</v>
      </c>
      <c r="F26" s="16">
        <v>7.4999999999999997E-2</v>
      </c>
      <c r="G26" s="131">
        <f t="shared" ref="G26:G27" si="2">PRODUCT(C26:F26)</f>
        <v>1.9847377988642967</v>
      </c>
      <c r="H26" s="18"/>
      <c r="I26" s="19"/>
      <c r="J26" s="132"/>
      <c r="K26" s="16"/>
      <c r="M26" s="21"/>
      <c r="N26" s="21"/>
    </row>
    <row r="27" spans="1:14" ht="15" customHeight="1" x14ac:dyDescent="0.25">
      <c r="A27" s="12"/>
      <c r="B27" s="13" t="s">
        <v>128</v>
      </c>
      <c r="C27" s="14">
        <v>2</v>
      </c>
      <c r="D27" s="15">
        <f>10.5/3.281</f>
        <v>3.2002438281011885</v>
      </c>
      <c r="E27" s="16">
        <v>0.23</v>
      </c>
      <c r="F27" s="16">
        <v>0.23</v>
      </c>
      <c r="G27" s="131">
        <f t="shared" si="2"/>
        <v>0.33858579701310582</v>
      </c>
      <c r="H27" s="18"/>
      <c r="I27" s="19"/>
      <c r="J27" s="132"/>
      <c r="K27" s="16"/>
      <c r="M27" s="21"/>
      <c r="N27" s="21"/>
    </row>
    <row r="28" spans="1:14" ht="15" customHeight="1" x14ac:dyDescent="0.25">
      <c r="A28" s="12"/>
      <c r="B28" s="133" t="s">
        <v>25</v>
      </c>
      <c r="C28" s="14"/>
      <c r="D28" s="15"/>
      <c r="E28" s="16"/>
      <c r="F28" s="16"/>
      <c r="G28" s="19">
        <f>SUM(G25:G27)</f>
        <v>2.5976511108586458</v>
      </c>
      <c r="H28" s="18" t="s">
        <v>30</v>
      </c>
      <c r="I28" s="19">
        <f>11385/1.15</f>
        <v>9900</v>
      </c>
      <c r="J28" s="132">
        <f>G28*I28</f>
        <v>25716.745997500591</v>
      </c>
      <c r="K28" s="16"/>
      <c r="M28" s="21"/>
      <c r="N28" s="21"/>
    </row>
    <row r="29" spans="1:14" ht="15" customHeight="1" x14ac:dyDescent="0.25">
      <c r="A29" s="129"/>
      <c r="B29" s="125"/>
      <c r="C29" s="126"/>
      <c r="D29" s="127"/>
      <c r="E29" s="127"/>
      <c r="F29" s="127"/>
      <c r="G29" s="127"/>
      <c r="H29" s="126"/>
      <c r="I29" s="127"/>
      <c r="J29" s="127"/>
      <c r="K29" s="128"/>
    </row>
    <row r="30" spans="1:14" ht="30" hidden="1" x14ac:dyDescent="0.25">
      <c r="A30" s="12">
        <v>3</v>
      </c>
      <c r="B30" s="135" t="s">
        <v>34</v>
      </c>
      <c r="C30" s="14"/>
      <c r="D30" s="15"/>
      <c r="E30" s="16"/>
      <c r="F30" s="16"/>
      <c r="G30" s="19"/>
      <c r="H30" s="18"/>
      <c r="I30" s="19"/>
      <c r="J30" s="132"/>
      <c r="K30" s="16"/>
      <c r="M30" s="21"/>
      <c r="N30" s="21"/>
    </row>
    <row r="31" spans="1:14" ht="15" hidden="1" customHeight="1" x14ac:dyDescent="0.25">
      <c r="A31" s="12"/>
      <c r="B31" s="133" t="s">
        <v>35</v>
      </c>
      <c r="C31" s="14">
        <f>0*2</f>
        <v>0</v>
      </c>
      <c r="D31" s="15">
        <f>0.6</f>
        <v>0.6</v>
      </c>
      <c r="E31" s="16">
        <v>0.6</v>
      </c>
      <c r="F31" s="16">
        <v>0.9</v>
      </c>
      <c r="G31" s="131">
        <f>PRODUCT(C31:F31)</f>
        <v>0</v>
      </c>
      <c r="H31" s="18"/>
      <c r="I31" s="19"/>
      <c r="J31" s="132"/>
      <c r="K31" s="16"/>
      <c r="M31" s="21"/>
      <c r="N31" s="21"/>
    </row>
    <row r="32" spans="1:14" ht="15" hidden="1" customHeight="1" x14ac:dyDescent="0.25">
      <c r="A32" s="136"/>
      <c r="B32" s="133" t="s">
        <v>25</v>
      </c>
      <c r="C32" s="137"/>
      <c r="D32" s="131"/>
      <c r="E32" s="131"/>
      <c r="F32" s="131"/>
      <c r="G32" s="138">
        <f>SUM(G31:G31)</f>
        <v>0</v>
      </c>
      <c r="H32" s="138" t="s">
        <v>30</v>
      </c>
      <c r="I32" s="139">
        <f>746.24/1.15</f>
        <v>648.90434782608702</v>
      </c>
      <c r="J32" s="140">
        <f>G32*I32</f>
        <v>0</v>
      </c>
      <c r="K32" s="141"/>
    </row>
    <row r="33" spans="1:11" ht="15" hidden="1" customHeight="1" x14ac:dyDescent="0.25">
      <c r="A33" s="136"/>
      <c r="B33" s="133"/>
      <c r="C33" s="137"/>
      <c r="D33" s="131"/>
      <c r="E33" s="131"/>
      <c r="F33" s="131"/>
      <c r="G33" s="138"/>
      <c r="H33" s="138"/>
      <c r="I33" s="139"/>
      <c r="J33" s="140"/>
      <c r="K33" s="141"/>
    </row>
    <row r="34" spans="1:11" ht="15.75" hidden="1" x14ac:dyDescent="0.25">
      <c r="A34" s="136">
        <v>4</v>
      </c>
      <c r="B34" s="142" t="s">
        <v>36</v>
      </c>
      <c r="C34" s="143"/>
      <c r="D34" s="144"/>
      <c r="E34" s="144"/>
      <c r="F34" s="144"/>
      <c r="G34" s="144"/>
      <c r="H34" s="145"/>
      <c r="I34" s="144"/>
      <c r="J34" s="144"/>
      <c r="K34" s="145"/>
    </row>
    <row r="35" spans="1:11" hidden="1" x14ac:dyDescent="0.25">
      <c r="A35" s="136"/>
      <c r="B35" s="146" t="s">
        <v>37</v>
      </c>
      <c r="C35" s="143">
        <f>0*C31</f>
        <v>0</v>
      </c>
      <c r="D35" s="144">
        <f>D31</f>
        <v>0.6</v>
      </c>
      <c r="E35" s="144">
        <f>E31</f>
        <v>0.6</v>
      </c>
      <c r="F35" s="144"/>
      <c r="G35" s="144">
        <f>PRODUCT(C35:F35)</f>
        <v>0</v>
      </c>
      <c r="H35" s="145"/>
      <c r="I35" s="145"/>
      <c r="J35" s="144"/>
      <c r="K35" s="145"/>
    </row>
    <row r="36" spans="1:11" hidden="1" x14ac:dyDescent="0.25">
      <c r="A36" s="136"/>
      <c r="B36" s="147" t="s">
        <v>25</v>
      </c>
      <c r="C36" s="143"/>
      <c r="D36" s="144"/>
      <c r="E36" s="144"/>
      <c r="F36" s="144"/>
      <c r="G36" s="148">
        <f>SUM(G35)</f>
        <v>0</v>
      </c>
      <c r="H36" s="18" t="s">
        <v>26</v>
      </c>
      <c r="I36" s="18">
        <v>985.37</v>
      </c>
      <c r="J36" s="149">
        <f>G36*I36</f>
        <v>0</v>
      </c>
      <c r="K36" s="145"/>
    </row>
    <row r="37" spans="1:11" hidden="1" x14ac:dyDescent="0.25">
      <c r="A37" s="136"/>
      <c r="B37" s="147" t="s">
        <v>38</v>
      </c>
      <c r="C37" s="143"/>
      <c r="D37" s="144"/>
      <c r="E37" s="144"/>
      <c r="F37" s="144"/>
      <c r="G37" s="144"/>
      <c r="H37" s="18"/>
      <c r="I37" s="144"/>
      <c r="J37" s="149">
        <f>0.13*G36*(8353.81)/10</f>
        <v>0</v>
      </c>
      <c r="K37" s="145"/>
    </row>
    <row r="38" spans="1:11" hidden="1" x14ac:dyDescent="0.25">
      <c r="A38" s="136"/>
      <c r="B38" s="145"/>
      <c r="C38" s="143"/>
      <c r="D38" s="144"/>
      <c r="E38" s="144"/>
      <c r="F38" s="144"/>
      <c r="G38" s="144"/>
      <c r="H38" s="145"/>
      <c r="I38" s="144"/>
      <c r="J38" s="144"/>
      <c r="K38" s="145"/>
    </row>
    <row r="39" spans="1:11" s="1" customFormat="1" ht="30" hidden="1" x14ac:dyDescent="0.25">
      <c r="A39" s="136">
        <v>5</v>
      </c>
      <c r="B39" s="150" t="s">
        <v>39</v>
      </c>
      <c r="C39" s="143"/>
      <c r="D39" s="144"/>
      <c r="E39" s="144"/>
      <c r="F39" s="144"/>
      <c r="G39" s="144"/>
      <c r="H39" s="145"/>
      <c r="I39" s="144"/>
      <c r="J39" s="144"/>
      <c r="K39" s="145"/>
    </row>
    <row r="40" spans="1:11" hidden="1" x14ac:dyDescent="0.25">
      <c r="A40" s="136"/>
      <c r="B40" s="146" t="s">
        <v>37</v>
      </c>
      <c r="C40" s="143">
        <f>0*C35</f>
        <v>0</v>
      </c>
      <c r="D40" s="144">
        <f>D35</f>
        <v>0.6</v>
      </c>
      <c r="E40" s="144">
        <f>E35</f>
        <v>0.6</v>
      </c>
      <c r="F40" s="144">
        <v>0.05</v>
      </c>
      <c r="G40" s="144">
        <f>PRODUCT(C40:F40)</f>
        <v>0</v>
      </c>
      <c r="H40" s="145"/>
      <c r="I40" s="145"/>
      <c r="J40" s="144"/>
      <c r="K40" s="145"/>
    </row>
    <row r="41" spans="1:11" hidden="1" x14ac:dyDescent="0.25">
      <c r="A41" s="136"/>
      <c r="B41" s="147" t="s">
        <v>25</v>
      </c>
      <c r="C41" s="143"/>
      <c r="D41" s="144"/>
      <c r="E41" s="144"/>
      <c r="F41" s="144"/>
      <c r="G41" s="148">
        <f>SUM(G40:G40)</f>
        <v>0</v>
      </c>
      <c r="H41" s="136" t="s">
        <v>30</v>
      </c>
      <c r="I41" s="18">
        <v>13509.07</v>
      </c>
      <c r="J41" s="149">
        <f>G41*I41</f>
        <v>0</v>
      </c>
      <c r="K41" s="145"/>
    </row>
    <row r="42" spans="1:11" hidden="1" x14ac:dyDescent="0.25">
      <c r="A42" s="136"/>
      <c r="B42" s="147" t="s">
        <v>38</v>
      </c>
      <c r="C42" s="143"/>
      <c r="D42" s="144"/>
      <c r="E42" s="144"/>
      <c r="F42" s="144"/>
      <c r="G42" s="144"/>
      <c r="H42" s="145"/>
      <c r="I42" s="144"/>
      <c r="J42" s="149">
        <f>0.13*G41*(8709.07)</f>
        <v>0</v>
      </c>
      <c r="K42" s="145"/>
    </row>
    <row r="43" spans="1:11" hidden="1" x14ac:dyDescent="0.25">
      <c r="A43" s="136"/>
      <c r="B43" s="147"/>
      <c r="C43" s="143"/>
      <c r="D43" s="144"/>
      <c r="E43" s="144"/>
      <c r="F43" s="144"/>
      <c r="G43" s="144"/>
      <c r="H43" s="145"/>
      <c r="I43" s="144"/>
      <c r="J43" s="149"/>
      <c r="K43" s="145"/>
    </row>
    <row r="44" spans="1:11" ht="45" hidden="1" x14ac:dyDescent="0.25">
      <c r="A44" s="12">
        <v>6</v>
      </c>
      <c r="B44" s="150" t="s">
        <v>40</v>
      </c>
      <c r="C44" s="143" t="s">
        <v>11</v>
      </c>
      <c r="D44" s="151" t="s">
        <v>41</v>
      </c>
      <c r="E44" s="151" t="s">
        <v>42</v>
      </c>
      <c r="F44" s="151" t="s">
        <v>43</v>
      </c>
      <c r="G44" s="151" t="s">
        <v>44</v>
      </c>
      <c r="H44" s="136"/>
      <c r="I44" s="148"/>
      <c r="J44" s="148"/>
      <c r="K44" s="16"/>
    </row>
    <row r="45" spans="1:11" ht="15" hidden="1" customHeight="1" x14ac:dyDescent="0.25">
      <c r="A45" s="12"/>
      <c r="B45" s="152" t="s">
        <v>37</v>
      </c>
      <c r="C45" s="14">
        <f>0*2*2*(TRUNC(22/6,0)+1)</f>
        <v>0</v>
      </c>
      <c r="D45" s="144">
        <f>24/12/3.281</f>
        <v>0.6095702529716549</v>
      </c>
      <c r="E45" s="144">
        <f>12*12/162</f>
        <v>0.88888888888888884</v>
      </c>
      <c r="F45" s="144">
        <f t="shared" ref="F45:F49" si="3">PRODUCT(C45:E45)</f>
        <v>0</v>
      </c>
      <c r="G45" s="153">
        <f t="shared" ref="G45:G49" si="4">F45/1000</f>
        <v>0</v>
      </c>
      <c r="H45" s="18"/>
      <c r="I45" s="19"/>
      <c r="J45" s="148"/>
      <c r="K45" s="16"/>
    </row>
    <row r="46" spans="1:11" ht="15" hidden="1" customHeight="1" x14ac:dyDescent="0.25">
      <c r="A46" s="12"/>
      <c r="B46" s="152" t="s">
        <v>45</v>
      </c>
      <c r="C46" s="14">
        <f>0*4*2</f>
        <v>0</v>
      </c>
      <c r="D46" s="144">
        <f>(6.5+0.583)/3.281</f>
        <v>2.1587930508991162</v>
      </c>
      <c r="E46" s="144">
        <f>12*12/162</f>
        <v>0.88888888888888884</v>
      </c>
      <c r="F46" s="144">
        <f t="shared" si="3"/>
        <v>0</v>
      </c>
      <c r="G46" s="153">
        <f t="shared" si="4"/>
        <v>0</v>
      </c>
      <c r="H46" s="18"/>
      <c r="I46" s="19"/>
      <c r="J46" s="148"/>
      <c r="K46" s="16"/>
    </row>
    <row r="47" spans="1:11" ht="15" hidden="1" customHeight="1" x14ac:dyDescent="0.25">
      <c r="A47" s="12"/>
      <c r="B47" s="152" t="s">
        <v>46</v>
      </c>
      <c r="C47" s="14">
        <f>0*TRUNC((6.12/0.5),0)</f>
        <v>0</v>
      </c>
      <c r="D47" s="144">
        <f>(0.33+0.33+0.33+0.33+0.083*2)/3.281</f>
        <v>0.45291069795793965</v>
      </c>
      <c r="E47" s="144">
        <f>8*8/162</f>
        <v>0.39506172839506171</v>
      </c>
      <c r="F47" s="144">
        <f t="shared" si="3"/>
        <v>0</v>
      </c>
      <c r="G47" s="153">
        <f t="shared" si="4"/>
        <v>0</v>
      </c>
      <c r="H47" s="18"/>
      <c r="I47" s="19"/>
      <c r="J47" s="148"/>
      <c r="K47" s="16"/>
    </row>
    <row r="48" spans="1:11" ht="15" hidden="1" customHeight="1" x14ac:dyDescent="0.25">
      <c r="A48" s="12"/>
      <c r="B48" s="152" t="s">
        <v>47</v>
      </c>
      <c r="C48" s="14">
        <f>0*TRUNC(10.75/0.5,0)</f>
        <v>0</v>
      </c>
      <c r="D48" s="144">
        <f>30/3.281</f>
        <v>9.1435537945748244</v>
      </c>
      <c r="E48" s="144">
        <f>8*8/162</f>
        <v>0.39506172839506171</v>
      </c>
      <c r="F48" s="144">
        <f t="shared" si="3"/>
        <v>0</v>
      </c>
      <c r="G48" s="153">
        <f t="shared" si="4"/>
        <v>0</v>
      </c>
      <c r="H48" s="18"/>
      <c r="I48" s="19"/>
      <c r="J48" s="148"/>
      <c r="K48" s="16"/>
    </row>
    <row r="49" spans="1:14" ht="15" hidden="1" customHeight="1" x14ac:dyDescent="0.25">
      <c r="A49" s="12"/>
      <c r="B49" s="152"/>
      <c r="C49" s="14">
        <f>0*TRUNC(30/0.5,0)</f>
        <v>0</v>
      </c>
      <c r="D49" s="144">
        <f>10.75/3.281</f>
        <v>3.2764401097226452</v>
      </c>
      <c r="E49" s="144">
        <f>8*8/162</f>
        <v>0.39506172839506171</v>
      </c>
      <c r="F49" s="144">
        <f t="shared" si="3"/>
        <v>0</v>
      </c>
      <c r="G49" s="153">
        <f t="shared" si="4"/>
        <v>0</v>
      </c>
      <c r="H49" s="18"/>
      <c r="I49" s="19"/>
      <c r="J49" s="148"/>
      <c r="K49" s="16"/>
    </row>
    <row r="50" spans="1:14" ht="15" hidden="1" customHeight="1" x14ac:dyDescent="0.25">
      <c r="A50" s="136"/>
      <c r="B50" s="152" t="s">
        <v>25</v>
      </c>
      <c r="C50" s="143"/>
      <c r="D50" s="144"/>
      <c r="E50" s="144"/>
      <c r="F50" s="144"/>
      <c r="G50" s="148">
        <f>SUM(G45:G49)</f>
        <v>0</v>
      </c>
      <c r="H50" s="148" t="s">
        <v>48</v>
      </c>
      <c r="I50" s="18">
        <v>130210</v>
      </c>
      <c r="J50" s="149">
        <f>G50*I50</f>
        <v>0</v>
      </c>
      <c r="K50" s="145"/>
    </row>
    <row r="51" spans="1:14" ht="15" hidden="1" customHeight="1" x14ac:dyDescent="0.25">
      <c r="A51" s="12"/>
      <c r="B51" s="152" t="s">
        <v>49</v>
      </c>
      <c r="C51" s="14"/>
      <c r="D51" s="15"/>
      <c r="E51" s="16"/>
      <c r="F51" s="16"/>
      <c r="G51" s="19"/>
      <c r="H51" s="18"/>
      <c r="I51" s="19"/>
      <c r="J51" s="148">
        <f>0.13*G50*105010</f>
        <v>0</v>
      </c>
      <c r="K51" s="16"/>
    </row>
    <row r="52" spans="1:14" ht="15" hidden="1" customHeight="1" x14ac:dyDescent="0.25">
      <c r="A52" s="12"/>
      <c r="B52" s="152"/>
      <c r="C52" s="14"/>
      <c r="D52" s="15"/>
      <c r="E52" s="16"/>
      <c r="F52" s="16"/>
      <c r="G52" s="19"/>
      <c r="H52" s="18"/>
      <c r="I52" s="19"/>
      <c r="J52" s="148"/>
      <c r="K52" s="16"/>
    </row>
    <row r="53" spans="1:14" s="1" customFormat="1" ht="30" hidden="1" x14ac:dyDescent="0.25">
      <c r="A53" s="12">
        <v>7</v>
      </c>
      <c r="B53" s="150" t="s">
        <v>50</v>
      </c>
      <c r="C53" s="14"/>
      <c r="D53" s="15"/>
      <c r="E53" s="16"/>
      <c r="F53" s="16"/>
      <c r="G53" s="19"/>
      <c r="H53" s="18"/>
      <c r="I53" s="19"/>
      <c r="J53" s="148"/>
      <c r="K53" s="16"/>
    </row>
    <row r="54" spans="1:14" hidden="1" x14ac:dyDescent="0.25">
      <c r="A54" s="136"/>
      <c r="B54" s="146" t="s">
        <v>45</v>
      </c>
      <c r="C54" s="143">
        <f>0*2</f>
        <v>0</v>
      </c>
      <c r="D54" s="144">
        <v>0.15</v>
      </c>
      <c r="E54" s="144">
        <v>0.15</v>
      </c>
      <c r="F54" s="144">
        <f>6.5/3.281</f>
        <v>1.9811033221578787</v>
      </c>
      <c r="G54" s="144">
        <f>PRODUCT(C54:F54)</f>
        <v>0</v>
      </c>
      <c r="H54" s="145"/>
      <c r="I54" s="145"/>
      <c r="J54" s="144"/>
      <c r="K54" s="145"/>
    </row>
    <row r="55" spans="1:14" hidden="1" x14ac:dyDescent="0.25">
      <c r="A55" s="136"/>
      <c r="B55" s="146" t="s">
        <v>51</v>
      </c>
      <c r="C55" s="143">
        <f>0*2</f>
        <v>0</v>
      </c>
      <c r="D55" s="144">
        <f>15/3.281</f>
        <v>4.5717768972874122</v>
      </c>
      <c r="E55" s="144">
        <f>10.75/3.281</f>
        <v>3.2764401097226452</v>
      </c>
      <c r="F55" s="144">
        <v>0.05</v>
      </c>
      <c r="G55" s="144">
        <f>PRODUCT(C55:F55)</f>
        <v>0</v>
      </c>
      <c r="H55" s="145"/>
      <c r="I55" s="145"/>
      <c r="J55" s="144"/>
      <c r="K55" s="145"/>
    </row>
    <row r="56" spans="1:14" ht="15" hidden="1" customHeight="1" x14ac:dyDescent="0.25">
      <c r="A56" s="136"/>
      <c r="B56" s="152" t="s">
        <v>25</v>
      </c>
      <c r="C56" s="143"/>
      <c r="D56" s="144"/>
      <c r="E56" s="144"/>
      <c r="F56" s="144"/>
      <c r="G56" s="148">
        <f>SUM(G54:G55)</f>
        <v>0</v>
      </c>
      <c r="H56" s="148" t="s">
        <v>30</v>
      </c>
      <c r="I56" s="18">
        <v>14200.82</v>
      </c>
      <c r="J56" s="149">
        <f>G56*I56</f>
        <v>0</v>
      </c>
      <c r="K56" s="145"/>
    </row>
    <row r="57" spans="1:14" ht="15" hidden="1" customHeight="1" x14ac:dyDescent="0.25">
      <c r="A57" s="12"/>
      <c r="B57" s="152" t="s">
        <v>52</v>
      </c>
      <c r="C57" s="14"/>
      <c r="D57" s="15"/>
      <c r="E57" s="16"/>
      <c r="F57" s="16"/>
      <c r="G57" s="19"/>
      <c r="H57" s="18"/>
      <c r="I57" s="19"/>
      <c r="J57" s="148">
        <f>0.13*G56*10250.02</f>
        <v>0</v>
      </c>
      <c r="K57" s="16"/>
    </row>
    <row r="58" spans="1:14" ht="15" hidden="1" customHeight="1" x14ac:dyDescent="0.25">
      <c r="A58" s="12"/>
      <c r="B58" s="152"/>
      <c r="C58" s="14"/>
      <c r="D58" s="15"/>
      <c r="E58" s="16"/>
      <c r="F58" s="16"/>
      <c r="G58" s="19"/>
      <c r="H58" s="18"/>
      <c r="I58" s="19"/>
      <c r="J58" s="148"/>
      <c r="K58" s="16"/>
    </row>
    <row r="59" spans="1:14" ht="30.75" hidden="1" x14ac:dyDescent="0.25">
      <c r="A59" s="136">
        <v>8</v>
      </c>
      <c r="B59" s="130" t="s">
        <v>53</v>
      </c>
      <c r="C59" s="137"/>
      <c r="D59" s="131"/>
      <c r="E59" s="131"/>
      <c r="F59" s="131"/>
      <c r="G59" s="138"/>
      <c r="H59" s="138"/>
      <c r="I59" s="139"/>
      <c r="J59" s="140"/>
      <c r="K59" s="141"/>
      <c r="N59">
        <f>6.2*3.281+0.23*2</f>
        <v>20.802200000000003</v>
      </c>
    </row>
    <row r="60" spans="1:14" ht="15" hidden="1" customHeight="1" x14ac:dyDescent="0.25">
      <c r="A60" s="136"/>
      <c r="B60" s="133" t="s">
        <v>54</v>
      </c>
      <c r="C60" s="137">
        <f>0*2</f>
        <v>0</v>
      </c>
      <c r="D60" s="131">
        <f>(10.75/3.281)</f>
        <v>3.2764401097226452</v>
      </c>
      <c r="E60" s="131">
        <f>0.1</f>
        <v>0.1</v>
      </c>
      <c r="F60" s="131">
        <v>0.9</v>
      </c>
      <c r="G60" s="131">
        <f>PRODUCT(C60:F60)</f>
        <v>0</v>
      </c>
      <c r="H60" s="131"/>
      <c r="I60" s="131"/>
      <c r="J60" s="149"/>
      <c r="K60" s="141"/>
    </row>
    <row r="61" spans="1:14" ht="15" hidden="1" customHeight="1" x14ac:dyDescent="0.25">
      <c r="A61" s="136"/>
      <c r="B61" s="133"/>
      <c r="C61" s="137">
        <f>0*2</f>
        <v>0</v>
      </c>
      <c r="D61" s="131">
        <f>(6.2)</f>
        <v>6.2</v>
      </c>
      <c r="E61" s="131">
        <v>0.23</v>
      </c>
      <c r="F61" s="131">
        <v>0.9</v>
      </c>
      <c r="G61" s="131">
        <f>PRODUCT(C61:F61)</f>
        <v>0</v>
      </c>
      <c r="H61" s="131"/>
      <c r="I61" s="131"/>
      <c r="J61" s="149"/>
      <c r="K61" s="141"/>
    </row>
    <row r="62" spans="1:14" ht="15" hidden="1" customHeight="1" x14ac:dyDescent="0.25">
      <c r="A62" s="136"/>
      <c r="B62" s="133" t="s">
        <v>68</v>
      </c>
      <c r="C62" s="137">
        <f>0*-2</f>
        <v>0</v>
      </c>
      <c r="D62" s="131">
        <f>2/3.281</f>
        <v>0.6095702529716549</v>
      </c>
      <c r="E62" s="131">
        <f>E60</f>
        <v>0.1</v>
      </c>
      <c r="F62" s="131">
        <f>3/3.281</f>
        <v>0.91435537945748246</v>
      </c>
      <c r="G62" s="131">
        <f>PRODUCT(C62:F62)</f>
        <v>0</v>
      </c>
      <c r="H62" s="131"/>
      <c r="I62" s="131"/>
      <c r="J62" s="149"/>
      <c r="K62" s="141"/>
    </row>
    <row r="63" spans="1:14" ht="15" hidden="1" customHeight="1" x14ac:dyDescent="0.25">
      <c r="A63" s="136"/>
      <c r="B63" s="133" t="s">
        <v>25</v>
      </c>
      <c r="C63" s="137"/>
      <c r="D63" s="131"/>
      <c r="E63" s="131"/>
      <c r="F63" s="131"/>
      <c r="G63" s="138">
        <f>SUM(G60:G62)</f>
        <v>0</v>
      </c>
      <c r="H63" s="138" t="s">
        <v>30</v>
      </c>
      <c r="I63" s="139">
        <v>15375.48</v>
      </c>
      <c r="J63" s="140">
        <f>G63*I63</f>
        <v>0</v>
      </c>
      <c r="K63" s="141"/>
    </row>
    <row r="64" spans="1:14" ht="15" hidden="1" customHeight="1" x14ac:dyDescent="0.25">
      <c r="A64" s="12"/>
      <c r="B64" s="133" t="s">
        <v>49</v>
      </c>
      <c r="C64" s="14"/>
      <c r="D64" s="15"/>
      <c r="E64" s="16"/>
      <c r="F64" s="16"/>
      <c r="G64" s="19"/>
      <c r="H64" s="18"/>
      <c r="I64" s="19"/>
      <c r="J64" s="132">
        <f>0.13*G63*10946.58</f>
        <v>0</v>
      </c>
      <c r="K64" s="16"/>
      <c r="M64" s="21"/>
      <c r="N64" s="21"/>
    </row>
    <row r="65" spans="1:14" ht="15" hidden="1" customHeight="1" x14ac:dyDescent="0.25">
      <c r="A65" s="136"/>
      <c r="B65" s="133"/>
      <c r="C65" s="137"/>
      <c r="D65" s="131"/>
      <c r="E65" s="131"/>
      <c r="F65" s="131"/>
      <c r="G65" s="138"/>
      <c r="H65" s="138"/>
      <c r="I65" s="139"/>
      <c r="J65" s="140"/>
      <c r="K65" s="141"/>
    </row>
    <row r="66" spans="1:14" ht="30.75" hidden="1" x14ac:dyDescent="0.25">
      <c r="A66" s="136">
        <v>9</v>
      </c>
      <c r="B66" s="130" t="s">
        <v>55</v>
      </c>
      <c r="C66" s="137"/>
      <c r="D66" s="131"/>
      <c r="E66" s="131"/>
      <c r="F66" s="131"/>
      <c r="G66" s="138"/>
      <c r="H66" s="138"/>
      <c r="I66" s="139"/>
      <c r="J66" s="140"/>
      <c r="K66" s="141"/>
    </row>
    <row r="67" spans="1:14" ht="15" hidden="1" customHeight="1" x14ac:dyDescent="0.25">
      <c r="A67" s="136"/>
      <c r="B67" s="133" t="s">
        <v>56</v>
      </c>
      <c r="C67" s="137">
        <f>0*2</f>
        <v>0</v>
      </c>
      <c r="D67" s="131">
        <f>24/12/3.281</f>
        <v>0.6095702529716549</v>
      </c>
      <c r="E67" s="131">
        <f>24/12/3.281</f>
        <v>0.6095702529716549</v>
      </c>
      <c r="F67" s="131">
        <f>24/12/3.281</f>
        <v>0.6095702529716549</v>
      </c>
      <c r="G67" s="131">
        <f>PRODUCT(C67:F67)</f>
        <v>0</v>
      </c>
      <c r="H67" s="131"/>
      <c r="I67" s="131"/>
      <c r="J67" s="149"/>
      <c r="K67" s="141"/>
    </row>
    <row r="68" spans="1:14" ht="15" hidden="1" customHeight="1" x14ac:dyDescent="0.25">
      <c r="A68" s="136"/>
      <c r="B68" s="133" t="s">
        <v>57</v>
      </c>
      <c r="C68" s="137">
        <f>0*-2</f>
        <v>0</v>
      </c>
      <c r="D68" s="131">
        <f>0.15</f>
        <v>0.15</v>
      </c>
      <c r="E68" s="131">
        <f>0.15</f>
        <v>0.15</v>
      </c>
      <c r="F68" s="131">
        <f>24/12/3.281</f>
        <v>0.6095702529716549</v>
      </c>
      <c r="G68" s="131">
        <f>PRODUCT(C68:F68)</f>
        <v>0</v>
      </c>
      <c r="H68" s="131"/>
      <c r="I68" s="131"/>
      <c r="J68" s="149"/>
      <c r="K68" s="141"/>
    </row>
    <row r="69" spans="1:14" ht="15" hidden="1" customHeight="1" x14ac:dyDescent="0.25">
      <c r="A69" s="136"/>
      <c r="B69" s="133" t="s">
        <v>25</v>
      </c>
      <c r="C69" s="137"/>
      <c r="D69" s="131"/>
      <c r="E69" s="131"/>
      <c r="F69" s="131"/>
      <c r="G69" s="138">
        <f>SUM(G67:G68)</f>
        <v>0</v>
      </c>
      <c r="H69" s="138" t="s">
        <v>30</v>
      </c>
      <c r="I69" s="139">
        <v>14520.78</v>
      </c>
      <c r="J69" s="140">
        <f>G69*I69</f>
        <v>0</v>
      </c>
      <c r="K69" s="141"/>
    </row>
    <row r="70" spans="1:14" ht="15" hidden="1" customHeight="1" x14ac:dyDescent="0.25">
      <c r="A70" s="12"/>
      <c r="B70" s="133" t="s">
        <v>49</v>
      </c>
      <c r="C70" s="14"/>
      <c r="D70" s="15"/>
      <c r="E70" s="16"/>
      <c r="F70" s="16"/>
      <c r="G70" s="19"/>
      <c r="H70" s="18"/>
      <c r="I70" s="19"/>
      <c r="J70" s="132">
        <f>0.13*G69*10555.39</f>
        <v>0</v>
      </c>
      <c r="K70" s="16"/>
      <c r="M70" s="21"/>
      <c r="N70" s="21"/>
    </row>
    <row r="71" spans="1:14" ht="15" hidden="1" customHeight="1" x14ac:dyDescent="0.25">
      <c r="A71" s="136"/>
      <c r="B71" s="133"/>
      <c r="C71" s="137"/>
      <c r="D71" s="131"/>
      <c r="E71" s="131"/>
      <c r="F71" s="131"/>
      <c r="G71" s="138"/>
      <c r="H71" s="138"/>
      <c r="I71" s="139"/>
      <c r="J71" s="140"/>
      <c r="K71" s="141"/>
    </row>
    <row r="72" spans="1:14" ht="47.25" hidden="1" x14ac:dyDescent="0.25">
      <c r="A72" s="12">
        <v>10</v>
      </c>
      <c r="B72" s="134" t="s">
        <v>58</v>
      </c>
      <c r="C72" s="141"/>
      <c r="D72" s="141"/>
      <c r="E72" s="141"/>
      <c r="F72" s="141"/>
      <c r="G72" s="154"/>
      <c r="H72" s="18"/>
      <c r="I72" s="19"/>
      <c r="J72" s="19"/>
      <c r="K72" s="16"/>
      <c r="M72" s="21"/>
    </row>
    <row r="73" spans="1:14" ht="15" hidden="1" customHeight="1" x14ac:dyDescent="0.25">
      <c r="A73" s="12"/>
      <c r="B73" s="13" t="s">
        <v>59</v>
      </c>
      <c r="C73" s="14">
        <f>1*0</f>
        <v>0</v>
      </c>
      <c r="D73" s="15"/>
      <c r="E73" s="16">
        <f>10.75/3.281</f>
        <v>3.2764401097226452</v>
      </c>
      <c r="F73" s="16">
        <f>(9.42+7.75)/3.281</f>
        <v>5.233160621761658</v>
      </c>
      <c r="G73" s="131">
        <f t="shared" ref="G73:G78" si="5">PRODUCT(C73:F73)</f>
        <v>0</v>
      </c>
      <c r="H73" s="18"/>
      <c r="I73" s="19"/>
      <c r="J73" s="132"/>
      <c r="K73" s="16"/>
      <c r="M73" s="21"/>
      <c r="N73" s="21"/>
    </row>
    <row r="74" spans="1:14" ht="15" hidden="1" customHeight="1" x14ac:dyDescent="0.25">
      <c r="A74" s="12"/>
      <c r="B74" s="13" t="s">
        <v>22</v>
      </c>
      <c r="C74" s="14">
        <f>0*-1</f>
        <v>0</v>
      </c>
      <c r="D74" s="15">
        <f>3.5/3.281</f>
        <v>1.0667479427003961</v>
      </c>
      <c r="E74" s="16"/>
      <c r="F74" s="16">
        <f>4.5/3.281</f>
        <v>1.3715330691862238</v>
      </c>
      <c r="G74" s="131">
        <f t="shared" si="5"/>
        <v>0</v>
      </c>
      <c r="H74" s="18"/>
      <c r="I74" s="19"/>
      <c r="J74" s="132"/>
      <c r="K74" s="16"/>
      <c r="M74" s="21"/>
      <c r="N74" s="21"/>
    </row>
    <row r="75" spans="1:14" ht="15" hidden="1" customHeight="1" x14ac:dyDescent="0.25">
      <c r="A75" s="12"/>
      <c r="B75" s="13" t="s">
        <v>23</v>
      </c>
      <c r="C75" s="14">
        <f>0*-1</f>
        <v>0</v>
      </c>
      <c r="D75" s="15">
        <f>3.833/3.281</f>
        <v>1.1682413898201769</v>
      </c>
      <c r="E75" s="16"/>
      <c r="F75" s="16">
        <f>6.5/3.281</f>
        <v>1.9811033221578787</v>
      </c>
      <c r="G75" s="131">
        <f t="shared" si="5"/>
        <v>0</v>
      </c>
      <c r="H75" s="18"/>
      <c r="I75" s="19"/>
      <c r="J75" s="132"/>
      <c r="K75" s="16"/>
      <c r="M75" s="21"/>
      <c r="N75" s="21"/>
    </row>
    <row r="76" spans="1:14" ht="15" hidden="1" customHeight="1" x14ac:dyDescent="0.25">
      <c r="A76" s="12"/>
      <c r="B76" s="13" t="s">
        <v>60</v>
      </c>
      <c r="C76" s="14">
        <f>0*1</f>
        <v>0</v>
      </c>
      <c r="D76" s="15"/>
      <c r="E76" s="16">
        <f>(5.75)/3.281</f>
        <v>1.752514477293508</v>
      </c>
      <c r="F76" s="16">
        <f>(9.42+7.75)/3.281</f>
        <v>5.233160621761658</v>
      </c>
      <c r="G76" s="131">
        <f t="shared" si="5"/>
        <v>0</v>
      </c>
      <c r="H76" s="18"/>
      <c r="I76" s="19"/>
      <c r="J76" s="132"/>
      <c r="K76" s="16"/>
      <c r="M76" s="21"/>
      <c r="N76" s="21"/>
    </row>
    <row r="77" spans="1:14" ht="15" hidden="1" customHeight="1" x14ac:dyDescent="0.25">
      <c r="A77" s="12"/>
      <c r="B77" s="13" t="s">
        <v>61</v>
      </c>
      <c r="C77" s="14">
        <f>0*-1</f>
        <v>0</v>
      </c>
      <c r="D77" s="15">
        <f>E73+E76</f>
        <v>5.0289545870161536</v>
      </c>
      <c r="E77" s="16"/>
      <c r="F77" s="16">
        <f>13*0.15</f>
        <v>1.95</v>
      </c>
      <c r="G77" s="131">
        <f t="shared" si="5"/>
        <v>0</v>
      </c>
      <c r="H77" s="18"/>
      <c r="I77" s="19"/>
      <c r="J77" s="132"/>
      <c r="K77" s="16"/>
      <c r="M77" s="21"/>
      <c r="N77" s="21"/>
    </row>
    <row r="78" spans="1:14" ht="15" hidden="1" customHeight="1" x14ac:dyDescent="0.25">
      <c r="A78" s="12"/>
      <c r="B78" s="13"/>
      <c r="C78" s="14">
        <f>0*-1</f>
        <v>0</v>
      </c>
      <c r="D78" s="15">
        <f>D77</f>
        <v>5.0289545870161536</v>
      </c>
      <c r="E78" s="16"/>
      <c r="F78" s="16">
        <f>8/12/3.281</f>
        <v>0.20319008432388497</v>
      </c>
      <c r="G78" s="131">
        <f t="shared" si="5"/>
        <v>0</v>
      </c>
      <c r="H78" s="18"/>
      <c r="I78" s="19"/>
      <c r="J78" s="132"/>
      <c r="K78" s="16"/>
      <c r="M78" s="21"/>
      <c r="N78" s="21"/>
    </row>
    <row r="79" spans="1:14" s="53" customFormat="1" ht="15" hidden="1" customHeight="1" x14ac:dyDescent="0.25">
      <c r="A79" s="136"/>
      <c r="B79" s="133" t="s">
        <v>62</v>
      </c>
      <c r="C79" s="137">
        <f>0*1</f>
        <v>0</v>
      </c>
      <c r="D79" s="131">
        <f>2.75+6.2+6.2+2.6</f>
        <v>17.75</v>
      </c>
      <c r="E79" s="131"/>
      <c r="F79" s="131">
        <f>2.6</f>
        <v>2.6</v>
      </c>
      <c r="G79" s="131">
        <f>PRODUCT(C79:F79)</f>
        <v>0</v>
      </c>
      <c r="H79" s="131"/>
      <c r="I79" s="131"/>
      <c r="J79" s="149"/>
      <c r="K79" s="141"/>
    </row>
    <row r="80" spans="1:14" s="53" customFormat="1" ht="15" hidden="1" customHeight="1" x14ac:dyDescent="0.25">
      <c r="A80" s="136"/>
      <c r="B80" s="133" t="s">
        <v>63</v>
      </c>
      <c r="C80" s="137">
        <f>0*-1</f>
        <v>0</v>
      </c>
      <c r="D80" s="131">
        <f>4/3.281</f>
        <v>1.2191405059433098</v>
      </c>
      <c r="E80" s="131"/>
      <c r="F80" s="131">
        <f>6.5/3.281</f>
        <v>1.9811033221578787</v>
      </c>
      <c r="G80" s="131">
        <f t="shared" ref="G80:G93" si="6">PRODUCT(C80:F80)</f>
        <v>0</v>
      </c>
      <c r="H80" s="131"/>
      <c r="I80" s="131"/>
      <c r="J80" s="149"/>
      <c r="K80" s="141"/>
    </row>
    <row r="81" spans="1:14" s="53" customFormat="1" ht="15" hidden="1" customHeight="1" x14ac:dyDescent="0.25">
      <c r="A81" s="136"/>
      <c r="B81" s="133" t="s">
        <v>64</v>
      </c>
      <c r="C81" s="137">
        <f>0*-0.5*8</f>
        <v>0</v>
      </c>
      <c r="D81" s="131">
        <f>0.667/3.281</f>
        <v>0.20329167936604695</v>
      </c>
      <c r="E81" s="131">
        <f>0.667/3.281</f>
        <v>0.20329167936604695</v>
      </c>
      <c r="F81" s="131"/>
      <c r="G81" s="131">
        <f t="shared" si="6"/>
        <v>0</v>
      </c>
      <c r="H81" s="131"/>
      <c r="I81" s="131"/>
      <c r="J81" s="149"/>
      <c r="K81" s="141"/>
    </row>
    <row r="82" spans="1:14" s="53" customFormat="1" ht="15" hidden="1" customHeight="1" x14ac:dyDescent="0.25">
      <c r="A82" s="136"/>
      <c r="B82" s="133" t="s">
        <v>65</v>
      </c>
      <c r="C82" s="137">
        <f>0*2</f>
        <v>0</v>
      </c>
      <c r="D82" s="131">
        <f>2.6</f>
        <v>2.6</v>
      </c>
      <c r="E82" s="131"/>
      <c r="F82" s="131">
        <f>2.6</f>
        <v>2.6</v>
      </c>
      <c r="G82" s="131">
        <f t="shared" si="6"/>
        <v>0</v>
      </c>
      <c r="H82" s="131"/>
      <c r="I82" s="131"/>
      <c r="J82" s="149"/>
      <c r="K82" s="141"/>
    </row>
    <row r="83" spans="1:14" s="53" customFormat="1" ht="15" hidden="1" customHeight="1" x14ac:dyDescent="0.25">
      <c r="A83" s="136"/>
      <c r="B83" s="133"/>
      <c r="C83" s="137">
        <f>0*2</f>
        <v>0</v>
      </c>
      <c r="D83" s="131">
        <f>6.2-D82</f>
        <v>3.6</v>
      </c>
      <c r="E83" s="131"/>
      <c r="F83" s="131">
        <f>2.6</f>
        <v>2.6</v>
      </c>
      <c r="G83" s="131">
        <f t="shared" si="6"/>
        <v>0</v>
      </c>
      <c r="H83" s="131"/>
      <c r="I83" s="131"/>
      <c r="J83" s="149"/>
      <c r="K83" s="141"/>
    </row>
    <row r="84" spans="1:14" s="53" customFormat="1" ht="15" hidden="1" customHeight="1" x14ac:dyDescent="0.25">
      <c r="A84" s="136"/>
      <c r="B84" s="133" t="s">
        <v>22</v>
      </c>
      <c r="C84" s="137">
        <f>0*-1</f>
        <v>0</v>
      </c>
      <c r="D84" s="131">
        <f>3.5/3.281</f>
        <v>1.0667479427003961</v>
      </c>
      <c r="E84" s="131"/>
      <c r="F84" s="131">
        <f>4.5/3.281</f>
        <v>1.3715330691862238</v>
      </c>
      <c r="G84" s="131">
        <f t="shared" si="6"/>
        <v>0</v>
      </c>
      <c r="H84" s="131"/>
      <c r="I84" s="131"/>
      <c r="J84" s="149"/>
      <c r="K84" s="141"/>
    </row>
    <row r="85" spans="1:14" s="53" customFormat="1" ht="15" hidden="1" customHeight="1" x14ac:dyDescent="0.25">
      <c r="A85" s="136"/>
      <c r="B85" s="133" t="s">
        <v>66</v>
      </c>
      <c r="C85" s="137">
        <f>0*1</f>
        <v>0</v>
      </c>
      <c r="D85" s="131">
        <f>10.75/3.281</f>
        <v>3.2764401097226452</v>
      </c>
      <c r="E85" s="131"/>
      <c r="F85" s="131">
        <v>0.9</v>
      </c>
      <c r="G85" s="131">
        <f t="shared" si="6"/>
        <v>0</v>
      </c>
      <c r="H85" s="131"/>
      <c r="I85" s="131"/>
      <c r="J85" s="149"/>
      <c r="K85" s="141"/>
    </row>
    <row r="86" spans="1:14" s="53" customFormat="1" ht="15" hidden="1" customHeight="1" x14ac:dyDescent="0.25">
      <c r="A86" s="136"/>
      <c r="B86" s="133"/>
      <c r="C86" s="137">
        <f>0*1</f>
        <v>0</v>
      </c>
      <c r="D86" s="131"/>
      <c r="E86" s="131">
        <f>E76</f>
        <v>1.752514477293508</v>
      </c>
      <c r="F86" s="131">
        <v>0.9</v>
      </c>
      <c r="G86" s="131">
        <f t="shared" si="6"/>
        <v>0</v>
      </c>
      <c r="H86" s="131"/>
      <c r="I86" s="131"/>
      <c r="J86" s="149"/>
      <c r="K86" s="141"/>
    </row>
    <row r="87" spans="1:14" s="53" customFormat="1" ht="15" hidden="1" customHeight="1" x14ac:dyDescent="0.25">
      <c r="A87" s="136"/>
      <c r="B87" s="133" t="s">
        <v>67</v>
      </c>
      <c r="C87" s="137">
        <f>0*2</f>
        <v>0</v>
      </c>
      <c r="D87" s="131">
        <f>D82</f>
        <v>2.6</v>
      </c>
      <c r="E87" s="131"/>
      <c r="F87" s="131">
        <v>0.9</v>
      </c>
      <c r="G87" s="131">
        <f t="shared" si="6"/>
        <v>0</v>
      </c>
      <c r="H87" s="131"/>
      <c r="I87" s="131"/>
      <c r="J87" s="149"/>
      <c r="K87" s="141"/>
    </row>
    <row r="88" spans="1:14" s="53" customFormat="1" ht="15" hidden="1" customHeight="1" x14ac:dyDescent="0.25">
      <c r="A88" s="136"/>
      <c r="B88" s="133"/>
      <c r="C88" s="137">
        <f>0*2</f>
        <v>0</v>
      </c>
      <c r="D88" s="131"/>
      <c r="E88" s="131">
        <v>6.2</v>
      </c>
      <c r="F88" s="131">
        <v>0.9</v>
      </c>
      <c r="G88" s="131">
        <f t="shared" si="6"/>
        <v>0</v>
      </c>
      <c r="H88" s="131"/>
      <c r="I88" s="131"/>
      <c r="J88" s="149"/>
      <c r="K88" s="141"/>
    </row>
    <row r="89" spans="1:14" s="53" customFormat="1" ht="15" hidden="1" customHeight="1" x14ac:dyDescent="0.25">
      <c r="A89" s="136"/>
      <c r="B89" s="133" t="s">
        <v>68</v>
      </c>
      <c r="C89" s="137">
        <f>0*-2</f>
        <v>0</v>
      </c>
      <c r="D89" s="131"/>
      <c r="E89" s="131">
        <f>3/3.281</f>
        <v>0.91435537945748246</v>
      </c>
      <c r="F89" s="131">
        <f>2/3.281</f>
        <v>0.6095702529716549</v>
      </c>
      <c r="G89" s="131">
        <f t="shared" si="6"/>
        <v>0</v>
      </c>
      <c r="H89" s="131"/>
      <c r="I89" s="131"/>
      <c r="J89" s="149"/>
      <c r="K89" s="141"/>
    </row>
    <row r="90" spans="1:14" s="53" customFormat="1" ht="15" hidden="1" customHeight="1" x14ac:dyDescent="0.25">
      <c r="A90" s="136"/>
      <c r="B90" s="133" t="s">
        <v>69</v>
      </c>
      <c r="C90" s="137">
        <f>0*2*4</f>
        <v>0</v>
      </c>
      <c r="D90" s="131">
        <f>16/12/3.281</f>
        <v>0.40638016864776993</v>
      </c>
      <c r="E90" s="131"/>
      <c r="F90" s="131">
        <f>5/3.281</f>
        <v>1.5239256324291375</v>
      </c>
      <c r="G90" s="131">
        <f t="shared" si="6"/>
        <v>0</v>
      </c>
      <c r="H90" s="131"/>
      <c r="I90" s="131"/>
      <c r="J90" s="149"/>
      <c r="K90" s="141"/>
    </row>
    <row r="91" spans="1:14" s="53" customFormat="1" ht="15" hidden="1" customHeight="1" x14ac:dyDescent="0.25">
      <c r="A91" s="136"/>
      <c r="B91" s="133" t="s">
        <v>70</v>
      </c>
      <c r="C91" s="137">
        <f>0*-2*4</f>
        <v>0</v>
      </c>
      <c r="D91" s="131">
        <f>16/12/3.281</f>
        <v>0.40638016864776993</v>
      </c>
      <c r="E91" s="131"/>
      <c r="F91" s="131">
        <f>8/12/3.281</f>
        <v>0.20319008432388497</v>
      </c>
      <c r="G91" s="131">
        <f t="shared" si="6"/>
        <v>0</v>
      </c>
      <c r="H91" s="131"/>
      <c r="I91" s="131"/>
      <c r="J91" s="149"/>
      <c r="K91" s="141"/>
    </row>
    <row r="92" spans="1:14" s="53" customFormat="1" ht="15" hidden="1" customHeight="1" x14ac:dyDescent="0.25">
      <c r="A92" s="136"/>
      <c r="B92" s="133" t="s">
        <v>71</v>
      </c>
      <c r="C92" s="137">
        <f>0*1</f>
        <v>0</v>
      </c>
      <c r="D92" s="131">
        <f>10.75/3.281</f>
        <v>3.2764401097226452</v>
      </c>
      <c r="E92" s="131"/>
      <c r="F92" s="131">
        <f>F73</f>
        <v>5.233160621761658</v>
      </c>
      <c r="G92" s="131">
        <f t="shared" si="6"/>
        <v>0</v>
      </c>
      <c r="H92" s="131"/>
      <c r="I92" s="131"/>
      <c r="J92" s="149"/>
      <c r="K92" s="141"/>
    </row>
    <row r="93" spans="1:14" s="53" customFormat="1" ht="15" hidden="1" customHeight="1" x14ac:dyDescent="0.25">
      <c r="A93" s="136"/>
      <c r="B93" s="133"/>
      <c r="C93" s="137">
        <f>0*1</f>
        <v>0</v>
      </c>
      <c r="D93" s="131">
        <f>10.75/3.281</f>
        <v>3.2764401097226452</v>
      </c>
      <c r="E93" s="131"/>
      <c r="F93" s="131">
        <f>F85</f>
        <v>0.9</v>
      </c>
      <c r="G93" s="131">
        <f t="shared" si="6"/>
        <v>0</v>
      </c>
      <c r="H93" s="131"/>
      <c r="I93" s="131"/>
      <c r="J93" s="149"/>
      <c r="K93" s="141"/>
    </row>
    <row r="94" spans="1:14" ht="15" hidden="1" customHeight="1" x14ac:dyDescent="0.25">
      <c r="A94" s="12"/>
      <c r="B94" s="133" t="s">
        <v>25</v>
      </c>
      <c r="C94" s="14"/>
      <c r="D94" s="15"/>
      <c r="E94" s="16"/>
      <c r="F94" s="16"/>
      <c r="G94" s="19">
        <f>SUM(G73:G93)</f>
        <v>0</v>
      </c>
      <c r="H94" s="18" t="s">
        <v>26</v>
      </c>
      <c r="I94" s="19">
        <f>515448.67/100</f>
        <v>5154.4866999999995</v>
      </c>
      <c r="J94" s="132">
        <f>G94*I94</f>
        <v>0</v>
      </c>
      <c r="K94" s="16"/>
      <c r="M94" s="21"/>
      <c r="N94" s="21"/>
    </row>
    <row r="95" spans="1:14" ht="15" hidden="1" customHeight="1" x14ac:dyDescent="0.25">
      <c r="A95" s="12"/>
      <c r="B95" s="133" t="s">
        <v>49</v>
      </c>
      <c r="C95" s="14"/>
      <c r="D95" s="15"/>
      <c r="E95" s="16"/>
      <c r="F95" s="16"/>
      <c r="G95" s="19"/>
      <c r="H95" s="18"/>
      <c r="I95" s="19"/>
      <c r="J95" s="132">
        <f>G94*0.13*(328838.67/100)</f>
        <v>0</v>
      </c>
      <c r="K95" s="16"/>
      <c r="M95" s="21"/>
      <c r="N95" s="21"/>
    </row>
    <row r="96" spans="1:14" ht="15" hidden="1" customHeight="1" x14ac:dyDescent="0.25">
      <c r="A96" s="12"/>
      <c r="B96" s="133"/>
      <c r="C96" s="14"/>
      <c r="D96" s="15"/>
      <c r="E96" s="16"/>
      <c r="F96" s="16"/>
      <c r="G96" s="19"/>
      <c r="H96" s="18"/>
      <c r="I96" s="19"/>
      <c r="J96" s="132"/>
      <c r="K96" s="16"/>
      <c r="M96" s="21"/>
      <c r="N96" s="21"/>
    </row>
    <row r="97" spans="1:14" ht="47.25" hidden="1" x14ac:dyDescent="0.25">
      <c r="A97" s="12">
        <v>11</v>
      </c>
      <c r="B97" s="134" t="s">
        <v>72</v>
      </c>
      <c r="C97" s="14"/>
      <c r="D97" s="15"/>
      <c r="E97" s="16"/>
      <c r="F97" s="16"/>
      <c r="G97" s="19"/>
      <c r="H97" s="18"/>
      <c r="I97" s="19"/>
      <c r="J97" s="132"/>
      <c r="K97" s="16"/>
      <c r="M97" s="21"/>
      <c r="N97" s="21"/>
    </row>
    <row r="98" spans="1:14" ht="15" hidden="1" customHeight="1" x14ac:dyDescent="0.25">
      <c r="A98" s="12"/>
      <c r="B98" s="133" t="s">
        <v>54</v>
      </c>
      <c r="C98" s="14">
        <f>(0*1+1*2)*0</f>
        <v>0</v>
      </c>
      <c r="D98" s="15">
        <f>E73+E76</f>
        <v>5.0289545870161536</v>
      </c>
      <c r="E98" s="16"/>
      <c r="F98" s="16"/>
      <c r="G98" s="131">
        <f>PRODUCT(C98:F98)</f>
        <v>0</v>
      </c>
      <c r="H98" s="18"/>
      <c r="I98" s="19"/>
      <c r="J98" s="132"/>
      <c r="K98" s="16"/>
      <c r="M98" s="21"/>
      <c r="N98" s="21"/>
    </row>
    <row r="99" spans="1:14" ht="15" hidden="1" customHeight="1" x14ac:dyDescent="0.25">
      <c r="A99" s="12"/>
      <c r="B99" s="133" t="s">
        <v>56</v>
      </c>
      <c r="C99" s="14">
        <f>0*2</f>
        <v>0</v>
      </c>
      <c r="D99" s="15">
        <f>(24/12/3.281)*4</f>
        <v>2.4382810118866196</v>
      </c>
      <c r="E99" s="16"/>
      <c r="F99" s="16"/>
      <c r="G99" s="131">
        <f>PRODUCT(C99:F99)</f>
        <v>0</v>
      </c>
      <c r="H99" s="18"/>
      <c r="I99" s="19"/>
      <c r="J99" s="132"/>
      <c r="K99" s="16"/>
      <c r="M99" s="21"/>
      <c r="N99" s="21"/>
    </row>
    <row r="100" spans="1:14" ht="15" hidden="1" customHeight="1" x14ac:dyDescent="0.25">
      <c r="A100" s="12"/>
      <c r="B100" s="133" t="s">
        <v>25</v>
      </c>
      <c r="C100" s="14"/>
      <c r="D100" s="15"/>
      <c r="E100" s="16"/>
      <c r="F100" s="16"/>
      <c r="G100" s="19">
        <f>SUM(G98:G99)</f>
        <v>0</v>
      </c>
      <c r="H100" s="18" t="s">
        <v>73</v>
      </c>
      <c r="I100" s="19">
        <f>3932.81/10</f>
        <v>393.28100000000001</v>
      </c>
      <c r="J100" s="132">
        <f>G100*I100</f>
        <v>0</v>
      </c>
      <c r="K100" s="16"/>
      <c r="M100" s="21"/>
      <c r="N100" s="21"/>
    </row>
    <row r="101" spans="1:14" ht="15" hidden="1" customHeight="1" x14ac:dyDescent="0.25">
      <c r="A101" s="12"/>
      <c r="B101" s="133" t="s">
        <v>49</v>
      </c>
      <c r="C101" s="14"/>
      <c r="D101" s="15"/>
      <c r="E101" s="16"/>
      <c r="F101" s="16"/>
      <c r="G101" s="19"/>
      <c r="H101" s="18"/>
      <c r="I101" s="19"/>
      <c r="J101" s="132">
        <f>G100*0.13*(2165.31/10)</f>
        <v>0</v>
      </c>
      <c r="K101" s="16"/>
      <c r="M101" s="21"/>
      <c r="N101" s="21"/>
    </row>
    <row r="102" spans="1:14" ht="15" hidden="1" customHeight="1" x14ac:dyDescent="0.25">
      <c r="A102" s="12"/>
      <c r="B102" s="133"/>
      <c r="C102" s="14"/>
      <c r="D102" s="15"/>
      <c r="E102" s="16"/>
      <c r="F102" s="16"/>
      <c r="G102" s="19"/>
      <c r="H102" s="18"/>
      <c r="I102" s="19"/>
      <c r="J102" s="132"/>
      <c r="K102" s="16"/>
      <c r="M102" s="21"/>
      <c r="N102" s="21"/>
    </row>
    <row r="103" spans="1:14" ht="30.75" hidden="1" customHeight="1" x14ac:dyDescent="0.25">
      <c r="A103" s="12">
        <v>12</v>
      </c>
      <c r="B103" s="134" t="s">
        <v>74</v>
      </c>
      <c r="C103" s="137"/>
      <c r="D103" s="131"/>
      <c r="E103" s="131"/>
      <c r="F103" s="131"/>
      <c r="G103" s="131"/>
      <c r="H103" s="131"/>
      <c r="I103" s="131"/>
      <c r="J103" s="149"/>
      <c r="K103" s="141"/>
    </row>
    <row r="104" spans="1:14" ht="15" hidden="1" customHeight="1" x14ac:dyDescent="0.25">
      <c r="A104" s="12"/>
      <c r="B104" s="133" t="s">
        <v>54</v>
      </c>
      <c r="C104" s="14">
        <f>0*1</f>
        <v>0</v>
      </c>
      <c r="D104" s="15">
        <f>D98</f>
        <v>5.0289545870161536</v>
      </c>
      <c r="E104" s="16"/>
      <c r="F104" s="16"/>
      <c r="G104" s="131">
        <f t="shared" ref="G104" si="7">PRODUCT(C104:F104)</f>
        <v>0</v>
      </c>
      <c r="H104" s="18"/>
      <c r="I104" s="19"/>
      <c r="J104" s="132"/>
      <c r="K104" s="16"/>
      <c r="M104" s="21"/>
      <c r="N104" s="21"/>
    </row>
    <row r="105" spans="1:14" ht="15" hidden="1" customHeight="1" x14ac:dyDescent="0.25">
      <c r="A105" s="12"/>
      <c r="B105" s="133" t="s">
        <v>56</v>
      </c>
      <c r="C105" s="14">
        <f>0*2</f>
        <v>0</v>
      </c>
      <c r="D105" s="15">
        <f>(24/12/3.281)*4</f>
        <v>2.4382810118866196</v>
      </c>
      <c r="E105" s="16"/>
      <c r="F105" s="16"/>
      <c r="G105" s="131">
        <f>PRODUCT(C105:F105)</f>
        <v>0</v>
      </c>
      <c r="H105" s="18"/>
      <c r="I105" s="19"/>
      <c r="J105" s="132"/>
      <c r="K105" s="16"/>
      <c r="M105" s="21"/>
      <c r="N105" s="21"/>
    </row>
    <row r="106" spans="1:14" ht="15" hidden="1" customHeight="1" x14ac:dyDescent="0.25">
      <c r="A106" s="12"/>
      <c r="B106" s="133" t="s">
        <v>25</v>
      </c>
      <c r="C106" s="14"/>
      <c r="D106" s="15"/>
      <c r="E106" s="16"/>
      <c r="F106" s="16"/>
      <c r="G106" s="19">
        <f>SUM(G104:G105)</f>
        <v>0</v>
      </c>
      <c r="H106" s="18" t="s">
        <v>73</v>
      </c>
      <c r="I106" s="19">
        <f>4676.81/10</f>
        <v>467.68100000000004</v>
      </c>
      <c r="J106" s="132">
        <f>G106*I106</f>
        <v>0</v>
      </c>
      <c r="K106" s="16"/>
      <c r="M106" s="21"/>
      <c r="N106" s="21"/>
    </row>
    <row r="107" spans="1:14" ht="15" hidden="1" customHeight="1" x14ac:dyDescent="0.25">
      <c r="A107" s="12"/>
      <c r="B107" s="133" t="s">
        <v>49</v>
      </c>
      <c r="C107" s="14"/>
      <c r="D107" s="15"/>
      <c r="E107" s="16"/>
      <c r="F107" s="16"/>
      <c r="G107" s="19"/>
      <c r="H107" s="18"/>
      <c r="I107" s="19"/>
      <c r="J107" s="132">
        <f>G106*0.13*(2909.31/10)</f>
        <v>0</v>
      </c>
      <c r="K107" s="16"/>
      <c r="M107" s="21"/>
      <c r="N107" s="21"/>
    </row>
    <row r="108" spans="1:14" ht="15" hidden="1" customHeight="1" x14ac:dyDescent="0.25">
      <c r="A108" s="12"/>
      <c r="B108" s="133"/>
      <c r="C108" s="14"/>
      <c r="D108" s="15"/>
      <c r="E108" s="16"/>
      <c r="F108" s="16"/>
      <c r="G108" s="19"/>
      <c r="H108" s="18"/>
      <c r="I108" s="19"/>
      <c r="J108" s="132"/>
      <c r="K108" s="16"/>
      <c r="M108" s="21"/>
      <c r="N108" s="21"/>
    </row>
    <row r="109" spans="1:14" ht="47.25" hidden="1" x14ac:dyDescent="0.25">
      <c r="A109" s="12">
        <v>13</v>
      </c>
      <c r="B109" s="134" t="s">
        <v>75</v>
      </c>
      <c r="C109" s="14"/>
      <c r="D109" s="15"/>
      <c r="E109" s="16"/>
      <c r="F109" s="16"/>
      <c r="G109" s="19"/>
      <c r="H109" s="18"/>
      <c r="I109" s="19"/>
      <c r="J109" s="132"/>
      <c r="K109" s="16"/>
      <c r="M109" s="21"/>
      <c r="N109" s="21"/>
    </row>
    <row r="110" spans="1:14" ht="15" hidden="1" customHeight="1" x14ac:dyDescent="0.25">
      <c r="A110" s="12"/>
      <c r="B110" s="133" t="s">
        <v>54</v>
      </c>
      <c r="C110" s="14">
        <f>0*(1*2+1*2)</f>
        <v>0</v>
      </c>
      <c r="D110" s="15">
        <f>D104</f>
        <v>5.0289545870161536</v>
      </c>
      <c r="E110" s="16"/>
      <c r="F110" s="16"/>
      <c r="G110" s="131">
        <f t="shared" ref="G110:G112" si="8">PRODUCT(C110:F110)</f>
        <v>0</v>
      </c>
      <c r="H110" s="18"/>
      <c r="I110" s="19"/>
      <c r="J110" s="132"/>
      <c r="K110" s="16"/>
      <c r="M110" s="21"/>
      <c r="N110" s="21"/>
    </row>
    <row r="111" spans="1:14" ht="15" hidden="1" customHeight="1" x14ac:dyDescent="0.25">
      <c r="A111" s="12"/>
      <c r="B111" s="13" t="s">
        <v>22</v>
      </c>
      <c r="C111" s="14">
        <f>0*-1</f>
        <v>0</v>
      </c>
      <c r="D111" s="15">
        <f>3.5/3.281</f>
        <v>1.0667479427003961</v>
      </c>
      <c r="E111" s="16"/>
      <c r="F111" s="16"/>
      <c r="G111" s="131">
        <f t="shared" si="8"/>
        <v>0</v>
      </c>
      <c r="H111" s="18"/>
      <c r="I111" s="19"/>
      <c r="J111" s="132"/>
      <c r="K111" s="16"/>
      <c r="M111" s="21"/>
      <c r="N111" s="21"/>
    </row>
    <row r="112" spans="1:14" ht="15" hidden="1" customHeight="1" x14ac:dyDescent="0.25">
      <c r="A112" s="12"/>
      <c r="B112" s="13" t="s">
        <v>23</v>
      </c>
      <c r="C112" s="14">
        <f>0*-1</f>
        <v>0</v>
      </c>
      <c r="D112" s="15">
        <f>3.833/3.281</f>
        <v>1.1682413898201769</v>
      </c>
      <c r="E112" s="16"/>
      <c r="F112" s="16"/>
      <c r="G112" s="131">
        <f t="shared" si="8"/>
        <v>0</v>
      </c>
      <c r="H112" s="18"/>
      <c r="I112" s="19"/>
      <c r="J112" s="132"/>
      <c r="K112" s="16"/>
      <c r="M112" s="21"/>
      <c r="N112" s="21"/>
    </row>
    <row r="113" spans="1:15" ht="15" hidden="1" customHeight="1" x14ac:dyDescent="0.25">
      <c r="A113" s="12"/>
      <c r="B113" s="133" t="s">
        <v>56</v>
      </c>
      <c r="C113" s="14">
        <f>0*2*2</f>
        <v>0</v>
      </c>
      <c r="D113" s="15">
        <f>(24/12/3.281)*4</f>
        <v>2.4382810118866196</v>
      </c>
      <c r="E113" s="16"/>
      <c r="F113" s="16"/>
      <c r="G113" s="131">
        <f>PRODUCT(C113:F113)</f>
        <v>0</v>
      </c>
      <c r="H113" s="18"/>
      <c r="I113" s="19"/>
      <c r="J113" s="132"/>
      <c r="K113" s="16"/>
      <c r="M113" s="21"/>
      <c r="N113" s="21"/>
    </row>
    <row r="114" spans="1:15" ht="15" hidden="1" customHeight="1" x14ac:dyDescent="0.25">
      <c r="A114" s="12"/>
      <c r="B114" s="133" t="s">
        <v>25</v>
      </c>
      <c r="C114" s="14"/>
      <c r="D114" s="15"/>
      <c r="E114" s="16"/>
      <c r="F114" s="16"/>
      <c r="G114" s="19">
        <f>SUM(G110:G113)</f>
        <v>0</v>
      </c>
      <c r="H114" s="18" t="s">
        <v>73</v>
      </c>
      <c r="I114" s="19">
        <f>4118.81/10</f>
        <v>411.88100000000003</v>
      </c>
      <c r="J114" s="132">
        <f>G114*I114</f>
        <v>0</v>
      </c>
      <c r="K114" s="16"/>
      <c r="M114" s="21"/>
      <c r="N114" s="21"/>
    </row>
    <row r="115" spans="1:15" ht="15" hidden="1" customHeight="1" x14ac:dyDescent="0.25">
      <c r="A115" s="12"/>
      <c r="B115" s="133" t="s">
        <v>49</v>
      </c>
      <c r="C115" s="14"/>
      <c r="D115" s="15"/>
      <c r="E115" s="16"/>
      <c r="F115" s="16"/>
      <c r="G115" s="19"/>
      <c r="H115" s="18"/>
      <c r="I115" s="19"/>
      <c r="J115" s="132">
        <f>G114*0.13*(2351.31/10)</f>
        <v>0</v>
      </c>
      <c r="K115" s="16"/>
      <c r="M115" s="21"/>
      <c r="N115" s="21"/>
    </row>
    <row r="116" spans="1:15" ht="15" hidden="1" customHeight="1" x14ac:dyDescent="0.25">
      <c r="A116" s="12"/>
      <c r="B116" s="133"/>
      <c r="C116" s="14"/>
      <c r="D116" s="15"/>
      <c r="E116" s="16"/>
      <c r="F116" s="16"/>
      <c r="G116" s="19"/>
      <c r="H116" s="18"/>
      <c r="I116" s="19"/>
      <c r="J116" s="132"/>
      <c r="K116" s="16"/>
      <c r="M116" s="21"/>
      <c r="N116" s="21"/>
    </row>
    <row r="117" spans="1:15" ht="47.25" hidden="1" x14ac:dyDescent="0.25">
      <c r="A117" s="12">
        <v>14</v>
      </c>
      <c r="B117" s="134" t="s">
        <v>76</v>
      </c>
      <c r="C117" s="14"/>
      <c r="D117" s="15"/>
      <c r="E117" s="16"/>
      <c r="F117" s="16"/>
      <c r="G117" s="19"/>
      <c r="H117" s="18"/>
      <c r="I117" s="19"/>
      <c r="J117" s="132"/>
      <c r="K117" s="16"/>
      <c r="M117" s="21"/>
      <c r="N117" s="21"/>
    </row>
    <row r="118" spans="1:15" ht="15" hidden="1" customHeight="1" x14ac:dyDescent="0.25">
      <c r="A118" s="12"/>
      <c r="B118" s="133" t="s">
        <v>54</v>
      </c>
      <c r="C118" s="14">
        <f>0*2</f>
        <v>0</v>
      </c>
      <c r="D118" s="15">
        <f>D110</f>
        <v>5.0289545870161536</v>
      </c>
      <c r="E118" s="16"/>
      <c r="F118" s="16"/>
      <c r="G118" s="131">
        <f t="shared" ref="G118:G120" si="9">PRODUCT(C118:F118)</f>
        <v>0</v>
      </c>
      <c r="H118" s="18"/>
      <c r="I118" s="19"/>
      <c r="J118" s="132"/>
      <c r="K118" s="16"/>
      <c r="M118" s="21"/>
      <c r="N118" s="21"/>
    </row>
    <row r="119" spans="1:15" ht="15" hidden="1" customHeight="1" x14ac:dyDescent="0.25">
      <c r="A119" s="12"/>
      <c r="B119" s="13" t="s">
        <v>22</v>
      </c>
      <c r="C119" s="14">
        <f>0*-1</f>
        <v>0</v>
      </c>
      <c r="D119" s="15">
        <f>3.5/3.281</f>
        <v>1.0667479427003961</v>
      </c>
      <c r="E119" s="16"/>
      <c r="F119" s="16"/>
      <c r="G119" s="131">
        <f t="shared" si="9"/>
        <v>0</v>
      </c>
      <c r="H119" s="18"/>
      <c r="I119" s="19"/>
      <c r="J119" s="132"/>
      <c r="K119" s="16"/>
      <c r="M119" s="21"/>
      <c r="N119" s="21"/>
    </row>
    <row r="120" spans="1:15" ht="15" hidden="1" customHeight="1" x14ac:dyDescent="0.25">
      <c r="A120" s="12"/>
      <c r="B120" s="13" t="s">
        <v>23</v>
      </c>
      <c r="C120" s="14">
        <f>0*-1</f>
        <v>0</v>
      </c>
      <c r="D120" s="15">
        <f>3.833/3.281</f>
        <v>1.1682413898201769</v>
      </c>
      <c r="E120" s="16"/>
      <c r="F120" s="16"/>
      <c r="G120" s="131">
        <f t="shared" si="9"/>
        <v>0</v>
      </c>
      <c r="H120" s="18"/>
      <c r="I120" s="19"/>
      <c r="J120" s="132"/>
      <c r="K120" s="16"/>
      <c r="M120" s="21"/>
      <c r="N120" s="21"/>
    </row>
    <row r="121" spans="1:15" ht="15" hidden="1" customHeight="1" x14ac:dyDescent="0.25">
      <c r="A121" s="12"/>
      <c r="B121" s="133" t="s">
        <v>56</v>
      </c>
      <c r="C121" s="14">
        <f>0*2</f>
        <v>0</v>
      </c>
      <c r="D121" s="15">
        <f>(24/12/3.281)*4</f>
        <v>2.4382810118866196</v>
      </c>
      <c r="E121" s="16"/>
      <c r="F121" s="16"/>
      <c r="G121" s="131">
        <f>PRODUCT(C121:F121)</f>
        <v>0</v>
      </c>
      <c r="H121" s="18"/>
      <c r="I121" s="19"/>
      <c r="J121" s="132"/>
      <c r="K121" s="16"/>
      <c r="M121" s="21"/>
      <c r="N121" s="21"/>
    </row>
    <row r="122" spans="1:15" ht="15" hidden="1" customHeight="1" x14ac:dyDescent="0.25">
      <c r="A122" s="12"/>
      <c r="B122" s="133" t="s">
        <v>25</v>
      </c>
      <c r="C122" s="14"/>
      <c r="D122" s="15"/>
      <c r="E122" s="16"/>
      <c r="F122" s="16"/>
      <c r="G122" s="19">
        <f>SUM(G118:G121)</f>
        <v>0</v>
      </c>
      <c r="H122" s="18" t="s">
        <v>73</v>
      </c>
      <c r="I122" s="19">
        <f>4490.81/10</f>
        <v>449.08100000000002</v>
      </c>
      <c r="J122" s="132">
        <f>G122*I122</f>
        <v>0</v>
      </c>
      <c r="K122" s="16"/>
      <c r="M122" s="21"/>
      <c r="N122" s="21"/>
      <c r="O122">
        <f>516.44/1.15</f>
        <v>449.07826086956533</v>
      </c>
    </row>
    <row r="123" spans="1:15" ht="15" hidden="1" customHeight="1" x14ac:dyDescent="0.25">
      <c r="A123" s="12"/>
      <c r="B123" s="133" t="s">
        <v>49</v>
      </c>
      <c r="C123" s="14"/>
      <c r="D123" s="15"/>
      <c r="E123" s="16"/>
      <c r="F123" s="16"/>
      <c r="G123" s="19"/>
      <c r="H123" s="18"/>
      <c r="I123" s="19"/>
      <c r="J123" s="132">
        <f>G122*0.13*(2723.31/10)</f>
        <v>0</v>
      </c>
      <c r="K123" s="16"/>
      <c r="M123" s="21"/>
      <c r="N123" s="21"/>
    </row>
    <row r="124" spans="1:15" ht="15" hidden="1" customHeight="1" x14ac:dyDescent="0.25">
      <c r="A124" s="12"/>
      <c r="B124" s="133"/>
      <c r="C124" s="14"/>
      <c r="D124" s="15"/>
      <c r="E124" s="16"/>
      <c r="F124" s="16"/>
      <c r="G124" s="19"/>
      <c r="H124" s="18"/>
      <c r="I124" s="19"/>
      <c r="J124" s="132"/>
      <c r="K124" s="16"/>
      <c r="M124" s="21"/>
      <c r="N124" s="21"/>
    </row>
    <row r="125" spans="1:15" ht="30.75" hidden="1" customHeight="1" x14ac:dyDescent="0.25">
      <c r="A125" s="12">
        <v>15</v>
      </c>
      <c r="B125" s="134" t="s">
        <v>77</v>
      </c>
      <c r="C125" s="137"/>
      <c r="D125" s="131"/>
      <c r="E125" s="131"/>
      <c r="F125" s="131"/>
      <c r="G125" s="131"/>
      <c r="H125" s="131"/>
      <c r="I125" s="131"/>
      <c r="J125" s="149"/>
      <c r="K125" s="141"/>
    </row>
    <row r="126" spans="1:15" ht="15" hidden="1" customHeight="1" x14ac:dyDescent="0.25">
      <c r="A126" s="12"/>
      <c r="B126" s="133" t="s">
        <v>54</v>
      </c>
      <c r="C126" s="14">
        <f>0*(1*2-1)</f>
        <v>0</v>
      </c>
      <c r="D126" s="15">
        <f>D118</f>
        <v>5.0289545870161536</v>
      </c>
      <c r="E126" s="16"/>
      <c r="F126" s="16"/>
      <c r="G126" s="131">
        <f t="shared" ref="G126" si="10">PRODUCT(C126:F126)</f>
        <v>0</v>
      </c>
      <c r="H126" s="18"/>
      <c r="I126" s="19"/>
      <c r="J126" s="132"/>
      <c r="K126" s="16"/>
      <c r="M126" s="21"/>
      <c r="N126" s="21"/>
    </row>
    <row r="127" spans="1:15" ht="15" hidden="1" customHeight="1" x14ac:dyDescent="0.25">
      <c r="A127" s="12"/>
      <c r="B127" s="133" t="s">
        <v>56</v>
      </c>
      <c r="C127" s="14">
        <f>0*2</f>
        <v>0</v>
      </c>
      <c r="D127" s="15">
        <f>(24/12/3.281)*4</f>
        <v>2.4382810118866196</v>
      </c>
      <c r="E127" s="16"/>
      <c r="F127" s="16"/>
      <c r="G127" s="131">
        <f>PRODUCT(C127:F127)</f>
        <v>0</v>
      </c>
      <c r="H127" s="18"/>
      <c r="I127" s="19"/>
      <c r="J127" s="132"/>
      <c r="K127" s="16"/>
      <c r="M127" s="21"/>
      <c r="N127" s="21"/>
    </row>
    <row r="128" spans="1:15" ht="15" hidden="1" customHeight="1" x14ac:dyDescent="0.25">
      <c r="A128" s="12"/>
      <c r="B128" s="133" t="s">
        <v>25</v>
      </c>
      <c r="C128" s="14"/>
      <c r="D128" s="15"/>
      <c r="E128" s="16"/>
      <c r="F128" s="16"/>
      <c r="G128" s="19">
        <f>SUM(G126:G127)</f>
        <v>0</v>
      </c>
      <c r="H128" s="18" t="s">
        <v>73</v>
      </c>
      <c r="I128" s="19">
        <f>462.97/1.15</f>
        <v>402.58260869565225</v>
      </c>
      <c r="J128" s="132">
        <f>G128*I128</f>
        <v>0</v>
      </c>
      <c r="K128" s="16"/>
      <c r="M128" s="21"/>
      <c r="N128" s="21"/>
    </row>
    <row r="129" spans="1:14" ht="15" hidden="1" customHeight="1" x14ac:dyDescent="0.25">
      <c r="A129" s="12"/>
      <c r="B129" s="133" t="s">
        <v>49</v>
      </c>
      <c r="C129" s="14"/>
      <c r="D129" s="15"/>
      <c r="E129" s="16"/>
      <c r="F129" s="16"/>
      <c r="G129" s="19"/>
      <c r="H129" s="18"/>
      <c r="I129" s="19"/>
      <c r="J129" s="132">
        <f>G128*0.13*(2258.31/10)</f>
        <v>0</v>
      </c>
      <c r="K129" s="16"/>
      <c r="M129" s="21"/>
      <c r="N129" s="21"/>
    </row>
    <row r="130" spans="1:14" ht="15" hidden="1" customHeight="1" x14ac:dyDescent="0.25">
      <c r="A130" s="12"/>
      <c r="B130" s="141"/>
      <c r="C130" s="14"/>
      <c r="D130" s="15"/>
      <c r="E130" s="16"/>
      <c r="F130" s="16"/>
      <c r="G130" s="19"/>
      <c r="H130" s="18"/>
      <c r="I130" s="19"/>
      <c r="J130" s="132"/>
      <c r="K130" s="16"/>
      <c r="M130" s="21"/>
      <c r="N130" s="21"/>
    </row>
    <row r="131" spans="1:14" ht="47.25" hidden="1" x14ac:dyDescent="0.25">
      <c r="A131" s="12">
        <v>16</v>
      </c>
      <c r="B131" s="134" t="s">
        <v>78</v>
      </c>
      <c r="C131" s="14"/>
      <c r="D131" s="15"/>
      <c r="E131" s="16"/>
      <c r="F131" s="16"/>
      <c r="G131" s="19"/>
      <c r="H131" s="18"/>
      <c r="I131" s="19"/>
      <c r="J131" s="132"/>
      <c r="K131" s="16"/>
      <c r="M131" s="21"/>
      <c r="N131" s="21"/>
    </row>
    <row r="132" spans="1:14" ht="15" hidden="1" customHeight="1" x14ac:dyDescent="0.25">
      <c r="A132" s="12"/>
      <c r="B132" s="133" t="s">
        <v>54</v>
      </c>
      <c r="C132" s="14">
        <f>0*(1*2-1)</f>
        <v>0</v>
      </c>
      <c r="D132" s="15">
        <f>D156</f>
        <v>5.0289545870161536</v>
      </c>
      <c r="E132" s="16"/>
      <c r="F132" s="16"/>
      <c r="G132" s="131">
        <f t="shared" ref="G132" si="11">PRODUCT(C132:F132)</f>
        <v>0</v>
      </c>
      <c r="H132" s="18"/>
      <c r="I132" s="19"/>
      <c r="J132" s="132"/>
      <c r="K132" s="16"/>
      <c r="M132" s="21"/>
      <c r="N132" s="21"/>
    </row>
    <row r="133" spans="1:14" ht="15" hidden="1" customHeight="1" x14ac:dyDescent="0.25">
      <c r="A133" s="12"/>
      <c r="B133" s="133" t="s">
        <v>56</v>
      </c>
      <c r="C133" s="14">
        <f>0*2</f>
        <v>0</v>
      </c>
      <c r="D133" s="15">
        <f>(24/12/3.281)*4</f>
        <v>2.4382810118866196</v>
      </c>
      <c r="E133" s="16"/>
      <c r="F133" s="16"/>
      <c r="G133" s="131">
        <f>PRODUCT(C133:F133)</f>
        <v>0</v>
      </c>
      <c r="H133" s="18"/>
      <c r="I133" s="19"/>
      <c r="J133" s="132"/>
      <c r="K133" s="16"/>
      <c r="M133" s="21"/>
      <c r="N133" s="21"/>
    </row>
    <row r="134" spans="1:14" ht="15" hidden="1" customHeight="1" x14ac:dyDescent="0.25">
      <c r="A134" s="12"/>
      <c r="B134" s="133" t="s">
        <v>25</v>
      </c>
      <c r="C134" s="14"/>
      <c r="D134" s="15"/>
      <c r="E134" s="16"/>
      <c r="F134" s="16"/>
      <c r="G134" s="19">
        <f>SUM(G132:G133)</f>
        <v>0</v>
      </c>
      <c r="H134" s="18" t="s">
        <v>73</v>
      </c>
      <c r="I134" s="19">
        <f>4738.81/10</f>
        <v>473.88100000000003</v>
      </c>
      <c r="J134" s="132">
        <f>G134*I134</f>
        <v>0</v>
      </c>
      <c r="K134" s="16"/>
      <c r="M134" s="21"/>
      <c r="N134" s="21"/>
    </row>
    <row r="135" spans="1:14" ht="15" hidden="1" customHeight="1" x14ac:dyDescent="0.25">
      <c r="A135" s="12"/>
      <c r="B135" s="133" t="s">
        <v>49</v>
      </c>
      <c r="C135" s="14"/>
      <c r="D135" s="15"/>
      <c r="E135" s="16"/>
      <c r="F135" s="16"/>
      <c r="G135" s="19"/>
      <c r="H135" s="18"/>
      <c r="I135" s="19"/>
      <c r="J135" s="132">
        <f>G134*0.13*(2971.31/10)</f>
        <v>0</v>
      </c>
      <c r="K135" s="16"/>
      <c r="M135" s="21"/>
      <c r="N135" s="21"/>
    </row>
    <row r="136" spans="1:14" ht="15" hidden="1" customHeight="1" x14ac:dyDescent="0.25">
      <c r="A136" s="12"/>
      <c r="B136" s="133"/>
      <c r="C136" s="14"/>
      <c r="D136" s="15"/>
      <c r="E136" s="16"/>
      <c r="F136" s="16"/>
      <c r="G136" s="19"/>
      <c r="H136" s="18"/>
      <c r="I136" s="19"/>
      <c r="J136" s="132"/>
      <c r="K136" s="16"/>
      <c r="M136" s="21"/>
      <c r="N136" s="21"/>
    </row>
    <row r="137" spans="1:14" ht="47.25" hidden="1" x14ac:dyDescent="0.25">
      <c r="A137" s="12">
        <v>17</v>
      </c>
      <c r="B137" s="134" t="s">
        <v>79</v>
      </c>
      <c r="C137" s="14"/>
      <c r="D137" s="15"/>
      <c r="E137" s="16"/>
      <c r="F137" s="16"/>
      <c r="G137" s="19"/>
      <c r="H137" s="18"/>
      <c r="I137" s="19"/>
      <c r="J137" s="132"/>
      <c r="K137" s="16"/>
      <c r="M137" s="21"/>
      <c r="N137" s="21"/>
    </row>
    <row r="138" spans="1:14" ht="15" hidden="1" customHeight="1" x14ac:dyDescent="0.25">
      <c r="A138" s="12"/>
      <c r="B138" s="133" t="s">
        <v>54</v>
      </c>
      <c r="C138" s="14">
        <f>0*(1*2-1)</f>
        <v>0</v>
      </c>
      <c r="D138" s="15">
        <f>D132</f>
        <v>5.0289545870161536</v>
      </c>
      <c r="E138" s="16"/>
      <c r="F138" s="16"/>
      <c r="G138" s="131">
        <f>PRODUCT(C138:F138)</f>
        <v>0</v>
      </c>
      <c r="H138" s="18"/>
      <c r="I138" s="19"/>
      <c r="J138" s="132"/>
      <c r="K138" s="16"/>
      <c r="M138" s="21"/>
      <c r="N138" s="21"/>
    </row>
    <row r="139" spans="1:14" ht="15" hidden="1" customHeight="1" x14ac:dyDescent="0.25">
      <c r="A139" s="12"/>
      <c r="B139" s="133" t="s">
        <v>56</v>
      </c>
      <c r="C139" s="14">
        <f>0*2</f>
        <v>0</v>
      </c>
      <c r="D139" s="15">
        <f>(24/12/3.281)*4</f>
        <v>2.4382810118866196</v>
      </c>
      <c r="E139" s="16"/>
      <c r="F139" s="16"/>
      <c r="G139" s="131">
        <f>PRODUCT(C139:F139)</f>
        <v>0</v>
      </c>
      <c r="H139" s="18"/>
      <c r="I139" s="19"/>
      <c r="J139" s="132"/>
      <c r="K139" s="16"/>
      <c r="M139" s="21"/>
      <c r="N139" s="21"/>
    </row>
    <row r="140" spans="1:14" ht="15" hidden="1" customHeight="1" x14ac:dyDescent="0.25">
      <c r="A140" s="12"/>
      <c r="B140" s="133" t="s">
        <v>25</v>
      </c>
      <c r="C140" s="14"/>
      <c r="D140" s="15"/>
      <c r="E140" s="16"/>
      <c r="F140" s="16"/>
      <c r="G140" s="19">
        <f>SUM(G138:G139)</f>
        <v>0</v>
      </c>
      <c r="H140" s="18" t="s">
        <v>73</v>
      </c>
      <c r="I140" s="19">
        <f>623.05/1.15</f>
        <v>541.78260869565213</v>
      </c>
      <c r="J140" s="132">
        <f>G140*I140</f>
        <v>0</v>
      </c>
      <c r="K140" s="16"/>
      <c r="M140" s="21"/>
      <c r="N140" s="21"/>
    </row>
    <row r="141" spans="1:14" ht="15" hidden="1" customHeight="1" x14ac:dyDescent="0.25">
      <c r="A141" s="12"/>
      <c r="B141" s="133" t="s">
        <v>49</v>
      </c>
      <c r="C141" s="14"/>
      <c r="D141" s="15"/>
      <c r="E141" s="16"/>
      <c r="F141" s="16"/>
      <c r="G141" s="19"/>
      <c r="H141" s="18"/>
      <c r="I141" s="19"/>
      <c r="J141" s="132">
        <f>G140*0.13*(3650.31/10)</f>
        <v>0</v>
      </c>
      <c r="K141" s="16"/>
      <c r="M141" s="21"/>
      <c r="N141" s="21"/>
    </row>
    <row r="142" spans="1:14" ht="15" hidden="1" customHeight="1" x14ac:dyDescent="0.25">
      <c r="A142" s="12"/>
      <c r="B142" s="133"/>
      <c r="C142" s="14"/>
      <c r="D142" s="15"/>
      <c r="E142" s="16"/>
      <c r="F142" s="16"/>
      <c r="G142" s="19"/>
      <c r="H142" s="18"/>
      <c r="I142" s="19"/>
      <c r="J142" s="132"/>
      <c r="K142" s="16"/>
      <c r="M142" s="21"/>
      <c r="N142" s="21"/>
    </row>
    <row r="143" spans="1:14" ht="47.25" hidden="1" x14ac:dyDescent="0.25">
      <c r="A143" s="12">
        <v>18</v>
      </c>
      <c r="B143" s="134" t="s">
        <v>80</v>
      </c>
      <c r="C143" s="14"/>
      <c r="D143" s="15"/>
      <c r="E143" s="16"/>
      <c r="F143" s="16"/>
      <c r="G143" s="19"/>
      <c r="H143" s="18"/>
      <c r="I143" s="19"/>
      <c r="J143" s="132"/>
      <c r="K143" s="16"/>
      <c r="M143" s="21"/>
      <c r="N143" s="21"/>
    </row>
    <row r="144" spans="1:14" ht="15" hidden="1" customHeight="1" x14ac:dyDescent="0.25">
      <c r="A144" s="12"/>
      <c r="B144" s="133" t="s">
        <v>54</v>
      </c>
      <c r="C144" s="14">
        <f>0*(1*2-1)</f>
        <v>0</v>
      </c>
      <c r="D144" s="15">
        <f>D138</f>
        <v>5.0289545870161536</v>
      </c>
      <c r="E144" s="16"/>
      <c r="F144" s="16"/>
      <c r="G144" s="131">
        <f t="shared" ref="G144" si="12">PRODUCT(C144:F144)</f>
        <v>0</v>
      </c>
      <c r="H144" s="18"/>
      <c r="I144" s="19"/>
      <c r="J144" s="132"/>
      <c r="K144" s="16"/>
      <c r="M144" s="21"/>
      <c r="N144" s="21"/>
    </row>
    <row r="145" spans="1:14" ht="15" hidden="1" customHeight="1" x14ac:dyDescent="0.25">
      <c r="A145" s="12"/>
      <c r="B145" s="133" t="s">
        <v>56</v>
      </c>
      <c r="C145" s="14">
        <f>0*2</f>
        <v>0</v>
      </c>
      <c r="D145" s="15">
        <f>(24/12/3.281)*4</f>
        <v>2.4382810118866196</v>
      </c>
      <c r="E145" s="16"/>
      <c r="F145" s="16"/>
      <c r="G145" s="131">
        <f>PRODUCT(C145:F145)</f>
        <v>0</v>
      </c>
      <c r="H145" s="18"/>
      <c r="I145" s="19"/>
      <c r="J145" s="132"/>
      <c r="K145" s="16"/>
      <c r="M145" s="21"/>
      <c r="N145" s="21"/>
    </row>
    <row r="146" spans="1:14" ht="15" hidden="1" customHeight="1" x14ac:dyDescent="0.25">
      <c r="A146" s="12"/>
      <c r="B146" s="133" t="s">
        <v>25</v>
      </c>
      <c r="C146" s="14"/>
      <c r="D146" s="15"/>
      <c r="E146" s="16"/>
      <c r="F146" s="16"/>
      <c r="G146" s="19">
        <f>SUM(G144:G145)</f>
        <v>0</v>
      </c>
      <c r="H146" s="18" t="s">
        <v>73</v>
      </c>
      <c r="I146" s="19">
        <f>4862.81/10</f>
        <v>486.28100000000006</v>
      </c>
      <c r="J146" s="132">
        <f>G146*I146</f>
        <v>0</v>
      </c>
      <c r="K146" s="16"/>
      <c r="M146" s="21"/>
      <c r="N146" s="21"/>
    </row>
    <row r="147" spans="1:14" ht="15" hidden="1" customHeight="1" x14ac:dyDescent="0.25">
      <c r="A147" s="12"/>
      <c r="B147" s="133" t="s">
        <v>49</v>
      </c>
      <c r="C147" s="14"/>
      <c r="D147" s="15"/>
      <c r="E147" s="16"/>
      <c r="F147" s="16"/>
      <c r="G147" s="19"/>
      <c r="H147" s="18"/>
      <c r="I147" s="19"/>
      <c r="J147" s="132">
        <f>G146*0.13*(3095.31/10)</f>
        <v>0</v>
      </c>
      <c r="K147" s="16"/>
      <c r="M147" s="21"/>
      <c r="N147" s="21"/>
    </row>
    <row r="148" spans="1:14" ht="15" hidden="1" customHeight="1" x14ac:dyDescent="0.25">
      <c r="A148" s="12"/>
      <c r="B148" s="133"/>
      <c r="C148" s="14"/>
      <c r="D148" s="15"/>
      <c r="E148" s="16"/>
      <c r="F148" s="16"/>
      <c r="G148" s="19"/>
      <c r="H148" s="18"/>
      <c r="I148" s="19"/>
      <c r="J148" s="132"/>
      <c r="K148" s="16"/>
      <c r="M148" s="21"/>
      <c r="N148" s="21"/>
    </row>
    <row r="149" spans="1:14" ht="47.25" hidden="1" x14ac:dyDescent="0.25">
      <c r="A149" s="12">
        <v>19</v>
      </c>
      <c r="B149" s="134" t="s">
        <v>81</v>
      </c>
      <c r="C149" s="14"/>
      <c r="D149" s="15"/>
      <c r="E149" s="16"/>
      <c r="F149" s="16"/>
      <c r="G149" s="19"/>
      <c r="H149" s="18"/>
      <c r="I149" s="19"/>
      <c r="J149" s="132"/>
      <c r="K149" s="16"/>
      <c r="M149" s="21"/>
      <c r="N149" s="21"/>
    </row>
    <row r="150" spans="1:14" ht="15" hidden="1" customHeight="1" x14ac:dyDescent="0.25">
      <c r="A150" s="12"/>
      <c r="B150" s="133" t="s">
        <v>54</v>
      </c>
      <c r="C150" s="14">
        <f>0*(1*2-1)</f>
        <v>0</v>
      </c>
      <c r="D150" s="15">
        <f>D144</f>
        <v>5.0289545870161536</v>
      </c>
      <c r="E150" s="16"/>
      <c r="F150" s="16"/>
      <c r="G150" s="131">
        <f t="shared" ref="G150" si="13">PRODUCT(C150:F150)</f>
        <v>0</v>
      </c>
      <c r="H150" s="18"/>
      <c r="I150" s="19"/>
      <c r="J150" s="132"/>
      <c r="K150" s="16"/>
      <c r="M150" s="21"/>
      <c r="N150" s="21"/>
    </row>
    <row r="151" spans="1:14" ht="15" hidden="1" customHeight="1" x14ac:dyDescent="0.25">
      <c r="A151" s="12"/>
      <c r="B151" s="133" t="s">
        <v>56</v>
      </c>
      <c r="C151" s="14">
        <f>0*2</f>
        <v>0</v>
      </c>
      <c r="D151" s="15">
        <f>(24/12/3.281)*4</f>
        <v>2.4382810118866196</v>
      </c>
      <c r="E151" s="16"/>
      <c r="F151" s="16"/>
      <c r="G151" s="131">
        <f>PRODUCT(C151:F151)</f>
        <v>0</v>
      </c>
      <c r="H151" s="18"/>
      <c r="I151" s="19"/>
      <c r="J151" s="132"/>
      <c r="K151" s="16"/>
      <c r="M151" s="21"/>
      <c r="N151" s="21"/>
    </row>
    <row r="152" spans="1:14" ht="15" hidden="1" customHeight="1" x14ac:dyDescent="0.25">
      <c r="A152" s="12"/>
      <c r="B152" s="133" t="s">
        <v>25</v>
      </c>
      <c r="C152" s="14"/>
      <c r="D152" s="15"/>
      <c r="E152" s="16"/>
      <c r="F152" s="16"/>
      <c r="G152" s="19">
        <f>SUM(G150:G151)</f>
        <v>0</v>
      </c>
      <c r="H152" s="18" t="s">
        <v>73</v>
      </c>
      <c r="I152" s="19">
        <f>4676.81/10</f>
        <v>467.68100000000004</v>
      </c>
      <c r="J152" s="132">
        <f>G152*I152</f>
        <v>0</v>
      </c>
      <c r="K152" s="16"/>
      <c r="M152" s="21"/>
      <c r="N152" s="21"/>
    </row>
    <row r="153" spans="1:14" ht="15" hidden="1" customHeight="1" x14ac:dyDescent="0.25">
      <c r="A153" s="12"/>
      <c r="B153" s="133" t="s">
        <v>49</v>
      </c>
      <c r="C153" s="14"/>
      <c r="D153" s="15"/>
      <c r="E153" s="16"/>
      <c r="F153" s="16"/>
      <c r="G153" s="19"/>
      <c r="H153" s="18"/>
      <c r="I153" s="19"/>
      <c r="J153" s="132">
        <f>G152*0.13*(2909.31/10)</f>
        <v>0</v>
      </c>
      <c r="K153" s="16"/>
      <c r="M153" s="21"/>
      <c r="N153" s="21"/>
    </row>
    <row r="154" spans="1:14" ht="15" hidden="1" customHeight="1" x14ac:dyDescent="0.25">
      <c r="A154" s="12"/>
      <c r="B154" s="133"/>
      <c r="C154" s="14"/>
      <c r="D154" s="15"/>
      <c r="E154" s="16"/>
      <c r="F154" s="16"/>
      <c r="G154" s="19"/>
      <c r="H154" s="18"/>
      <c r="I154" s="19"/>
      <c r="J154" s="132"/>
      <c r="K154" s="16"/>
      <c r="M154" s="21"/>
      <c r="N154" s="21"/>
    </row>
    <row r="155" spans="1:14" ht="30.75" hidden="1" customHeight="1" x14ac:dyDescent="0.25">
      <c r="A155" s="12">
        <v>20</v>
      </c>
      <c r="B155" s="134" t="s">
        <v>82</v>
      </c>
      <c r="C155" s="137"/>
      <c r="D155" s="131"/>
      <c r="E155" s="131"/>
      <c r="F155" s="131"/>
      <c r="G155" s="131"/>
      <c r="H155" s="131"/>
      <c r="I155" s="131"/>
      <c r="J155" s="149"/>
      <c r="K155" s="141"/>
    </row>
    <row r="156" spans="1:14" ht="15" hidden="1" customHeight="1" x14ac:dyDescent="0.25">
      <c r="A156" s="12"/>
      <c r="B156" s="133" t="s">
        <v>54</v>
      </c>
      <c r="C156" s="14">
        <f>0*(2*2-2)</f>
        <v>0</v>
      </c>
      <c r="D156" s="15">
        <f>D118</f>
        <v>5.0289545870161536</v>
      </c>
      <c r="E156" s="16"/>
      <c r="F156" s="16"/>
      <c r="G156" s="131">
        <f t="shared" ref="G156" si="14">PRODUCT(C156:F156)</f>
        <v>0</v>
      </c>
      <c r="H156" s="18"/>
      <c r="I156" s="19"/>
      <c r="J156" s="132"/>
      <c r="K156" s="16"/>
      <c r="M156" s="21"/>
      <c r="N156" s="21"/>
    </row>
    <row r="157" spans="1:14" ht="15" hidden="1" customHeight="1" x14ac:dyDescent="0.25">
      <c r="A157" s="12"/>
      <c r="B157" s="133" t="s">
        <v>56</v>
      </c>
      <c r="C157" s="14">
        <f>0*2</f>
        <v>0</v>
      </c>
      <c r="D157" s="15">
        <f>(24/12/3.281)*4</f>
        <v>2.4382810118866196</v>
      </c>
      <c r="E157" s="16"/>
      <c r="F157" s="16"/>
      <c r="G157" s="131">
        <f>PRODUCT(C157:F157)</f>
        <v>0</v>
      </c>
      <c r="H157" s="18"/>
      <c r="I157" s="19"/>
      <c r="J157" s="132"/>
      <c r="K157" s="16"/>
      <c r="M157" s="21"/>
      <c r="N157" s="21"/>
    </row>
    <row r="158" spans="1:14" ht="15" hidden="1" customHeight="1" x14ac:dyDescent="0.25">
      <c r="A158" s="12"/>
      <c r="B158" s="133" t="s">
        <v>25</v>
      </c>
      <c r="C158" s="14"/>
      <c r="D158" s="15"/>
      <c r="E158" s="16"/>
      <c r="F158" s="16"/>
      <c r="G158" s="19">
        <f>SUM(G156:G157)</f>
        <v>0</v>
      </c>
      <c r="H158" s="18" t="s">
        <v>73</v>
      </c>
      <c r="I158" s="19">
        <f>3932.81/10</f>
        <v>393.28100000000001</v>
      </c>
      <c r="J158" s="132">
        <f>G158*I158</f>
        <v>0</v>
      </c>
      <c r="K158" s="16"/>
      <c r="M158" s="21"/>
      <c r="N158" s="21"/>
    </row>
    <row r="159" spans="1:14" ht="15" hidden="1" customHeight="1" x14ac:dyDescent="0.25">
      <c r="A159" s="12"/>
      <c r="B159" s="133" t="s">
        <v>49</v>
      </c>
      <c r="C159" s="14"/>
      <c r="D159" s="15"/>
      <c r="E159" s="16"/>
      <c r="F159" s="16"/>
      <c r="G159" s="19"/>
      <c r="H159" s="18"/>
      <c r="I159" s="19"/>
      <c r="J159" s="132">
        <f>G158*0.13*(2165.31/10)</f>
        <v>0</v>
      </c>
      <c r="K159" s="16"/>
      <c r="M159" s="21"/>
      <c r="N159" s="21"/>
    </row>
    <row r="160" spans="1:14" ht="15" hidden="1" customHeight="1" x14ac:dyDescent="0.25">
      <c r="A160" s="12"/>
      <c r="B160" s="133"/>
      <c r="C160" s="14"/>
      <c r="D160" s="15"/>
      <c r="E160" s="16"/>
      <c r="F160" s="16"/>
      <c r="G160" s="19"/>
      <c r="H160" s="18"/>
      <c r="I160" s="19"/>
      <c r="J160" s="132"/>
      <c r="K160" s="16"/>
      <c r="M160" s="21"/>
      <c r="N160" s="21"/>
    </row>
    <row r="161" spans="1:14" ht="45" hidden="1" customHeight="1" x14ac:dyDescent="0.25">
      <c r="A161" s="136">
        <v>19</v>
      </c>
      <c r="B161" s="155" t="s">
        <v>123</v>
      </c>
      <c r="C161" s="137"/>
      <c r="D161" s="131"/>
      <c r="E161" s="131"/>
      <c r="F161" s="131"/>
      <c r="G161" s="131"/>
      <c r="H161" s="131"/>
      <c r="I161" s="131"/>
      <c r="J161" s="149"/>
      <c r="K161" s="141"/>
    </row>
    <row r="162" spans="1:14" ht="15" hidden="1" customHeight="1" x14ac:dyDescent="0.25">
      <c r="A162" s="136"/>
      <c r="B162" s="133" t="s">
        <v>83</v>
      </c>
      <c r="C162" s="137">
        <f>0*1*2</f>
        <v>0</v>
      </c>
      <c r="D162" s="131">
        <f>(2.75+2.6)/2</f>
        <v>2.6749999999999998</v>
      </c>
      <c r="E162" s="131">
        <v>6.2</v>
      </c>
      <c r="F162" s="131"/>
      <c r="G162" s="131">
        <f>PRODUCT(C162:F162)</f>
        <v>0</v>
      </c>
      <c r="H162" s="131"/>
      <c r="I162" s="131"/>
      <c r="J162" s="149"/>
      <c r="K162" s="141"/>
    </row>
    <row r="163" spans="1:14" ht="15" hidden="1" customHeight="1" x14ac:dyDescent="0.25">
      <c r="A163" s="136"/>
      <c r="B163" s="133"/>
      <c r="C163" s="137">
        <f>0*1</f>
        <v>0</v>
      </c>
      <c r="D163" s="131">
        <v>2.5</v>
      </c>
      <c r="E163" s="131">
        <f>3+0.675</f>
        <v>3.6749999999999998</v>
      </c>
      <c r="F163" s="131"/>
      <c r="G163" s="131">
        <f>PRODUCT(C163:F163)</f>
        <v>0</v>
      </c>
      <c r="H163" s="131"/>
      <c r="I163" s="131"/>
      <c r="J163" s="149"/>
      <c r="K163" s="141"/>
    </row>
    <row r="164" spans="1:14" ht="15" hidden="1" customHeight="1" x14ac:dyDescent="0.25">
      <c r="A164" s="136"/>
      <c r="B164" s="133" t="s">
        <v>25</v>
      </c>
      <c r="C164" s="137"/>
      <c r="D164" s="131"/>
      <c r="E164" s="131"/>
      <c r="F164" s="131"/>
      <c r="G164" s="138">
        <f>SUM(G162:G163)</f>
        <v>0</v>
      </c>
      <c r="H164" s="138" t="s">
        <v>26</v>
      </c>
      <c r="I164" s="139">
        <f>27795.91/10</f>
        <v>2779.5909999999999</v>
      </c>
      <c r="J164" s="140">
        <f>G164*I164</f>
        <v>0</v>
      </c>
      <c r="K164" s="141"/>
    </row>
    <row r="165" spans="1:14" ht="15" hidden="1" customHeight="1" x14ac:dyDescent="0.25">
      <c r="A165" s="12"/>
      <c r="B165" s="133" t="s">
        <v>49</v>
      </c>
      <c r="C165" s="14"/>
      <c r="D165" s="15"/>
      <c r="E165" s="16"/>
      <c r="F165" s="16"/>
      <c r="G165" s="19"/>
      <c r="H165" s="18"/>
      <c r="I165" s="19"/>
      <c r="J165" s="132">
        <f>G164*0.13*(17805.91/10)</f>
        <v>0</v>
      </c>
      <c r="K165" s="16"/>
      <c r="M165" s="21"/>
      <c r="N165" s="21"/>
    </row>
    <row r="166" spans="1:14" ht="15" hidden="1" customHeight="1" x14ac:dyDescent="0.25">
      <c r="A166" s="136"/>
      <c r="B166" s="133"/>
      <c r="C166" s="137"/>
      <c r="D166" s="131"/>
      <c r="E166" s="131"/>
      <c r="F166" s="131"/>
      <c r="G166" s="138"/>
      <c r="H166" s="138"/>
      <c r="I166" s="139"/>
      <c r="J166" s="140"/>
      <c r="K166" s="141"/>
    </row>
    <row r="167" spans="1:14" ht="31.5" hidden="1" x14ac:dyDescent="0.25">
      <c r="A167" s="12">
        <v>20</v>
      </c>
      <c r="B167" s="134" t="s">
        <v>84</v>
      </c>
      <c r="C167" s="137"/>
      <c r="D167" s="131"/>
      <c r="E167" s="131"/>
      <c r="F167" s="131"/>
      <c r="G167" s="131"/>
      <c r="H167" s="131"/>
      <c r="I167" s="131"/>
      <c r="J167" s="149"/>
      <c r="K167" s="141"/>
    </row>
    <row r="168" spans="1:14" ht="15" hidden="1" customHeight="1" x14ac:dyDescent="0.25">
      <c r="A168" s="136"/>
      <c r="B168" s="133" t="s">
        <v>85</v>
      </c>
      <c r="C168" s="137">
        <f>0*1</f>
        <v>0</v>
      </c>
      <c r="D168" s="131">
        <f>(2.75+2.6)/2</f>
        <v>2.6749999999999998</v>
      </c>
      <c r="E168" s="131">
        <v>6.2</v>
      </c>
      <c r="F168" s="131"/>
      <c r="G168" s="131">
        <f>PRODUCT(C168:F168)</f>
        <v>0</v>
      </c>
      <c r="H168" s="131"/>
      <c r="I168" s="131"/>
      <c r="J168" s="149"/>
      <c r="K168" s="141"/>
    </row>
    <row r="169" spans="1:14" ht="15" hidden="1" customHeight="1" x14ac:dyDescent="0.25">
      <c r="A169" s="136"/>
      <c r="B169" s="133" t="s">
        <v>86</v>
      </c>
      <c r="C169" s="137">
        <f>0*1</f>
        <v>0</v>
      </c>
      <c r="D169" s="131">
        <v>2</v>
      </c>
      <c r="E169" s="131">
        <v>3</v>
      </c>
      <c r="F169" s="131"/>
      <c r="G169" s="131">
        <f>PRODUCT(C169:F169)</f>
        <v>0</v>
      </c>
      <c r="H169" s="131"/>
      <c r="I169" s="131"/>
      <c r="J169" s="149"/>
      <c r="K169" s="141"/>
    </row>
    <row r="170" spans="1:14" ht="15" hidden="1" customHeight="1" x14ac:dyDescent="0.25">
      <c r="A170" s="136"/>
      <c r="B170" s="133" t="s">
        <v>25</v>
      </c>
      <c r="C170" s="137"/>
      <c r="D170" s="131"/>
      <c r="E170" s="131"/>
      <c r="F170" s="131"/>
      <c r="G170" s="138">
        <f>SUM(G168:G169)</f>
        <v>0</v>
      </c>
      <c r="H170" s="138" t="s">
        <v>26</v>
      </c>
      <c r="I170" s="139">
        <f>50406.04/100</f>
        <v>504.06040000000002</v>
      </c>
      <c r="J170" s="140">
        <f>G170*I170</f>
        <v>0</v>
      </c>
      <c r="K170" s="141"/>
    </row>
    <row r="171" spans="1:14" ht="15" hidden="1" customHeight="1" x14ac:dyDescent="0.25">
      <c r="A171" s="12"/>
      <c r="B171" s="133" t="s">
        <v>49</v>
      </c>
      <c r="C171" s="14"/>
      <c r="D171" s="15"/>
      <c r="E171" s="16"/>
      <c r="F171" s="16"/>
      <c r="G171" s="19"/>
      <c r="H171" s="18"/>
      <c r="I171" s="19"/>
      <c r="J171" s="132">
        <f>G170*0.13*(20166.04/100)</f>
        <v>0</v>
      </c>
      <c r="K171" s="16"/>
      <c r="M171" s="21"/>
      <c r="N171" s="21"/>
    </row>
    <row r="172" spans="1:14" ht="15" hidden="1" customHeight="1" x14ac:dyDescent="0.25">
      <c r="A172" s="12"/>
      <c r="B172" s="133"/>
      <c r="C172" s="14"/>
      <c r="D172" s="15"/>
      <c r="E172" s="16"/>
      <c r="F172" s="16"/>
      <c r="G172" s="19"/>
      <c r="H172" s="18"/>
      <c r="I172" s="19"/>
      <c r="J172" s="132"/>
      <c r="K172" s="16"/>
      <c r="M172" s="21"/>
      <c r="N172" s="21"/>
    </row>
    <row r="173" spans="1:14" ht="45" x14ac:dyDescent="0.25">
      <c r="A173" s="136">
        <v>3</v>
      </c>
      <c r="B173" s="155" t="s">
        <v>87</v>
      </c>
      <c r="C173" s="137"/>
      <c r="D173" s="131"/>
      <c r="E173" s="131"/>
      <c r="F173" s="131"/>
      <c r="G173" s="131"/>
      <c r="H173" s="131"/>
      <c r="I173" s="131"/>
      <c r="J173" s="149"/>
      <c r="K173" s="141"/>
    </row>
    <row r="174" spans="1:14" ht="15" customHeight="1" x14ac:dyDescent="0.25">
      <c r="A174" s="136"/>
      <c r="B174" s="133" t="s">
        <v>130</v>
      </c>
      <c r="C174" s="137">
        <v>13</v>
      </c>
      <c r="D174" s="131">
        <f>119/12/3.281</f>
        <v>3.0224525043177888</v>
      </c>
      <c r="E174" s="131">
        <f>3/12/3.281</f>
        <v>7.6196281621456863E-2</v>
      </c>
      <c r="F174" s="131">
        <f>4/12/3.281</f>
        <v>0.10159504216194248</v>
      </c>
      <c r="G174" s="131">
        <f>PRODUCT(C174:F174)</f>
        <v>0.30416492417801333</v>
      </c>
      <c r="H174" s="131"/>
      <c r="I174" s="131"/>
      <c r="J174" s="149"/>
      <c r="K174" s="141"/>
    </row>
    <row r="175" spans="1:14" ht="15" customHeight="1" x14ac:dyDescent="0.25">
      <c r="A175" s="136"/>
      <c r="B175" s="133" t="s">
        <v>133</v>
      </c>
      <c r="C175" s="137">
        <v>1</v>
      </c>
      <c r="D175" s="131">
        <f>11/3.281</f>
        <v>3.3526363913441024</v>
      </c>
      <c r="E175" s="131">
        <f t="shared" ref="E175:E181" si="15">3/12/3.281</f>
        <v>7.6196281621456863E-2</v>
      </c>
      <c r="F175" s="131">
        <f t="shared" ref="F175:F181" si="16">4/12/3.281</f>
        <v>0.10159504216194248</v>
      </c>
      <c r="G175" s="131">
        <f t="shared" ref="G175:G184" si="17">PRODUCT(C175:F175)</f>
        <v>2.5953309626048974E-2</v>
      </c>
      <c r="H175" s="131"/>
      <c r="I175" s="131"/>
      <c r="J175" s="149"/>
      <c r="K175" s="141"/>
    </row>
    <row r="176" spans="1:14" ht="15" customHeight="1" x14ac:dyDescent="0.25">
      <c r="A176" s="136"/>
      <c r="B176" s="133"/>
      <c r="C176" s="137">
        <v>1</v>
      </c>
      <c r="D176" s="131">
        <f>10.25/3.281</f>
        <v>3.1240475464797317</v>
      </c>
      <c r="E176" s="131">
        <f t="shared" si="15"/>
        <v>7.6196281621456863E-2</v>
      </c>
      <c r="F176" s="131">
        <f t="shared" si="16"/>
        <v>0.10159504216194248</v>
      </c>
      <c r="G176" s="131">
        <f t="shared" si="17"/>
        <v>2.4183765787909272E-2</v>
      </c>
      <c r="H176" s="131"/>
      <c r="I176" s="131"/>
      <c r="J176" s="149"/>
      <c r="K176" s="141"/>
    </row>
    <row r="177" spans="1:14" ht="15" customHeight="1" x14ac:dyDescent="0.25">
      <c r="A177" s="136"/>
      <c r="B177" s="133" t="s">
        <v>134</v>
      </c>
      <c r="C177" s="137">
        <v>1</v>
      </c>
      <c r="D177" s="131">
        <f>10.17/3.281</f>
        <v>3.0996647363608654</v>
      </c>
      <c r="E177" s="131">
        <f t="shared" si="15"/>
        <v>7.6196281621456863E-2</v>
      </c>
      <c r="F177" s="131">
        <f t="shared" si="16"/>
        <v>0.10159504216194248</v>
      </c>
      <c r="G177" s="131">
        <f t="shared" si="17"/>
        <v>2.3995014445174368E-2</v>
      </c>
      <c r="H177" s="131"/>
      <c r="I177" s="131"/>
      <c r="J177" s="149"/>
      <c r="K177" s="141"/>
    </row>
    <row r="178" spans="1:14" ht="15" customHeight="1" x14ac:dyDescent="0.25">
      <c r="A178" s="136"/>
      <c r="B178" s="133" t="s">
        <v>151</v>
      </c>
      <c r="C178" s="137">
        <f>2*2*2</f>
        <v>8</v>
      </c>
      <c r="D178" s="131">
        <f>(15.667+1.75)/3.281</f>
        <v>5.3084425480036579</v>
      </c>
      <c r="E178" s="131">
        <f t="shared" si="15"/>
        <v>7.6196281621456863E-2</v>
      </c>
      <c r="F178" s="131">
        <f t="shared" si="16"/>
        <v>0.10159504216194248</v>
      </c>
      <c r="G178" s="131">
        <f t="shared" si="17"/>
        <v>0.32874821364137818</v>
      </c>
      <c r="H178" s="131"/>
      <c r="I178" s="131"/>
      <c r="J178" s="149"/>
      <c r="K178" s="141"/>
      <c r="M178">
        <f>9.25+9.25</f>
        <v>18.5</v>
      </c>
      <c r="N178">
        <f>15.667+0.25+0.25</f>
        <v>16.167000000000002</v>
      </c>
    </row>
    <row r="179" spans="1:14" ht="15" hidden="1" customHeight="1" x14ac:dyDescent="0.25">
      <c r="A179" s="136"/>
      <c r="B179" s="133"/>
      <c r="C179" s="137">
        <v>0</v>
      </c>
      <c r="D179" s="131">
        <f>(9.25-0.5)/3.281</f>
        <v>2.6668698567509903</v>
      </c>
      <c r="E179" s="131">
        <f t="shared" si="15"/>
        <v>7.6196281621456863E-2</v>
      </c>
      <c r="F179" s="131">
        <f t="shared" si="16"/>
        <v>0.10159504216194248</v>
      </c>
      <c r="G179" s="131">
        <f t="shared" ref="G179" si="18">PRODUCT(C179:F179)</f>
        <v>0</v>
      </c>
      <c r="H179" s="131"/>
      <c r="I179" s="131"/>
      <c r="J179" s="149"/>
      <c r="K179" s="141"/>
    </row>
    <row r="180" spans="1:14" ht="15" customHeight="1" x14ac:dyDescent="0.25">
      <c r="A180" s="136"/>
      <c r="B180" s="133"/>
      <c r="C180" s="137">
        <f t="shared" ref="C180" si="19">2*2*2</f>
        <v>8</v>
      </c>
      <c r="D180" s="131">
        <f>(16.25+1.75)/3.281</f>
        <v>5.486132276744895</v>
      </c>
      <c r="E180" s="131">
        <f t="shared" si="15"/>
        <v>7.6196281621456863E-2</v>
      </c>
      <c r="F180" s="131">
        <f t="shared" si="16"/>
        <v>0.10159504216194248</v>
      </c>
      <c r="G180" s="131">
        <f t="shared" ref="G180" si="20">PRODUCT(C180:F180)</f>
        <v>0.33975241692282293</v>
      </c>
      <c r="H180" s="131"/>
      <c r="I180" s="131"/>
      <c r="J180" s="149"/>
      <c r="K180" s="141"/>
    </row>
    <row r="181" spans="1:14" ht="15" hidden="1" customHeight="1" x14ac:dyDescent="0.25">
      <c r="A181" s="136"/>
      <c r="B181" s="133"/>
      <c r="C181" s="137">
        <v>0</v>
      </c>
      <c r="D181" s="131">
        <f>(9.25-0.833)/3.281</f>
        <v>2.5653764096312099</v>
      </c>
      <c r="E181" s="131">
        <f t="shared" si="15"/>
        <v>7.6196281621456863E-2</v>
      </c>
      <c r="F181" s="131">
        <f t="shared" si="16"/>
        <v>0.10159504216194248</v>
      </c>
      <c r="G181" s="131">
        <f t="shared" ref="G181" si="21">PRODUCT(C181:F181)</f>
        <v>0</v>
      </c>
      <c r="H181" s="131"/>
      <c r="I181" s="131"/>
      <c r="J181" s="149"/>
      <c r="K181" s="141"/>
    </row>
    <row r="182" spans="1:14" ht="15" customHeight="1" x14ac:dyDescent="0.25">
      <c r="A182" s="136"/>
      <c r="B182" s="133" t="s">
        <v>153</v>
      </c>
      <c r="C182" s="137">
        <v>2</v>
      </c>
      <c r="D182" s="131">
        <f>10.333/3.281</f>
        <v>3.1493447119780553</v>
      </c>
      <c r="E182" s="131">
        <f>5/12/3.281</f>
        <v>0.12699380270242813</v>
      </c>
      <c r="F182" s="131">
        <f>4/12/3.281</f>
        <v>0.10159504216194248</v>
      </c>
      <c r="G182" s="131">
        <f t="shared" si="17"/>
        <v>8.1265317686655777E-2</v>
      </c>
      <c r="H182" s="131"/>
      <c r="I182" s="131"/>
      <c r="J182" s="149"/>
      <c r="K182" s="141"/>
    </row>
    <row r="183" spans="1:14" ht="15" customHeight="1" x14ac:dyDescent="0.25">
      <c r="A183" s="136"/>
      <c r="B183" s="133" t="s">
        <v>154</v>
      </c>
      <c r="C183" s="137">
        <v>1</v>
      </c>
      <c r="D183" s="131">
        <f>10.33/3.281</f>
        <v>3.148430356598598</v>
      </c>
      <c r="E183" s="131">
        <f>6/12/3.281</f>
        <v>0.15239256324291373</v>
      </c>
      <c r="F183" s="131">
        <f>5/12/3.281</f>
        <v>0.12699380270242813</v>
      </c>
      <c r="G183" s="131">
        <f t="shared" si="17"/>
        <v>6.0931292826610445E-2</v>
      </c>
      <c r="H183" s="131"/>
      <c r="I183" s="131"/>
      <c r="J183" s="149"/>
      <c r="K183" s="141"/>
    </row>
    <row r="184" spans="1:14" ht="15" customHeight="1" x14ac:dyDescent="0.25">
      <c r="A184" s="136"/>
      <c r="B184" s="133" t="s">
        <v>152</v>
      </c>
      <c r="C184" s="137">
        <v>1</v>
      </c>
      <c r="D184" s="131">
        <f>10/3.281</f>
        <v>3.047851264858275</v>
      </c>
      <c r="E184" s="131">
        <f>3/12/3.281</f>
        <v>7.6196281621456863E-2</v>
      </c>
      <c r="F184" s="131">
        <f>5/12/3.281</f>
        <v>0.12699380270242813</v>
      </c>
      <c r="G184" s="131">
        <f t="shared" si="17"/>
        <v>2.9492397302328385E-2</v>
      </c>
      <c r="H184" s="131"/>
      <c r="I184" s="131"/>
      <c r="J184" s="149"/>
      <c r="K184" s="141"/>
    </row>
    <row r="185" spans="1:14" ht="15" customHeight="1" x14ac:dyDescent="0.25">
      <c r="A185" s="136"/>
      <c r="B185" s="133" t="s">
        <v>25</v>
      </c>
      <c r="C185" s="137"/>
      <c r="D185" s="131"/>
      <c r="E185" s="131"/>
      <c r="F185" s="131"/>
      <c r="G185" s="138">
        <f>SUM(G174:G184)</f>
        <v>1.2184866524169418</v>
      </c>
      <c r="H185" s="138" t="s">
        <v>30</v>
      </c>
      <c r="I185" s="139">
        <f>369833.1/1.15</f>
        <v>321594</v>
      </c>
      <c r="J185" s="140">
        <f>G185*I185</f>
        <v>391857.99649737397</v>
      </c>
      <c r="K185" s="141"/>
    </row>
    <row r="186" spans="1:14" ht="15" customHeight="1" x14ac:dyDescent="0.25">
      <c r="A186" s="136"/>
      <c r="B186" s="133" t="s">
        <v>89</v>
      </c>
      <c r="C186" s="137"/>
      <c r="D186" s="131"/>
      <c r="E186" s="131"/>
      <c r="F186" s="131"/>
      <c r="G186" s="131"/>
      <c r="H186" s="131"/>
      <c r="I186" s="131"/>
      <c r="J186" s="149">
        <f>0.13*G185*(296712)</f>
        <v>47000.149509551637</v>
      </c>
      <c r="K186" s="141"/>
      <c r="M186" s="58"/>
    </row>
    <row r="187" spans="1:14" ht="15" customHeight="1" x14ac:dyDescent="0.25">
      <c r="A187" s="136"/>
      <c r="B187" s="133"/>
      <c r="C187" s="137"/>
      <c r="D187" s="131"/>
      <c r="E187" s="131"/>
      <c r="F187" s="131"/>
      <c r="G187" s="131"/>
      <c r="H187" s="131"/>
      <c r="I187" s="131"/>
      <c r="J187" s="149"/>
      <c r="K187" s="141"/>
      <c r="M187" s="58"/>
    </row>
    <row r="188" spans="1:14" ht="30" x14ac:dyDescent="0.25">
      <c r="A188" s="136">
        <v>4</v>
      </c>
      <c r="B188" s="156" t="s">
        <v>124</v>
      </c>
      <c r="C188" s="141"/>
      <c r="D188" s="141"/>
      <c r="E188" s="141"/>
      <c r="F188" s="141"/>
      <c r="G188" s="154"/>
      <c r="H188" s="131"/>
      <c r="I188" s="131"/>
      <c r="J188" s="149"/>
      <c r="K188" s="141"/>
    </row>
    <row r="189" spans="1:14" x14ac:dyDescent="0.25">
      <c r="A189" s="136"/>
      <c r="B189" s="133" t="s">
        <v>157</v>
      </c>
      <c r="C189" s="137">
        <v>1</v>
      </c>
      <c r="D189" s="131">
        <v>3.3</v>
      </c>
      <c r="E189" s="131">
        <v>0.63</v>
      </c>
      <c r="F189" s="131"/>
      <c r="G189" s="131">
        <f>PRODUCT(C189:F189)</f>
        <v>2.0789999999999997</v>
      </c>
      <c r="H189" s="131"/>
      <c r="I189" s="131"/>
      <c r="J189" s="149"/>
      <c r="K189" s="141"/>
    </row>
    <row r="190" spans="1:14" x14ac:dyDescent="0.25">
      <c r="A190" s="136"/>
      <c r="B190" s="133"/>
      <c r="C190" s="137">
        <v>1</v>
      </c>
      <c r="D190" s="131">
        <v>3.11</v>
      </c>
      <c r="E190" s="131">
        <v>0.23</v>
      </c>
      <c r="F190" s="131"/>
      <c r="G190" s="131">
        <f t="shared" ref="G190:G198" si="22">PRODUCT(C190:F190)</f>
        <v>0.71530000000000005</v>
      </c>
      <c r="H190" s="131"/>
      <c r="I190" s="131"/>
      <c r="J190" s="149"/>
      <c r="K190" s="141"/>
      <c r="N190" s="121">
        <f>SUM(J185:J215)</f>
        <v>946517.97743110114</v>
      </c>
    </row>
    <row r="191" spans="1:14" x14ac:dyDescent="0.25">
      <c r="A191" s="136"/>
      <c r="B191" s="133"/>
      <c r="C191" s="137">
        <v>1</v>
      </c>
      <c r="D191" s="131">
        <v>2.97</v>
      </c>
      <c r="E191" s="131">
        <v>3.95</v>
      </c>
      <c r="F191" s="131"/>
      <c r="G191" s="131">
        <f t="shared" si="22"/>
        <v>11.7315</v>
      </c>
      <c r="H191" s="131"/>
      <c r="I191" s="131"/>
      <c r="J191" s="149"/>
      <c r="K191" s="141"/>
      <c r="N191" s="121"/>
    </row>
    <row r="192" spans="1:14" x14ac:dyDescent="0.25">
      <c r="A192" s="136"/>
      <c r="B192" s="133" t="s">
        <v>165</v>
      </c>
      <c r="C192" s="137">
        <v>1</v>
      </c>
      <c r="D192" s="131">
        <f>0.44+0.22</f>
        <v>0.66</v>
      </c>
      <c r="E192" s="131">
        <v>3.3</v>
      </c>
      <c r="F192" s="131"/>
      <c r="G192" s="131">
        <f t="shared" si="22"/>
        <v>2.1779999999999999</v>
      </c>
      <c r="H192" s="131"/>
      <c r="I192" s="131"/>
      <c r="J192" s="149"/>
      <c r="K192" s="141"/>
      <c r="N192" s="121"/>
    </row>
    <row r="193" spans="1:18" x14ac:dyDescent="0.25">
      <c r="A193" s="136"/>
      <c r="B193" s="133" t="s">
        <v>166</v>
      </c>
      <c r="C193" s="137">
        <v>1</v>
      </c>
      <c r="D193" s="131">
        <v>3.3</v>
      </c>
      <c r="E193" s="131">
        <v>0.15</v>
      </c>
      <c r="F193" s="131"/>
      <c r="G193" s="131">
        <f t="shared" si="22"/>
        <v>0.49499999999999994</v>
      </c>
      <c r="H193" s="131"/>
      <c r="I193" s="131"/>
      <c r="J193" s="149"/>
      <c r="K193" s="141"/>
      <c r="N193" s="121"/>
    </row>
    <row r="194" spans="1:18" x14ac:dyDescent="0.25">
      <c r="A194" s="136"/>
      <c r="B194" s="133" t="s">
        <v>158</v>
      </c>
      <c r="C194" s="137">
        <v>1</v>
      </c>
      <c r="D194" s="131">
        <v>4.1500000000000004</v>
      </c>
      <c r="E194" s="131">
        <v>2.82</v>
      </c>
      <c r="F194" s="131"/>
      <c r="G194" s="131">
        <f t="shared" si="22"/>
        <v>11.703000000000001</v>
      </c>
      <c r="H194" s="131"/>
      <c r="I194" s="131"/>
      <c r="J194" s="149"/>
      <c r="K194" s="141"/>
    </row>
    <row r="195" spans="1:18" x14ac:dyDescent="0.25">
      <c r="A195" s="136"/>
      <c r="B195" s="133"/>
      <c r="C195" s="137">
        <v>1</v>
      </c>
      <c r="D195" s="131">
        <v>3.31</v>
      </c>
      <c r="E195" s="131">
        <v>0.8</v>
      </c>
      <c r="F195" s="131"/>
      <c r="G195" s="131">
        <f t="shared" si="22"/>
        <v>2.6480000000000001</v>
      </c>
      <c r="H195" s="131"/>
      <c r="I195" s="131"/>
      <c r="J195" s="149"/>
      <c r="K195" s="141"/>
      <c r="N195">
        <f>(20+1.5/12)/3.281</f>
        <v>6.1338006705272781</v>
      </c>
    </row>
    <row r="196" spans="1:18" x14ac:dyDescent="0.25">
      <c r="A196" s="136"/>
      <c r="B196" s="133" t="s">
        <v>165</v>
      </c>
      <c r="C196" s="137">
        <v>1</v>
      </c>
      <c r="D196" s="131">
        <f>0.22+0.6</f>
        <v>0.82</v>
      </c>
      <c r="E196" s="131">
        <v>3.25</v>
      </c>
      <c r="F196" s="131"/>
      <c r="G196" s="131">
        <f t="shared" si="22"/>
        <v>2.665</v>
      </c>
      <c r="H196" s="131"/>
      <c r="I196" s="131"/>
      <c r="J196" s="149"/>
      <c r="K196" s="141"/>
    </row>
    <row r="197" spans="1:18" x14ac:dyDescent="0.25">
      <c r="A197" s="136"/>
      <c r="B197" s="133" t="s">
        <v>166</v>
      </c>
      <c r="C197" s="137">
        <v>1</v>
      </c>
      <c r="D197" s="131">
        <v>3.3</v>
      </c>
      <c r="E197" s="131">
        <v>0.15</v>
      </c>
      <c r="F197" s="131"/>
      <c r="G197" s="131">
        <f t="shared" si="22"/>
        <v>0.49499999999999994</v>
      </c>
      <c r="H197" s="131"/>
      <c r="I197" s="131"/>
      <c r="J197" s="149"/>
      <c r="K197" s="141"/>
    </row>
    <row r="198" spans="1:18" x14ac:dyDescent="0.25">
      <c r="A198" s="136"/>
      <c r="B198" s="133" t="s">
        <v>159</v>
      </c>
      <c r="C198" s="137">
        <v>1</v>
      </c>
      <c r="D198" s="131">
        <f>(8.75)/3.281</f>
        <v>2.6668698567509903</v>
      </c>
      <c r="E198" s="131">
        <v>6.13</v>
      </c>
      <c r="F198" s="131"/>
      <c r="G198" s="131">
        <f t="shared" si="22"/>
        <v>16.347912221883572</v>
      </c>
      <c r="H198" s="131"/>
      <c r="I198" s="131"/>
      <c r="J198" s="149"/>
      <c r="K198" s="141"/>
      <c r="N198">
        <f>20.42/3.281</f>
        <v>6.223712282840598</v>
      </c>
      <c r="O198">
        <f>8.75/3.281</f>
        <v>2.6668698567509903</v>
      </c>
      <c r="P198">
        <f>20.25/3.281</f>
        <v>6.1718988113380062</v>
      </c>
      <c r="Q198">
        <f>10.5-1.5</f>
        <v>9</v>
      </c>
      <c r="R198">
        <f>Q198/3.281</f>
        <v>2.7430661383724475</v>
      </c>
    </row>
    <row r="199" spans="1:18" ht="15" customHeight="1" x14ac:dyDescent="0.25">
      <c r="A199" s="136"/>
      <c r="B199" s="133" t="s">
        <v>25</v>
      </c>
      <c r="C199" s="137"/>
      <c r="D199" s="131"/>
      <c r="E199" s="131"/>
      <c r="F199" s="131"/>
      <c r="G199" s="138">
        <f>SUM(G189:G198)</f>
        <v>51.057712221883577</v>
      </c>
      <c r="H199" s="138" t="s">
        <v>26</v>
      </c>
      <c r="I199" s="139">
        <f>6829.24/1.15</f>
        <v>5938.4695652173914</v>
      </c>
      <c r="J199" s="140">
        <f>G199*I199</f>
        <v>303204.67009928363</v>
      </c>
      <c r="K199" s="141"/>
    </row>
    <row r="200" spans="1:18" ht="15" customHeight="1" x14ac:dyDescent="0.25">
      <c r="A200" s="136"/>
      <c r="B200" s="133" t="s">
        <v>89</v>
      </c>
      <c r="C200" s="137"/>
      <c r="D200" s="131"/>
      <c r="E200" s="131"/>
      <c r="F200" s="131"/>
      <c r="G200" s="131"/>
      <c r="H200" s="131"/>
      <c r="I200" s="131"/>
      <c r="J200" s="149">
        <f>0.13*G199*(573683.55/100)</f>
        <v>38078.260483027123</v>
      </c>
      <c r="K200" s="141"/>
      <c r="M200" s="58"/>
    </row>
    <row r="201" spans="1:18" ht="15" customHeight="1" x14ac:dyDescent="0.25">
      <c r="A201" s="136"/>
      <c r="B201" s="133"/>
      <c r="C201" s="137"/>
      <c r="D201" s="131"/>
      <c r="E201" s="131"/>
      <c r="F201" s="131"/>
      <c r="G201" s="131"/>
      <c r="H201" s="131"/>
      <c r="I201" s="131"/>
      <c r="J201" s="149"/>
      <c r="K201" s="141"/>
      <c r="M201" s="58">
        <f>23.17-0.667+0.33</f>
        <v>22.832999999999998</v>
      </c>
      <c r="N201" s="168">
        <f>M201/3.281</f>
        <v>6.9591587930508982</v>
      </c>
    </row>
    <row r="202" spans="1:18" ht="45" x14ac:dyDescent="0.25">
      <c r="A202" s="12">
        <v>5</v>
      </c>
      <c r="B202" s="155" t="s">
        <v>90</v>
      </c>
      <c r="C202" s="137"/>
      <c r="D202" s="131"/>
      <c r="E202" s="131"/>
      <c r="F202" s="131"/>
      <c r="G202" s="138"/>
      <c r="H202" s="138"/>
      <c r="I202" s="139"/>
      <c r="J202" s="140"/>
      <c r="K202" s="141"/>
      <c r="M202">
        <f>M203*3.281</f>
        <v>22.503</v>
      </c>
      <c r="N202">
        <f>23.17-0.33-0.33+0.33</f>
        <v>22.840000000000003</v>
      </c>
      <c r="O202">
        <f>N202/3.281</f>
        <v>6.9612922889363009</v>
      </c>
    </row>
    <row r="203" spans="1:18" ht="15" customHeight="1" x14ac:dyDescent="0.25">
      <c r="A203" s="136"/>
      <c r="B203" s="133" t="s">
        <v>88</v>
      </c>
      <c r="C203" s="137">
        <v>1</v>
      </c>
      <c r="D203" s="131">
        <f>(23.17-0.667)/3.281</f>
        <v>6.8585797013105756</v>
      </c>
      <c r="E203" s="131">
        <f>3/12/3.281</f>
        <v>7.6196281621456863E-2</v>
      </c>
      <c r="F203" s="131">
        <f>4/12/3.281</f>
        <v>0.10159504216194248</v>
      </c>
      <c r="G203" s="131">
        <f t="shared" ref="G203:G208" si="23">PRODUCT(C203:F203)</f>
        <v>5.3093393319543637E-2</v>
      </c>
      <c r="H203" s="131"/>
      <c r="I203" s="131"/>
      <c r="J203" s="149"/>
      <c r="K203" s="141"/>
      <c r="M203">
        <f>(23.17-0.667)/3.281</f>
        <v>6.8585797013105756</v>
      </c>
      <c r="N203">
        <f>7.25*2+7</f>
        <v>21.5</v>
      </c>
      <c r="O203">
        <f>N203/3.281</f>
        <v>6.5528802194452904</v>
      </c>
      <c r="P203">
        <f>20/3.281</f>
        <v>6.0957025297165499</v>
      </c>
    </row>
    <row r="204" spans="1:18" ht="15" customHeight="1" x14ac:dyDescent="0.25">
      <c r="A204" s="136"/>
      <c r="B204" s="133"/>
      <c r="C204" s="137">
        <v>1</v>
      </c>
      <c r="D204" s="131">
        <f>(23.17-0.667)/3.281</f>
        <v>6.8585797013105756</v>
      </c>
      <c r="E204" s="131">
        <f>3/12/3.281</f>
        <v>7.6196281621456863E-2</v>
      </c>
      <c r="F204" s="131">
        <f>4/12/3.281</f>
        <v>0.10159504216194248</v>
      </c>
      <c r="G204" s="131">
        <f t="shared" si="23"/>
        <v>5.3093393319543637E-2</v>
      </c>
      <c r="H204" s="131"/>
      <c r="I204" s="131"/>
      <c r="J204" s="149"/>
      <c r="K204" s="141"/>
      <c r="M204" s="50">
        <f>(7.25*2+7+0.25)/3.281</f>
        <v>6.6290765010667476</v>
      </c>
    </row>
    <row r="205" spans="1:18" ht="15" customHeight="1" x14ac:dyDescent="0.25">
      <c r="A205" s="136"/>
      <c r="B205" s="133" t="s">
        <v>131</v>
      </c>
      <c r="C205" s="137">
        <v>9</v>
      </c>
      <c r="D205" s="131">
        <f>52/12/3.281</f>
        <v>1.3207355481052523</v>
      </c>
      <c r="E205" s="131">
        <f t="shared" ref="E205:E207" si="24">3/12/3.281</f>
        <v>7.6196281621456863E-2</v>
      </c>
      <c r="F205" s="131">
        <f t="shared" ref="F205:F207" si="25">4/12/3.281</f>
        <v>0.10159504216194248</v>
      </c>
      <c r="G205" s="131">
        <f t="shared" si="23"/>
        <v>9.201627958326454E-2</v>
      </c>
      <c r="H205" s="131"/>
      <c r="I205" s="131"/>
      <c r="J205" s="149"/>
      <c r="K205" s="141"/>
      <c r="N205">
        <f>2.82+0.19</f>
        <v>3.01</v>
      </c>
      <c r="Q205">
        <f>20.42/3.281</f>
        <v>6.223712282840598</v>
      </c>
    </row>
    <row r="206" spans="1:18" ht="30" x14ac:dyDescent="0.25">
      <c r="A206" s="136"/>
      <c r="B206" s="133" t="s">
        <v>132</v>
      </c>
      <c r="C206" s="137">
        <v>9</v>
      </c>
      <c r="D206" s="131">
        <f>3.917/3.281</f>
        <v>1.1938433404449862</v>
      </c>
      <c r="E206" s="131">
        <f t="shared" si="24"/>
        <v>7.6196281621456863E-2</v>
      </c>
      <c r="F206" s="131">
        <f t="shared" si="25"/>
        <v>0.10159504216194248</v>
      </c>
      <c r="G206" s="131">
        <f t="shared" si="23"/>
        <v>8.3175638567918583E-2</v>
      </c>
      <c r="H206" s="131"/>
      <c r="I206" s="131"/>
      <c r="J206" s="149"/>
      <c r="K206" s="141"/>
    </row>
    <row r="207" spans="1:18" x14ac:dyDescent="0.25">
      <c r="A207" s="136"/>
      <c r="B207" s="133" t="s">
        <v>135</v>
      </c>
      <c r="C207" s="137">
        <f>4</f>
        <v>4</v>
      </c>
      <c r="D207" s="131">
        <f>2.75/3.281</f>
        <v>0.8381590978360256</v>
      </c>
      <c r="E207" s="131">
        <f t="shared" si="24"/>
        <v>7.6196281621456863E-2</v>
      </c>
      <c r="F207" s="131">
        <f t="shared" si="25"/>
        <v>0.10159504216194248</v>
      </c>
      <c r="G207" s="131">
        <f t="shared" si="23"/>
        <v>2.5953309626048974E-2</v>
      </c>
      <c r="H207" s="131"/>
      <c r="I207" s="131"/>
      <c r="J207" s="149"/>
      <c r="K207" s="141"/>
    </row>
    <row r="208" spans="1:18" x14ac:dyDescent="0.25">
      <c r="A208" s="136"/>
      <c r="B208" s="133" t="s">
        <v>136</v>
      </c>
      <c r="C208" s="137">
        <f>8</f>
        <v>8</v>
      </c>
      <c r="D208" s="131">
        <f>12/12/3.281</f>
        <v>0.30478512648582745</v>
      </c>
      <c r="E208" s="131">
        <f>3/12/3.281</f>
        <v>7.6196281621456863E-2</v>
      </c>
      <c r="F208" s="131">
        <f>5/12/3.281</f>
        <v>0.12699380270242813</v>
      </c>
      <c r="G208" s="131">
        <f t="shared" si="23"/>
        <v>2.3593917841862707E-2</v>
      </c>
      <c r="H208" s="131"/>
      <c r="I208" s="131"/>
      <c r="J208" s="149"/>
      <c r="K208" s="141"/>
    </row>
    <row r="209" spans="1:19" x14ac:dyDescent="0.25">
      <c r="A209" s="136"/>
      <c r="B209" s="133" t="s">
        <v>137</v>
      </c>
      <c r="C209" s="137">
        <v>2</v>
      </c>
      <c r="D209" s="131">
        <f>7.833/3.281</f>
        <v>2.3873818957634869</v>
      </c>
      <c r="E209" s="131">
        <f>4/12/3.281</f>
        <v>0.10159504216194248</v>
      </c>
      <c r="F209" s="131">
        <f>4/12/3.281</f>
        <v>0.10159504216194248</v>
      </c>
      <c r="G209" s="131">
        <f t="shared" ref="G209:G213" si="26">PRODUCT(C209:F209)</f>
        <v>4.9282975588082818E-2</v>
      </c>
      <c r="H209" s="131"/>
      <c r="I209" s="131"/>
      <c r="J209" s="149"/>
      <c r="K209" s="141"/>
      <c r="M209">
        <f>2.34*3.281</f>
        <v>7.6775399999999996</v>
      </c>
      <c r="N209">
        <f>7.75/3.281</f>
        <v>2.3620847302651629</v>
      </c>
      <c r="O209">
        <f>2.34*3.281</f>
        <v>7.6775399999999996</v>
      </c>
      <c r="P209">
        <f>O209+0.25*1</f>
        <v>7.9275399999999996</v>
      </c>
    </row>
    <row r="210" spans="1:19" x14ac:dyDescent="0.25">
      <c r="A210" s="136"/>
      <c r="B210" s="133"/>
      <c r="C210" s="137">
        <v>1</v>
      </c>
      <c r="D210" s="131">
        <f>7.833/3.281</f>
        <v>2.3873818957634869</v>
      </c>
      <c r="E210" s="131">
        <f>4/12/3.281</f>
        <v>0.10159504216194248</v>
      </c>
      <c r="F210" s="131">
        <f>5/12/3.281</f>
        <v>0.12699380270242813</v>
      </c>
      <c r="G210" s="131">
        <f t="shared" ref="G210" si="27">PRODUCT(C210:F210)</f>
        <v>3.0801859742551771E-2</v>
      </c>
      <c r="H210" s="131"/>
      <c r="I210" s="131"/>
      <c r="J210" s="149"/>
      <c r="K210" s="141"/>
    </row>
    <row r="211" spans="1:19" x14ac:dyDescent="0.25">
      <c r="A211" s="136"/>
      <c r="B211" s="133" t="s">
        <v>152</v>
      </c>
      <c r="C211" s="137">
        <v>2</v>
      </c>
      <c r="D211" s="131">
        <v>0.55000000000000004</v>
      </c>
      <c r="E211" s="131">
        <f>3/12/3.281</f>
        <v>7.6196281621456863E-2</v>
      </c>
      <c r="F211" s="131">
        <f>4/12/3.281</f>
        <v>0.10159504216194248</v>
      </c>
      <c r="G211" s="131">
        <f t="shared" si="26"/>
        <v>8.5152808883066696E-3</v>
      </c>
      <c r="H211" s="131"/>
      <c r="I211" s="131"/>
      <c r="J211" s="149"/>
      <c r="K211" s="141"/>
    </row>
    <row r="212" spans="1:19" x14ac:dyDescent="0.25">
      <c r="A212" s="136"/>
      <c r="B212" s="133" t="s">
        <v>155</v>
      </c>
      <c r="C212" s="137">
        <v>2</v>
      </c>
      <c r="D212" s="131">
        <f>6.5/3.281</f>
        <v>1.9811033221578787</v>
      </c>
      <c r="E212" s="131">
        <f>3/12/3.281</f>
        <v>7.6196281621456863E-2</v>
      </c>
      <c r="F212" s="131">
        <f>4/12/3.281</f>
        <v>0.10159504216194248</v>
      </c>
      <c r="G212" s="131">
        <f t="shared" si="26"/>
        <v>3.0672093194421515E-2</v>
      </c>
      <c r="H212" s="131"/>
      <c r="I212" s="131"/>
      <c r="J212" s="149"/>
      <c r="K212" s="141"/>
    </row>
    <row r="213" spans="1:19" x14ac:dyDescent="0.25">
      <c r="A213" s="136"/>
      <c r="B213" s="133" t="s">
        <v>156</v>
      </c>
      <c r="C213" s="137">
        <f>12+9*2*2+8*2*2*2-5</f>
        <v>107</v>
      </c>
      <c r="D213" s="131">
        <f>1/3.281</f>
        <v>0.30478512648582745</v>
      </c>
      <c r="E213" s="131">
        <f>1/12/3.281</f>
        <v>2.5398760540485621E-2</v>
      </c>
      <c r="F213" s="131">
        <f>1.75/12/3.281</f>
        <v>4.4447830945849844E-2</v>
      </c>
      <c r="G213" s="131">
        <f t="shared" si="26"/>
        <v>3.6816342632406594E-2</v>
      </c>
      <c r="H213" s="131"/>
      <c r="I213" s="131"/>
      <c r="J213" s="149"/>
      <c r="K213" s="141"/>
      <c r="M213" s="121">
        <f>SUM(J185:J215)</f>
        <v>946517.97743110114</v>
      </c>
    </row>
    <row r="214" spans="1:19" ht="15" customHeight="1" x14ac:dyDescent="0.25">
      <c r="A214" s="136"/>
      <c r="B214" s="133" t="s">
        <v>25</v>
      </c>
      <c r="C214" s="137"/>
      <c r="D214" s="131"/>
      <c r="E214" s="131"/>
      <c r="F214" s="131"/>
      <c r="G214" s="138">
        <f>SUM(G203:G213)</f>
        <v>0.48701448430395139</v>
      </c>
      <c r="H214" s="138" t="s">
        <v>30</v>
      </c>
      <c r="I214" s="139">
        <f>348511.67/1.15</f>
        <v>303053.62608695653</v>
      </c>
      <c r="J214" s="140">
        <f>G214*I214</f>
        <v>147591.50542518165</v>
      </c>
      <c r="K214" s="141"/>
    </row>
    <row r="215" spans="1:19" ht="15" customHeight="1" x14ac:dyDescent="0.25">
      <c r="A215" s="136"/>
      <c r="B215" s="133" t="s">
        <v>89</v>
      </c>
      <c r="C215" s="137"/>
      <c r="D215" s="131"/>
      <c r="E215" s="131"/>
      <c r="F215" s="131"/>
      <c r="G215" s="131"/>
      <c r="H215" s="131"/>
      <c r="I215" s="131"/>
      <c r="J215" s="149">
        <f>0.13*G214*(296712)</f>
        <v>18785.395416683223</v>
      </c>
      <c r="K215" s="141"/>
      <c r="M215" s="58"/>
    </row>
    <row r="216" spans="1:19" ht="15" customHeight="1" x14ac:dyDescent="0.25">
      <c r="A216" s="136"/>
      <c r="B216" s="133"/>
      <c r="C216" s="137"/>
      <c r="D216" s="131"/>
      <c r="E216" s="131"/>
      <c r="F216" s="131"/>
      <c r="G216" s="131"/>
      <c r="H216" s="131"/>
      <c r="I216" s="131"/>
      <c r="J216" s="149"/>
      <c r="K216" s="141"/>
      <c r="M216" s="58"/>
    </row>
    <row r="217" spans="1:19" ht="30" hidden="1" x14ac:dyDescent="0.25">
      <c r="A217" s="12">
        <v>25</v>
      </c>
      <c r="B217" s="156" t="s">
        <v>91</v>
      </c>
      <c r="C217" s="14"/>
      <c r="D217" s="15"/>
      <c r="E217" s="16"/>
      <c r="F217" s="16"/>
      <c r="G217" s="19"/>
      <c r="H217" s="18"/>
      <c r="I217" s="19"/>
      <c r="J217" s="132"/>
      <c r="K217" s="16"/>
      <c r="M217" s="21"/>
      <c r="N217" s="1"/>
      <c r="O217" s="1"/>
      <c r="P217" s="1"/>
      <c r="Q217" s="1"/>
      <c r="R217" s="21"/>
      <c r="S217" s="21"/>
    </row>
    <row r="218" spans="1:19" ht="15" hidden="1" customHeight="1" x14ac:dyDescent="0.25">
      <c r="A218" s="12"/>
      <c r="B218" s="13" t="str">
        <f>B55</f>
        <v>-at new roof</v>
      </c>
      <c r="C218" s="137">
        <f>0*2</f>
        <v>0</v>
      </c>
      <c r="D218" s="131">
        <f>D55</f>
        <v>4.5717768972874122</v>
      </c>
      <c r="E218" s="131">
        <f>E55</f>
        <v>3.2764401097226452</v>
      </c>
      <c r="F218" s="131"/>
      <c r="G218" s="131">
        <f t="shared" ref="G218" si="28">PRODUCT(C218:F218)</f>
        <v>0</v>
      </c>
      <c r="H218" s="18"/>
      <c r="I218" s="19"/>
      <c r="J218" s="132"/>
      <c r="K218" s="16"/>
      <c r="M218" s="21"/>
      <c r="N218" s="1"/>
      <c r="O218" s="1"/>
      <c r="P218" s="1"/>
      <c r="Q218" s="1"/>
      <c r="R218" s="21"/>
      <c r="S218" s="21"/>
    </row>
    <row r="219" spans="1:19" ht="15" hidden="1" customHeight="1" x14ac:dyDescent="0.25">
      <c r="A219" s="136"/>
      <c r="B219" s="133" t="s">
        <v>25</v>
      </c>
      <c r="C219" s="137"/>
      <c r="D219" s="131"/>
      <c r="E219" s="131"/>
      <c r="F219" s="131"/>
      <c r="G219" s="138">
        <f>SUM(G218:G218)</f>
        <v>0</v>
      </c>
      <c r="H219" s="138" t="s">
        <v>26</v>
      </c>
      <c r="I219" s="139">
        <f>5999.55/10</f>
        <v>599.95500000000004</v>
      </c>
      <c r="J219" s="140">
        <f>G219*I219</f>
        <v>0</v>
      </c>
      <c r="K219" s="141"/>
    </row>
    <row r="220" spans="1:19" ht="15" hidden="1" customHeight="1" x14ac:dyDescent="0.25">
      <c r="A220" s="136"/>
      <c r="B220" s="133" t="s">
        <v>89</v>
      </c>
      <c r="C220" s="137"/>
      <c r="D220" s="131"/>
      <c r="E220" s="131"/>
      <c r="F220" s="131"/>
      <c r="G220" s="131"/>
      <c r="H220" s="131"/>
      <c r="I220" s="131"/>
      <c r="J220" s="149">
        <f>0.13*G219*((1397.55)/10)</f>
        <v>0</v>
      </c>
      <c r="K220" s="141"/>
    </row>
    <row r="221" spans="1:19" ht="15" hidden="1" customHeight="1" x14ac:dyDescent="0.25">
      <c r="A221" s="12"/>
      <c r="B221" s="60"/>
      <c r="C221" s="14"/>
      <c r="D221" s="15"/>
      <c r="E221" s="16"/>
      <c r="F221" s="16"/>
      <c r="G221" s="19"/>
      <c r="H221" s="18"/>
      <c r="I221" s="19"/>
      <c r="J221" s="132"/>
      <c r="K221" s="16"/>
      <c r="M221" s="21"/>
      <c r="N221" s="1"/>
      <c r="O221" s="1"/>
      <c r="P221" s="1"/>
      <c r="Q221" s="1"/>
      <c r="R221" s="21"/>
      <c r="S221" s="21"/>
    </row>
    <row r="222" spans="1:19" hidden="1" x14ac:dyDescent="0.25">
      <c r="A222" s="12">
        <v>22</v>
      </c>
      <c r="B222" s="135" t="s">
        <v>92</v>
      </c>
      <c r="C222" s="137"/>
      <c r="D222" s="131"/>
      <c r="E222" s="131"/>
      <c r="F222" s="131"/>
      <c r="G222" s="131"/>
      <c r="H222" s="131"/>
      <c r="I222" s="131"/>
      <c r="J222" s="149"/>
      <c r="K222" s="141"/>
    </row>
    <row r="223" spans="1:19" ht="15" hidden="1" customHeight="1" x14ac:dyDescent="0.25">
      <c r="A223" s="136"/>
      <c r="B223" s="133" t="s">
        <v>93</v>
      </c>
      <c r="C223" s="137">
        <f>0*2</f>
        <v>0</v>
      </c>
      <c r="D223" s="131"/>
      <c r="E223" s="131"/>
      <c r="F223" s="131"/>
      <c r="G223" s="131">
        <f>PRODUCT(C223:F223)</f>
        <v>0</v>
      </c>
      <c r="H223" s="131"/>
      <c r="I223" s="131"/>
      <c r="J223" s="149"/>
      <c r="K223" s="141"/>
    </row>
    <row r="224" spans="1:19" ht="15" hidden="1" customHeight="1" x14ac:dyDescent="0.25">
      <c r="A224" s="136"/>
      <c r="B224" s="133" t="s">
        <v>25</v>
      </c>
      <c r="C224" s="137"/>
      <c r="D224" s="131"/>
      <c r="E224" s="131"/>
      <c r="F224" s="131"/>
      <c r="G224" s="138">
        <f>SUM(G223:G223)</f>
        <v>0</v>
      </c>
      <c r="H224" s="138" t="s">
        <v>94</v>
      </c>
      <c r="I224" s="139">
        <f>2365*1.15</f>
        <v>2719.75</v>
      </c>
      <c r="J224" s="140">
        <f>G224*I224</f>
        <v>0</v>
      </c>
      <c r="K224" s="141"/>
    </row>
    <row r="225" spans="1:14" ht="15" hidden="1" customHeight="1" x14ac:dyDescent="0.25">
      <c r="A225" s="12"/>
      <c r="B225" s="133" t="s">
        <v>49</v>
      </c>
      <c r="C225" s="14"/>
      <c r="D225" s="15"/>
      <c r="E225" s="16"/>
      <c r="F225" s="16"/>
      <c r="G225" s="19"/>
      <c r="H225" s="18"/>
      <c r="I225" s="19"/>
      <c r="J225" s="132">
        <f>J224*0.13</f>
        <v>0</v>
      </c>
      <c r="K225" s="16"/>
      <c r="M225" s="21"/>
      <c r="N225" s="21"/>
    </row>
    <row r="226" spans="1:14" ht="15" hidden="1" customHeight="1" x14ac:dyDescent="0.25">
      <c r="A226" s="136"/>
      <c r="B226" s="133"/>
      <c r="C226" s="137"/>
      <c r="D226" s="131"/>
      <c r="E226" s="131"/>
      <c r="F226" s="131"/>
      <c r="G226" s="138"/>
      <c r="H226" s="138"/>
      <c r="I226" s="139"/>
      <c r="J226" s="140"/>
      <c r="K226" s="141"/>
    </row>
    <row r="227" spans="1:14" ht="30.75" x14ac:dyDescent="0.25">
      <c r="A227" s="136">
        <v>6</v>
      </c>
      <c r="B227" s="130" t="s">
        <v>95</v>
      </c>
      <c r="C227" s="137"/>
      <c r="D227" s="131"/>
      <c r="E227" s="131"/>
      <c r="F227" s="131"/>
      <c r="G227" s="131"/>
      <c r="H227" s="131"/>
      <c r="I227" s="131"/>
      <c r="J227" s="149"/>
      <c r="K227" s="141"/>
    </row>
    <row r="228" spans="1:14" x14ac:dyDescent="0.25">
      <c r="A228" s="136"/>
      <c r="B228" s="133" t="s">
        <v>96</v>
      </c>
      <c r="C228" s="137">
        <f>0*2</f>
        <v>0</v>
      </c>
      <c r="D228" s="131">
        <f>3.833/3.281</f>
        <v>1.1682413898201769</v>
      </c>
      <c r="E228" s="131">
        <v>7.4999999999999997E-2</v>
      </c>
      <c r="F228" s="131">
        <v>0.125</v>
      </c>
      <c r="G228" s="131">
        <f t="shared" ref="G228:G233" si="29">PRODUCT(C228:F228)</f>
        <v>0</v>
      </c>
      <c r="H228" s="131"/>
      <c r="I228" s="131"/>
      <c r="J228" s="149"/>
      <c r="K228" s="141"/>
    </row>
    <row r="229" spans="1:14" x14ac:dyDescent="0.25">
      <c r="A229" s="136"/>
      <c r="B229" s="133"/>
      <c r="C229" s="137">
        <f t="shared" ref="C229:C233" si="30">0*2</f>
        <v>0</v>
      </c>
      <c r="D229" s="131">
        <f>6/3.281</f>
        <v>1.8287107589149649</v>
      </c>
      <c r="E229" s="131">
        <v>7.4999999999999997E-2</v>
      </c>
      <c r="F229" s="131">
        <v>0.125</v>
      </c>
      <c r="G229" s="131">
        <f t="shared" si="29"/>
        <v>0</v>
      </c>
      <c r="H229" s="131"/>
      <c r="I229" s="131"/>
      <c r="J229" s="149"/>
      <c r="K229" s="141"/>
    </row>
    <row r="230" spans="1:14" hidden="1" x14ac:dyDescent="0.25">
      <c r="A230" s="136"/>
      <c r="B230" s="133"/>
      <c r="C230" s="137">
        <f t="shared" si="30"/>
        <v>0</v>
      </c>
      <c r="D230" s="131">
        <f>6/3.281</f>
        <v>1.8287107589149649</v>
      </c>
      <c r="E230" s="131">
        <v>7.4999999999999997E-2</v>
      </c>
      <c r="F230" s="131">
        <v>7.4999999999999997E-2</v>
      </c>
      <c r="G230" s="131">
        <f t="shared" si="29"/>
        <v>0</v>
      </c>
      <c r="H230" s="131"/>
      <c r="I230" s="131"/>
      <c r="J230" s="149"/>
      <c r="K230" s="141"/>
    </row>
    <row r="231" spans="1:14" hidden="1" x14ac:dyDescent="0.25">
      <c r="A231" s="136"/>
      <c r="B231" s="133" t="s">
        <v>97</v>
      </c>
      <c r="C231" s="137">
        <f t="shared" si="30"/>
        <v>0</v>
      </c>
      <c r="D231" s="131">
        <f>3.5/3.281</f>
        <v>1.0667479427003961</v>
      </c>
      <c r="E231" s="131">
        <v>7.4999999999999997E-2</v>
      </c>
      <c r="F231" s="131">
        <v>0.125</v>
      </c>
      <c r="G231" s="131">
        <f t="shared" si="29"/>
        <v>0</v>
      </c>
      <c r="H231" s="131"/>
      <c r="I231" s="131"/>
      <c r="J231" s="149"/>
      <c r="K231" s="141"/>
    </row>
    <row r="232" spans="1:14" hidden="1" x14ac:dyDescent="0.25">
      <c r="A232" s="136"/>
      <c r="B232" s="133"/>
      <c r="C232" s="137">
        <f t="shared" si="30"/>
        <v>0</v>
      </c>
      <c r="D232" s="131">
        <f>4.5/3.281</f>
        <v>1.3715330691862238</v>
      </c>
      <c r="E232" s="131">
        <v>7.4999999999999997E-2</v>
      </c>
      <c r="F232" s="131">
        <v>0.125</v>
      </c>
      <c r="G232" s="131">
        <f t="shared" si="29"/>
        <v>0</v>
      </c>
      <c r="H232" s="131"/>
      <c r="I232" s="131"/>
      <c r="J232" s="149"/>
      <c r="K232" s="141"/>
    </row>
    <row r="233" spans="1:14" hidden="1" x14ac:dyDescent="0.25">
      <c r="A233" s="136"/>
      <c r="B233" s="133" t="s">
        <v>98</v>
      </c>
      <c r="C233" s="137">
        <f t="shared" si="30"/>
        <v>0</v>
      </c>
      <c r="D233" s="131">
        <f>(2*2+2.5*2)/3.281</f>
        <v>2.7430661383724475</v>
      </c>
      <c r="E233" s="131">
        <v>7.4999999999999997E-2</v>
      </c>
      <c r="F233" s="131">
        <v>0.125</v>
      </c>
      <c r="G233" s="131">
        <f t="shared" si="29"/>
        <v>0</v>
      </c>
      <c r="H233" s="131"/>
      <c r="I233" s="131"/>
      <c r="J233" s="149"/>
      <c r="K233" s="141"/>
    </row>
    <row r="234" spans="1:14" ht="15" customHeight="1" x14ac:dyDescent="0.25">
      <c r="A234" s="136"/>
      <c r="B234" s="133" t="s">
        <v>25</v>
      </c>
      <c r="C234" s="137"/>
      <c r="D234" s="131"/>
      <c r="E234" s="131"/>
      <c r="F234" s="131"/>
      <c r="G234" s="138">
        <f>SUM(G228:G233)</f>
        <v>0</v>
      </c>
      <c r="H234" s="138" t="s">
        <v>30</v>
      </c>
      <c r="I234" s="139">
        <f>283082.83</f>
        <v>283082.83</v>
      </c>
      <c r="J234" s="140">
        <f>G234*I234</f>
        <v>0</v>
      </c>
      <c r="K234" s="141"/>
    </row>
    <row r="235" spans="1:14" ht="15" customHeight="1" x14ac:dyDescent="0.25">
      <c r="A235" s="12"/>
      <c r="B235" s="133" t="s">
        <v>49</v>
      </c>
      <c r="C235" s="14"/>
      <c r="D235" s="15"/>
      <c r="E235" s="16"/>
      <c r="F235" s="16"/>
      <c r="G235" s="19"/>
      <c r="H235" s="18"/>
      <c r="I235" s="19"/>
      <c r="J235" s="132">
        <f>0.13*G234*239222.83</f>
        <v>0</v>
      </c>
      <c r="K235" s="16"/>
      <c r="M235" s="21"/>
      <c r="N235" s="21"/>
    </row>
    <row r="236" spans="1:14" ht="15" customHeight="1" x14ac:dyDescent="0.25">
      <c r="A236" s="136"/>
      <c r="B236" s="133"/>
      <c r="C236" s="137"/>
      <c r="D236" s="131"/>
      <c r="E236" s="131"/>
      <c r="F236" s="131"/>
      <c r="G236" s="131"/>
      <c r="H236" s="131"/>
      <c r="I236" s="131"/>
      <c r="J236" s="149"/>
      <c r="K236" s="141"/>
    </row>
    <row r="237" spans="1:14" ht="30" hidden="1" x14ac:dyDescent="0.25">
      <c r="A237" s="12">
        <v>25</v>
      </c>
      <c r="B237" s="155" t="s">
        <v>99</v>
      </c>
      <c r="C237" s="14"/>
      <c r="D237" s="15"/>
      <c r="E237" s="16"/>
      <c r="F237" s="16"/>
      <c r="G237" s="19"/>
      <c r="H237" s="18"/>
      <c r="I237" s="19"/>
      <c r="J237" s="148"/>
      <c r="K237" s="16"/>
    </row>
    <row r="238" spans="1:14" hidden="1" x14ac:dyDescent="0.25">
      <c r="A238" s="12"/>
      <c r="B238" s="152" t="s">
        <v>100</v>
      </c>
      <c r="C238" s="14">
        <f>0*1</f>
        <v>0</v>
      </c>
      <c r="D238" s="15">
        <f>15/3.281</f>
        <v>4.5717768972874122</v>
      </c>
      <c r="E238" s="16">
        <v>7.4999999999999997E-2</v>
      </c>
      <c r="F238" s="141"/>
      <c r="G238" s="144">
        <f>PRODUCT(C238:E238)</f>
        <v>0</v>
      </c>
      <c r="H238" s="18"/>
      <c r="I238" s="19"/>
      <c r="J238" s="148"/>
      <c r="K238" s="16"/>
    </row>
    <row r="239" spans="1:14" hidden="1" x14ac:dyDescent="0.25">
      <c r="A239" s="12"/>
      <c r="B239" s="152" t="str">
        <f>B228</f>
        <v>-For Door</v>
      </c>
      <c r="C239" s="14">
        <f>0*2</f>
        <v>0</v>
      </c>
      <c r="D239" s="15">
        <f>0.3</f>
        <v>0.3</v>
      </c>
      <c r="E239" s="16"/>
      <c r="F239" s="16">
        <f>D229</f>
        <v>1.8287107589149649</v>
      </c>
      <c r="G239" s="144">
        <f>PRODUCT(C239:F239)</f>
        <v>0</v>
      </c>
      <c r="H239" s="18"/>
      <c r="I239" s="19"/>
      <c r="J239" s="148"/>
      <c r="K239" s="16"/>
    </row>
    <row r="240" spans="1:14" hidden="1" x14ac:dyDescent="0.25">
      <c r="A240" s="12"/>
      <c r="B240" s="152"/>
      <c r="C240" s="14">
        <f>0*1</f>
        <v>0</v>
      </c>
      <c r="D240" s="15">
        <f>(6*2+4*2)/3.281</f>
        <v>6.0957025297165499</v>
      </c>
      <c r="E240" s="16">
        <v>7.4999999999999997E-2</v>
      </c>
      <c r="F240" s="16"/>
      <c r="G240" s="144">
        <f>PRODUCT(C240:F240)</f>
        <v>0</v>
      </c>
      <c r="H240" s="18"/>
      <c r="I240" s="19"/>
      <c r="J240" s="148"/>
      <c r="K240" s="16"/>
    </row>
    <row r="241" spans="1:14" hidden="1" x14ac:dyDescent="0.25">
      <c r="A241" s="12"/>
      <c r="B241" s="152" t="s">
        <v>98</v>
      </c>
      <c r="C241" s="14">
        <f>2*0</f>
        <v>0</v>
      </c>
      <c r="D241" s="15">
        <f>D233</f>
        <v>2.7430661383724475</v>
      </c>
      <c r="E241" s="16">
        <f>E233</f>
        <v>7.4999999999999997E-2</v>
      </c>
      <c r="F241" s="16"/>
      <c r="G241" s="144">
        <f>PRODUCT(C241:F241)</f>
        <v>0</v>
      </c>
      <c r="H241" s="18"/>
      <c r="I241" s="19"/>
      <c r="J241" s="148"/>
      <c r="K241" s="16"/>
    </row>
    <row r="242" spans="1:14" ht="15" hidden="1" customHeight="1" x14ac:dyDescent="0.25">
      <c r="A242" s="136"/>
      <c r="B242" s="152" t="s">
        <v>25</v>
      </c>
      <c r="C242" s="143"/>
      <c r="D242" s="144"/>
      <c r="E242" s="144"/>
      <c r="F242" s="144"/>
      <c r="G242" s="148">
        <f>SUM(G238:G241)</f>
        <v>0</v>
      </c>
      <c r="H242" s="148" t="s">
        <v>26</v>
      </c>
      <c r="I242" s="18">
        <f>39251.14/1.15</f>
        <v>34131.426086956526</v>
      </c>
      <c r="J242" s="149">
        <f>G242*I242</f>
        <v>0</v>
      </c>
      <c r="K242" s="145"/>
    </row>
    <row r="243" spans="1:14" hidden="1" x14ac:dyDescent="0.25">
      <c r="A243" s="12"/>
      <c r="B243" s="155"/>
      <c r="C243" s="14"/>
      <c r="D243" s="15"/>
      <c r="E243" s="16"/>
      <c r="F243" s="16"/>
      <c r="G243" s="19"/>
      <c r="H243" s="18"/>
      <c r="I243" s="19"/>
      <c r="J243" s="148"/>
      <c r="K243" s="16"/>
    </row>
    <row r="244" spans="1:14" ht="45" hidden="1" x14ac:dyDescent="0.25">
      <c r="A244" s="136">
        <v>25</v>
      </c>
      <c r="B244" s="135" t="s">
        <v>101</v>
      </c>
      <c r="C244" s="137"/>
      <c r="D244" s="131"/>
      <c r="E244" s="131"/>
      <c r="F244" s="131"/>
      <c r="G244" s="131"/>
      <c r="H244" s="131"/>
      <c r="I244" s="131"/>
      <c r="J244" s="149"/>
      <c r="K244" s="141"/>
    </row>
    <row r="245" spans="1:14" ht="15" hidden="1" customHeight="1" x14ac:dyDescent="0.25">
      <c r="A245" s="136"/>
      <c r="B245" s="133" t="s">
        <v>102</v>
      </c>
      <c r="C245" s="137">
        <f>0*1</f>
        <v>0</v>
      </c>
      <c r="D245" s="131">
        <f>3/3.281</f>
        <v>0.91435537945748246</v>
      </c>
      <c r="E245" s="131">
        <f>4/3.281</f>
        <v>1.2191405059433098</v>
      </c>
      <c r="F245" s="131"/>
      <c r="G245" s="131">
        <f>PRODUCT(C245:F245)</f>
        <v>0</v>
      </c>
      <c r="H245" s="131"/>
      <c r="I245" s="131"/>
      <c r="J245" s="149"/>
      <c r="K245" s="141"/>
    </row>
    <row r="246" spans="1:14" ht="15" hidden="1" customHeight="1" x14ac:dyDescent="0.25">
      <c r="A246" s="136"/>
      <c r="B246" s="133" t="s">
        <v>98</v>
      </c>
      <c r="C246" s="137">
        <f>2*0</f>
        <v>0</v>
      </c>
      <c r="D246" s="131"/>
      <c r="E246" s="131">
        <f>2.5/3.281</f>
        <v>0.76196281621456874</v>
      </c>
      <c r="F246" s="131">
        <f>1.5/3.281</f>
        <v>0.45717768972874123</v>
      </c>
      <c r="G246" s="131">
        <f>PRODUCT(C246:F246)</f>
        <v>0</v>
      </c>
      <c r="H246" s="131"/>
      <c r="I246" s="131"/>
      <c r="J246" s="149"/>
      <c r="K246" s="141"/>
    </row>
    <row r="247" spans="1:14" ht="15" hidden="1" customHeight="1" x14ac:dyDescent="0.25">
      <c r="A247" s="136"/>
      <c r="B247" s="133" t="s">
        <v>25</v>
      </c>
      <c r="C247" s="137"/>
      <c r="D247" s="131"/>
      <c r="E247" s="131"/>
      <c r="F247" s="131"/>
      <c r="G247" s="138">
        <f>SUM(G245:G246)</f>
        <v>0</v>
      </c>
      <c r="H247" s="138" t="s">
        <v>26</v>
      </c>
      <c r="I247" s="139">
        <f>31552.5/0.92</f>
        <v>34296.195652173912</v>
      </c>
      <c r="J247" s="140">
        <f>G247*I247</f>
        <v>0</v>
      </c>
      <c r="K247" s="141"/>
    </row>
    <row r="248" spans="1:14" ht="15" hidden="1" customHeight="1" x14ac:dyDescent="0.25">
      <c r="A248" s="136"/>
      <c r="B248" s="133" t="s">
        <v>89</v>
      </c>
      <c r="C248" s="137"/>
      <c r="D248" s="131"/>
      <c r="E248" s="131"/>
      <c r="F248" s="131"/>
      <c r="G248" s="131"/>
      <c r="H248" s="131"/>
      <c r="I248" s="131"/>
      <c r="J248" s="149">
        <f>0.13*G247*((9742.5)/0.92)</f>
        <v>0</v>
      </c>
      <c r="K248" s="141"/>
      <c r="M248" s="58"/>
    </row>
    <row r="249" spans="1:14" ht="15" hidden="1" customHeight="1" x14ac:dyDescent="0.25">
      <c r="A249" s="136"/>
      <c r="B249" s="133"/>
      <c r="C249" s="137"/>
      <c r="D249" s="131"/>
      <c r="E249" s="131"/>
      <c r="F249" s="131"/>
      <c r="G249" s="131"/>
      <c r="H249" s="131"/>
      <c r="I249" s="131"/>
      <c r="J249" s="149"/>
      <c r="K249" s="141"/>
      <c r="M249" s="58"/>
    </row>
    <row r="250" spans="1:14" ht="30.75" hidden="1" x14ac:dyDescent="0.25">
      <c r="A250" s="136">
        <v>26</v>
      </c>
      <c r="B250" s="130" t="s">
        <v>103</v>
      </c>
      <c r="C250" s="137"/>
      <c r="D250" s="131"/>
      <c r="E250" s="131"/>
      <c r="F250" s="131"/>
      <c r="G250" s="131"/>
      <c r="H250" s="131"/>
      <c r="I250" s="131"/>
      <c r="J250" s="149"/>
      <c r="K250" s="141"/>
      <c r="M250" s="58"/>
    </row>
    <row r="251" spans="1:14" ht="15" hidden="1" customHeight="1" x14ac:dyDescent="0.25">
      <c r="A251" s="136"/>
      <c r="B251" s="133" t="s">
        <v>104</v>
      </c>
      <c r="C251" s="137">
        <f>0*1</f>
        <v>0</v>
      </c>
      <c r="D251" s="131"/>
      <c r="E251" s="131">
        <f>3.5/3.281</f>
        <v>1.0667479427003961</v>
      </c>
      <c r="F251" s="131">
        <f>6/3.281</f>
        <v>1.8287107589149649</v>
      </c>
      <c r="G251" s="131">
        <f>PRODUCT(C251:F251)</f>
        <v>0</v>
      </c>
      <c r="H251" s="131"/>
      <c r="I251" s="131"/>
      <c r="J251" s="149"/>
      <c r="K251" s="141"/>
    </row>
    <row r="252" spans="1:14" ht="15" hidden="1" customHeight="1" x14ac:dyDescent="0.25">
      <c r="A252" s="136"/>
      <c r="B252" s="133" t="s">
        <v>25</v>
      </c>
      <c r="C252" s="137"/>
      <c r="D252" s="131"/>
      <c r="E252" s="131"/>
      <c r="F252" s="131"/>
      <c r="G252" s="138">
        <f>SUM(G251:G251)</f>
        <v>0</v>
      </c>
      <c r="H252" s="138" t="s">
        <v>26</v>
      </c>
      <c r="I252" s="139">
        <v>15731.39</v>
      </c>
      <c r="J252" s="140">
        <f>G252*I252</f>
        <v>0</v>
      </c>
      <c r="K252" s="141"/>
    </row>
    <row r="253" spans="1:14" ht="15" hidden="1" customHeight="1" x14ac:dyDescent="0.25">
      <c r="A253" s="136"/>
      <c r="B253" s="133" t="s">
        <v>89</v>
      </c>
      <c r="C253" s="137"/>
      <c r="D253" s="131"/>
      <c r="E253" s="131"/>
      <c r="F253" s="131"/>
      <c r="G253" s="131"/>
      <c r="H253" s="131"/>
      <c r="I253" s="131"/>
      <c r="J253" s="149">
        <f>0.13*G252*((20356.18)/2.114)</f>
        <v>0</v>
      </c>
      <c r="K253" s="141"/>
      <c r="M253" s="58"/>
    </row>
    <row r="254" spans="1:14" ht="15.75" hidden="1" x14ac:dyDescent="0.25">
      <c r="A254" s="136"/>
      <c r="B254" s="130"/>
      <c r="C254" s="137"/>
      <c r="D254" s="131"/>
      <c r="E254" s="131"/>
      <c r="F254" s="131"/>
      <c r="G254" s="131"/>
      <c r="H254" s="131"/>
      <c r="I254" s="131"/>
      <c r="J254" s="149"/>
      <c r="K254" s="141"/>
      <c r="M254" s="58"/>
    </row>
    <row r="255" spans="1:14" ht="30.75" x14ac:dyDescent="0.25">
      <c r="A255" s="136">
        <v>7</v>
      </c>
      <c r="B255" s="130" t="s">
        <v>129</v>
      </c>
      <c r="C255" s="137"/>
      <c r="D255" s="131"/>
      <c r="E255" s="131"/>
      <c r="F255" s="131"/>
      <c r="G255" s="131"/>
      <c r="H255" s="131"/>
      <c r="I255" s="131"/>
      <c r="J255" s="149"/>
      <c r="K255" s="141"/>
      <c r="M255" s="58"/>
    </row>
    <row r="256" spans="1:14" ht="15" customHeight="1" x14ac:dyDescent="0.25">
      <c r="A256" s="136"/>
      <c r="B256" s="133" t="s">
        <v>54</v>
      </c>
      <c r="C256" s="137">
        <f>0.5*4</f>
        <v>2</v>
      </c>
      <c r="D256" s="131">
        <f>((23.17-1.25-1.583-0.333)/2)/3.281</f>
        <v>3.0484608351112472</v>
      </c>
      <c r="E256" s="131">
        <v>0.23</v>
      </c>
      <c r="F256" s="131">
        <f>7/3.281</f>
        <v>2.1334958854007922</v>
      </c>
      <c r="G256" s="131">
        <f>PRODUCT(C256:F256)</f>
        <v>2.991784178317042</v>
      </c>
      <c r="H256" s="131"/>
      <c r="I256" s="131"/>
      <c r="J256" s="149"/>
      <c r="K256" s="141"/>
      <c r="N256">
        <f>7.333/3.281</f>
        <v>2.234989332520573</v>
      </c>
    </row>
    <row r="257" spans="1:19" ht="15" customHeight="1" x14ac:dyDescent="0.25">
      <c r="A257" s="136"/>
      <c r="B257" s="133"/>
      <c r="C257" s="137">
        <v>2</v>
      </c>
      <c r="D257" s="131">
        <v>6.13</v>
      </c>
      <c r="E257" s="131">
        <v>0.23</v>
      </c>
      <c r="F257" s="131">
        <f>2.25/3.281</f>
        <v>0.68576653459311188</v>
      </c>
      <c r="G257" s="131">
        <f>PRODUCT(C257:F257)</f>
        <v>1.9337244742456567</v>
      </c>
      <c r="H257" s="131"/>
      <c r="I257" s="131"/>
      <c r="J257" s="149"/>
      <c r="K257" s="141"/>
      <c r="M257">
        <f>20.17/3.281</f>
        <v>6.1475160012191408</v>
      </c>
    </row>
    <row r="258" spans="1:19" ht="15" customHeight="1" x14ac:dyDescent="0.25">
      <c r="A258" s="136"/>
      <c r="B258" s="133"/>
      <c r="C258" s="137">
        <v>1</v>
      </c>
      <c r="D258" s="131">
        <f>10.667/3.281</f>
        <v>3.2511429442243216</v>
      </c>
      <c r="E258" s="131">
        <v>0.35</v>
      </c>
      <c r="F258" s="131">
        <f>27/12/3.281</f>
        <v>0.68576653459311188</v>
      </c>
      <c r="G258" s="131">
        <f t="shared" ref="G258:G260" si="31">PRODUCT(C258:F258)</f>
        <v>0.78033376061464588</v>
      </c>
      <c r="H258" s="131"/>
      <c r="I258" s="131"/>
      <c r="J258" s="149"/>
      <c r="K258" s="141"/>
      <c r="M258">
        <f>3.24*3.281</f>
        <v>10.630440000000002</v>
      </c>
    </row>
    <row r="259" spans="1:19" ht="15" customHeight="1" x14ac:dyDescent="0.25">
      <c r="A259" s="136"/>
      <c r="B259" s="133"/>
      <c r="C259" s="137">
        <f>1*0.5</f>
        <v>0.5</v>
      </c>
      <c r="D259" s="131">
        <f>10.667/3.281</f>
        <v>3.2511429442243216</v>
      </c>
      <c r="E259" s="131">
        <v>0.35</v>
      </c>
      <c r="F259" s="131">
        <f>6.5/12/3.281</f>
        <v>0.16509194351315654</v>
      </c>
      <c r="G259" s="131">
        <f t="shared" ref="G259" si="32">PRODUCT(C259:F259)</f>
        <v>9.3929063777688851E-2</v>
      </c>
      <c r="H259" s="131"/>
      <c r="I259" s="131"/>
      <c r="J259" s="149"/>
      <c r="K259" s="141"/>
    </row>
    <row r="260" spans="1:19" ht="15" customHeight="1" x14ac:dyDescent="0.25">
      <c r="A260" s="136"/>
      <c r="B260" s="133"/>
      <c r="C260" s="137">
        <v>1</v>
      </c>
      <c r="D260" s="131">
        <f>10.667/3.281</f>
        <v>3.2511429442243216</v>
      </c>
      <c r="E260" s="131">
        <v>0.45</v>
      </c>
      <c r="F260" s="131">
        <f>27/12/3.281</f>
        <v>0.68576653459311188</v>
      </c>
      <c r="G260" s="131">
        <f t="shared" si="31"/>
        <v>1.003286263647402</v>
      </c>
      <c r="H260" s="131"/>
      <c r="I260" s="131"/>
      <c r="J260" s="149"/>
      <c r="K260" s="141"/>
    </row>
    <row r="261" spans="1:19" ht="15" customHeight="1" x14ac:dyDescent="0.25">
      <c r="A261" s="136"/>
      <c r="B261" s="133"/>
      <c r="C261" s="137">
        <f>0.5*1</f>
        <v>0.5</v>
      </c>
      <c r="D261" s="131">
        <f>10.667/3.281</f>
        <v>3.2511429442243216</v>
      </c>
      <c r="E261" s="131">
        <v>0.45</v>
      </c>
      <c r="F261" s="131">
        <f>6.5/12/3.281</f>
        <v>0.16509194351315654</v>
      </c>
      <c r="G261" s="131">
        <f t="shared" ref="G261:G262" si="33">PRODUCT(C261:F261)</f>
        <v>0.12076593914274282</v>
      </c>
      <c r="H261" s="131"/>
      <c r="I261" s="131"/>
      <c r="J261" s="149"/>
      <c r="K261" s="141"/>
    </row>
    <row r="262" spans="1:19" ht="15" hidden="1" customHeight="1" x14ac:dyDescent="0.25">
      <c r="A262" s="136"/>
      <c r="B262" s="133" t="s">
        <v>167</v>
      </c>
      <c r="C262" s="137">
        <f>0*-1</f>
        <v>0</v>
      </c>
      <c r="D262" s="131">
        <f>(23.17/3.281)*2+D174*2</f>
        <v>20.168647769988823</v>
      </c>
      <c r="E262" s="131">
        <f>4/12/3.281</f>
        <v>0.10159504216194248</v>
      </c>
      <c r="F262" s="131">
        <f>3/12/3.281</f>
        <v>7.6196281621456863E-2</v>
      </c>
      <c r="G262" s="131">
        <f t="shared" si="33"/>
        <v>0</v>
      </c>
      <c r="H262" s="131"/>
      <c r="I262" s="131"/>
      <c r="J262" s="149"/>
      <c r="K262" s="141"/>
    </row>
    <row r="263" spans="1:19" ht="15" customHeight="1" x14ac:dyDescent="0.25">
      <c r="A263" s="136"/>
      <c r="B263" s="133" t="s">
        <v>25</v>
      </c>
      <c r="C263" s="137"/>
      <c r="D263" s="131"/>
      <c r="E263" s="131"/>
      <c r="F263" s="131"/>
      <c r="G263" s="138">
        <f>SUM(G256:G262)</f>
        <v>6.923823679745178</v>
      </c>
      <c r="H263" s="138" t="s">
        <v>30</v>
      </c>
      <c r="I263" s="139">
        <v>14984.29</v>
      </c>
      <c r="J263" s="140">
        <f>G263*I263</f>
        <v>103748.58192616887</v>
      </c>
      <c r="K263" s="141"/>
    </row>
    <row r="264" spans="1:19" ht="15" customHeight="1" x14ac:dyDescent="0.25">
      <c r="A264" s="136"/>
      <c r="B264" s="133" t="s">
        <v>89</v>
      </c>
      <c r="C264" s="137"/>
      <c r="D264" s="131"/>
      <c r="E264" s="131"/>
      <c r="F264" s="131"/>
      <c r="G264" s="131"/>
      <c r="H264" s="131"/>
      <c r="I264" s="131"/>
      <c r="J264" s="149">
        <f>0.13*G263*10555.39</f>
        <v>9500.8757000229089</v>
      </c>
      <c r="K264" s="141"/>
      <c r="M264" s="58"/>
    </row>
    <row r="265" spans="1:19" ht="15.75" x14ac:dyDescent="0.25">
      <c r="A265" s="136"/>
      <c r="B265" s="130"/>
      <c r="C265" s="137"/>
      <c r="D265" s="131"/>
      <c r="E265" s="131"/>
      <c r="F265" s="131"/>
      <c r="G265" s="131"/>
      <c r="H265" s="131"/>
      <c r="I265" s="131"/>
      <c r="J265" s="149"/>
      <c r="K265" s="141"/>
      <c r="M265" s="58"/>
    </row>
    <row r="266" spans="1:19" ht="30" hidden="1" x14ac:dyDescent="0.25">
      <c r="A266" s="136">
        <v>27</v>
      </c>
      <c r="B266" s="135" t="s">
        <v>105</v>
      </c>
      <c r="C266" s="137"/>
      <c r="D266" s="131"/>
      <c r="E266" s="131"/>
      <c r="F266" s="131"/>
      <c r="G266" s="131"/>
      <c r="H266" s="131"/>
      <c r="I266" s="131"/>
      <c r="J266" s="149"/>
      <c r="K266" s="141"/>
    </row>
    <row r="267" spans="1:19" ht="15" hidden="1" customHeight="1" x14ac:dyDescent="0.25">
      <c r="A267" s="136"/>
      <c r="B267" s="133" t="s">
        <v>104</v>
      </c>
      <c r="C267" s="137">
        <f>0*1</f>
        <v>0</v>
      </c>
      <c r="D267" s="131"/>
      <c r="E267" s="131">
        <f>3.5/3.281</f>
        <v>1.0667479427003961</v>
      </c>
      <c r="F267" s="131">
        <f>6/3.281</f>
        <v>1.8287107589149649</v>
      </c>
      <c r="G267" s="131">
        <f>PRODUCT(C267:F267)</f>
        <v>0</v>
      </c>
      <c r="H267" s="131"/>
      <c r="I267" s="131"/>
      <c r="J267" s="149"/>
      <c r="K267" s="141"/>
    </row>
    <row r="268" spans="1:19" ht="15" hidden="1" customHeight="1" x14ac:dyDescent="0.25">
      <c r="A268" s="136"/>
      <c r="B268" s="133" t="s">
        <v>25</v>
      </c>
      <c r="C268" s="137"/>
      <c r="D268" s="131"/>
      <c r="E268" s="131"/>
      <c r="F268" s="131"/>
      <c r="G268" s="138">
        <f>SUM(G267:G267)</f>
        <v>0</v>
      </c>
      <c r="H268" s="138" t="s">
        <v>26</v>
      </c>
      <c r="I268" s="139">
        <f>45908.09/1.15</f>
        <v>39920.078260869566</v>
      </c>
      <c r="J268" s="140">
        <f>G268*I268</f>
        <v>0</v>
      </c>
      <c r="K268" s="141"/>
    </row>
    <row r="269" spans="1:19" hidden="1" x14ac:dyDescent="0.25">
      <c r="A269" s="136"/>
      <c r="B269" s="135"/>
      <c r="C269" s="137"/>
      <c r="D269" s="131"/>
      <c r="E269" s="131"/>
      <c r="F269" s="131"/>
      <c r="G269" s="131"/>
      <c r="H269" s="131"/>
      <c r="I269" s="131"/>
      <c r="J269" s="149"/>
      <c r="K269" s="141"/>
    </row>
    <row r="270" spans="1:19" ht="30" hidden="1" x14ac:dyDescent="0.25">
      <c r="A270" s="12">
        <v>32</v>
      </c>
      <c r="B270" s="156" t="s">
        <v>106</v>
      </c>
      <c r="C270" s="14"/>
      <c r="D270" s="15"/>
      <c r="E270" s="16"/>
      <c r="F270" s="16"/>
      <c r="G270" s="19"/>
      <c r="H270" s="18"/>
      <c r="I270" s="19"/>
      <c r="J270" s="132"/>
      <c r="K270" s="16"/>
      <c r="M270" s="21"/>
      <c r="N270" s="1"/>
      <c r="O270" s="1"/>
      <c r="P270" s="1"/>
      <c r="Q270" s="1"/>
      <c r="R270" s="21"/>
      <c r="S270" s="21"/>
    </row>
    <row r="271" spans="1:19" ht="15" hidden="1" customHeight="1" x14ac:dyDescent="0.25">
      <c r="A271" s="12"/>
      <c r="B271" s="13" t="s">
        <v>107</v>
      </c>
      <c r="C271" s="14">
        <f>0*2</f>
        <v>0</v>
      </c>
      <c r="D271" s="15">
        <f>(15)/3.281</f>
        <v>4.5717768972874122</v>
      </c>
      <c r="E271" s="16">
        <f>((10.5-1.5)/3.281)</f>
        <v>2.7430661383724475</v>
      </c>
      <c r="F271" s="16"/>
      <c r="G271" s="131">
        <f t="shared" ref="G271" si="34">PRODUCT(C271:F271)</f>
        <v>0</v>
      </c>
      <c r="H271" s="18"/>
      <c r="I271" s="19"/>
      <c r="J271" s="132"/>
      <c r="K271" s="16"/>
      <c r="M271" s="21"/>
      <c r="N271" s="1"/>
      <c r="O271" s="1"/>
      <c r="P271" s="1"/>
      <c r="Q271" s="1"/>
      <c r="R271" s="21"/>
      <c r="S271" s="21"/>
    </row>
    <row r="272" spans="1:19" ht="15" hidden="1" customHeight="1" x14ac:dyDescent="0.25">
      <c r="A272" s="136"/>
      <c r="B272" s="133" t="s">
        <v>25</v>
      </c>
      <c r="C272" s="137"/>
      <c r="D272" s="131"/>
      <c r="E272" s="131"/>
      <c r="F272" s="131"/>
      <c r="G272" s="138">
        <f>SUM(G271:G271)</f>
        <v>0</v>
      </c>
      <c r="H272" s="138" t="s">
        <v>26</v>
      </c>
      <c r="I272" s="139">
        <f>(325188.75/100)</f>
        <v>3251.8874999999998</v>
      </c>
      <c r="J272" s="140">
        <f>G272*I272</f>
        <v>0</v>
      </c>
      <c r="K272" s="141"/>
    </row>
    <row r="273" spans="1:19" ht="15" hidden="1" customHeight="1" x14ac:dyDescent="0.25">
      <c r="A273" s="136"/>
      <c r="B273" s="133" t="s">
        <v>89</v>
      </c>
      <c r="C273" s="137"/>
      <c r="D273" s="131"/>
      <c r="E273" s="131"/>
      <c r="F273" s="131"/>
      <c r="G273" s="131"/>
      <c r="H273" s="131"/>
      <c r="I273" s="131"/>
      <c r="J273" s="149">
        <f>0.13*G272*((221748.75)/100)</f>
        <v>0</v>
      </c>
      <c r="K273" s="141"/>
    </row>
    <row r="274" spans="1:19" ht="15" hidden="1" customHeight="1" x14ac:dyDescent="0.25">
      <c r="A274" s="136"/>
      <c r="B274" s="133"/>
      <c r="C274" s="137"/>
      <c r="D274" s="131"/>
      <c r="E274" s="131"/>
      <c r="F274" s="131"/>
      <c r="G274" s="131"/>
      <c r="H274" s="131"/>
      <c r="I274" s="131"/>
      <c r="J274" s="149"/>
      <c r="K274" s="141"/>
    </row>
    <row r="275" spans="1:19" ht="30" hidden="1" x14ac:dyDescent="0.25">
      <c r="A275" s="12">
        <v>33</v>
      </c>
      <c r="B275" s="156" t="s">
        <v>108</v>
      </c>
      <c r="C275" s="137"/>
      <c r="D275" s="131"/>
      <c r="E275" s="131"/>
      <c r="F275" s="131"/>
      <c r="G275" s="131"/>
      <c r="H275" s="131"/>
      <c r="I275" s="131"/>
      <c r="J275" s="149"/>
      <c r="K275" s="141"/>
    </row>
    <row r="276" spans="1:19" ht="15" hidden="1" customHeight="1" x14ac:dyDescent="0.25">
      <c r="A276" s="12"/>
      <c r="B276" s="13" t="s">
        <v>107</v>
      </c>
      <c r="C276" s="14">
        <f>0*2*2</f>
        <v>0</v>
      </c>
      <c r="D276" s="15">
        <f>D271</f>
        <v>4.5717768972874122</v>
      </c>
      <c r="E276" s="16"/>
      <c r="F276" s="16"/>
      <c r="G276" s="131">
        <f>PRODUCT(C276:F276)</f>
        <v>0</v>
      </c>
      <c r="H276" s="18"/>
      <c r="I276" s="19"/>
      <c r="J276" s="132"/>
      <c r="K276" s="16"/>
      <c r="M276" s="21"/>
      <c r="N276" s="1"/>
      <c r="O276" s="1"/>
      <c r="P276" s="1"/>
      <c r="Q276" s="1"/>
      <c r="R276" s="21"/>
      <c r="S276" s="21"/>
    </row>
    <row r="277" spans="1:19" ht="15" hidden="1" customHeight="1" x14ac:dyDescent="0.25">
      <c r="A277" s="136"/>
      <c r="B277" s="133" t="s">
        <v>25</v>
      </c>
      <c r="C277" s="137"/>
      <c r="D277" s="131"/>
      <c r="E277" s="131"/>
      <c r="F277" s="131"/>
      <c r="G277" s="138">
        <f>SUM(G276:G276)</f>
        <v>0</v>
      </c>
      <c r="H277" s="138" t="s">
        <v>73</v>
      </c>
      <c r="I277" s="139">
        <v>1842.85</v>
      </c>
      <c r="J277" s="140">
        <f>G277*I277</f>
        <v>0</v>
      </c>
      <c r="K277" s="141"/>
    </row>
    <row r="278" spans="1:19" ht="15" hidden="1" customHeight="1" x14ac:dyDescent="0.25">
      <c r="A278" s="136"/>
      <c r="B278" s="133" t="s">
        <v>89</v>
      </c>
      <c r="C278" s="137"/>
      <c r="D278" s="131"/>
      <c r="E278" s="131"/>
      <c r="F278" s="131"/>
      <c r="G278" s="131"/>
      <c r="H278" s="131"/>
      <c r="I278" s="131"/>
      <c r="J278" s="149">
        <f>0.13*G277*((164000)/100)</f>
        <v>0</v>
      </c>
      <c r="K278" s="141"/>
    </row>
    <row r="279" spans="1:19" ht="15" hidden="1" customHeight="1" x14ac:dyDescent="0.25">
      <c r="A279" s="136"/>
      <c r="B279" s="133"/>
      <c r="C279" s="137"/>
      <c r="D279" s="131"/>
      <c r="E279" s="131"/>
      <c r="F279" s="131"/>
      <c r="G279" s="131"/>
      <c r="H279" s="131"/>
      <c r="I279" s="131"/>
      <c r="J279" s="149"/>
      <c r="K279" s="141"/>
    </row>
    <row r="280" spans="1:19" ht="30" hidden="1" x14ac:dyDescent="0.25">
      <c r="A280" s="136">
        <v>34</v>
      </c>
      <c r="B280" s="156" t="s">
        <v>109</v>
      </c>
      <c r="C280" s="137"/>
      <c r="D280" s="131"/>
      <c r="E280" s="131"/>
      <c r="F280" s="131"/>
      <c r="G280" s="131"/>
      <c r="H280" s="131"/>
      <c r="I280" s="131"/>
      <c r="J280" s="149"/>
      <c r="K280" s="141"/>
    </row>
    <row r="281" spans="1:19" hidden="1" x14ac:dyDescent="0.25">
      <c r="A281" s="136"/>
      <c r="B281" s="133" t="s">
        <v>110</v>
      </c>
      <c r="C281" s="137">
        <f>0*4</f>
        <v>0</v>
      </c>
      <c r="D281" s="131"/>
      <c r="E281" s="131"/>
      <c r="F281" s="131"/>
      <c r="G281" s="131">
        <f t="shared" ref="G281" si="35">PRODUCT(C281:F281)</f>
        <v>0</v>
      </c>
      <c r="H281" s="131"/>
      <c r="I281" s="131"/>
      <c r="J281" s="149"/>
      <c r="K281" s="141"/>
    </row>
    <row r="282" spans="1:19" ht="15" hidden="1" customHeight="1" x14ac:dyDescent="0.25">
      <c r="A282" s="136"/>
      <c r="B282" s="133" t="s">
        <v>25</v>
      </c>
      <c r="C282" s="137"/>
      <c r="D282" s="131"/>
      <c r="E282" s="131"/>
      <c r="F282" s="131"/>
      <c r="G282" s="138">
        <f>SUM(G281)</f>
        <v>0</v>
      </c>
      <c r="H282" s="138" t="s">
        <v>94</v>
      </c>
      <c r="I282" s="139">
        <v>279</v>
      </c>
      <c r="J282" s="140">
        <f>G282*I282</f>
        <v>0</v>
      </c>
      <c r="K282" s="141"/>
    </row>
    <row r="283" spans="1:19" ht="15" hidden="1" customHeight="1" x14ac:dyDescent="0.25">
      <c r="A283" s="136"/>
      <c r="B283" s="133" t="s">
        <v>89</v>
      </c>
      <c r="C283" s="137"/>
      <c r="D283" s="131"/>
      <c r="E283" s="131"/>
      <c r="F283" s="131"/>
      <c r="G283" s="131"/>
      <c r="H283" s="131"/>
      <c r="I283" s="131"/>
      <c r="J283" s="149">
        <f>0.13*J282</f>
        <v>0</v>
      </c>
      <c r="K283" s="141"/>
    </row>
    <row r="284" spans="1:19" hidden="1" x14ac:dyDescent="0.25">
      <c r="A284" s="136"/>
      <c r="B284" s="135"/>
      <c r="C284" s="137"/>
      <c r="D284" s="131"/>
      <c r="E284" s="131"/>
      <c r="F284" s="131"/>
      <c r="G284" s="131"/>
      <c r="H284" s="131"/>
      <c r="I284" s="131"/>
      <c r="J284" s="149"/>
      <c r="K284" s="141"/>
    </row>
    <row r="285" spans="1:19" s="1" customFormat="1" ht="60" hidden="1" x14ac:dyDescent="0.25">
      <c r="A285" s="136">
        <v>35</v>
      </c>
      <c r="B285" s="157" t="s">
        <v>111</v>
      </c>
      <c r="C285" s="143">
        <f>0*3</f>
        <v>0</v>
      </c>
      <c r="D285" s="144">
        <v>3.5</v>
      </c>
      <c r="E285" s="144"/>
      <c r="F285" s="144"/>
      <c r="G285" s="144">
        <f>PRODUCT(C285:F285)</f>
        <v>0</v>
      </c>
      <c r="H285" s="136"/>
      <c r="I285" s="136"/>
      <c r="J285" s="136"/>
      <c r="K285" s="145"/>
    </row>
    <row r="286" spans="1:19" ht="15" hidden="1" customHeight="1" x14ac:dyDescent="0.25">
      <c r="A286" s="136"/>
      <c r="B286" s="133" t="s">
        <v>25</v>
      </c>
      <c r="C286" s="137"/>
      <c r="D286" s="131"/>
      <c r="E286" s="131"/>
      <c r="F286" s="131"/>
      <c r="G286" s="138">
        <f>SUM(G285:G285)</f>
        <v>0</v>
      </c>
      <c r="H286" s="138" t="s">
        <v>112</v>
      </c>
      <c r="I286" s="138">
        <v>3914.14</v>
      </c>
      <c r="J286" s="140">
        <f>G285*I286</f>
        <v>0</v>
      </c>
      <c r="K286" s="141"/>
    </row>
    <row r="287" spans="1:19" ht="15" hidden="1" customHeight="1" x14ac:dyDescent="0.25">
      <c r="A287" s="136"/>
      <c r="B287" s="133" t="s">
        <v>89</v>
      </c>
      <c r="C287" s="137"/>
      <c r="D287" s="131"/>
      <c r="E287" s="131"/>
      <c r="F287" s="131"/>
      <c r="G287" s="131"/>
      <c r="H287" s="131"/>
      <c r="I287" s="131"/>
      <c r="J287" s="149">
        <f>0.13*G286*5918/5</f>
        <v>0</v>
      </c>
      <c r="K287" s="141"/>
      <c r="M287" s="58"/>
    </row>
    <row r="288" spans="1:19" ht="15" hidden="1" customHeight="1" x14ac:dyDescent="0.25">
      <c r="A288" s="136"/>
      <c r="B288" s="133"/>
      <c r="C288" s="137"/>
      <c r="D288" s="131"/>
      <c r="E288" s="131"/>
      <c r="F288" s="131"/>
      <c r="G288" s="131"/>
      <c r="H288" s="131"/>
      <c r="I288" s="131"/>
      <c r="J288" s="149"/>
      <c r="K288" s="141"/>
    </row>
    <row r="289" spans="1:14" s="1" customFormat="1" ht="30" x14ac:dyDescent="0.25">
      <c r="A289" s="12">
        <v>8</v>
      </c>
      <c r="B289" s="155" t="s">
        <v>113</v>
      </c>
      <c r="C289" s="143">
        <f>0*1</f>
        <v>0</v>
      </c>
      <c r="D289" s="144"/>
      <c r="E289" s="144"/>
      <c r="F289" s="144"/>
      <c r="G289" s="148">
        <f>PRODUCT(C289:F289)</f>
        <v>0</v>
      </c>
      <c r="H289" s="148" t="s">
        <v>114</v>
      </c>
      <c r="I289" s="148">
        <v>36000</v>
      </c>
      <c r="J289" s="149">
        <f>G289*I289</f>
        <v>0</v>
      </c>
      <c r="K289" s="145"/>
    </row>
    <row r="290" spans="1:14" ht="15" customHeight="1" x14ac:dyDescent="0.25">
      <c r="A290" s="136"/>
      <c r="B290" s="150"/>
      <c r="C290" s="137"/>
      <c r="D290" s="131"/>
      <c r="E290" s="131"/>
      <c r="F290" s="131"/>
      <c r="G290" s="131"/>
      <c r="H290" s="131"/>
      <c r="I290" s="131"/>
      <c r="J290" s="149"/>
      <c r="K290" s="141"/>
    </row>
    <row r="291" spans="1:14" ht="15" customHeight="1" x14ac:dyDescent="0.25">
      <c r="A291" s="12">
        <v>9</v>
      </c>
      <c r="B291" s="62" t="s">
        <v>115</v>
      </c>
      <c r="C291" s="14">
        <v>1</v>
      </c>
      <c r="D291" s="15"/>
      <c r="E291" s="16"/>
      <c r="F291" s="16"/>
      <c r="G291" s="148">
        <f t="shared" ref="G291" si="36">PRODUCT(C291:F291)</f>
        <v>1</v>
      </c>
      <c r="H291" s="18" t="s">
        <v>94</v>
      </c>
      <c r="I291" s="19">
        <v>1000</v>
      </c>
      <c r="J291" s="148">
        <f>G291*I291</f>
        <v>1000</v>
      </c>
      <c r="K291" s="16"/>
      <c r="M291" s="21"/>
      <c r="N291" s="21"/>
    </row>
    <row r="292" spans="1:14" ht="15" customHeight="1" x14ac:dyDescent="0.25">
      <c r="A292" s="12"/>
      <c r="B292" s="60"/>
      <c r="C292" s="14"/>
      <c r="D292" s="15"/>
      <c r="E292" s="16"/>
      <c r="F292" s="16"/>
      <c r="G292" s="19"/>
      <c r="H292" s="18"/>
      <c r="I292" s="19"/>
      <c r="J292" s="132"/>
      <c r="K292" s="16"/>
      <c r="M292" s="21"/>
      <c r="N292" s="21"/>
    </row>
    <row r="293" spans="1:14" x14ac:dyDescent="0.25">
      <c r="A293" s="136"/>
      <c r="B293" s="158" t="s">
        <v>116</v>
      </c>
      <c r="C293" s="159"/>
      <c r="D293" s="160"/>
      <c r="E293" s="160"/>
      <c r="F293" s="160"/>
      <c r="G293" s="132"/>
      <c r="H293" s="132"/>
      <c r="I293" s="132"/>
      <c r="J293" s="132">
        <f>SUM(J14:J291)</f>
        <v>1090255.627394822</v>
      </c>
      <c r="K293" s="141"/>
    </row>
    <row r="294" spans="1:14" x14ac:dyDescent="0.25">
      <c r="A294" s="108"/>
      <c r="B294" s="109"/>
      <c r="C294" s="109"/>
      <c r="D294" s="109"/>
      <c r="E294" s="109"/>
      <c r="F294" s="109"/>
      <c r="G294" s="110"/>
      <c r="H294" s="110"/>
      <c r="I294" s="110"/>
      <c r="J294" s="110"/>
      <c r="K294" s="109"/>
    </row>
    <row r="295" spans="1:14" s="1" customFormat="1" x14ac:dyDescent="0.25">
      <c r="A295" s="111"/>
      <c r="B295" s="145" t="s">
        <v>162</v>
      </c>
      <c r="C295" s="186">
        <f>J293</f>
        <v>1090255.627394822</v>
      </c>
      <c r="D295" s="186"/>
      <c r="E295" s="144">
        <v>100</v>
      </c>
      <c r="F295" s="112"/>
      <c r="G295" s="113"/>
      <c r="H295" s="112"/>
      <c r="I295" s="114"/>
      <c r="J295" s="115"/>
      <c r="K295" s="116"/>
    </row>
    <row r="296" spans="1:14" x14ac:dyDescent="0.25">
      <c r="A296" s="108"/>
      <c r="B296" s="145" t="s">
        <v>118</v>
      </c>
      <c r="C296" s="187">
        <v>1000000</v>
      </c>
      <c r="D296" s="187"/>
      <c r="E296" s="144"/>
      <c r="F296" s="109"/>
      <c r="G296" s="110"/>
      <c r="H296" s="110"/>
      <c r="I296" s="110"/>
      <c r="J296" s="110"/>
      <c r="K296" s="109"/>
    </row>
    <row r="297" spans="1:14" x14ac:dyDescent="0.25">
      <c r="A297" s="108"/>
      <c r="B297" s="145" t="s">
        <v>119</v>
      </c>
      <c r="C297" s="187">
        <f>84.6%*'valuated roof only'!C295:D295</f>
        <v>922356.26077601931</v>
      </c>
      <c r="D297" s="187"/>
      <c r="E297" s="144">
        <f>C297/C295*100</f>
        <v>84.6</v>
      </c>
      <c r="F297" s="109"/>
      <c r="G297" s="110"/>
      <c r="H297" s="110"/>
      <c r="I297" s="110"/>
      <c r="K297" s="109"/>
    </row>
    <row r="298" spans="1:14" x14ac:dyDescent="0.25">
      <c r="A298" s="108"/>
      <c r="B298" s="145" t="s">
        <v>120</v>
      </c>
      <c r="C298" s="186">
        <f>C295-C297</f>
        <v>167899.36661880265</v>
      </c>
      <c r="D298" s="186"/>
      <c r="E298" s="144">
        <f>100-E297</f>
        <v>15.400000000000006</v>
      </c>
      <c r="F298" s="109"/>
      <c r="G298" s="110"/>
      <c r="H298" s="110"/>
      <c r="I298" s="110"/>
      <c r="J298" s="110"/>
      <c r="K298" s="109"/>
    </row>
    <row r="299" spans="1:14" x14ac:dyDescent="0.25">
      <c r="A299" s="108"/>
      <c r="B299" s="145" t="s">
        <v>121</v>
      </c>
      <c r="C299" s="186">
        <f>C296*0.03</f>
        <v>30000</v>
      </c>
      <c r="D299" s="186"/>
      <c r="E299" s="144">
        <v>3</v>
      </c>
      <c r="F299" s="109"/>
      <c r="G299" s="110"/>
      <c r="H299" s="110"/>
      <c r="I299" s="110"/>
      <c r="J299" s="110"/>
      <c r="K299" s="109"/>
    </row>
    <row r="300" spans="1:14" x14ac:dyDescent="0.25">
      <c r="A300" s="108"/>
      <c r="B300" s="145" t="s">
        <v>122</v>
      </c>
      <c r="C300" s="186">
        <f>C296*0.02</f>
        <v>20000</v>
      </c>
      <c r="D300" s="186"/>
      <c r="E300" s="144">
        <v>2</v>
      </c>
      <c r="F300" s="109"/>
      <c r="G300" s="110"/>
      <c r="H300" s="110"/>
      <c r="I300" s="110"/>
      <c r="J300" s="110"/>
      <c r="K300" s="109"/>
    </row>
    <row r="304" spans="1:14" x14ac:dyDescent="0.25">
      <c r="J304" s="110">
        <f>J293*2</f>
        <v>2180511.2547896439</v>
      </c>
    </row>
  </sheetData>
  <mergeCells count="15">
    <mergeCell ref="C299:D299"/>
    <mergeCell ref="C300:D300"/>
    <mergeCell ref="A7:F7"/>
    <mergeCell ref="H7:K7"/>
    <mergeCell ref="C295:D295"/>
    <mergeCell ref="C296:D296"/>
    <mergeCell ref="C297:D297"/>
    <mergeCell ref="C298:D298"/>
    <mergeCell ref="A6:F6"/>
    <mergeCell ref="H6:K6"/>
    <mergeCell ref="A1:K1"/>
    <mergeCell ref="A2:K2"/>
    <mergeCell ref="A3:K3"/>
    <mergeCell ref="A4:K4"/>
    <mergeCell ref="A5:K5"/>
  </mergeCells>
  <printOptions horizontalCentered="1"/>
  <pageMargins left="0.7" right="0.7" top="0.75" bottom="0.75" header="0.3" footer="0.3"/>
  <pageSetup paperSize="9" scale="78" orientation="portrait" horizontalDpi="300" verticalDpi="300" r:id="rId1"/>
  <headerFooter>
    <oddFooter>&amp;LPrepared By:
Kristal Suwal&amp;CChecked By:
Er. Milan Phuyal&amp;RApproved By:
Er. Prakash Singh Saud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99"/>
  <sheetViews>
    <sheetView view="pageBreakPreview" topLeftCell="A216" zoomScaleNormal="100" zoomScaleSheetLayoutView="100" workbookViewId="0">
      <selection activeCell="E262" sqref="E262"/>
    </sheetView>
  </sheetViews>
  <sheetFormatPr defaultRowHeight="15" x14ac:dyDescent="0.25"/>
  <cols>
    <col min="1" max="1" width="4.42578125" style="71" customWidth="1"/>
    <col min="2" max="2" width="36.140625" customWidth="1"/>
    <col min="3" max="3" width="5.5703125" bestFit="1" customWidth="1"/>
    <col min="4" max="4" width="9.28515625" customWidth="1"/>
    <col min="5" max="5" width="7.85546875" customWidth="1"/>
    <col min="6" max="6" width="8.28515625" customWidth="1"/>
    <col min="7" max="7" width="8.5703125" style="72" customWidth="1"/>
    <col min="8" max="8" width="5.28515625" style="72" bestFit="1" customWidth="1"/>
    <col min="9" max="9" width="10.42578125" style="72" hidden="1" customWidth="1"/>
    <col min="10" max="10" width="10.5703125" style="72" hidden="1" customWidth="1"/>
    <col min="11" max="11" width="8.85546875" customWidth="1"/>
    <col min="13" max="14" width="9.5703125" bestFit="1" customWidth="1"/>
  </cols>
  <sheetData>
    <row r="1" spans="1:14" s="1" customFormat="1" x14ac:dyDescent="0.25">
      <c r="A1" s="177" t="s">
        <v>0</v>
      </c>
      <c r="B1" s="177"/>
      <c r="C1" s="177"/>
      <c r="D1" s="177"/>
      <c r="E1" s="177"/>
      <c r="F1" s="177"/>
      <c r="G1" s="177"/>
      <c r="H1" s="177"/>
      <c r="I1" s="177"/>
      <c r="J1" s="177"/>
      <c r="K1" s="177"/>
    </row>
    <row r="2" spans="1:14" s="1" customFormat="1" ht="22.5" x14ac:dyDescent="0.25">
      <c r="A2" s="178" t="s">
        <v>1</v>
      </c>
      <c r="B2" s="178"/>
      <c r="C2" s="178"/>
      <c r="D2" s="178"/>
      <c r="E2" s="178"/>
      <c r="F2" s="178"/>
      <c r="G2" s="178"/>
      <c r="H2" s="178"/>
      <c r="I2" s="178"/>
      <c r="J2" s="178"/>
      <c r="K2" s="178"/>
    </row>
    <row r="3" spans="1:14" s="1" customFormat="1" x14ac:dyDescent="0.25">
      <c r="A3" s="179" t="s">
        <v>2</v>
      </c>
      <c r="B3" s="179"/>
      <c r="C3" s="179"/>
      <c r="D3" s="179"/>
      <c r="E3" s="179"/>
      <c r="F3" s="179"/>
      <c r="G3" s="179"/>
      <c r="H3" s="179"/>
      <c r="I3" s="179"/>
      <c r="J3" s="179"/>
      <c r="K3" s="179"/>
    </row>
    <row r="4" spans="1:14" s="1" customFormat="1" x14ac:dyDescent="0.25">
      <c r="A4" s="179" t="s">
        <v>3</v>
      </c>
      <c r="B4" s="179"/>
      <c r="C4" s="179"/>
      <c r="D4" s="179"/>
      <c r="E4" s="179"/>
      <c r="F4" s="179"/>
      <c r="G4" s="179"/>
      <c r="H4" s="179"/>
      <c r="I4" s="179"/>
      <c r="J4" s="179"/>
      <c r="K4" s="179"/>
    </row>
    <row r="5" spans="1:14" ht="18.75" x14ac:dyDescent="0.3">
      <c r="A5" s="180" t="s">
        <v>163</v>
      </c>
      <c r="B5" s="180"/>
      <c r="C5" s="180"/>
      <c r="D5" s="180"/>
      <c r="E5" s="180"/>
      <c r="F5" s="180"/>
      <c r="G5" s="180"/>
      <c r="H5" s="180"/>
      <c r="I5" s="180"/>
      <c r="J5" s="180"/>
      <c r="K5" s="180"/>
    </row>
    <row r="6" spans="1:14" ht="15.75" x14ac:dyDescent="0.25">
      <c r="A6" s="176" t="s">
        <v>5</v>
      </c>
      <c r="B6" s="176"/>
      <c r="C6" s="176"/>
      <c r="D6" s="176"/>
      <c r="E6" s="176"/>
      <c r="F6" s="176"/>
      <c r="G6" s="2"/>
      <c r="H6" s="199" t="s">
        <v>164</v>
      </c>
      <c r="I6" s="199"/>
      <c r="J6" s="199"/>
      <c r="K6" s="199"/>
    </row>
    <row r="7" spans="1:14" ht="15.75" x14ac:dyDescent="0.25">
      <c r="A7" s="171" t="s">
        <v>7</v>
      </c>
      <c r="B7" s="171"/>
      <c r="C7" s="171"/>
      <c r="D7" s="171"/>
      <c r="E7" s="171"/>
      <c r="F7" s="171"/>
      <c r="G7" s="3"/>
      <c r="H7" s="199" t="s">
        <v>8</v>
      </c>
      <c r="I7" s="199"/>
      <c r="J7" s="199"/>
      <c r="K7" s="199"/>
    </row>
    <row r="8" spans="1:14" s="123" customFormat="1" ht="15" customHeight="1" x14ac:dyDescent="0.25">
      <c r="A8" s="124" t="s">
        <v>9</v>
      </c>
      <c r="B8" s="125" t="s">
        <v>10</v>
      </c>
      <c r="C8" s="126" t="s">
        <v>11</v>
      </c>
      <c r="D8" s="127" t="s">
        <v>12</v>
      </c>
      <c r="E8" s="127" t="s">
        <v>13</v>
      </c>
      <c r="F8" s="127" t="s">
        <v>14</v>
      </c>
      <c r="G8" s="127" t="s">
        <v>15</v>
      </c>
      <c r="H8" s="126" t="s">
        <v>16</v>
      </c>
      <c r="I8" s="127" t="s">
        <v>17</v>
      </c>
      <c r="J8" s="127" t="s">
        <v>18</v>
      </c>
      <c r="K8" s="128" t="s">
        <v>19</v>
      </c>
    </row>
    <row r="9" spans="1:14" ht="30.75" hidden="1" x14ac:dyDescent="0.25">
      <c r="A9" s="129">
        <v>1</v>
      </c>
      <c r="B9" s="130" t="s">
        <v>20</v>
      </c>
      <c r="C9" s="126"/>
      <c r="D9" s="127"/>
      <c r="E9" s="127"/>
      <c r="F9" s="127"/>
      <c r="G9" s="127"/>
      <c r="H9" s="126"/>
      <c r="I9" s="127"/>
      <c r="J9" s="127"/>
      <c r="K9" s="128"/>
    </row>
    <row r="10" spans="1:14" ht="15" hidden="1" customHeight="1" x14ac:dyDescent="0.25">
      <c r="A10" s="12"/>
      <c r="B10" s="13" t="s">
        <v>21</v>
      </c>
      <c r="C10" s="14">
        <v>1</v>
      </c>
      <c r="D10" s="15"/>
      <c r="E10" s="16">
        <f>10.75/3.281</f>
        <v>3.2764401097226452</v>
      </c>
      <c r="F10" s="16">
        <f>(9.42+7.75)/3.281</f>
        <v>5.233160621761658</v>
      </c>
      <c r="G10" s="131">
        <f t="shared" ref="G10:G13" si="0">PRODUCT(C10:F10)</f>
        <v>17.146137361760992</v>
      </c>
      <c r="H10" s="18"/>
      <c r="I10" s="19"/>
      <c r="J10" s="132"/>
      <c r="K10" s="16"/>
      <c r="M10" s="21"/>
      <c r="N10" s="21"/>
    </row>
    <row r="11" spans="1:14" ht="15" hidden="1" customHeight="1" x14ac:dyDescent="0.25">
      <c r="A11" s="12"/>
      <c r="B11" s="13" t="s">
        <v>22</v>
      </c>
      <c r="C11" s="14">
        <v>-1</v>
      </c>
      <c r="D11" s="15">
        <f>3.5/3.281</f>
        <v>1.0667479427003961</v>
      </c>
      <c r="E11" s="16"/>
      <c r="F11" s="16">
        <v>1.5</v>
      </c>
      <c r="G11" s="131">
        <f t="shared" si="0"/>
        <v>-1.600121914050594</v>
      </c>
      <c r="H11" s="18"/>
      <c r="I11" s="19"/>
      <c r="J11" s="132"/>
      <c r="K11" s="16"/>
      <c r="M11" s="21"/>
      <c r="N11" s="21"/>
    </row>
    <row r="12" spans="1:14" ht="15" hidden="1" customHeight="1" x14ac:dyDescent="0.25">
      <c r="A12" s="12"/>
      <c r="B12" s="13" t="s">
        <v>23</v>
      </c>
      <c r="C12" s="14">
        <v>-1</v>
      </c>
      <c r="D12" s="15">
        <f>3.833/3.281</f>
        <v>1.1682413898201769</v>
      </c>
      <c r="E12" s="16"/>
      <c r="F12" s="16">
        <f>7.75/3.281</f>
        <v>2.3620847302651629</v>
      </c>
      <c r="G12" s="131">
        <f t="shared" si="0"/>
        <v>-2.7594851481579914</v>
      </c>
      <c r="H12" s="18"/>
      <c r="I12" s="19"/>
      <c r="J12" s="132"/>
      <c r="K12" s="16"/>
      <c r="M12" s="21"/>
      <c r="N12" s="21"/>
    </row>
    <row r="13" spans="1:14" ht="15" hidden="1" customHeight="1" x14ac:dyDescent="0.25">
      <c r="A13" s="12"/>
      <c r="B13" s="13" t="s">
        <v>24</v>
      </c>
      <c r="C13" s="14">
        <v>1</v>
      </c>
      <c r="D13" s="15"/>
      <c r="E13" s="16">
        <f>(5.75)/3.281</f>
        <v>1.752514477293508</v>
      </c>
      <c r="F13" s="16">
        <f>(9.42+7.75)/3.281</f>
        <v>5.233160621761658</v>
      </c>
      <c r="G13" s="131">
        <f t="shared" si="0"/>
        <v>9.1711897516396004</v>
      </c>
      <c r="H13" s="18"/>
      <c r="I13" s="19"/>
      <c r="J13" s="132"/>
      <c r="K13" s="16"/>
      <c r="M13" s="21"/>
      <c r="N13" s="21"/>
    </row>
    <row r="14" spans="1:14" ht="15" hidden="1" customHeight="1" x14ac:dyDescent="0.25">
      <c r="A14" s="12"/>
      <c r="B14" s="133" t="s">
        <v>25</v>
      </c>
      <c r="C14" s="14"/>
      <c r="D14" s="15"/>
      <c r="E14" s="16"/>
      <c r="F14" s="16"/>
      <c r="G14" s="19">
        <f>0*SUM(G10:G13)</f>
        <v>0</v>
      </c>
      <c r="H14" s="18" t="s">
        <v>26</v>
      </c>
      <c r="I14" s="19">
        <f>97.2</f>
        <v>97.2</v>
      </c>
      <c r="J14" s="132">
        <f>G14*I14</f>
        <v>0</v>
      </c>
      <c r="K14" s="16"/>
      <c r="M14" s="21"/>
      <c r="N14" s="21"/>
    </row>
    <row r="15" spans="1:14" ht="15" hidden="1" customHeight="1" x14ac:dyDescent="0.25">
      <c r="A15" s="12"/>
      <c r="B15" s="133"/>
      <c r="C15" s="14"/>
      <c r="D15" s="15"/>
      <c r="E15" s="16"/>
      <c r="F15" s="16"/>
      <c r="G15" s="19"/>
      <c r="H15" s="18"/>
      <c r="I15" s="19"/>
      <c r="J15" s="132"/>
      <c r="K15" s="16"/>
      <c r="M15" s="21"/>
      <c r="N15" s="21"/>
    </row>
    <row r="16" spans="1:14" ht="32.25" customHeight="1" x14ac:dyDescent="0.25">
      <c r="A16" s="12">
        <v>1</v>
      </c>
      <c r="B16" s="130" t="s">
        <v>27</v>
      </c>
      <c r="C16" s="14"/>
      <c r="D16" s="15"/>
      <c r="E16" s="16"/>
      <c r="F16" s="16"/>
      <c r="G16" s="19"/>
      <c r="H16" s="18"/>
      <c r="I16" s="19"/>
      <c r="J16" s="132"/>
      <c r="K16" s="16"/>
      <c r="M16" s="21"/>
      <c r="N16" s="21"/>
    </row>
    <row r="17" spans="1:14" ht="15" customHeight="1" x14ac:dyDescent="0.25">
      <c r="A17" s="12"/>
      <c r="B17" s="133" t="s">
        <v>28</v>
      </c>
      <c r="C17" s="14">
        <f>4</f>
        <v>4</v>
      </c>
      <c r="D17" s="15">
        <f>4.5/3.281</f>
        <v>1.3715330691862238</v>
      </c>
      <c r="E17" s="15">
        <f>4.5/3.281</f>
        <v>1.3715330691862238</v>
      </c>
      <c r="F17" s="16">
        <v>0.115</v>
      </c>
      <c r="G17" s="131">
        <f t="shared" ref="G17:G19" si="1">PRODUCT(C17:F17)</f>
        <v>0.86530736154083621</v>
      </c>
      <c r="H17" s="18"/>
      <c r="I17" s="19"/>
      <c r="J17" s="132"/>
      <c r="K17" s="16"/>
      <c r="M17" s="21"/>
      <c r="N17" s="21"/>
    </row>
    <row r="18" spans="1:14" ht="15" customHeight="1" x14ac:dyDescent="0.25">
      <c r="A18" s="12"/>
      <c r="B18" s="133"/>
      <c r="C18" s="14">
        <f>0.5*4</f>
        <v>2</v>
      </c>
      <c r="D18" s="15">
        <f>11/3.281</f>
        <v>3.3526363913441024</v>
      </c>
      <c r="E18" s="15">
        <v>0.23</v>
      </c>
      <c r="F18" s="16">
        <f>2.25/3.281</f>
        <v>0.68576653459311188</v>
      </c>
      <c r="G18" s="131">
        <f t="shared" si="1"/>
        <v>1.0575978863276887</v>
      </c>
      <c r="H18" s="18"/>
      <c r="I18" s="19"/>
      <c r="J18" s="132"/>
      <c r="K18" s="16"/>
      <c r="M18" s="21"/>
      <c r="N18" s="21"/>
    </row>
    <row r="19" spans="1:14" ht="15" customHeight="1" x14ac:dyDescent="0.25">
      <c r="A19" s="12"/>
      <c r="B19" s="133"/>
      <c r="C19" s="14">
        <v>8</v>
      </c>
      <c r="D19" s="15">
        <f>5/12/3.281</f>
        <v>0.12699380270242813</v>
      </c>
      <c r="E19" s="15">
        <v>0.23</v>
      </c>
      <c r="F19" s="16">
        <v>0.23</v>
      </c>
      <c r="G19" s="131">
        <f t="shared" si="1"/>
        <v>5.3743777303667591E-2</v>
      </c>
      <c r="H19" s="18"/>
      <c r="I19" s="19"/>
      <c r="J19" s="132"/>
      <c r="K19" s="16"/>
      <c r="M19" s="21"/>
      <c r="N19" s="21"/>
    </row>
    <row r="20" spans="1:14" ht="15" hidden="1" customHeight="1" x14ac:dyDescent="0.25">
      <c r="A20" s="12"/>
      <c r="B20" s="13" t="s">
        <v>29</v>
      </c>
      <c r="C20" s="14">
        <f>0*2</f>
        <v>0</v>
      </c>
      <c r="D20" s="15">
        <f>0.833/3.281</f>
        <v>0.25388601036269426</v>
      </c>
      <c r="E20" s="15">
        <f>0.833/3.281</f>
        <v>0.25388601036269426</v>
      </c>
      <c r="F20" s="16">
        <f>6.25/3.281</f>
        <v>1.9049070405364217</v>
      </c>
      <c r="G20" s="131">
        <f>PRODUCT(C20:F20)</f>
        <v>0</v>
      </c>
      <c r="H20" s="18"/>
      <c r="I20" s="19"/>
      <c r="J20" s="132"/>
      <c r="K20" s="16"/>
      <c r="M20" s="21"/>
      <c r="N20" s="21"/>
    </row>
    <row r="21" spans="1:14" ht="15" hidden="1" customHeight="1" x14ac:dyDescent="0.25">
      <c r="A21" s="12"/>
      <c r="B21" s="13"/>
      <c r="C21" s="14">
        <f>0*1</f>
        <v>0</v>
      </c>
      <c r="D21" s="15">
        <f>0.833/3.281</f>
        <v>0.25388601036269426</v>
      </c>
      <c r="E21" s="15">
        <f>0.833/3.281</f>
        <v>0.25388601036269426</v>
      </c>
      <c r="F21" s="15">
        <f>0.833/3.281</f>
        <v>0.25388601036269426</v>
      </c>
      <c r="G21" s="131">
        <f>PRODUCT(C21:F21)</f>
        <v>0</v>
      </c>
      <c r="H21" s="18"/>
      <c r="I21" s="19"/>
      <c r="J21" s="132"/>
      <c r="K21" s="16"/>
      <c r="M21" s="21"/>
      <c r="N21" s="21"/>
    </row>
    <row r="22" spans="1:14" ht="15" customHeight="1" x14ac:dyDescent="0.25">
      <c r="A22" s="12"/>
      <c r="B22" s="133" t="s">
        <v>25</v>
      </c>
      <c r="C22" s="14"/>
      <c r="D22" s="15"/>
      <c r="E22" s="16"/>
      <c r="F22" s="16"/>
      <c r="G22" s="19">
        <f>SUM(G17:G21)</f>
        <v>1.9766490251721924</v>
      </c>
      <c r="H22" s="18" t="s">
        <v>30</v>
      </c>
      <c r="I22" s="19">
        <f>1908</f>
        <v>1908</v>
      </c>
      <c r="J22" s="132">
        <f>G22*I22</f>
        <v>3771.4463400285431</v>
      </c>
      <c r="K22" s="16"/>
      <c r="M22" s="21"/>
      <c r="N22" s="21"/>
    </row>
    <row r="23" spans="1:14" ht="15" customHeight="1" x14ac:dyDescent="0.25">
      <c r="A23" s="12"/>
      <c r="B23" s="133"/>
      <c r="C23" s="14"/>
      <c r="D23" s="15"/>
      <c r="E23" s="16"/>
      <c r="F23" s="16"/>
      <c r="G23" s="19"/>
      <c r="H23" s="18"/>
      <c r="I23" s="19"/>
      <c r="J23" s="132"/>
      <c r="K23" s="16"/>
      <c r="M23" s="21"/>
      <c r="N23" s="21"/>
    </row>
    <row r="24" spans="1:14" ht="31.5" x14ac:dyDescent="0.25">
      <c r="A24" s="12">
        <v>2</v>
      </c>
      <c r="B24" s="134" t="s">
        <v>31</v>
      </c>
      <c r="C24" s="14"/>
      <c r="D24" s="15"/>
      <c r="E24" s="16"/>
      <c r="F24" s="16"/>
      <c r="G24" s="19"/>
      <c r="H24" s="18"/>
      <c r="I24" s="19"/>
      <c r="J24" s="132"/>
      <c r="K24" s="16"/>
      <c r="M24" s="21"/>
      <c r="N24" s="21"/>
    </row>
    <row r="25" spans="1:14" ht="15" customHeight="1" x14ac:dyDescent="0.25">
      <c r="A25" s="12"/>
      <c r="B25" s="13" t="s">
        <v>32</v>
      </c>
      <c r="C25" s="14">
        <f>4</f>
        <v>4</v>
      </c>
      <c r="D25" s="15">
        <f>(5.25/2)/3.281</f>
        <v>0.80006095702529711</v>
      </c>
      <c r="E25" s="16">
        <v>7.4999999999999997E-2</v>
      </c>
      <c r="F25" s="16">
        <f>3.75/3.281</f>
        <v>1.1429442243218531</v>
      </c>
      <c r="G25" s="131">
        <f>PRODUCT(C25:F25)</f>
        <v>0.2743275149812433</v>
      </c>
      <c r="H25" s="18"/>
      <c r="I25" s="19"/>
      <c r="J25" s="132"/>
      <c r="K25" s="16"/>
      <c r="M25" s="21"/>
      <c r="N25" s="21"/>
    </row>
    <row r="26" spans="1:14" ht="15" customHeight="1" x14ac:dyDescent="0.25">
      <c r="A26" s="12"/>
      <c r="B26" s="13" t="s">
        <v>33</v>
      </c>
      <c r="C26" s="14">
        <v>1</v>
      </c>
      <c r="D26" s="15">
        <f>(10.75+1.25+3+11.5)/3.281</f>
        <v>8.076805851874429</v>
      </c>
      <c r="E26" s="16">
        <f>10.75/3.281</f>
        <v>3.2764401097226452</v>
      </c>
      <c r="F26" s="16">
        <v>7.4999999999999997E-2</v>
      </c>
      <c r="G26" s="131">
        <f t="shared" ref="G26:G27" si="2">PRODUCT(C26:F26)</f>
        <v>1.9847377988642967</v>
      </c>
      <c r="H26" s="18"/>
      <c r="I26" s="19"/>
      <c r="J26" s="132"/>
      <c r="K26" s="16"/>
      <c r="M26" s="21"/>
      <c r="N26" s="21"/>
    </row>
    <row r="27" spans="1:14" ht="15" customHeight="1" x14ac:dyDescent="0.25">
      <c r="A27" s="12"/>
      <c r="B27" s="13" t="s">
        <v>128</v>
      </c>
      <c r="C27" s="14">
        <v>2</v>
      </c>
      <c r="D27" s="15">
        <f>10.5/3.281</f>
        <v>3.2002438281011885</v>
      </c>
      <c r="E27" s="16">
        <v>0.23</v>
      </c>
      <c r="F27" s="16">
        <v>0.23</v>
      </c>
      <c r="G27" s="131">
        <f t="shared" si="2"/>
        <v>0.33858579701310582</v>
      </c>
      <c r="H27" s="18"/>
      <c r="I27" s="19"/>
      <c r="J27" s="132"/>
      <c r="K27" s="16"/>
      <c r="M27" s="21"/>
      <c r="N27" s="21"/>
    </row>
    <row r="28" spans="1:14" ht="15" customHeight="1" x14ac:dyDescent="0.25">
      <c r="A28" s="12"/>
      <c r="B28" s="133" t="s">
        <v>25</v>
      </c>
      <c r="C28" s="14"/>
      <c r="D28" s="15"/>
      <c r="E28" s="16"/>
      <c r="F28" s="16"/>
      <c r="G28" s="19">
        <f>SUM(G25:G27)</f>
        <v>2.5976511108586458</v>
      </c>
      <c r="H28" s="18" t="s">
        <v>30</v>
      </c>
      <c r="I28" s="19">
        <f>11385/1.15</f>
        <v>9900</v>
      </c>
      <c r="J28" s="132">
        <f>G28*I28</f>
        <v>25716.745997500591</v>
      </c>
      <c r="K28" s="16"/>
      <c r="M28" s="21"/>
      <c r="N28" s="21"/>
    </row>
    <row r="29" spans="1:14" ht="15" customHeight="1" x14ac:dyDescent="0.25">
      <c r="A29" s="129"/>
      <c r="B29" s="125"/>
      <c r="C29" s="126"/>
      <c r="D29" s="127"/>
      <c r="E29" s="127"/>
      <c r="F29" s="127"/>
      <c r="G29" s="127"/>
      <c r="H29" s="126"/>
      <c r="I29" s="127"/>
      <c r="J29" s="127"/>
      <c r="K29" s="128"/>
    </row>
    <row r="30" spans="1:14" ht="30" hidden="1" x14ac:dyDescent="0.25">
      <c r="A30" s="12">
        <v>3</v>
      </c>
      <c r="B30" s="135" t="s">
        <v>34</v>
      </c>
      <c r="C30" s="14"/>
      <c r="D30" s="15"/>
      <c r="E30" s="16"/>
      <c r="F30" s="16"/>
      <c r="G30" s="19"/>
      <c r="H30" s="18"/>
      <c r="I30" s="19"/>
      <c r="J30" s="132"/>
      <c r="K30" s="16"/>
      <c r="M30" s="21"/>
      <c r="N30" s="21"/>
    </row>
    <row r="31" spans="1:14" ht="15" hidden="1" customHeight="1" x14ac:dyDescent="0.25">
      <c r="A31" s="12"/>
      <c r="B31" s="133" t="s">
        <v>35</v>
      </c>
      <c r="C31" s="14">
        <f>0*2</f>
        <v>0</v>
      </c>
      <c r="D31" s="15">
        <f>0.6</f>
        <v>0.6</v>
      </c>
      <c r="E31" s="16">
        <v>0.6</v>
      </c>
      <c r="F31" s="16">
        <v>0.9</v>
      </c>
      <c r="G31" s="131">
        <f>PRODUCT(C31:F31)</f>
        <v>0</v>
      </c>
      <c r="H31" s="18"/>
      <c r="I31" s="19"/>
      <c r="J31" s="132"/>
      <c r="K31" s="16"/>
      <c r="M31" s="21"/>
      <c r="N31" s="21"/>
    </row>
    <row r="32" spans="1:14" ht="15" hidden="1" customHeight="1" x14ac:dyDescent="0.25">
      <c r="A32" s="136"/>
      <c r="B32" s="133" t="s">
        <v>25</v>
      </c>
      <c r="C32" s="137"/>
      <c r="D32" s="131"/>
      <c r="E32" s="131"/>
      <c r="F32" s="131"/>
      <c r="G32" s="138">
        <f>SUM(G31:G31)</f>
        <v>0</v>
      </c>
      <c r="H32" s="138" t="s">
        <v>30</v>
      </c>
      <c r="I32" s="139">
        <f>746.24/1.15</f>
        <v>648.90434782608702</v>
      </c>
      <c r="J32" s="140">
        <f>G32*I32</f>
        <v>0</v>
      </c>
      <c r="K32" s="141"/>
    </row>
    <row r="33" spans="1:11" ht="15" hidden="1" customHeight="1" x14ac:dyDescent="0.25">
      <c r="A33" s="136"/>
      <c r="B33" s="133"/>
      <c r="C33" s="137"/>
      <c r="D33" s="131"/>
      <c r="E33" s="131"/>
      <c r="F33" s="131"/>
      <c r="G33" s="138"/>
      <c r="H33" s="138"/>
      <c r="I33" s="139"/>
      <c r="J33" s="140"/>
      <c r="K33" s="141"/>
    </row>
    <row r="34" spans="1:11" ht="15.75" hidden="1" x14ac:dyDescent="0.25">
      <c r="A34" s="136">
        <v>4</v>
      </c>
      <c r="B34" s="142" t="s">
        <v>36</v>
      </c>
      <c r="C34" s="143"/>
      <c r="D34" s="144"/>
      <c r="E34" s="144"/>
      <c r="F34" s="144"/>
      <c r="G34" s="144"/>
      <c r="H34" s="145"/>
      <c r="I34" s="144"/>
      <c r="J34" s="144"/>
      <c r="K34" s="145"/>
    </row>
    <row r="35" spans="1:11" hidden="1" x14ac:dyDescent="0.25">
      <c r="A35" s="136"/>
      <c r="B35" s="146" t="s">
        <v>37</v>
      </c>
      <c r="C35" s="143">
        <f>0*C31</f>
        <v>0</v>
      </c>
      <c r="D35" s="144">
        <f>D31</f>
        <v>0.6</v>
      </c>
      <c r="E35" s="144">
        <f>E31</f>
        <v>0.6</v>
      </c>
      <c r="F35" s="144"/>
      <c r="G35" s="144">
        <f>PRODUCT(C35:F35)</f>
        <v>0</v>
      </c>
      <c r="H35" s="145"/>
      <c r="I35" s="145"/>
      <c r="J35" s="144"/>
      <c r="K35" s="145"/>
    </row>
    <row r="36" spans="1:11" hidden="1" x14ac:dyDescent="0.25">
      <c r="A36" s="136"/>
      <c r="B36" s="147" t="s">
        <v>25</v>
      </c>
      <c r="C36" s="143"/>
      <c r="D36" s="144"/>
      <c r="E36" s="144"/>
      <c r="F36" s="144"/>
      <c r="G36" s="148">
        <f>SUM(G35)</f>
        <v>0</v>
      </c>
      <c r="H36" s="18" t="s">
        <v>26</v>
      </c>
      <c r="I36" s="18">
        <v>985.37</v>
      </c>
      <c r="J36" s="149">
        <f>G36*I36</f>
        <v>0</v>
      </c>
      <c r="K36" s="145"/>
    </row>
    <row r="37" spans="1:11" hidden="1" x14ac:dyDescent="0.25">
      <c r="A37" s="136"/>
      <c r="B37" s="147" t="s">
        <v>38</v>
      </c>
      <c r="C37" s="143"/>
      <c r="D37" s="144"/>
      <c r="E37" s="144"/>
      <c r="F37" s="144"/>
      <c r="G37" s="144"/>
      <c r="H37" s="18"/>
      <c r="I37" s="144"/>
      <c r="J37" s="149">
        <f>0.13*G36*(8353.81)/10</f>
        <v>0</v>
      </c>
      <c r="K37" s="145"/>
    </row>
    <row r="38" spans="1:11" hidden="1" x14ac:dyDescent="0.25">
      <c r="A38" s="136"/>
      <c r="B38" s="145"/>
      <c r="C38" s="143"/>
      <c r="D38" s="144"/>
      <c r="E38" s="144"/>
      <c r="F38" s="144"/>
      <c r="G38" s="144"/>
      <c r="H38" s="145"/>
      <c r="I38" s="144"/>
      <c r="J38" s="144"/>
      <c r="K38" s="145"/>
    </row>
    <row r="39" spans="1:11" s="1" customFormat="1" ht="30" hidden="1" x14ac:dyDescent="0.25">
      <c r="A39" s="136">
        <v>5</v>
      </c>
      <c r="B39" s="150" t="s">
        <v>39</v>
      </c>
      <c r="C39" s="143"/>
      <c r="D39" s="144"/>
      <c r="E39" s="144"/>
      <c r="F39" s="144"/>
      <c r="G39" s="144"/>
      <c r="H39" s="145"/>
      <c r="I39" s="144"/>
      <c r="J39" s="144"/>
      <c r="K39" s="145"/>
    </row>
    <row r="40" spans="1:11" hidden="1" x14ac:dyDescent="0.25">
      <c r="A40" s="136"/>
      <c r="B40" s="146" t="s">
        <v>37</v>
      </c>
      <c r="C40" s="143">
        <f>0*C35</f>
        <v>0</v>
      </c>
      <c r="D40" s="144">
        <f>D35</f>
        <v>0.6</v>
      </c>
      <c r="E40" s="144">
        <f>E35</f>
        <v>0.6</v>
      </c>
      <c r="F40" s="144">
        <v>0.05</v>
      </c>
      <c r="G40" s="144">
        <f>PRODUCT(C40:F40)</f>
        <v>0</v>
      </c>
      <c r="H40" s="145"/>
      <c r="I40" s="145"/>
      <c r="J40" s="144"/>
      <c r="K40" s="145"/>
    </row>
    <row r="41" spans="1:11" hidden="1" x14ac:dyDescent="0.25">
      <c r="A41" s="136"/>
      <c r="B41" s="147" t="s">
        <v>25</v>
      </c>
      <c r="C41" s="143"/>
      <c r="D41" s="144"/>
      <c r="E41" s="144"/>
      <c r="F41" s="144"/>
      <c r="G41" s="148">
        <f>SUM(G40:G40)</f>
        <v>0</v>
      </c>
      <c r="H41" s="136" t="s">
        <v>30</v>
      </c>
      <c r="I41" s="18">
        <v>13509.07</v>
      </c>
      <c r="J41" s="149">
        <f>G41*I41</f>
        <v>0</v>
      </c>
      <c r="K41" s="145"/>
    </row>
    <row r="42" spans="1:11" hidden="1" x14ac:dyDescent="0.25">
      <c r="A42" s="136"/>
      <c r="B42" s="147" t="s">
        <v>38</v>
      </c>
      <c r="C42" s="143"/>
      <c r="D42" s="144"/>
      <c r="E42" s="144"/>
      <c r="F42" s="144"/>
      <c r="G42" s="144"/>
      <c r="H42" s="145"/>
      <c r="I42" s="144"/>
      <c r="J42" s="149">
        <f>0.13*G41*(8709.07)</f>
        <v>0</v>
      </c>
      <c r="K42" s="145"/>
    </row>
    <row r="43" spans="1:11" hidden="1" x14ac:dyDescent="0.25">
      <c r="A43" s="136"/>
      <c r="B43" s="147"/>
      <c r="C43" s="143"/>
      <c r="D43" s="144"/>
      <c r="E43" s="144"/>
      <c r="F43" s="144"/>
      <c r="G43" s="144"/>
      <c r="H43" s="145"/>
      <c r="I43" s="144"/>
      <c r="J43" s="149"/>
      <c r="K43" s="145"/>
    </row>
    <row r="44" spans="1:11" ht="45" hidden="1" x14ac:dyDescent="0.25">
      <c r="A44" s="12">
        <v>6</v>
      </c>
      <c r="B44" s="150" t="s">
        <v>40</v>
      </c>
      <c r="C44" s="143" t="s">
        <v>11</v>
      </c>
      <c r="D44" s="151" t="s">
        <v>41</v>
      </c>
      <c r="E44" s="151" t="s">
        <v>42</v>
      </c>
      <c r="F44" s="151" t="s">
        <v>43</v>
      </c>
      <c r="G44" s="151" t="s">
        <v>44</v>
      </c>
      <c r="H44" s="136"/>
      <c r="I44" s="148"/>
      <c r="J44" s="148"/>
      <c r="K44" s="16"/>
    </row>
    <row r="45" spans="1:11" ht="15" hidden="1" customHeight="1" x14ac:dyDescent="0.25">
      <c r="A45" s="12"/>
      <c r="B45" s="152" t="s">
        <v>37</v>
      </c>
      <c r="C45" s="14">
        <f>0*2*2*(TRUNC(22/6,0)+1)</f>
        <v>0</v>
      </c>
      <c r="D45" s="144">
        <f>24/12/3.281</f>
        <v>0.6095702529716549</v>
      </c>
      <c r="E45" s="144">
        <f>12*12/162</f>
        <v>0.88888888888888884</v>
      </c>
      <c r="F45" s="144">
        <f t="shared" ref="F45:F49" si="3">PRODUCT(C45:E45)</f>
        <v>0</v>
      </c>
      <c r="G45" s="153">
        <f t="shared" ref="G45:G49" si="4">F45/1000</f>
        <v>0</v>
      </c>
      <c r="H45" s="18"/>
      <c r="I45" s="19"/>
      <c r="J45" s="148"/>
      <c r="K45" s="16"/>
    </row>
    <row r="46" spans="1:11" ht="15" hidden="1" customHeight="1" x14ac:dyDescent="0.25">
      <c r="A46" s="12"/>
      <c r="B46" s="152" t="s">
        <v>45</v>
      </c>
      <c r="C46" s="14">
        <f>0*4*2</f>
        <v>0</v>
      </c>
      <c r="D46" s="144">
        <f>(6.5+0.583)/3.281</f>
        <v>2.1587930508991162</v>
      </c>
      <c r="E46" s="144">
        <f>12*12/162</f>
        <v>0.88888888888888884</v>
      </c>
      <c r="F46" s="144">
        <f t="shared" si="3"/>
        <v>0</v>
      </c>
      <c r="G46" s="153">
        <f t="shared" si="4"/>
        <v>0</v>
      </c>
      <c r="H46" s="18"/>
      <c r="I46" s="19"/>
      <c r="J46" s="148"/>
      <c r="K46" s="16"/>
    </row>
    <row r="47" spans="1:11" ht="15" hidden="1" customHeight="1" x14ac:dyDescent="0.25">
      <c r="A47" s="12"/>
      <c r="B47" s="152" t="s">
        <v>46</v>
      </c>
      <c r="C47" s="14">
        <f>0*TRUNC((6.12/0.5),0)</f>
        <v>0</v>
      </c>
      <c r="D47" s="144">
        <f>(0.33+0.33+0.33+0.33+0.083*2)/3.281</f>
        <v>0.45291069795793965</v>
      </c>
      <c r="E47" s="144">
        <f>8*8/162</f>
        <v>0.39506172839506171</v>
      </c>
      <c r="F47" s="144">
        <f t="shared" si="3"/>
        <v>0</v>
      </c>
      <c r="G47" s="153">
        <f t="shared" si="4"/>
        <v>0</v>
      </c>
      <c r="H47" s="18"/>
      <c r="I47" s="19"/>
      <c r="J47" s="148"/>
      <c r="K47" s="16"/>
    </row>
    <row r="48" spans="1:11" ht="15" hidden="1" customHeight="1" x14ac:dyDescent="0.25">
      <c r="A48" s="12"/>
      <c r="B48" s="152" t="s">
        <v>47</v>
      </c>
      <c r="C48" s="14">
        <f>0*TRUNC(10.75/0.5,0)</f>
        <v>0</v>
      </c>
      <c r="D48" s="144">
        <f>30/3.281</f>
        <v>9.1435537945748244</v>
      </c>
      <c r="E48" s="144">
        <f>8*8/162</f>
        <v>0.39506172839506171</v>
      </c>
      <c r="F48" s="144">
        <f t="shared" si="3"/>
        <v>0</v>
      </c>
      <c r="G48" s="153">
        <f t="shared" si="4"/>
        <v>0</v>
      </c>
      <c r="H48" s="18"/>
      <c r="I48" s="19"/>
      <c r="J48" s="148"/>
      <c r="K48" s="16"/>
    </row>
    <row r="49" spans="1:14" ht="15" hidden="1" customHeight="1" x14ac:dyDescent="0.25">
      <c r="A49" s="12"/>
      <c r="B49" s="152"/>
      <c r="C49" s="14">
        <f>0*TRUNC(30/0.5,0)</f>
        <v>0</v>
      </c>
      <c r="D49" s="144">
        <f>10.75/3.281</f>
        <v>3.2764401097226452</v>
      </c>
      <c r="E49" s="144">
        <f>8*8/162</f>
        <v>0.39506172839506171</v>
      </c>
      <c r="F49" s="144">
        <f t="shared" si="3"/>
        <v>0</v>
      </c>
      <c r="G49" s="153">
        <f t="shared" si="4"/>
        <v>0</v>
      </c>
      <c r="H49" s="18"/>
      <c r="I49" s="19"/>
      <c r="J49" s="148"/>
      <c r="K49" s="16"/>
    </row>
    <row r="50" spans="1:14" ht="15" hidden="1" customHeight="1" x14ac:dyDescent="0.25">
      <c r="A50" s="136"/>
      <c r="B50" s="152" t="s">
        <v>25</v>
      </c>
      <c r="C50" s="143"/>
      <c r="D50" s="144"/>
      <c r="E50" s="144"/>
      <c r="F50" s="144"/>
      <c r="G50" s="148">
        <f>SUM(G45:G49)</f>
        <v>0</v>
      </c>
      <c r="H50" s="148" t="s">
        <v>48</v>
      </c>
      <c r="I50" s="18">
        <v>130210</v>
      </c>
      <c r="J50" s="149">
        <f>G50*I50</f>
        <v>0</v>
      </c>
      <c r="K50" s="145"/>
    </row>
    <row r="51" spans="1:14" ht="15" hidden="1" customHeight="1" x14ac:dyDescent="0.25">
      <c r="A51" s="12"/>
      <c r="B51" s="152" t="s">
        <v>49</v>
      </c>
      <c r="C51" s="14"/>
      <c r="D51" s="15"/>
      <c r="E51" s="16"/>
      <c r="F51" s="16"/>
      <c r="G51" s="19"/>
      <c r="H51" s="18"/>
      <c r="I51" s="19"/>
      <c r="J51" s="148">
        <f>0.13*G50*105010</f>
        <v>0</v>
      </c>
      <c r="K51" s="16"/>
    </row>
    <row r="52" spans="1:14" ht="15" hidden="1" customHeight="1" x14ac:dyDescent="0.25">
      <c r="A52" s="12"/>
      <c r="B52" s="152"/>
      <c r="C52" s="14"/>
      <c r="D52" s="15"/>
      <c r="E52" s="16"/>
      <c r="F52" s="16"/>
      <c r="G52" s="19"/>
      <c r="H52" s="18"/>
      <c r="I52" s="19"/>
      <c r="J52" s="148"/>
      <c r="K52" s="16"/>
    </row>
    <row r="53" spans="1:14" s="1" customFormat="1" ht="30" hidden="1" x14ac:dyDescent="0.25">
      <c r="A53" s="12">
        <v>7</v>
      </c>
      <c r="B53" s="150" t="s">
        <v>50</v>
      </c>
      <c r="C53" s="14"/>
      <c r="D53" s="15"/>
      <c r="E53" s="16"/>
      <c r="F53" s="16"/>
      <c r="G53" s="19"/>
      <c r="H53" s="18"/>
      <c r="I53" s="19"/>
      <c r="J53" s="148"/>
      <c r="K53" s="16"/>
    </row>
    <row r="54" spans="1:14" hidden="1" x14ac:dyDescent="0.25">
      <c r="A54" s="136"/>
      <c r="B54" s="146" t="s">
        <v>45</v>
      </c>
      <c r="C54" s="143">
        <f>0*2</f>
        <v>0</v>
      </c>
      <c r="D54" s="144">
        <v>0.15</v>
      </c>
      <c r="E54" s="144">
        <v>0.15</v>
      </c>
      <c r="F54" s="144">
        <f>6.5/3.281</f>
        <v>1.9811033221578787</v>
      </c>
      <c r="G54" s="144">
        <f>PRODUCT(C54:F54)</f>
        <v>0</v>
      </c>
      <c r="H54" s="145"/>
      <c r="I54" s="145"/>
      <c r="J54" s="144"/>
      <c r="K54" s="145"/>
    </row>
    <row r="55" spans="1:14" hidden="1" x14ac:dyDescent="0.25">
      <c r="A55" s="136"/>
      <c r="B55" s="146" t="s">
        <v>51</v>
      </c>
      <c r="C55" s="143">
        <f>0*2</f>
        <v>0</v>
      </c>
      <c r="D55" s="144">
        <f>15/3.281</f>
        <v>4.5717768972874122</v>
      </c>
      <c r="E55" s="144">
        <f>10.75/3.281</f>
        <v>3.2764401097226452</v>
      </c>
      <c r="F55" s="144">
        <v>0.05</v>
      </c>
      <c r="G55" s="144">
        <f>PRODUCT(C55:F55)</f>
        <v>0</v>
      </c>
      <c r="H55" s="145"/>
      <c r="I55" s="145"/>
      <c r="J55" s="144"/>
      <c r="K55" s="145"/>
    </row>
    <row r="56" spans="1:14" ht="15" hidden="1" customHeight="1" x14ac:dyDescent="0.25">
      <c r="A56" s="136"/>
      <c r="B56" s="152" t="s">
        <v>25</v>
      </c>
      <c r="C56" s="143"/>
      <c r="D56" s="144"/>
      <c r="E56" s="144"/>
      <c r="F56" s="144"/>
      <c r="G56" s="148">
        <f>SUM(G54:G55)</f>
        <v>0</v>
      </c>
      <c r="H56" s="148" t="s">
        <v>30</v>
      </c>
      <c r="I56" s="18">
        <v>14200.82</v>
      </c>
      <c r="J56" s="149">
        <f>G56*I56</f>
        <v>0</v>
      </c>
      <c r="K56" s="145"/>
    </row>
    <row r="57" spans="1:14" ht="15" hidden="1" customHeight="1" x14ac:dyDescent="0.25">
      <c r="A57" s="12"/>
      <c r="B57" s="152" t="s">
        <v>52</v>
      </c>
      <c r="C57" s="14"/>
      <c r="D57" s="15"/>
      <c r="E57" s="16"/>
      <c r="F57" s="16"/>
      <c r="G57" s="19"/>
      <c r="H57" s="18"/>
      <c r="I57" s="19"/>
      <c r="J57" s="148">
        <f>0.13*G56*10250.02</f>
        <v>0</v>
      </c>
      <c r="K57" s="16"/>
    </row>
    <row r="58" spans="1:14" ht="15" hidden="1" customHeight="1" x14ac:dyDescent="0.25">
      <c r="A58" s="12"/>
      <c r="B58" s="152"/>
      <c r="C58" s="14"/>
      <c r="D58" s="15"/>
      <c r="E58" s="16"/>
      <c r="F58" s="16"/>
      <c r="G58" s="19"/>
      <c r="H58" s="18"/>
      <c r="I58" s="19"/>
      <c r="J58" s="148"/>
      <c r="K58" s="16"/>
    </row>
    <row r="59" spans="1:14" ht="30.75" hidden="1" x14ac:dyDescent="0.25">
      <c r="A59" s="136">
        <v>8</v>
      </c>
      <c r="B59" s="130" t="s">
        <v>53</v>
      </c>
      <c r="C59" s="137"/>
      <c r="D59" s="131"/>
      <c r="E59" s="131"/>
      <c r="F59" s="131"/>
      <c r="G59" s="138"/>
      <c r="H59" s="138"/>
      <c r="I59" s="139"/>
      <c r="J59" s="140"/>
      <c r="K59" s="141"/>
      <c r="N59">
        <f>6.2*3.281+0.23*2</f>
        <v>20.802200000000003</v>
      </c>
    </row>
    <row r="60" spans="1:14" ht="15" hidden="1" customHeight="1" x14ac:dyDescent="0.25">
      <c r="A60" s="136"/>
      <c r="B60" s="133" t="s">
        <v>54</v>
      </c>
      <c r="C60" s="137">
        <f>0*2</f>
        <v>0</v>
      </c>
      <c r="D60" s="131">
        <f>(10.75/3.281)</f>
        <v>3.2764401097226452</v>
      </c>
      <c r="E60" s="131">
        <f>0.1</f>
        <v>0.1</v>
      </c>
      <c r="F60" s="131">
        <v>0.9</v>
      </c>
      <c r="G60" s="131">
        <f>PRODUCT(C60:F60)</f>
        <v>0</v>
      </c>
      <c r="H60" s="131"/>
      <c r="I60" s="131"/>
      <c r="J60" s="149"/>
      <c r="K60" s="141"/>
    </row>
    <row r="61" spans="1:14" ht="15" hidden="1" customHeight="1" x14ac:dyDescent="0.25">
      <c r="A61" s="136"/>
      <c r="B61" s="133"/>
      <c r="C61" s="137">
        <f>0*2</f>
        <v>0</v>
      </c>
      <c r="D61" s="131">
        <f>(6.2)</f>
        <v>6.2</v>
      </c>
      <c r="E61" s="131">
        <v>0.23</v>
      </c>
      <c r="F61" s="131">
        <v>0.9</v>
      </c>
      <c r="G61" s="131">
        <f>PRODUCT(C61:F61)</f>
        <v>0</v>
      </c>
      <c r="H61" s="131"/>
      <c r="I61" s="131"/>
      <c r="J61" s="149"/>
      <c r="K61" s="141"/>
    </row>
    <row r="62" spans="1:14" ht="15" hidden="1" customHeight="1" x14ac:dyDescent="0.25">
      <c r="A62" s="136"/>
      <c r="B62" s="133" t="s">
        <v>68</v>
      </c>
      <c r="C62" s="137">
        <f>0*-2</f>
        <v>0</v>
      </c>
      <c r="D62" s="131">
        <f>2/3.281</f>
        <v>0.6095702529716549</v>
      </c>
      <c r="E62" s="131">
        <f>E60</f>
        <v>0.1</v>
      </c>
      <c r="F62" s="131">
        <f>3/3.281</f>
        <v>0.91435537945748246</v>
      </c>
      <c r="G62" s="131">
        <f>PRODUCT(C62:F62)</f>
        <v>0</v>
      </c>
      <c r="H62" s="131"/>
      <c r="I62" s="131"/>
      <c r="J62" s="149"/>
      <c r="K62" s="141"/>
    </row>
    <row r="63" spans="1:14" ht="15" hidden="1" customHeight="1" x14ac:dyDescent="0.25">
      <c r="A63" s="136"/>
      <c r="B63" s="133" t="s">
        <v>25</v>
      </c>
      <c r="C63" s="137"/>
      <c r="D63" s="131"/>
      <c r="E63" s="131"/>
      <c r="F63" s="131"/>
      <c r="G63" s="138">
        <f>SUM(G60:G62)</f>
        <v>0</v>
      </c>
      <c r="H63" s="138" t="s">
        <v>30</v>
      </c>
      <c r="I63" s="139">
        <v>15375.48</v>
      </c>
      <c r="J63" s="140">
        <f>G63*I63</f>
        <v>0</v>
      </c>
      <c r="K63" s="141"/>
    </row>
    <row r="64" spans="1:14" ht="15" hidden="1" customHeight="1" x14ac:dyDescent="0.25">
      <c r="A64" s="12"/>
      <c r="B64" s="133" t="s">
        <v>49</v>
      </c>
      <c r="C64" s="14"/>
      <c r="D64" s="15"/>
      <c r="E64" s="16"/>
      <c r="F64" s="16"/>
      <c r="G64" s="19"/>
      <c r="H64" s="18"/>
      <c r="I64" s="19"/>
      <c r="J64" s="132">
        <f>0.13*G63*10946.58</f>
        <v>0</v>
      </c>
      <c r="K64" s="16"/>
      <c r="M64" s="21"/>
      <c r="N64" s="21"/>
    </row>
    <row r="65" spans="1:14" ht="15" hidden="1" customHeight="1" x14ac:dyDescent="0.25">
      <c r="A65" s="136"/>
      <c r="B65" s="133"/>
      <c r="C65" s="137"/>
      <c r="D65" s="131"/>
      <c r="E65" s="131"/>
      <c r="F65" s="131"/>
      <c r="G65" s="138"/>
      <c r="H65" s="138"/>
      <c r="I65" s="139"/>
      <c r="J65" s="140"/>
      <c r="K65" s="141"/>
    </row>
    <row r="66" spans="1:14" ht="30.75" hidden="1" x14ac:dyDescent="0.25">
      <c r="A66" s="136">
        <v>9</v>
      </c>
      <c r="B66" s="130" t="s">
        <v>55</v>
      </c>
      <c r="C66" s="137"/>
      <c r="D66" s="131"/>
      <c r="E66" s="131"/>
      <c r="F66" s="131"/>
      <c r="G66" s="138"/>
      <c r="H66" s="138"/>
      <c r="I66" s="139"/>
      <c r="J66" s="140"/>
      <c r="K66" s="141"/>
    </row>
    <row r="67" spans="1:14" ht="15" hidden="1" customHeight="1" x14ac:dyDescent="0.25">
      <c r="A67" s="136"/>
      <c r="B67" s="133" t="s">
        <v>56</v>
      </c>
      <c r="C67" s="137">
        <f>0*2</f>
        <v>0</v>
      </c>
      <c r="D67" s="131">
        <f>24/12/3.281</f>
        <v>0.6095702529716549</v>
      </c>
      <c r="E67" s="131">
        <f>24/12/3.281</f>
        <v>0.6095702529716549</v>
      </c>
      <c r="F67" s="131">
        <f>24/12/3.281</f>
        <v>0.6095702529716549</v>
      </c>
      <c r="G67" s="131">
        <f>PRODUCT(C67:F67)</f>
        <v>0</v>
      </c>
      <c r="H67" s="131"/>
      <c r="I67" s="131"/>
      <c r="J67" s="149"/>
      <c r="K67" s="141"/>
    </row>
    <row r="68" spans="1:14" ht="15" hidden="1" customHeight="1" x14ac:dyDescent="0.25">
      <c r="A68" s="136"/>
      <c r="B68" s="133" t="s">
        <v>57</v>
      </c>
      <c r="C68" s="137">
        <f>0*-2</f>
        <v>0</v>
      </c>
      <c r="D68" s="131">
        <f>0.15</f>
        <v>0.15</v>
      </c>
      <c r="E68" s="131">
        <f>0.15</f>
        <v>0.15</v>
      </c>
      <c r="F68" s="131">
        <f>24/12/3.281</f>
        <v>0.6095702529716549</v>
      </c>
      <c r="G68" s="131">
        <f>PRODUCT(C68:F68)</f>
        <v>0</v>
      </c>
      <c r="H68" s="131"/>
      <c r="I68" s="131"/>
      <c r="J68" s="149"/>
      <c r="K68" s="141"/>
    </row>
    <row r="69" spans="1:14" ht="15" hidden="1" customHeight="1" x14ac:dyDescent="0.25">
      <c r="A69" s="136"/>
      <c r="B69" s="133" t="s">
        <v>25</v>
      </c>
      <c r="C69" s="137"/>
      <c r="D69" s="131"/>
      <c r="E69" s="131"/>
      <c r="F69" s="131"/>
      <c r="G69" s="138">
        <f>SUM(G67:G68)</f>
        <v>0</v>
      </c>
      <c r="H69" s="138" t="s">
        <v>30</v>
      </c>
      <c r="I69" s="139">
        <v>14520.78</v>
      </c>
      <c r="J69" s="140">
        <f>G69*I69</f>
        <v>0</v>
      </c>
      <c r="K69" s="141"/>
    </row>
    <row r="70" spans="1:14" ht="15" hidden="1" customHeight="1" x14ac:dyDescent="0.25">
      <c r="A70" s="12"/>
      <c r="B70" s="133" t="s">
        <v>49</v>
      </c>
      <c r="C70" s="14"/>
      <c r="D70" s="15"/>
      <c r="E70" s="16"/>
      <c r="F70" s="16"/>
      <c r="G70" s="19"/>
      <c r="H70" s="18"/>
      <c r="I70" s="19"/>
      <c r="J70" s="132">
        <f>0.13*G69*10555.39</f>
        <v>0</v>
      </c>
      <c r="K70" s="16"/>
      <c r="M70" s="21"/>
      <c r="N70" s="21"/>
    </row>
    <row r="71" spans="1:14" ht="15" hidden="1" customHeight="1" x14ac:dyDescent="0.25">
      <c r="A71" s="136"/>
      <c r="B71" s="133"/>
      <c r="C71" s="137"/>
      <c r="D71" s="131"/>
      <c r="E71" s="131"/>
      <c r="F71" s="131"/>
      <c r="G71" s="138"/>
      <c r="H71" s="138"/>
      <c r="I71" s="139"/>
      <c r="J71" s="140"/>
      <c r="K71" s="141"/>
    </row>
    <row r="72" spans="1:14" ht="47.25" hidden="1" x14ac:dyDescent="0.25">
      <c r="A72" s="12">
        <v>10</v>
      </c>
      <c r="B72" s="134" t="s">
        <v>58</v>
      </c>
      <c r="C72" s="141"/>
      <c r="D72" s="141"/>
      <c r="E72" s="141"/>
      <c r="F72" s="141"/>
      <c r="G72" s="154"/>
      <c r="H72" s="18"/>
      <c r="I72" s="19"/>
      <c r="J72" s="19"/>
      <c r="K72" s="16"/>
      <c r="M72" s="21"/>
    </row>
    <row r="73" spans="1:14" ht="15" hidden="1" customHeight="1" x14ac:dyDescent="0.25">
      <c r="A73" s="12"/>
      <c r="B73" s="13" t="s">
        <v>59</v>
      </c>
      <c r="C73" s="14">
        <f>1*0</f>
        <v>0</v>
      </c>
      <c r="D73" s="15"/>
      <c r="E73" s="16">
        <f>10.75/3.281</f>
        <v>3.2764401097226452</v>
      </c>
      <c r="F73" s="16">
        <f>(9.42+7.75)/3.281</f>
        <v>5.233160621761658</v>
      </c>
      <c r="G73" s="131">
        <f t="shared" ref="G73:G78" si="5">PRODUCT(C73:F73)</f>
        <v>0</v>
      </c>
      <c r="H73" s="18"/>
      <c r="I73" s="19"/>
      <c r="J73" s="132"/>
      <c r="K73" s="16"/>
      <c r="M73" s="21"/>
      <c r="N73" s="21"/>
    </row>
    <row r="74" spans="1:14" ht="15" hidden="1" customHeight="1" x14ac:dyDescent="0.25">
      <c r="A74" s="12"/>
      <c r="B74" s="13" t="s">
        <v>22</v>
      </c>
      <c r="C74" s="14">
        <f>0*-1</f>
        <v>0</v>
      </c>
      <c r="D74" s="15">
        <f>3.5/3.281</f>
        <v>1.0667479427003961</v>
      </c>
      <c r="E74" s="16"/>
      <c r="F74" s="16">
        <f>4.5/3.281</f>
        <v>1.3715330691862238</v>
      </c>
      <c r="G74" s="131">
        <f t="shared" si="5"/>
        <v>0</v>
      </c>
      <c r="H74" s="18"/>
      <c r="I74" s="19"/>
      <c r="J74" s="132"/>
      <c r="K74" s="16"/>
      <c r="M74" s="21"/>
      <c r="N74" s="21"/>
    </row>
    <row r="75" spans="1:14" ht="15" hidden="1" customHeight="1" x14ac:dyDescent="0.25">
      <c r="A75" s="12"/>
      <c r="B75" s="13" t="s">
        <v>23</v>
      </c>
      <c r="C75" s="14">
        <f>0*-1</f>
        <v>0</v>
      </c>
      <c r="D75" s="15">
        <f>3.833/3.281</f>
        <v>1.1682413898201769</v>
      </c>
      <c r="E75" s="16"/>
      <c r="F75" s="16">
        <f>6.5/3.281</f>
        <v>1.9811033221578787</v>
      </c>
      <c r="G75" s="131">
        <f t="shared" si="5"/>
        <v>0</v>
      </c>
      <c r="H75" s="18"/>
      <c r="I75" s="19"/>
      <c r="J75" s="132"/>
      <c r="K75" s="16"/>
      <c r="M75" s="21"/>
      <c r="N75" s="21"/>
    </row>
    <row r="76" spans="1:14" ht="15" hidden="1" customHeight="1" x14ac:dyDescent="0.25">
      <c r="A76" s="12"/>
      <c r="B76" s="13" t="s">
        <v>60</v>
      </c>
      <c r="C76" s="14">
        <f>0*1</f>
        <v>0</v>
      </c>
      <c r="D76" s="15"/>
      <c r="E76" s="16">
        <f>(5.75)/3.281</f>
        <v>1.752514477293508</v>
      </c>
      <c r="F76" s="16">
        <f>(9.42+7.75)/3.281</f>
        <v>5.233160621761658</v>
      </c>
      <c r="G76" s="131">
        <f t="shared" si="5"/>
        <v>0</v>
      </c>
      <c r="H76" s="18"/>
      <c r="I76" s="19"/>
      <c r="J76" s="132"/>
      <c r="K76" s="16"/>
      <c r="M76" s="21"/>
      <c r="N76" s="21"/>
    </row>
    <row r="77" spans="1:14" ht="15" hidden="1" customHeight="1" x14ac:dyDescent="0.25">
      <c r="A77" s="12"/>
      <c r="B77" s="13" t="s">
        <v>61</v>
      </c>
      <c r="C77" s="14">
        <f>0*-1</f>
        <v>0</v>
      </c>
      <c r="D77" s="15">
        <f>E73+E76</f>
        <v>5.0289545870161536</v>
      </c>
      <c r="E77" s="16"/>
      <c r="F77" s="16">
        <f>13*0.15</f>
        <v>1.95</v>
      </c>
      <c r="G77" s="131">
        <f t="shared" si="5"/>
        <v>0</v>
      </c>
      <c r="H77" s="18"/>
      <c r="I77" s="19"/>
      <c r="J77" s="132"/>
      <c r="K77" s="16"/>
      <c r="M77" s="21"/>
      <c r="N77" s="21"/>
    </row>
    <row r="78" spans="1:14" ht="15" hidden="1" customHeight="1" x14ac:dyDescent="0.25">
      <c r="A78" s="12"/>
      <c r="B78" s="13"/>
      <c r="C78" s="14">
        <f>0*-1</f>
        <v>0</v>
      </c>
      <c r="D78" s="15">
        <f>D77</f>
        <v>5.0289545870161536</v>
      </c>
      <c r="E78" s="16"/>
      <c r="F78" s="16">
        <f>8/12/3.281</f>
        <v>0.20319008432388497</v>
      </c>
      <c r="G78" s="131">
        <f t="shared" si="5"/>
        <v>0</v>
      </c>
      <c r="H78" s="18"/>
      <c r="I78" s="19"/>
      <c r="J78" s="132"/>
      <c r="K78" s="16"/>
      <c r="M78" s="21"/>
      <c r="N78" s="21"/>
    </row>
    <row r="79" spans="1:14" s="53" customFormat="1" ht="15" hidden="1" customHeight="1" x14ac:dyDescent="0.25">
      <c r="A79" s="136"/>
      <c r="B79" s="133" t="s">
        <v>62</v>
      </c>
      <c r="C79" s="137">
        <f>0*1</f>
        <v>0</v>
      </c>
      <c r="D79" s="131">
        <f>2.75+6.2+6.2+2.6</f>
        <v>17.75</v>
      </c>
      <c r="E79" s="131"/>
      <c r="F79" s="131">
        <f>2.6</f>
        <v>2.6</v>
      </c>
      <c r="G79" s="131">
        <f>PRODUCT(C79:F79)</f>
        <v>0</v>
      </c>
      <c r="H79" s="131"/>
      <c r="I79" s="131"/>
      <c r="J79" s="149"/>
      <c r="K79" s="141"/>
    </row>
    <row r="80" spans="1:14" s="53" customFormat="1" ht="15" hidden="1" customHeight="1" x14ac:dyDescent="0.25">
      <c r="A80" s="136"/>
      <c r="B80" s="133" t="s">
        <v>63</v>
      </c>
      <c r="C80" s="137">
        <f>0*-1</f>
        <v>0</v>
      </c>
      <c r="D80" s="131">
        <f>4/3.281</f>
        <v>1.2191405059433098</v>
      </c>
      <c r="E80" s="131"/>
      <c r="F80" s="131">
        <f>6.5/3.281</f>
        <v>1.9811033221578787</v>
      </c>
      <c r="G80" s="131">
        <f t="shared" ref="G80:G93" si="6">PRODUCT(C80:F80)</f>
        <v>0</v>
      </c>
      <c r="H80" s="131"/>
      <c r="I80" s="131"/>
      <c r="J80" s="149"/>
      <c r="K80" s="141"/>
    </row>
    <row r="81" spans="1:14" s="53" customFormat="1" ht="15" hidden="1" customHeight="1" x14ac:dyDescent="0.25">
      <c r="A81" s="136"/>
      <c r="B81" s="133" t="s">
        <v>64</v>
      </c>
      <c r="C81" s="137">
        <f>0*-0.5*8</f>
        <v>0</v>
      </c>
      <c r="D81" s="131">
        <f>0.667/3.281</f>
        <v>0.20329167936604695</v>
      </c>
      <c r="E81" s="131">
        <f>0.667/3.281</f>
        <v>0.20329167936604695</v>
      </c>
      <c r="F81" s="131"/>
      <c r="G81" s="131">
        <f t="shared" si="6"/>
        <v>0</v>
      </c>
      <c r="H81" s="131"/>
      <c r="I81" s="131"/>
      <c r="J81" s="149"/>
      <c r="K81" s="141"/>
    </row>
    <row r="82" spans="1:14" s="53" customFormat="1" ht="15" hidden="1" customHeight="1" x14ac:dyDescent="0.25">
      <c r="A82" s="136"/>
      <c r="B82" s="133" t="s">
        <v>65</v>
      </c>
      <c r="C82" s="137">
        <f>0*2</f>
        <v>0</v>
      </c>
      <c r="D82" s="131">
        <f>2.6</f>
        <v>2.6</v>
      </c>
      <c r="E82" s="131"/>
      <c r="F82" s="131">
        <f>2.6</f>
        <v>2.6</v>
      </c>
      <c r="G82" s="131">
        <f t="shared" si="6"/>
        <v>0</v>
      </c>
      <c r="H82" s="131"/>
      <c r="I82" s="131"/>
      <c r="J82" s="149"/>
      <c r="K82" s="141"/>
    </row>
    <row r="83" spans="1:14" s="53" customFormat="1" ht="15" hidden="1" customHeight="1" x14ac:dyDescent="0.25">
      <c r="A83" s="136"/>
      <c r="B83" s="133"/>
      <c r="C83" s="137">
        <f>0*2</f>
        <v>0</v>
      </c>
      <c r="D83" s="131">
        <f>6.2-D82</f>
        <v>3.6</v>
      </c>
      <c r="E83" s="131"/>
      <c r="F83" s="131">
        <f>2.6</f>
        <v>2.6</v>
      </c>
      <c r="G83" s="131">
        <f t="shared" si="6"/>
        <v>0</v>
      </c>
      <c r="H83" s="131"/>
      <c r="I83" s="131"/>
      <c r="J83" s="149"/>
      <c r="K83" s="141"/>
    </row>
    <row r="84" spans="1:14" s="53" customFormat="1" ht="15" hidden="1" customHeight="1" x14ac:dyDescent="0.25">
      <c r="A84" s="136"/>
      <c r="B84" s="133" t="s">
        <v>22</v>
      </c>
      <c r="C84" s="137">
        <f>0*-1</f>
        <v>0</v>
      </c>
      <c r="D84" s="131">
        <f>3.5/3.281</f>
        <v>1.0667479427003961</v>
      </c>
      <c r="E84" s="131"/>
      <c r="F84" s="131">
        <f>4.5/3.281</f>
        <v>1.3715330691862238</v>
      </c>
      <c r="G84" s="131">
        <f t="shared" si="6"/>
        <v>0</v>
      </c>
      <c r="H84" s="131"/>
      <c r="I84" s="131"/>
      <c r="J84" s="149"/>
      <c r="K84" s="141"/>
    </row>
    <row r="85" spans="1:14" s="53" customFormat="1" ht="15" hidden="1" customHeight="1" x14ac:dyDescent="0.25">
      <c r="A85" s="136"/>
      <c r="B85" s="133" t="s">
        <v>66</v>
      </c>
      <c r="C85" s="137">
        <f>0*1</f>
        <v>0</v>
      </c>
      <c r="D85" s="131">
        <f>10.75/3.281</f>
        <v>3.2764401097226452</v>
      </c>
      <c r="E85" s="131"/>
      <c r="F85" s="131">
        <v>0.9</v>
      </c>
      <c r="G85" s="131">
        <f t="shared" si="6"/>
        <v>0</v>
      </c>
      <c r="H85" s="131"/>
      <c r="I85" s="131"/>
      <c r="J85" s="149"/>
      <c r="K85" s="141"/>
    </row>
    <row r="86" spans="1:14" s="53" customFormat="1" ht="15" hidden="1" customHeight="1" x14ac:dyDescent="0.25">
      <c r="A86" s="136"/>
      <c r="B86" s="133"/>
      <c r="C86" s="137">
        <f>0*1</f>
        <v>0</v>
      </c>
      <c r="D86" s="131"/>
      <c r="E86" s="131">
        <f>E76</f>
        <v>1.752514477293508</v>
      </c>
      <c r="F86" s="131">
        <v>0.9</v>
      </c>
      <c r="G86" s="131">
        <f t="shared" si="6"/>
        <v>0</v>
      </c>
      <c r="H86" s="131"/>
      <c r="I86" s="131"/>
      <c r="J86" s="149"/>
      <c r="K86" s="141"/>
    </row>
    <row r="87" spans="1:14" s="53" customFormat="1" ht="15" hidden="1" customHeight="1" x14ac:dyDescent="0.25">
      <c r="A87" s="136"/>
      <c r="B87" s="133" t="s">
        <v>67</v>
      </c>
      <c r="C87" s="137">
        <f>0*2</f>
        <v>0</v>
      </c>
      <c r="D87" s="131">
        <f>D82</f>
        <v>2.6</v>
      </c>
      <c r="E87" s="131"/>
      <c r="F87" s="131">
        <v>0.9</v>
      </c>
      <c r="G87" s="131">
        <f t="shared" si="6"/>
        <v>0</v>
      </c>
      <c r="H87" s="131"/>
      <c r="I87" s="131"/>
      <c r="J87" s="149"/>
      <c r="K87" s="141"/>
    </row>
    <row r="88" spans="1:14" s="53" customFormat="1" ht="15" hidden="1" customHeight="1" x14ac:dyDescent="0.25">
      <c r="A88" s="136"/>
      <c r="B88" s="133"/>
      <c r="C88" s="137">
        <f>0*2</f>
        <v>0</v>
      </c>
      <c r="D88" s="131"/>
      <c r="E88" s="131">
        <v>6.2</v>
      </c>
      <c r="F88" s="131">
        <v>0.9</v>
      </c>
      <c r="G88" s="131">
        <f t="shared" si="6"/>
        <v>0</v>
      </c>
      <c r="H88" s="131"/>
      <c r="I88" s="131"/>
      <c r="J88" s="149"/>
      <c r="K88" s="141"/>
    </row>
    <row r="89" spans="1:14" s="53" customFormat="1" ht="15" hidden="1" customHeight="1" x14ac:dyDescent="0.25">
      <c r="A89" s="136"/>
      <c r="B89" s="133" t="s">
        <v>68</v>
      </c>
      <c r="C89" s="137">
        <f>0*-2</f>
        <v>0</v>
      </c>
      <c r="D89" s="131"/>
      <c r="E89" s="131">
        <f>3/3.281</f>
        <v>0.91435537945748246</v>
      </c>
      <c r="F89" s="131">
        <f>2/3.281</f>
        <v>0.6095702529716549</v>
      </c>
      <c r="G89" s="131">
        <f t="shared" si="6"/>
        <v>0</v>
      </c>
      <c r="H89" s="131"/>
      <c r="I89" s="131"/>
      <c r="J89" s="149"/>
      <c r="K89" s="141"/>
    </row>
    <row r="90" spans="1:14" s="53" customFormat="1" ht="15" hidden="1" customHeight="1" x14ac:dyDescent="0.25">
      <c r="A90" s="136"/>
      <c r="B90" s="133" t="s">
        <v>69</v>
      </c>
      <c r="C90" s="137">
        <f>0*2*4</f>
        <v>0</v>
      </c>
      <c r="D90" s="131">
        <f>16/12/3.281</f>
        <v>0.40638016864776993</v>
      </c>
      <c r="E90" s="131"/>
      <c r="F90" s="131">
        <f>5/3.281</f>
        <v>1.5239256324291375</v>
      </c>
      <c r="G90" s="131">
        <f t="shared" si="6"/>
        <v>0</v>
      </c>
      <c r="H90" s="131"/>
      <c r="I90" s="131"/>
      <c r="J90" s="149"/>
      <c r="K90" s="141"/>
    </row>
    <row r="91" spans="1:14" s="53" customFormat="1" ht="15" hidden="1" customHeight="1" x14ac:dyDescent="0.25">
      <c r="A91" s="136"/>
      <c r="B91" s="133" t="s">
        <v>70</v>
      </c>
      <c r="C91" s="137">
        <f>0*-2*4</f>
        <v>0</v>
      </c>
      <c r="D91" s="131">
        <f>16/12/3.281</f>
        <v>0.40638016864776993</v>
      </c>
      <c r="E91" s="131"/>
      <c r="F91" s="131">
        <f>8/12/3.281</f>
        <v>0.20319008432388497</v>
      </c>
      <c r="G91" s="131">
        <f t="shared" si="6"/>
        <v>0</v>
      </c>
      <c r="H91" s="131"/>
      <c r="I91" s="131"/>
      <c r="J91" s="149"/>
      <c r="K91" s="141"/>
    </row>
    <row r="92" spans="1:14" s="53" customFormat="1" ht="15" hidden="1" customHeight="1" x14ac:dyDescent="0.25">
      <c r="A92" s="136"/>
      <c r="B92" s="133" t="s">
        <v>71</v>
      </c>
      <c r="C92" s="137">
        <f>0*1</f>
        <v>0</v>
      </c>
      <c r="D92" s="131">
        <f>10.75/3.281</f>
        <v>3.2764401097226452</v>
      </c>
      <c r="E92" s="131"/>
      <c r="F92" s="131">
        <f>F73</f>
        <v>5.233160621761658</v>
      </c>
      <c r="G92" s="131">
        <f t="shared" si="6"/>
        <v>0</v>
      </c>
      <c r="H92" s="131"/>
      <c r="I92" s="131"/>
      <c r="J92" s="149"/>
      <c r="K92" s="141"/>
    </row>
    <row r="93" spans="1:14" s="53" customFormat="1" ht="15" hidden="1" customHeight="1" x14ac:dyDescent="0.25">
      <c r="A93" s="136"/>
      <c r="B93" s="133"/>
      <c r="C93" s="137">
        <f>0*1</f>
        <v>0</v>
      </c>
      <c r="D93" s="131">
        <f>10.75/3.281</f>
        <v>3.2764401097226452</v>
      </c>
      <c r="E93" s="131"/>
      <c r="F93" s="131">
        <f>F85</f>
        <v>0.9</v>
      </c>
      <c r="G93" s="131">
        <f t="shared" si="6"/>
        <v>0</v>
      </c>
      <c r="H93" s="131"/>
      <c r="I93" s="131"/>
      <c r="J93" s="149"/>
      <c r="K93" s="141"/>
    </row>
    <row r="94" spans="1:14" ht="15" hidden="1" customHeight="1" x14ac:dyDescent="0.25">
      <c r="A94" s="12"/>
      <c r="B94" s="133" t="s">
        <v>25</v>
      </c>
      <c r="C94" s="14"/>
      <c r="D94" s="15"/>
      <c r="E94" s="16"/>
      <c r="F94" s="16"/>
      <c r="G94" s="19">
        <f>SUM(G73:G93)</f>
        <v>0</v>
      </c>
      <c r="H94" s="18" t="s">
        <v>26</v>
      </c>
      <c r="I94" s="19">
        <f>515448.67/100</f>
        <v>5154.4866999999995</v>
      </c>
      <c r="J94" s="132">
        <f>G94*I94</f>
        <v>0</v>
      </c>
      <c r="K94" s="16"/>
      <c r="M94" s="21"/>
      <c r="N94" s="21"/>
    </row>
    <row r="95" spans="1:14" ht="15" hidden="1" customHeight="1" x14ac:dyDescent="0.25">
      <c r="A95" s="12"/>
      <c r="B95" s="133" t="s">
        <v>49</v>
      </c>
      <c r="C95" s="14"/>
      <c r="D95" s="15"/>
      <c r="E95" s="16"/>
      <c r="F95" s="16"/>
      <c r="G95" s="19"/>
      <c r="H95" s="18"/>
      <c r="I95" s="19"/>
      <c r="J95" s="132">
        <f>G94*0.13*(328838.67/100)</f>
        <v>0</v>
      </c>
      <c r="K95" s="16"/>
      <c r="M95" s="21"/>
      <c r="N95" s="21"/>
    </row>
    <row r="96" spans="1:14" ht="15" hidden="1" customHeight="1" x14ac:dyDescent="0.25">
      <c r="A96" s="12"/>
      <c r="B96" s="133"/>
      <c r="C96" s="14"/>
      <c r="D96" s="15"/>
      <c r="E96" s="16"/>
      <c r="F96" s="16"/>
      <c r="G96" s="19"/>
      <c r="H96" s="18"/>
      <c r="I96" s="19"/>
      <c r="J96" s="132"/>
      <c r="K96" s="16"/>
      <c r="M96" s="21"/>
      <c r="N96" s="21"/>
    </row>
    <row r="97" spans="1:14" ht="31.5" hidden="1" x14ac:dyDescent="0.25">
      <c r="A97" s="12">
        <v>11</v>
      </c>
      <c r="B97" s="134" t="s">
        <v>72</v>
      </c>
      <c r="C97" s="14"/>
      <c r="D97" s="15"/>
      <c r="E97" s="16"/>
      <c r="F97" s="16"/>
      <c r="G97" s="19"/>
      <c r="H97" s="18"/>
      <c r="I97" s="19"/>
      <c r="J97" s="132"/>
      <c r="K97" s="16"/>
      <c r="M97" s="21"/>
      <c r="N97" s="21"/>
    </row>
    <row r="98" spans="1:14" ht="15" hidden="1" customHeight="1" x14ac:dyDescent="0.25">
      <c r="A98" s="12"/>
      <c r="B98" s="133" t="s">
        <v>54</v>
      </c>
      <c r="C98" s="14">
        <f>(0*1+1*2)*0</f>
        <v>0</v>
      </c>
      <c r="D98" s="15">
        <f>E73+E76</f>
        <v>5.0289545870161536</v>
      </c>
      <c r="E98" s="16"/>
      <c r="F98" s="16"/>
      <c r="G98" s="131">
        <f>PRODUCT(C98:F98)</f>
        <v>0</v>
      </c>
      <c r="H98" s="18"/>
      <c r="I98" s="19"/>
      <c r="J98" s="132"/>
      <c r="K98" s="16"/>
      <c r="M98" s="21"/>
      <c r="N98" s="21"/>
    </row>
    <row r="99" spans="1:14" ht="15" hidden="1" customHeight="1" x14ac:dyDescent="0.25">
      <c r="A99" s="12"/>
      <c r="B99" s="133" t="s">
        <v>56</v>
      </c>
      <c r="C99" s="14">
        <f>0*2</f>
        <v>0</v>
      </c>
      <c r="D99" s="15">
        <f>(24/12/3.281)*4</f>
        <v>2.4382810118866196</v>
      </c>
      <c r="E99" s="16"/>
      <c r="F99" s="16"/>
      <c r="G99" s="131">
        <f>PRODUCT(C99:F99)</f>
        <v>0</v>
      </c>
      <c r="H99" s="18"/>
      <c r="I99" s="19"/>
      <c r="J99" s="132"/>
      <c r="K99" s="16"/>
      <c r="M99" s="21"/>
      <c r="N99" s="21"/>
    </row>
    <row r="100" spans="1:14" ht="15" hidden="1" customHeight="1" x14ac:dyDescent="0.25">
      <c r="A100" s="12"/>
      <c r="B100" s="133" t="s">
        <v>25</v>
      </c>
      <c r="C100" s="14"/>
      <c r="D100" s="15"/>
      <c r="E100" s="16"/>
      <c r="F100" s="16"/>
      <c r="G100" s="19">
        <f>SUM(G98:G99)</f>
        <v>0</v>
      </c>
      <c r="H100" s="18" t="s">
        <v>73</v>
      </c>
      <c r="I100" s="19">
        <f>3932.81/10</f>
        <v>393.28100000000001</v>
      </c>
      <c r="J100" s="132">
        <f>G100*I100</f>
        <v>0</v>
      </c>
      <c r="K100" s="16"/>
      <c r="M100" s="21"/>
      <c r="N100" s="21"/>
    </row>
    <row r="101" spans="1:14" ht="15" hidden="1" customHeight="1" x14ac:dyDescent="0.25">
      <c r="A101" s="12"/>
      <c r="B101" s="133" t="s">
        <v>49</v>
      </c>
      <c r="C101" s="14"/>
      <c r="D101" s="15"/>
      <c r="E101" s="16"/>
      <c r="F101" s="16"/>
      <c r="G101" s="19"/>
      <c r="H101" s="18"/>
      <c r="I101" s="19"/>
      <c r="J101" s="132">
        <f>G100*0.13*(2165.31/10)</f>
        <v>0</v>
      </c>
      <c r="K101" s="16"/>
      <c r="M101" s="21"/>
      <c r="N101" s="21"/>
    </row>
    <row r="102" spans="1:14" ht="15" hidden="1" customHeight="1" x14ac:dyDescent="0.25">
      <c r="A102" s="12"/>
      <c r="B102" s="133"/>
      <c r="C102" s="14"/>
      <c r="D102" s="15"/>
      <c r="E102" s="16"/>
      <c r="F102" s="16"/>
      <c r="G102" s="19"/>
      <c r="H102" s="18"/>
      <c r="I102" s="19"/>
      <c r="J102" s="132"/>
      <c r="K102" s="16"/>
      <c r="M102" s="21"/>
      <c r="N102" s="21"/>
    </row>
    <row r="103" spans="1:14" ht="30.75" hidden="1" customHeight="1" x14ac:dyDescent="0.25">
      <c r="A103" s="12">
        <v>12</v>
      </c>
      <c r="B103" s="134" t="s">
        <v>74</v>
      </c>
      <c r="C103" s="137"/>
      <c r="D103" s="131"/>
      <c r="E103" s="131"/>
      <c r="F103" s="131"/>
      <c r="G103" s="131"/>
      <c r="H103" s="131"/>
      <c r="I103" s="131"/>
      <c r="J103" s="149"/>
      <c r="K103" s="141"/>
    </row>
    <row r="104" spans="1:14" ht="15" hidden="1" customHeight="1" x14ac:dyDescent="0.25">
      <c r="A104" s="12"/>
      <c r="B104" s="133" t="s">
        <v>54</v>
      </c>
      <c r="C104" s="14">
        <f>0*1</f>
        <v>0</v>
      </c>
      <c r="D104" s="15">
        <f>D98</f>
        <v>5.0289545870161536</v>
      </c>
      <c r="E104" s="16"/>
      <c r="F104" s="16"/>
      <c r="G104" s="131">
        <f t="shared" ref="G104" si="7">PRODUCT(C104:F104)</f>
        <v>0</v>
      </c>
      <c r="H104" s="18"/>
      <c r="I104" s="19"/>
      <c r="J104" s="132"/>
      <c r="K104" s="16"/>
      <c r="M104" s="21"/>
      <c r="N104" s="21"/>
    </row>
    <row r="105" spans="1:14" ht="15" hidden="1" customHeight="1" x14ac:dyDescent="0.25">
      <c r="A105" s="12"/>
      <c r="B105" s="133" t="s">
        <v>56</v>
      </c>
      <c r="C105" s="14">
        <f>0*2</f>
        <v>0</v>
      </c>
      <c r="D105" s="15">
        <f>(24/12/3.281)*4</f>
        <v>2.4382810118866196</v>
      </c>
      <c r="E105" s="16"/>
      <c r="F105" s="16"/>
      <c r="G105" s="131">
        <f>PRODUCT(C105:F105)</f>
        <v>0</v>
      </c>
      <c r="H105" s="18"/>
      <c r="I105" s="19"/>
      <c r="J105" s="132"/>
      <c r="K105" s="16"/>
      <c r="M105" s="21"/>
      <c r="N105" s="21"/>
    </row>
    <row r="106" spans="1:14" ht="15" hidden="1" customHeight="1" x14ac:dyDescent="0.25">
      <c r="A106" s="12"/>
      <c r="B106" s="133" t="s">
        <v>25</v>
      </c>
      <c r="C106" s="14"/>
      <c r="D106" s="15"/>
      <c r="E106" s="16"/>
      <c r="F106" s="16"/>
      <c r="G106" s="19">
        <f>SUM(G104:G105)</f>
        <v>0</v>
      </c>
      <c r="H106" s="18" t="s">
        <v>73</v>
      </c>
      <c r="I106" s="19">
        <f>4676.81/10</f>
        <v>467.68100000000004</v>
      </c>
      <c r="J106" s="132">
        <f>G106*I106</f>
        <v>0</v>
      </c>
      <c r="K106" s="16"/>
      <c r="M106" s="21"/>
      <c r="N106" s="21"/>
    </row>
    <row r="107" spans="1:14" ht="15" hidden="1" customHeight="1" x14ac:dyDescent="0.25">
      <c r="A107" s="12"/>
      <c r="B107" s="133" t="s">
        <v>49</v>
      </c>
      <c r="C107" s="14"/>
      <c r="D107" s="15"/>
      <c r="E107" s="16"/>
      <c r="F107" s="16"/>
      <c r="G107" s="19"/>
      <c r="H107" s="18"/>
      <c r="I107" s="19"/>
      <c r="J107" s="132">
        <f>G106*0.13*(2909.31/10)</f>
        <v>0</v>
      </c>
      <c r="K107" s="16"/>
      <c r="M107" s="21"/>
      <c r="N107" s="21"/>
    </row>
    <row r="108" spans="1:14" ht="15" hidden="1" customHeight="1" x14ac:dyDescent="0.25">
      <c r="A108" s="12"/>
      <c r="B108" s="133"/>
      <c r="C108" s="14"/>
      <c r="D108" s="15"/>
      <c r="E108" s="16"/>
      <c r="F108" s="16"/>
      <c r="G108" s="19"/>
      <c r="H108" s="18"/>
      <c r="I108" s="19"/>
      <c r="J108" s="132"/>
      <c r="K108" s="16"/>
      <c r="M108" s="21"/>
      <c r="N108" s="21"/>
    </row>
    <row r="109" spans="1:14" ht="31.5" hidden="1" x14ac:dyDescent="0.25">
      <c r="A109" s="12">
        <v>13</v>
      </c>
      <c r="B109" s="134" t="s">
        <v>75</v>
      </c>
      <c r="C109" s="14"/>
      <c r="D109" s="15"/>
      <c r="E109" s="16"/>
      <c r="F109" s="16"/>
      <c r="G109" s="19"/>
      <c r="H109" s="18"/>
      <c r="I109" s="19"/>
      <c r="J109" s="132"/>
      <c r="K109" s="16"/>
      <c r="M109" s="21"/>
      <c r="N109" s="21"/>
    </row>
    <row r="110" spans="1:14" ht="15" hidden="1" customHeight="1" x14ac:dyDescent="0.25">
      <c r="A110" s="12"/>
      <c r="B110" s="133" t="s">
        <v>54</v>
      </c>
      <c r="C110" s="14">
        <f>0*(1*2+1*2)</f>
        <v>0</v>
      </c>
      <c r="D110" s="15">
        <f>D104</f>
        <v>5.0289545870161536</v>
      </c>
      <c r="E110" s="16"/>
      <c r="F110" s="16"/>
      <c r="G110" s="131">
        <f t="shared" ref="G110:G112" si="8">PRODUCT(C110:F110)</f>
        <v>0</v>
      </c>
      <c r="H110" s="18"/>
      <c r="I110" s="19"/>
      <c r="J110" s="132"/>
      <c r="K110" s="16"/>
      <c r="M110" s="21"/>
      <c r="N110" s="21"/>
    </row>
    <row r="111" spans="1:14" ht="15" hidden="1" customHeight="1" x14ac:dyDescent="0.25">
      <c r="A111" s="12"/>
      <c r="B111" s="13" t="s">
        <v>22</v>
      </c>
      <c r="C111" s="14">
        <f>0*-1</f>
        <v>0</v>
      </c>
      <c r="D111" s="15">
        <f>3.5/3.281</f>
        <v>1.0667479427003961</v>
      </c>
      <c r="E111" s="16"/>
      <c r="F111" s="16"/>
      <c r="G111" s="131">
        <f t="shared" si="8"/>
        <v>0</v>
      </c>
      <c r="H111" s="18"/>
      <c r="I111" s="19"/>
      <c r="J111" s="132"/>
      <c r="K111" s="16"/>
      <c r="M111" s="21"/>
      <c r="N111" s="21"/>
    </row>
    <row r="112" spans="1:14" ht="15" hidden="1" customHeight="1" x14ac:dyDescent="0.25">
      <c r="A112" s="12"/>
      <c r="B112" s="13" t="s">
        <v>23</v>
      </c>
      <c r="C112" s="14">
        <f>0*-1</f>
        <v>0</v>
      </c>
      <c r="D112" s="15">
        <f>3.833/3.281</f>
        <v>1.1682413898201769</v>
      </c>
      <c r="E112" s="16"/>
      <c r="F112" s="16"/>
      <c r="G112" s="131">
        <f t="shared" si="8"/>
        <v>0</v>
      </c>
      <c r="H112" s="18"/>
      <c r="I112" s="19"/>
      <c r="J112" s="132"/>
      <c r="K112" s="16"/>
      <c r="M112" s="21"/>
      <c r="N112" s="21"/>
    </row>
    <row r="113" spans="1:15" ht="15" hidden="1" customHeight="1" x14ac:dyDescent="0.25">
      <c r="A113" s="12"/>
      <c r="B113" s="133" t="s">
        <v>56</v>
      </c>
      <c r="C113" s="14">
        <f>0*2*2</f>
        <v>0</v>
      </c>
      <c r="D113" s="15">
        <f>(24/12/3.281)*4</f>
        <v>2.4382810118866196</v>
      </c>
      <c r="E113" s="16"/>
      <c r="F113" s="16"/>
      <c r="G113" s="131">
        <f>PRODUCT(C113:F113)</f>
        <v>0</v>
      </c>
      <c r="H113" s="18"/>
      <c r="I113" s="19"/>
      <c r="J113" s="132"/>
      <c r="K113" s="16"/>
      <c r="M113" s="21"/>
      <c r="N113" s="21"/>
    </row>
    <row r="114" spans="1:15" ht="15" hidden="1" customHeight="1" x14ac:dyDescent="0.25">
      <c r="A114" s="12"/>
      <c r="B114" s="133" t="s">
        <v>25</v>
      </c>
      <c r="C114" s="14"/>
      <c r="D114" s="15"/>
      <c r="E114" s="16"/>
      <c r="F114" s="16"/>
      <c r="G114" s="19">
        <f>SUM(G110:G113)</f>
        <v>0</v>
      </c>
      <c r="H114" s="18" t="s">
        <v>73</v>
      </c>
      <c r="I114" s="19">
        <f>4118.81/10</f>
        <v>411.88100000000003</v>
      </c>
      <c r="J114" s="132">
        <f>G114*I114</f>
        <v>0</v>
      </c>
      <c r="K114" s="16"/>
      <c r="M114" s="21"/>
      <c r="N114" s="21"/>
    </row>
    <row r="115" spans="1:15" ht="15" hidden="1" customHeight="1" x14ac:dyDescent="0.25">
      <c r="A115" s="12"/>
      <c r="B115" s="133" t="s">
        <v>49</v>
      </c>
      <c r="C115" s="14"/>
      <c r="D115" s="15"/>
      <c r="E115" s="16"/>
      <c r="F115" s="16"/>
      <c r="G115" s="19"/>
      <c r="H115" s="18"/>
      <c r="I115" s="19"/>
      <c r="J115" s="132">
        <f>G114*0.13*(2351.31/10)</f>
        <v>0</v>
      </c>
      <c r="K115" s="16"/>
      <c r="M115" s="21"/>
      <c r="N115" s="21"/>
    </row>
    <row r="116" spans="1:15" ht="15" hidden="1" customHeight="1" x14ac:dyDescent="0.25">
      <c r="A116" s="12"/>
      <c r="B116" s="133"/>
      <c r="C116" s="14"/>
      <c r="D116" s="15"/>
      <c r="E116" s="16"/>
      <c r="F116" s="16"/>
      <c r="G116" s="19"/>
      <c r="H116" s="18"/>
      <c r="I116" s="19"/>
      <c r="J116" s="132"/>
      <c r="K116" s="16"/>
      <c r="M116" s="21"/>
      <c r="N116" s="21"/>
    </row>
    <row r="117" spans="1:15" ht="31.5" hidden="1" x14ac:dyDescent="0.25">
      <c r="A117" s="12">
        <v>14</v>
      </c>
      <c r="B117" s="134" t="s">
        <v>76</v>
      </c>
      <c r="C117" s="14"/>
      <c r="D117" s="15"/>
      <c r="E117" s="16"/>
      <c r="F117" s="16"/>
      <c r="G117" s="19"/>
      <c r="H117" s="18"/>
      <c r="I117" s="19"/>
      <c r="J117" s="132"/>
      <c r="K117" s="16"/>
      <c r="M117" s="21"/>
      <c r="N117" s="21"/>
    </row>
    <row r="118" spans="1:15" ht="15" hidden="1" customHeight="1" x14ac:dyDescent="0.25">
      <c r="A118" s="12"/>
      <c r="B118" s="133" t="s">
        <v>54</v>
      </c>
      <c r="C118" s="14">
        <f>0*2</f>
        <v>0</v>
      </c>
      <c r="D118" s="15">
        <f>D110</f>
        <v>5.0289545870161536</v>
      </c>
      <c r="E118" s="16"/>
      <c r="F118" s="16"/>
      <c r="G118" s="131">
        <f t="shared" ref="G118:G120" si="9">PRODUCT(C118:F118)</f>
        <v>0</v>
      </c>
      <c r="H118" s="18"/>
      <c r="I118" s="19"/>
      <c r="J118" s="132"/>
      <c r="K118" s="16"/>
      <c r="M118" s="21"/>
      <c r="N118" s="21"/>
    </row>
    <row r="119" spans="1:15" ht="15" hidden="1" customHeight="1" x14ac:dyDescent="0.25">
      <c r="A119" s="12"/>
      <c r="B119" s="13" t="s">
        <v>22</v>
      </c>
      <c r="C119" s="14">
        <f>0*-1</f>
        <v>0</v>
      </c>
      <c r="D119" s="15">
        <f>3.5/3.281</f>
        <v>1.0667479427003961</v>
      </c>
      <c r="E119" s="16"/>
      <c r="F119" s="16"/>
      <c r="G119" s="131">
        <f t="shared" si="9"/>
        <v>0</v>
      </c>
      <c r="H119" s="18"/>
      <c r="I119" s="19"/>
      <c r="J119" s="132"/>
      <c r="K119" s="16"/>
      <c r="M119" s="21"/>
      <c r="N119" s="21"/>
    </row>
    <row r="120" spans="1:15" ht="15" hidden="1" customHeight="1" x14ac:dyDescent="0.25">
      <c r="A120" s="12"/>
      <c r="B120" s="13" t="s">
        <v>23</v>
      </c>
      <c r="C120" s="14">
        <f>0*-1</f>
        <v>0</v>
      </c>
      <c r="D120" s="15">
        <f>3.833/3.281</f>
        <v>1.1682413898201769</v>
      </c>
      <c r="E120" s="16"/>
      <c r="F120" s="16"/>
      <c r="G120" s="131">
        <f t="shared" si="9"/>
        <v>0</v>
      </c>
      <c r="H120" s="18"/>
      <c r="I120" s="19"/>
      <c r="J120" s="132"/>
      <c r="K120" s="16"/>
      <c r="M120" s="21"/>
      <c r="N120" s="21"/>
    </row>
    <row r="121" spans="1:15" ht="15" hidden="1" customHeight="1" x14ac:dyDescent="0.25">
      <c r="A121" s="12"/>
      <c r="B121" s="133" t="s">
        <v>56</v>
      </c>
      <c r="C121" s="14">
        <f>0*2</f>
        <v>0</v>
      </c>
      <c r="D121" s="15">
        <f>(24/12/3.281)*4</f>
        <v>2.4382810118866196</v>
      </c>
      <c r="E121" s="16"/>
      <c r="F121" s="16"/>
      <c r="G121" s="131">
        <f>PRODUCT(C121:F121)</f>
        <v>0</v>
      </c>
      <c r="H121" s="18"/>
      <c r="I121" s="19"/>
      <c r="J121" s="132"/>
      <c r="K121" s="16"/>
      <c r="M121" s="21"/>
      <c r="N121" s="21"/>
    </row>
    <row r="122" spans="1:15" ht="15" hidden="1" customHeight="1" x14ac:dyDescent="0.25">
      <c r="A122" s="12"/>
      <c r="B122" s="133" t="s">
        <v>25</v>
      </c>
      <c r="C122" s="14"/>
      <c r="D122" s="15"/>
      <c r="E122" s="16"/>
      <c r="F122" s="16"/>
      <c r="G122" s="19">
        <f>SUM(G118:G121)</f>
        <v>0</v>
      </c>
      <c r="H122" s="18" t="s">
        <v>73</v>
      </c>
      <c r="I122" s="19">
        <f>4490.81/10</f>
        <v>449.08100000000002</v>
      </c>
      <c r="J122" s="132">
        <f>G122*I122</f>
        <v>0</v>
      </c>
      <c r="K122" s="16"/>
      <c r="M122" s="21"/>
      <c r="N122" s="21"/>
      <c r="O122">
        <f>516.44/1.15</f>
        <v>449.07826086956533</v>
      </c>
    </row>
    <row r="123" spans="1:15" ht="15" hidden="1" customHeight="1" x14ac:dyDescent="0.25">
      <c r="A123" s="12"/>
      <c r="B123" s="133" t="s">
        <v>49</v>
      </c>
      <c r="C123" s="14"/>
      <c r="D123" s="15"/>
      <c r="E123" s="16"/>
      <c r="F123" s="16"/>
      <c r="G123" s="19"/>
      <c r="H123" s="18"/>
      <c r="I123" s="19"/>
      <c r="J123" s="132">
        <f>G122*0.13*(2723.31/10)</f>
        <v>0</v>
      </c>
      <c r="K123" s="16"/>
      <c r="M123" s="21"/>
      <c r="N123" s="21"/>
    </row>
    <row r="124" spans="1:15" ht="15" hidden="1" customHeight="1" x14ac:dyDescent="0.25">
      <c r="A124" s="12"/>
      <c r="B124" s="133"/>
      <c r="C124" s="14"/>
      <c r="D124" s="15"/>
      <c r="E124" s="16"/>
      <c r="F124" s="16"/>
      <c r="G124" s="19"/>
      <c r="H124" s="18"/>
      <c r="I124" s="19"/>
      <c r="J124" s="132"/>
      <c r="K124" s="16"/>
      <c r="M124" s="21"/>
      <c r="N124" s="21"/>
    </row>
    <row r="125" spans="1:15" ht="30.75" hidden="1" customHeight="1" x14ac:dyDescent="0.25">
      <c r="A125" s="12">
        <v>15</v>
      </c>
      <c r="B125" s="134" t="s">
        <v>77</v>
      </c>
      <c r="C125" s="137"/>
      <c r="D125" s="131"/>
      <c r="E125" s="131"/>
      <c r="F125" s="131"/>
      <c r="G125" s="131"/>
      <c r="H125" s="131"/>
      <c r="I125" s="131"/>
      <c r="J125" s="149"/>
      <c r="K125" s="141"/>
    </row>
    <row r="126" spans="1:15" ht="15" hidden="1" customHeight="1" x14ac:dyDescent="0.25">
      <c r="A126" s="12"/>
      <c r="B126" s="133" t="s">
        <v>54</v>
      </c>
      <c r="C126" s="14">
        <f>0*(1*2-1)</f>
        <v>0</v>
      </c>
      <c r="D126" s="15">
        <f>D118</f>
        <v>5.0289545870161536</v>
      </c>
      <c r="E126" s="16"/>
      <c r="F126" s="16"/>
      <c r="G126" s="131">
        <f t="shared" ref="G126" si="10">PRODUCT(C126:F126)</f>
        <v>0</v>
      </c>
      <c r="H126" s="18"/>
      <c r="I126" s="19"/>
      <c r="J126" s="132"/>
      <c r="K126" s="16"/>
      <c r="M126" s="21"/>
      <c r="N126" s="21"/>
    </row>
    <row r="127" spans="1:15" ht="15" hidden="1" customHeight="1" x14ac:dyDescent="0.25">
      <c r="A127" s="12"/>
      <c r="B127" s="133" t="s">
        <v>56</v>
      </c>
      <c r="C127" s="14">
        <f>0*2</f>
        <v>0</v>
      </c>
      <c r="D127" s="15">
        <f>(24/12/3.281)*4</f>
        <v>2.4382810118866196</v>
      </c>
      <c r="E127" s="16"/>
      <c r="F127" s="16"/>
      <c r="G127" s="131">
        <f>PRODUCT(C127:F127)</f>
        <v>0</v>
      </c>
      <c r="H127" s="18"/>
      <c r="I127" s="19"/>
      <c r="J127" s="132"/>
      <c r="K127" s="16"/>
      <c r="M127" s="21"/>
      <c r="N127" s="21"/>
    </row>
    <row r="128" spans="1:15" ht="15" hidden="1" customHeight="1" x14ac:dyDescent="0.25">
      <c r="A128" s="12"/>
      <c r="B128" s="133" t="s">
        <v>25</v>
      </c>
      <c r="C128" s="14"/>
      <c r="D128" s="15"/>
      <c r="E128" s="16"/>
      <c r="F128" s="16"/>
      <c r="G128" s="19">
        <f>SUM(G126:G127)</f>
        <v>0</v>
      </c>
      <c r="H128" s="18" t="s">
        <v>73</v>
      </c>
      <c r="I128" s="19">
        <f>462.97/1.15</f>
        <v>402.58260869565225</v>
      </c>
      <c r="J128" s="132">
        <f>G128*I128</f>
        <v>0</v>
      </c>
      <c r="K128" s="16"/>
      <c r="M128" s="21"/>
      <c r="N128" s="21"/>
    </row>
    <row r="129" spans="1:14" ht="15" hidden="1" customHeight="1" x14ac:dyDescent="0.25">
      <c r="A129" s="12"/>
      <c r="B129" s="133" t="s">
        <v>49</v>
      </c>
      <c r="C129" s="14"/>
      <c r="D129" s="15"/>
      <c r="E129" s="16"/>
      <c r="F129" s="16"/>
      <c r="G129" s="19"/>
      <c r="H129" s="18"/>
      <c r="I129" s="19"/>
      <c r="J129" s="132">
        <f>G128*0.13*(2258.31/10)</f>
        <v>0</v>
      </c>
      <c r="K129" s="16"/>
      <c r="M129" s="21"/>
      <c r="N129" s="21"/>
    </row>
    <row r="130" spans="1:14" ht="15" hidden="1" customHeight="1" x14ac:dyDescent="0.25">
      <c r="A130" s="12"/>
      <c r="B130" s="141"/>
      <c r="C130" s="14"/>
      <c r="D130" s="15"/>
      <c r="E130" s="16"/>
      <c r="F130" s="16"/>
      <c r="G130" s="19"/>
      <c r="H130" s="18"/>
      <c r="I130" s="19"/>
      <c r="J130" s="132"/>
      <c r="K130" s="16"/>
      <c r="M130" s="21"/>
      <c r="N130" s="21"/>
    </row>
    <row r="131" spans="1:14" ht="31.5" hidden="1" x14ac:dyDescent="0.25">
      <c r="A131" s="12">
        <v>16</v>
      </c>
      <c r="B131" s="134" t="s">
        <v>78</v>
      </c>
      <c r="C131" s="14"/>
      <c r="D131" s="15"/>
      <c r="E131" s="16"/>
      <c r="F131" s="16"/>
      <c r="G131" s="19"/>
      <c r="H131" s="18"/>
      <c r="I131" s="19"/>
      <c r="J131" s="132"/>
      <c r="K131" s="16"/>
      <c r="M131" s="21"/>
      <c r="N131" s="21"/>
    </row>
    <row r="132" spans="1:14" ht="15" hidden="1" customHeight="1" x14ac:dyDescent="0.25">
      <c r="A132" s="12"/>
      <c r="B132" s="133" t="s">
        <v>54</v>
      </c>
      <c r="C132" s="14">
        <f>0*(1*2-1)</f>
        <v>0</v>
      </c>
      <c r="D132" s="15">
        <f>D156</f>
        <v>5.0289545870161536</v>
      </c>
      <c r="E132" s="16"/>
      <c r="F132" s="16"/>
      <c r="G132" s="131">
        <f t="shared" ref="G132" si="11">PRODUCT(C132:F132)</f>
        <v>0</v>
      </c>
      <c r="H132" s="18"/>
      <c r="I132" s="19"/>
      <c r="J132" s="132"/>
      <c r="K132" s="16"/>
      <c r="M132" s="21"/>
      <c r="N132" s="21"/>
    </row>
    <row r="133" spans="1:14" ht="15" hidden="1" customHeight="1" x14ac:dyDescent="0.25">
      <c r="A133" s="12"/>
      <c r="B133" s="133" t="s">
        <v>56</v>
      </c>
      <c r="C133" s="14">
        <f>0*2</f>
        <v>0</v>
      </c>
      <c r="D133" s="15">
        <f>(24/12/3.281)*4</f>
        <v>2.4382810118866196</v>
      </c>
      <c r="E133" s="16"/>
      <c r="F133" s="16"/>
      <c r="G133" s="131">
        <f>PRODUCT(C133:F133)</f>
        <v>0</v>
      </c>
      <c r="H133" s="18"/>
      <c r="I133" s="19"/>
      <c r="J133" s="132"/>
      <c r="K133" s="16"/>
      <c r="M133" s="21"/>
      <c r="N133" s="21"/>
    </row>
    <row r="134" spans="1:14" ht="15" hidden="1" customHeight="1" x14ac:dyDescent="0.25">
      <c r="A134" s="12"/>
      <c r="B134" s="133" t="s">
        <v>25</v>
      </c>
      <c r="C134" s="14"/>
      <c r="D134" s="15"/>
      <c r="E134" s="16"/>
      <c r="F134" s="16"/>
      <c r="G134" s="19">
        <f>SUM(G132:G133)</f>
        <v>0</v>
      </c>
      <c r="H134" s="18" t="s">
        <v>73</v>
      </c>
      <c r="I134" s="19">
        <f>4738.81/10</f>
        <v>473.88100000000003</v>
      </c>
      <c r="J134" s="132">
        <f>G134*I134</f>
        <v>0</v>
      </c>
      <c r="K134" s="16"/>
      <c r="M134" s="21"/>
      <c r="N134" s="21"/>
    </row>
    <row r="135" spans="1:14" ht="15" hidden="1" customHeight="1" x14ac:dyDescent="0.25">
      <c r="A135" s="12"/>
      <c r="B135" s="133" t="s">
        <v>49</v>
      </c>
      <c r="C135" s="14"/>
      <c r="D135" s="15"/>
      <c r="E135" s="16"/>
      <c r="F135" s="16"/>
      <c r="G135" s="19"/>
      <c r="H135" s="18"/>
      <c r="I135" s="19"/>
      <c r="J135" s="132">
        <f>G134*0.13*(2971.31/10)</f>
        <v>0</v>
      </c>
      <c r="K135" s="16"/>
      <c r="M135" s="21"/>
      <c r="N135" s="21"/>
    </row>
    <row r="136" spans="1:14" ht="15" hidden="1" customHeight="1" x14ac:dyDescent="0.25">
      <c r="A136" s="12"/>
      <c r="B136" s="133"/>
      <c r="C136" s="14"/>
      <c r="D136" s="15"/>
      <c r="E136" s="16"/>
      <c r="F136" s="16"/>
      <c r="G136" s="19"/>
      <c r="H136" s="18"/>
      <c r="I136" s="19"/>
      <c r="J136" s="132"/>
      <c r="K136" s="16"/>
      <c r="M136" s="21"/>
      <c r="N136" s="21"/>
    </row>
    <row r="137" spans="1:14" ht="31.5" hidden="1" x14ac:dyDescent="0.25">
      <c r="A137" s="12">
        <v>17</v>
      </c>
      <c r="B137" s="134" t="s">
        <v>79</v>
      </c>
      <c r="C137" s="14"/>
      <c r="D137" s="15"/>
      <c r="E137" s="16"/>
      <c r="F137" s="16"/>
      <c r="G137" s="19"/>
      <c r="H137" s="18"/>
      <c r="I137" s="19"/>
      <c r="J137" s="132"/>
      <c r="K137" s="16"/>
      <c r="M137" s="21"/>
      <c r="N137" s="21"/>
    </row>
    <row r="138" spans="1:14" ht="15" hidden="1" customHeight="1" x14ac:dyDescent="0.25">
      <c r="A138" s="12"/>
      <c r="B138" s="133" t="s">
        <v>54</v>
      </c>
      <c r="C138" s="14">
        <f>0*(1*2-1)</f>
        <v>0</v>
      </c>
      <c r="D138" s="15">
        <f>D132</f>
        <v>5.0289545870161536</v>
      </c>
      <c r="E138" s="16"/>
      <c r="F138" s="16"/>
      <c r="G138" s="131">
        <f>PRODUCT(C138:F138)</f>
        <v>0</v>
      </c>
      <c r="H138" s="18"/>
      <c r="I138" s="19"/>
      <c r="J138" s="132"/>
      <c r="K138" s="16"/>
      <c r="M138" s="21"/>
      <c r="N138" s="21"/>
    </row>
    <row r="139" spans="1:14" ht="15" hidden="1" customHeight="1" x14ac:dyDescent="0.25">
      <c r="A139" s="12"/>
      <c r="B139" s="133" t="s">
        <v>56</v>
      </c>
      <c r="C139" s="14">
        <f>0*2</f>
        <v>0</v>
      </c>
      <c r="D139" s="15">
        <f>(24/12/3.281)*4</f>
        <v>2.4382810118866196</v>
      </c>
      <c r="E139" s="16"/>
      <c r="F139" s="16"/>
      <c r="G139" s="131">
        <f>PRODUCT(C139:F139)</f>
        <v>0</v>
      </c>
      <c r="H139" s="18"/>
      <c r="I139" s="19"/>
      <c r="J139" s="132"/>
      <c r="K139" s="16"/>
      <c r="M139" s="21"/>
      <c r="N139" s="21"/>
    </row>
    <row r="140" spans="1:14" ht="15" hidden="1" customHeight="1" x14ac:dyDescent="0.25">
      <c r="A140" s="12"/>
      <c r="B140" s="133" t="s">
        <v>25</v>
      </c>
      <c r="C140" s="14"/>
      <c r="D140" s="15"/>
      <c r="E140" s="16"/>
      <c r="F140" s="16"/>
      <c r="G140" s="19">
        <f>SUM(G138:G139)</f>
        <v>0</v>
      </c>
      <c r="H140" s="18" t="s">
        <v>73</v>
      </c>
      <c r="I140" s="19">
        <f>623.05/1.15</f>
        <v>541.78260869565213</v>
      </c>
      <c r="J140" s="132">
        <f>G140*I140</f>
        <v>0</v>
      </c>
      <c r="K140" s="16"/>
      <c r="M140" s="21"/>
      <c r="N140" s="21"/>
    </row>
    <row r="141" spans="1:14" ht="15" hidden="1" customHeight="1" x14ac:dyDescent="0.25">
      <c r="A141" s="12"/>
      <c r="B141" s="133" t="s">
        <v>49</v>
      </c>
      <c r="C141" s="14"/>
      <c r="D141" s="15"/>
      <c r="E141" s="16"/>
      <c r="F141" s="16"/>
      <c r="G141" s="19"/>
      <c r="H141" s="18"/>
      <c r="I141" s="19"/>
      <c r="J141" s="132">
        <f>G140*0.13*(3650.31/10)</f>
        <v>0</v>
      </c>
      <c r="K141" s="16"/>
      <c r="M141" s="21"/>
      <c r="N141" s="21"/>
    </row>
    <row r="142" spans="1:14" ht="15" hidden="1" customHeight="1" x14ac:dyDescent="0.25">
      <c r="A142" s="12"/>
      <c r="B142" s="133"/>
      <c r="C142" s="14"/>
      <c r="D142" s="15"/>
      <c r="E142" s="16"/>
      <c r="F142" s="16"/>
      <c r="G142" s="19"/>
      <c r="H142" s="18"/>
      <c r="I142" s="19"/>
      <c r="J142" s="132"/>
      <c r="K142" s="16"/>
      <c r="M142" s="21"/>
      <c r="N142" s="21"/>
    </row>
    <row r="143" spans="1:14" ht="31.5" hidden="1" x14ac:dyDescent="0.25">
      <c r="A143" s="12">
        <v>18</v>
      </c>
      <c r="B143" s="134" t="s">
        <v>80</v>
      </c>
      <c r="C143" s="14"/>
      <c r="D143" s="15"/>
      <c r="E143" s="16"/>
      <c r="F143" s="16"/>
      <c r="G143" s="19"/>
      <c r="H143" s="18"/>
      <c r="I143" s="19"/>
      <c r="J143" s="132"/>
      <c r="K143" s="16"/>
      <c r="M143" s="21"/>
      <c r="N143" s="21"/>
    </row>
    <row r="144" spans="1:14" ht="15" hidden="1" customHeight="1" x14ac:dyDescent="0.25">
      <c r="A144" s="12"/>
      <c r="B144" s="133" t="s">
        <v>54</v>
      </c>
      <c r="C144" s="14">
        <f>0*(1*2-1)</f>
        <v>0</v>
      </c>
      <c r="D144" s="15">
        <f>D138</f>
        <v>5.0289545870161536</v>
      </c>
      <c r="E144" s="16"/>
      <c r="F144" s="16"/>
      <c r="G144" s="131">
        <f t="shared" ref="G144" si="12">PRODUCT(C144:F144)</f>
        <v>0</v>
      </c>
      <c r="H144" s="18"/>
      <c r="I144" s="19"/>
      <c r="J144" s="132"/>
      <c r="K144" s="16"/>
      <c r="M144" s="21"/>
      <c r="N144" s="21"/>
    </row>
    <row r="145" spans="1:14" ht="15" hidden="1" customHeight="1" x14ac:dyDescent="0.25">
      <c r="A145" s="12"/>
      <c r="B145" s="133" t="s">
        <v>56</v>
      </c>
      <c r="C145" s="14">
        <f>0*2</f>
        <v>0</v>
      </c>
      <c r="D145" s="15">
        <f>(24/12/3.281)*4</f>
        <v>2.4382810118866196</v>
      </c>
      <c r="E145" s="16"/>
      <c r="F145" s="16"/>
      <c r="G145" s="131">
        <f>PRODUCT(C145:F145)</f>
        <v>0</v>
      </c>
      <c r="H145" s="18"/>
      <c r="I145" s="19"/>
      <c r="J145" s="132"/>
      <c r="K145" s="16"/>
      <c r="M145" s="21"/>
      <c r="N145" s="21"/>
    </row>
    <row r="146" spans="1:14" ht="15" hidden="1" customHeight="1" x14ac:dyDescent="0.25">
      <c r="A146" s="12"/>
      <c r="B146" s="133" t="s">
        <v>25</v>
      </c>
      <c r="C146" s="14"/>
      <c r="D146" s="15"/>
      <c r="E146" s="16"/>
      <c r="F146" s="16"/>
      <c r="G146" s="19">
        <f>SUM(G144:G145)</f>
        <v>0</v>
      </c>
      <c r="H146" s="18" t="s">
        <v>73</v>
      </c>
      <c r="I146" s="19">
        <f>4862.81/10</f>
        <v>486.28100000000006</v>
      </c>
      <c r="J146" s="132">
        <f>G146*I146</f>
        <v>0</v>
      </c>
      <c r="K146" s="16"/>
      <c r="M146" s="21"/>
      <c r="N146" s="21"/>
    </row>
    <row r="147" spans="1:14" ht="15" hidden="1" customHeight="1" x14ac:dyDescent="0.25">
      <c r="A147" s="12"/>
      <c r="B147" s="133" t="s">
        <v>49</v>
      </c>
      <c r="C147" s="14"/>
      <c r="D147" s="15"/>
      <c r="E147" s="16"/>
      <c r="F147" s="16"/>
      <c r="G147" s="19"/>
      <c r="H147" s="18"/>
      <c r="I147" s="19"/>
      <c r="J147" s="132">
        <f>G146*0.13*(3095.31/10)</f>
        <v>0</v>
      </c>
      <c r="K147" s="16"/>
      <c r="M147" s="21"/>
      <c r="N147" s="21"/>
    </row>
    <row r="148" spans="1:14" ht="15" hidden="1" customHeight="1" x14ac:dyDescent="0.25">
      <c r="A148" s="12"/>
      <c r="B148" s="133"/>
      <c r="C148" s="14"/>
      <c r="D148" s="15"/>
      <c r="E148" s="16"/>
      <c r="F148" s="16"/>
      <c r="G148" s="19"/>
      <c r="H148" s="18"/>
      <c r="I148" s="19"/>
      <c r="J148" s="132"/>
      <c r="K148" s="16"/>
      <c r="M148" s="21"/>
      <c r="N148" s="21"/>
    </row>
    <row r="149" spans="1:14" ht="31.5" hidden="1" x14ac:dyDescent="0.25">
      <c r="A149" s="12">
        <v>19</v>
      </c>
      <c r="B149" s="134" t="s">
        <v>81</v>
      </c>
      <c r="C149" s="14"/>
      <c r="D149" s="15"/>
      <c r="E149" s="16"/>
      <c r="F149" s="16"/>
      <c r="G149" s="19"/>
      <c r="H149" s="18"/>
      <c r="I149" s="19"/>
      <c r="J149" s="132"/>
      <c r="K149" s="16"/>
      <c r="M149" s="21"/>
      <c r="N149" s="21"/>
    </row>
    <row r="150" spans="1:14" ht="15" hidden="1" customHeight="1" x14ac:dyDescent="0.25">
      <c r="A150" s="12"/>
      <c r="B150" s="133" t="s">
        <v>54</v>
      </c>
      <c r="C150" s="14">
        <f>0*(1*2-1)</f>
        <v>0</v>
      </c>
      <c r="D150" s="15">
        <f>D144</f>
        <v>5.0289545870161536</v>
      </c>
      <c r="E150" s="16"/>
      <c r="F150" s="16"/>
      <c r="G150" s="131">
        <f t="shared" ref="G150" si="13">PRODUCT(C150:F150)</f>
        <v>0</v>
      </c>
      <c r="H150" s="18"/>
      <c r="I150" s="19"/>
      <c r="J150" s="132"/>
      <c r="K150" s="16"/>
      <c r="M150" s="21"/>
      <c r="N150" s="21"/>
    </row>
    <row r="151" spans="1:14" ht="15" hidden="1" customHeight="1" x14ac:dyDescent="0.25">
      <c r="A151" s="12"/>
      <c r="B151" s="133" t="s">
        <v>56</v>
      </c>
      <c r="C151" s="14">
        <f>0*2</f>
        <v>0</v>
      </c>
      <c r="D151" s="15">
        <f>(24/12/3.281)*4</f>
        <v>2.4382810118866196</v>
      </c>
      <c r="E151" s="16"/>
      <c r="F151" s="16"/>
      <c r="G151" s="131">
        <f>PRODUCT(C151:F151)</f>
        <v>0</v>
      </c>
      <c r="H151" s="18"/>
      <c r="I151" s="19"/>
      <c r="J151" s="132"/>
      <c r="K151" s="16"/>
      <c r="M151" s="21"/>
      <c r="N151" s="21"/>
    </row>
    <row r="152" spans="1:14" ht="15" hidden="1" customHeight="1" x14ac:dyDescent="0.25">
      <c r="A152" s="12"/>
      <c r="B152" s="133" t="s">
        <v>25</v>
      </c>
      <c r="C152" s="14"/>
      <c r="D152" s="15"/>
      <c r="E152" s="16"/>
      <c r="F152" s="16"/>
      <c r="G152" s="19">
        <f>SUM(G150:G151)</f>
        <v>0</v>
      </c>
      <c r="H152" s="18" t="s">
        <v>73</v>
      </c>
      <c r="I152" s="19">
        <f>4676.81/10</f>
        <v>467.68100000000004</v>
      </c>
      <c r="J152" s="132">
        <f>G152*I152</f>
        <v>0</v>
      </c>
      <c r="K152" s="16"/>
      <c r="M152" s="21"/>
      <c r="N152" s="21"/>
    </row>
    <row r="153" spans="1:14" ht="15" hidden="1" customHeight="1" x14ac:dyDescent="0.25">
      <c r="A153" s="12"/>
      <c r="B153" s="133" t="s">
        <v>49</v>
      </c>
      <c r="C153" s="14"/>
      <c r="D153" s="15"/>
      <c r="E153" s="16"/>
      <c r="F153" s="16"/>
      <c r="G153" s="19"/>
      <c r="H153" s="18"/>
      <c r="I153" s="19"/>
      <c r="J153" s="132">
        <f>G152*0.13*(2909.31/10)</f>
        <v>0</v>
      </c>
      <c r="K153" s="16"/>
      <c r="M153" s="21"/>
      <c r="N153" s="21"/>
    </row>
    <row r="154" spans="1:14" ht="15" hidden="1" customHeight="1" x14ac:dyDescent="0.25">
      <c r="A154" s="12"/>
      <c r="B154" s="133"/>
      <c r="C154" s="14"/>
      <c r="D154" s="15"/>
      <c r="E154" s="16"/>
      <c r="F154" s="16"/>
      <c r="G154" s="19"/>
      <c r="H154" s="18"/>
      <c r="I154" s="19"/>
      <c r="J154" s="132"/>
      <c r="K154" s="16"/>
      <c r="M154" s="21"/>
      <c r="N154" s="21"/>
    </row>
    <row r="155" spans="1:14" ht="30.75" hidden="1" customHeight="1" x14ac:dyDescent="0.25">
      <c r="A155" s="12">
        <v>20</v>
      </c>
      <c r="B155" s="134" t="s">
        <v>82</v>
      </c>
      <c r="C155" s="137"/>
      <c r="D155" s="131"/>
      <c r="E155" s="131"/>
      <c r="F155" s="131"/>
      <c r="G155" s="131"/>
      <c r="H155" s="131"/>
      <c r="I155" s="131"/>
      <c r="J155" s="149"/>
      <c r="K155" s="141"/>
    </row>
    <row r="156" spans="1:14" ht="15" hidden="1" customHeight="1" x14ac:dyDescent="0.25">
      <c r="A156" s="12"/>
      <c r="B156" s="133" t="s">
        <v>54</v>
      </c>
      <c r="C156" s="14">
        <f>0*(2*2-2)</f>
        <v>0</v>
      </c>
      <c r="D156" s="15">
        <f>D118</f>
        <v>5.0289545870161536</v>
      </c>
      <c r="E156" s="16"/>
      <c r="F156" s="16"/>
      <c r="G156" s="131">
        <f t="shared" ref="G156" si="14">PRODUCT(C156:F156)</f>
        <v>0</v>
      </c>
      <c r="H156" s="18"/>
      <c r="I156" s="19"/>
      <c r="J156" s="132"/>
      <c r="K156" s="16"/>
      <c r="M156" s="21"/>
      <c r="N156" s="21"/>
    </row>
    <row r="157" spans="1:14" ht="15" hidden="1" customHeight="1" x14ac:dyDescent="0.25">
      <c r="A157" s="12"/>
      <c r="B157" s="133" t="s">
        <v>56</v>
      </c>
      <c r="C157" s="14">
        <f>0*2</f>
        <v>0</v>
      </c>
      <c r="D157" s="15">
        <f>(24/12/3.281)*4</f>
        <v>2.4382810118866196</v>
      </c>
      <c r="E157" s="16"/>
      <c r="F157" s="16"/>
      <c r="G157" s="131">
        <f>PRODUCT(C157:F157)</f>
        <v>0</v>
      </c>
      <c r="H157" s="18"/>
      <c r="I157" s="19"/>
      <c r="J157" s="132"/>
      <c r="K157" s="16"/>
      <c r="M157" s="21"/>
      <c r="N157" s="21"/>
    </row>
    <row r="158" spans="1:14" ht="15" hidden="1" customHeight="1" x14ac:dyDescent="0.25">
      <c r="A158" s="12"/>
      <c r="B158" s="133" t="s">
        <v>25</v>
      </c>
      <c r="C158" s="14"/>
      <c r="D158" s="15"/>
      <c r="E158" s="16"/>
      <c r="F158" s="16"/>
      <c r="G158" s="19">
        <f>SUM(G156:G157)</f>
        <v>0</v>
      </c>
      <c r="H158" s="18" t="s">
        <v>73</v>
      </c>
      <c r="I158" s="19">
        <f>3932.81/10</f>
        <v>393.28100000000001</v>
      </c>
      <c r="J158" s="132">
        <f>G158*I158</f>
        <v>0</v>
      </c>
      <c r="K158" s="16"/>
      <c r="M158" s="21"/>
      <c r="N158" s="21"/>
    </row>
    <row r="159" spans="1:14" ht="15" hidden="1" customHeight="1" x14ac:dyDescent="0.25">
      <c r="A159" s="12"/>
      <c r="B159" s="133" t="s">
        <v>49</v>
      </c>
      <c r="C159" s="14"/>
      <c r="D159" s="15"/>
      <c r="E159" s="16"/>
      <c r="F159" s="16"/>
      <c r="G159" s="19"/>
      <c r="H159" s="18"/>
      <c r="I159" s="19"/>
      <c r="J159" s="132">
        <f>G158*0.13*(2165.31/10)</f>
        <v>0</v>
      </c>
      <c r="K159" s="16"/>
      <c r="M159" s="21"/>
      <c r="N159" s="21"/>
    </row>
    <row r="160" spans="1:14" ht="15" hidden="1" customHeight="1" x14ac:dyDescent="0.25">
      <c r="A160" s="12"/>
      <c r="B160" s="133"/>
      <c r="C160" s="14"/>
      <c r="D160" s="15"/>
      <c r="E160" s="16"/>
      <c r="F160" s="16"/>
      <c r="G160" s="19"/>
      <c r="H160" s="18"/>
      <c r="I160" s="19"/>
      <c r="J160" s="132"/>
      <c r="K160" s="16"/>
      <c r="M160" s="21"/>
      <c r="N160" s="21"/>
    </row>
    <row r="161" spans="1:14" ht="45" hidden="1" customHeight="1" x14ac:dyDescent="0.25">
      <c r="A161" s="136">
        <v>19</v>
      </c>
      <c r="B161" s="155" t="s">
        <v>123</v>
      </c>
      <c r="C161" s="137"/>
      <c r="D161" s="131"/>
      <c r="E161" s="131"/>
      <c r="F161" s="131"/>
      <c r="G161" s="131"/>
      <c r="H161" s="131"/>
      <c r="I161" s="131"/>
      <c r="J161" s="149"/>
      <c r="K161" s="141"/>
    </row>
    <row r="162" spans="1:14" ht="15" hidden="1" customHeight="1" x14ac:dyDescent="0.25">
      <c r="A162" s="136"/>
      <c r="B162" s="133" t="s">
        <v>83</v>
      </c>
      <c r="C162" s="137">
        <f>0*1*2</f>
        <v>0</v>
      </c>
      <c r="D162" s="131">
        <f>(2.75+2.6)/2</f>
        <v>2.6749999999999998</v>
      </c>
      <c r="E162" s="131">
        <v>6.2</v>
      </c>
      <c r="F162" s="131"/>
      <c r="G162" s="131">
        <f>PRODUCT(C162:F162)</f>
        <v>0</v>
      </c>
      <c r="H162" s="131"/>
      <c r="I162" s="131"/>
      <c r="J162" s="149"/>
      <c r="K162" s="141"/>
    </row>
    <row r="163" spans="1:14" ht="15" hidden="1" customHeight="1" x14ac:dyDescent="0.25">
      <c r="A163" s="136"/>
      <c r="B163" s="133"/>
      <c r="C163" s="137">
        <f>0*1</f>
        <v>0</v>
      </c>
      <c r="D163" s="131">
        <v>2.5</v>
      </c>
      <c r="E163" s="131">
        <f>3+0.675</f>
        <v>3.6749999999999998</v>
      </c>
      <c r="F163" s="131"/>
      <c r="G163" s="131">
        <f>PRODUCT(C163:F163)</f>
        <v>0</v>
      </c>
      <c r="H163" s="131"/>
      <c r="I163" s="131"/>
      <c r="J163" s="149"/>
      <c r="K163" s="141"/>
    </row>
    <row r="164" spans="1:14" ht="15" hidden="1" customHeight="1" x14ac:dyDescent="0.25">
      <c r="A164" s="136"/>
      <c r="B164" s="133" t="s">
        <v>25</v>
      </c>
      <c r="C164" s="137"/>
      <c r="D164" s="131"/>
      <c r="E164" s="131"/>
      <c r="F164" s="131"/>
      <c r="G164" s="138">
        <f>SUM(G162:G163)</f>
        <v>0</v>
      </c>
      <c r="H164" s="138" t="s">
        <v>26</v>
      </c>
      <c r="I164" s="139">
        <f>27795.91/10</f>
        <v>2779.5909999999999</v>
      </c>
      <c r="J164" s="140">
        <f>G164*I164</f>
        <v>0</v>
      </c>
      <c r="K164" s="141"/>
    </row>
    <row r="165" spans="1:14" ht="15" hidden="1" customHeight="1" x14ac:dyDescent="0.25">
      <c r="A165" s="12"/>
      <c r="B165" s="133" t="s">
        <v>49</v>
      </c>
      <c r="C165" s="14"/>
      <c r="D165" s="15"/>
      <c r="E165" s="16"/>
      <c r="F165" s="16"/>
      <c r="G165" s="19"/>
      <c r="H165" s="18"/>
      <c r="I165" s="19"/>
      <c r="J165" s="132">
        <f>G164*0.13*(17805.91/10)</f>
        <v>0</v>
      </c>
      <c r="K165" s="16"/>
      <c r="M165" s="21"/>
      <c r="N165" s="21"/>
    </row>
    <row r="166" spans="1:14" ht="15" hidden="1" customHeight="1" x14ac:dyDescent="0.25">
      <c r="A166" s="136"/>
      <c r="B166" s="133"/>
      <c r="C166" s="137"/>
      <c r="D166" s="131"/>
      <c r="E166" s="131"/>
      <c r="F166" s="131"/>
      <c r="G166" s="138"/>
      <c r="H166" s="138"/>
      <c r="I166" s="139"/>
      <c r="J166" s="140"/>
      <c r="K166" s="141"/>
    </row>
    <row r="167" spans="1:14" ht="31.5" hidden="1" x14ac:dyDescent="0.25">
      <c r="A167" s="12">
        <v>20</v>
      </c>
      <c r="B167" s="134" t="s">
        <v>84</v>
      </c>
      <c r="C167" s="137"/>
      <c r="D167" s="131"/>
      <c r="E167" s="131"/>
      <c r="F167" s="131"/>
      <c r="G167" s="131"/>
      <c r="H167" s="131"/>
      <c r="I167" s="131"/>
      <c r="J167" s="149"/>
      <c r="K167" s="141"/>
    </row>
    <row r="168" spans="1:14" ht="15" hidden="1" customHeight="1" x14ac:dyDescent="0.25">
      <c r="A168" s="136"/>
      <c r="B168" s="133" t="s">
        <v>85</v>
      </c>
      <c r="C168" s="137">
        <f>0*1</f>
        <v>0</v>
      </c>
      <c r="D168" s="131">
        <f>(2.75+2.6)/2</f>
        <v>2.6749999999999998</v>
      </c>
      <c r="E168" s="131">
        <v>6.2</v>
      </c>
      <c r="F168" s="131"/>
      <c r="G168" s="131">
        <f>PRODUCT(C168:F168)</f>
        <v>0</v>
      </c>
      <c r="H168" s="131"/>
      <c r="I168" s="131"/>
      <c r="J168" s="149"/>
      <c r="K168" s="141"/>
    </row>
    <row r="169" spans="1:14" ht="15" hidden="1" customHeight="1" x14ac:dyDescent="0.25">
      <c r="A169" s="136"/>
      <c r="B169" s="133" t="s">
        <v>86</v>
      </c>
      <c r="C169" s="137">
        <f>0*1</f>
        <v>0</v>
      </c>
      <c r="D169" s="131">
        <v>2</v>
      </c>
      <c r="E169" s="131">
        <v>3</v>
      </c>
      <c r="F169" s="131"/>
      <c r="G169" s="131">
        <f>PRODUCT(C169:F169)</f>
        <v>0</v>
      </c>
      <c r="H169" s="131"/>
      <c r="I169" s="131"/>
      <c r="J169" s="149"/>
      <c r="K169" s="141"/>
    </row>
    <row r="170" spans="1:14" ht="15" hidden="1" customHeight="1" x14ac:dyDescent="0.25">
      <c r="A170" s="136"/>
      <c r="B170" s="133" t="s">
        <v>25</v>
      </c>
      <c r="C170" s="137"/>
      <c r="D170" s="131"/>
      <c r="E170" s="131"/>
      <c r="F170" s="131"/>
      <c r="G170" s="138">
        <f>SUM(G168:G169)</f>
        <v>0</v>
      </c>
      <c r="H170" s="138" t="s">
        <v>26</v>
      </c>
      <c r="I170" s="139">
        <f>50406.04/100</f>
        <v>504.06040000000002</v>
      </c>
      <c r="J170" s="140">
        <f>G170*I170</f>
        <v>0</v>
      </c>
      <c r="K170" s="141"/>
    </row>
    <row r="171" spans="1:14" ht="15" hidden="1" customHeight="1" x14ac:dyDescent="0.25">
      <c r="A171" s="12"/>
      <c r="B171" s="133" t="s">
        <v>49</v>
      </c>
      <c r="C171" s="14"/>
      <c r="D171" s="15"/>
      <c r="E171" s="16"/>
      <c r="F171" s="16"/>
      <c r="G171" s="19"/>
      <c r="H171" s="18"/>
      <c r="I171" s="19"/>
      <c r="J171" s="132">
        <f>G170*0.13*(20166.04/100)</f>
        <v>0</v>
      </c>
      <c r="K171" s="16"/>
      <c r="M171" s="21"/>
      <c r="N171" s="21"/>
    </row>
    <row r="172" spans="1:14" ht="15" hidden="1" customHeight="1" x14ac:dyDescent="0.25">
      <c r="A172" s="12"/>
      <c r="B172" s="133"/>
      <c r="C172" s="14"/>
      <c r="D172" s="15"/>
      <c r="E172" s="16"/>
      <c r="F172" s="16"/>
      <c r="G172" s="19"/>
      <c r="H172" s="18"/>
      <c r="I172" s="19"/>
      <c r="J172" s="132"/>
      <c r="K172" s="16"/>
      <c r="M172" s="21"/>
      <c r="N172" s="21"/>
    </row>
    <row r="173" spans="1:14" ht="30" x14ac:dyDescent="0.25">
      <c r="A173" s="136">
        <v>3</v>
      </c>
      <c r="B173" s="155" t="s">
        <v>87</v>
      </c>
      <c r="C173" s="137"/>
      <c r="D173" s="131"/>
      <c r="E173" s="131"/>
      <c r="F173" s="131"/>
      <c r="G173" s="131"/>
      <c r="H173" s="131"/>
      <c r="I173" s="131"/>
      <c r="J173" s="149"/>
      <c r="K173" s="141"/>
    </row>
    <row r="174" spans="1:14" ht="15" customHeight="1" x14ac:dyDescent="0.25">
      <c r="A174" s="136"/>
      <c r="B174" s="133" t="s">
        <v>130</v>
      </c>
      <c r="C174" s="137">
        <v>13</v>
      </c>
      <c r="D174" s="131">
        <f>119/12/3.281</f>
        <v>3.0224525043177888</v>
      </c>
      <c r="E174" s="131">
        <f>3/12/3.281</f>
        <v>7.6196281621456863E-2</v>
      </c>
      <c r="F174" s="131">
        <f>4/12/3.281</f>
        <v>0.10159504216194248</v>
      </c>
      <c r="G174" s="131">
        <f>PRODUCT(C174:F174)</f>
        <v>0.30416492417801333</v>
      </c>
      <c r="H174" s="131"/>
      <c r="I174" s="131"/>
      <c r="J174" s="149"/>
      <c r="K174" s="141"/>
    </row>
    <row r="175" spans="1:14" ht="15" customHeight="1" x14ac:dyDescent="0.25">
      <c r="A175" s="136"/>
      <c r="B175" s="133" t="s">
        <v>133</v>
      </c>
      <c r="C175" s="137">
        <v>1</v>
      </c>
      <c r="D175" s="131">
        <f>11/3.281</f>
        <v>3.3526363913441024</v>
      </c>
      <c r="E175" s="131">
        <f t="shared" ref="E175:E181" si="15">3/12/3.281</f>
        <v>7.6196281621456863E-2</v>
      </c>
      <c r="F175" s="131">
        <f t="shared" ref="F175:F181" si="16">4/12/3.281</f>
        <v>0.10159504216194248</v>
      </c>
      <c r="G175" s="131">
        <f t="shared" ref="G175:G184" si="17">PRODUCT(C175:F175)</f>
        <v>2.5953309626048974E-2</v>
      </c>
      <c r="H175" s="131"/>
      <c r="I175" s="131"/>
      <c r="J175" s="149"/>
      <c r="K175" s="141"/>
    </row>
    <row r="176" spans="1:14" ht="15" customHeight="1" x14ac:dyDescent="0.25">
      <c r="A176" s="136"/>
      <c r="B176" s="133"/>
      <c r="C176" s="137">
        <v>1</v>
      </c>
      <c r="D176" s="131">
        <f>10.25/3.281</f>
        <v>3.1240475464797317</v>
      </c>
      <c r="E176" s="131">
        <f t="shared" si="15"/>
        <v>7.6196281621456863E-2</v>
      </c>
      <c r="F176" s="131">
        <f t="shared" si="16"/>
        <v>0.10159504216194248</v>
      </c>
      <c r="G176" s="131">
        <f t="shared" si="17"/>
        <v>2.4183765787909272E-2</v>
      </c>
      <c r="H176" s="131"/>
      <c r="I176" s="131"/>
      <c r="J176" s="149"/>
      <c r="K176" s="141"/>
    </row>
    <row r="177" spans="1:14" ht="15" customHeight="1" x14ac:dyDescent="0.25">
      <c r="A177" s="136"/>
      <c r="B177" s="133" t="s">
        <v>134</v>
      </c>
      <c r="C177" s="137">
        <v>1</v>
      </c>
      <c r="D177" s="131">
        <f>10.17/3.281</f>
        <v>3.0996647363608654</v>
      </c>
      <c r="E177" s="131">
        <f t="shared" si="15"/>
        <v>7.6196281621456863E-2</v>
      </c>
      <c r="F177" s="131">
        <f t="shared" si="16"/>
        <v>0.10159504216194248</v>
      </c>
      <c r="G177" s="131">
        <f t="shared" si="17"/>
        <v>2.3995014445174368E-2</v>
      </c>
      <c r="H177" s="131"/>
      <c r="I177" s="131"/>
      <c r="J177" s="149"/>
      <c r="K177" s="141"/>
    </row>
    <row r="178" spans="1:14" ht="15" customHeight="1" x14ac:dyDescent="0.25">
      <c r="A178" s="136"/>
      <c r="B178" s="133" t="s">
        <v>151</v>
      </c>
      <c r="C178" s="137">
        <f>2*2*2</f>
        <v>8</v>
      </c>
      <c r="D178" s="131">
        <f>(15.667+1.75)/3.281</f>
        <v>5.3084425480036579</v>
      </c>
      <c r="E178" s="131">
        <f t="shared" si="15"/>
        <v>7.6196281621456863E-2</v>
      </c>
      <c r="F178" s="131">
        <f t="shared" si="16"/>
        <v>0.10159504216194248</v>
      </c>
      <c r="G178" s="131">
        <f t="shared" si="17"/>
        <v>0.32874821364137818</v>
      </c>
      <c r="H178" s="131"/>
      <c r="I178" s="131"/>
      <c r="J178" s="149"/>
      <c r="K178" s="141"/>
      <c r="M178">
        <f>9.25+9.25</f>
        <v>18.5</v>
      </c>
      <c r="N178">
        <f>15.667+0.25+0.25</f>
        <v>16.167000000000002</v>
      </c>
    </row>
    <row r="179" spans="1:14" ht="15" hidden="1" customHeight="1" x14ac:dyDescent="0.25">
      <c r="A179" s="136"/>
      <c r="B179" s="133"/>
      <c r="C179" s="137">
        <v>0</v>
      </c>
      <c r="D179" s="131">
        <f>(9.25-0.5)/3.281</f>
        <v>2.6668698567509903</v>
      </c>
      <c r="E179" s="131">
        <f t="shared" si="15"/>
        <v>7.6196281621456863E-2</v>
      </c>
      <c r="F179" s="131">
        <f t="shared" si="16"/>
        <v>0.10159504216194248</v>
      </c>
      <c r="G179" s="131">
        <f t="shared" si="17"/>
        <v>0</v>
      </c>
      <c r="H179" s="131"/>
      <c r="I179" s="131"/>
      <c r="J179" s="149"/>
      <c r="K179" s="141"/>
    </row>
    <row r="180" spans="1:14" ht="15" customHeight="1" x14ac:dyDescent="0.25">
      <c r="A180" s="136"/>
      <c r="B180" s="133"/>
      <c r="C180" s="137">
        <f t="shared" ref="C180" si="18">2*2*2</f>
        <v>8</v>
      </c>
      <c r="D180" s="131">
        <f>(16.25+1.75)/3.281</f>
        <v>5.486132276744895</v>
      </c>
      <c r="E180" s="131">
        <f t="shared" si="15"/>
        <v>7.6196281621456863E-2</v>
      </c>
      <c r="F180" s="131">
        <f t="shared" si="16"/>
        <v>0.10159504216194248</v>
      </c>
      <c r="G180" s="131">
        <f t="shared" si="17"/>
        <v>0.33975241692282293</v>
      </c>
      <c r="H180" s="131"/>
      <c r="I180" s="131"/>
      <c r="J180" s="149"/>
      <c r="K180" s="141"/>
      <c r="M180">
        <f>15.667</f>
        <v>15.667</v>
      </c>
      <c r="N180">
        <f>16.25</f>
        <v>16.25</v>
      </c>
    </row>
    <row r="181" spans="1:14" ht="15" hidden="1" customHeight="1" x14ac:dyDescent="0.25">
      <c r="A181" s="136"/>
      <c r="B181" s="133"/>
      <c r="C181" s="137">
        <v>0</v>
      </c>
      <c r="D181" s="131">
        <f>(9.25-0.833)/3.281</f>
        <v>2.5653764096312099</v>
      </c>
      <c r="E181" s="131">
        <f t="shared" si="15"/>
        <v>7.6196281621456863E-2</v>
      </c>
      <c r="F181" s="131">
        <f t="shared" si="16"/>
        <v>0.10159504216194248</v>
      </c>
      <c r="G181" s="131">
        <f t="shared" si="17"/>
        <v>0</v>
      </c>
      <c r="H181" s="131"/>
      <c r="I181" s="131"/>
      <c r="J181" s="149"/>
      <c r="K181" s="141"/>
      <c r="M181">
        <f>M180+1.75</f>
        <v>17.417000000000002</v>
      </c>
      <c r="N181">
        <f>M181+1.75</f>
        <v>19.167000000000002</v>
      </c>
    </row>
    <row r="182" spans="1:14" ht="15" customHeight="1" x14ac:dyDescent="0.25">
      <c r="A182" s="136"/>
      <c r="B182" s="133" t="s">
        <v>153</v>
      </c>
      <c r="C182" s="137">
        <v>2</v>
      </c>
      <c r="D182" s="131">
        <f>10.333/3.281</f>
        <v>3.1493447119780553</v>
      </c>
      <c r="E182" s="131">
        <f>5/12/3.281</f>
        <v>0.12699380270242813</v>
      </c>
      <c r="F182" s="131">
        <f>4/12/3.281</f>
        <v>0.10159504216194248</v>
      </c>
      <c r="G182" s="131">
        <f t="shared" si="17"/>
        <v>8.1265317686655777E-2</v>
      </c>
      <c r="H182" s="131"/>
      <c r="I182" s="131"/>
      <c r="J182" s="149"/>
      <c r="K182" s="141"/>
      <c r="M182">
        <f>M181/3.281</f>
        <v>5.3084425480036579</v>
      </c>
      <c r="N182">
        <f>N181/3.281</f>
        <v>5.8418165193538556</v>
      </c>
    </row>
    <row r="183" spans="1:14" ht="15" customHeight="1" x14ac:dyDescent="0.25">
      <c r="A183" s="136"/>
      <c r="B183" s="133" t="s">
        <v>154</v>
      </c>
      <c r="C183" s="137">
        <v>1</v>
      </c>
      <c r="D183" s="131">
        <f>10.33/3.281</f>
        <v>3.148430356598598</v>
      </c>
      <c r="E183" s="131">
        <f>6/12/3.281</f>
        <v>0.15239256324291373</v>
      </c>
      <c r="F183" s="131">
        <f>5/12/3.281</f>
        <v>0.12699380270242813</v>
      </c>
      <c r="G183" s="131">
        <f t="shared" si="17"/>
        <v>6.0931292826610445E-2</v>
      </c>
      <c r="H183" s="131"/>
      <c r="I183" s="131"/>
      <c r="J183" s="149"/>
      <c r="K183" s="141"/>
    </row>
    <row r="184" spans="1:14" ht="15" customHeight="1" x14ac:dyDescent="0.25">
      <c r="A184" s="136"/>
      <c r="B184" s="133" t="s">
        <v>152</v>
      </c>
      <c r="C184" s="137">
        <v>1</v>
      </c>
      <c r="D184" s="131">
        <f>10/3.281</f>
        <v>3.047851264858275</v>
      </c>
      <c r="E184" s="131">
        <f>3/12/3.281</f>
        <v>7.6196281621456863E-2</v>
      </c>
      <c r="F184" s="131">
        <f>5/12/3.281</f>
        <v>0.12699380270242813</v>
      </c>
      <c r="G184" s="131">
        <f t="shared" si="17"/>
        <v>2.9492397302328385E-2</v>
      </c>
      <c r="H184" s="131"/>
      <c r="I184" s="131"/>
      <c r="J184" s="149"/>
      <c r="K184" s="141"/>
    </row>
    <row r="185" spans="1:14" ht="15" customHeight="1" x14ac:dyDescent="0.25">
      <c r="A185" s="136"/>
      <c r="B185" s="133" t="s">
        <v>25</v>
      </c>
      <c r="C185" s="137"/>
      <c r="D185" s="131"/>
      <c r="E185" s="131"/>
      <c r="F185" s="131"/>
      <c r="G185" s="138">
        <f>SUM(G174:G184)</f>
        <v>1.2184866524169418</v>
      </c>
      <c r="H185" s="138" t="s">
        <v>30</v>
      </c>
      <c r="I185" s="139">
        <f>369833.1/1.15</f>
        <v>321594</v>
      </c>
      <c r="J185" s="140">
        <f>G185*I185</f>
        <v>391857.99649737397</v>
      </c>
      <c r="K185" s="141"/>
    </row>
    <row r="186" spans="1:14" ht="15" hidden="1" customHeight="1" x14ac:dyDescent="0.25">
      <c r="A186" s="136"/>
      <c r="B186" s="133" t="s">
        <v>89</v>
      </c>
      <c r="C186" s="137"/>
      <c r="D186" s="131"/>
      <c r="E186" s="131"/>
      <c r="F186" s="131"/>
      <c r="G186" s="131"/>
      <c r="H186" s="131"/>
      <c r="I186" s="131"/>
      <c r="J186" s="149">
        <f>0.13*G185*(296712)</f>
        <v>47000.149509551637</v>
      </c>
      <c r="K186" s="141"/>
      <c r="M186" s="58"/>
    </row>
    <row r="187" spans="1:14" ht="15" customHeight="1" x14ac:dyDescent="0.25">
      <c r="A187" s="136"/>
      <c r="B187" s="133"/>
      <c r="C187" s="137"/>
      <c r="D187" s="131"/>
      <c r="E187" s="131"/>
      <c r="F187" s="131"/>
      <c r="G187" s="131"/>
      <c r="H187" s="131"/>
      <c r="I187" s="131"/>
      <c r="J187" s="149"/>
      <c r="K187" s="141"/>
      <c r="M187" s="58"/>
    </row>
    <row r="188" spans="1:14" ht="30" x14ac:dyDescent="0.25">
      <c r="A188" s="136">
        <v>4</v>
      </c>
      <c r="B188" s="156" t="s">
        <v>124</v>
      </c>
      <c r="C188" s="141"/>
      <c r="D188" s="141"/>
      <c r="E188" s="141"/>
      <c r="F188" s="141"/>
      <c r="G188" s="154"/>
      <c r="H188" s="131"/>
      <c r="I188" s="131"/>
      <c r="J188" s="149"/>
      <c r="K188" s="141"/>
    </row>
    <row r="189" spans="1:14" x14ac:dyDescent="0.25">
      <c r="A189" s="136"/>
      <c r="B189" s="133" t="s">
        <v>157</v>
      </c>
      <c r="C189" s="137">
        <v>1</v>
      </c>
      <c r="D189" s="131">
        <v>3.3</v>
      </c>
      <c r="E189" s="131">
        <v>0.63</v>
      </c>
      <c r="F189" s="131"/>
      <c r="G189" s="131">
        <f>PRODUCT(C189:F189)</f>
        <v>2.0789999999999997</v>
      </c>
      <c r="H189" s="131"/>
      <c r="I189" s="131"/>
      <c r="J189" s="149"/>
      <c r="K189" s="141"/>
    </row>
    <row r="190" spans="1:14" x14ac:dyDescent="0.25">
      <c r="A190" s="136"/>
      <c r="B190" s="133"/>
      <c r="C190" s="137">
        <v>1</v>
      </c>
      <c r="D190" s="131">
        <v>3.11</v>
      </c>
      <c r="E190" s="131">
        <v>0.23</v>
      </c>
      <c r="F190" s="131"/>
      <c r="G190" s="131">
        <f t="shared" ref="G190:G198" si="19">PRODUCT(C190:F190)</f>
        <v>0.71530000000000005</v>
      </c>
      <c r="H190" s="131"/>
      <c r="I190" s="131"/>
      <c r="J190" s="149"/>
      <c r="K190" s="141"/>
      <c r="N190" s="121">
        <f>SUM(J185:J215)</f>
        <v>946517.97743110114</v>
      </c>
    </row>
    <row r="191" spans="1:14" x14ac:dyDescent="0.25">
      <c r="A191" s="136"/>
      <c r="B191" s="133"/>
      <c r="C191" s="137">
        <v>1</v>
      </c>
      <c r="D191" s="131">
        <v>2.97</v>
      </c>
      <c r="E191" s="131">
        <v>3.95</v>
      </c>
      <c r="F191" s="131"/>
      <c r="G191" s="131">
        <f t="shared" si="19"/>
        <v>11.7315</v>
      </c>
      <c r="H191" s="131"/>
      <c r="I191" s="131"/>
      <c r="J191" s="149"/>
      <c r="K191" s="141"/>
      <c r="N191" s="121"/>
    </row>
    <row r="192" spans="1:14" x14ac:dyDescent="0.25">
      <c r="A192" s="136"/>
      <c r="B192" s="133" t="s">
        <v>165</v>
      </c>
      <c r="C192" s="137">
        <v>1</v>
      </c>
      <c r="D192" s="131">
        <f>0.44+0.22</f>
        <v>0.66</v>
      </c>
      <c r="E192" s="131">
        <v>3.3</v>
      </c>
      <c r="F192" s="131"/>
      <c r="G192" s="131">
        <f t="shared" si="19"/>
        <v>2.1779999999999999</v>
      </c>
      <c r="H192" s="131"/>
      <c r="I192" s="131"/>
      <c r="J192" s="149"/>
      <c r="K192" s="141"/>
      <c r="N192" s="121"/>
    </row>
    <row r="193" spans="1:18" x14ac:dyDescent="0.25">
      <c r="A193" s="136"/>
      <c r="B193" s="133" t="s">
        <v>166</v>
      </c>
      <c r="C193" s="137">
        <v>1</v>
      </c>
      <c r="D193" s="131">
        <v>3.3</v>
      </c>
      <c r="E193" s="131">
        <v>0.15</v>
      </c>
      <c r="F193" s="131"/>
      <c r="G193" s="131">
        <f t="shared" si="19"/>
        <v>0.49499999999999994</v>
      </c>
      <c r="H193" s="131"/>
      <c r="I193" s="131"/>
      <c r="J193" s="149"/>
      <c r="K193" s="141"/>
      <c r="N193" s="121"/>
    </row>
    <row r="194" spans="1:18" x14ac:dyDescent="0.25">
      <c r="A194" s="136"/>
      <c r="B194" s="133" t="s">
        <v>158</v>
      </c>
      <c r="C194" s="137">
        <v>1</v>
      </c>
      <c r="D194" s="131">
        <v>4.1500000000000004</v>
      </c>
      <c r="E194" s="131">
        <v>2.82</v>
      </c>
      <c r="F194" s="131"/>
      <c r="G194" s="131">
        <f t="shared" si="19"/>
        <v>11.703000000000001</v>
      </c>
      <c r="H194" s="131"/>
      <c r="I194" s="131"/>
      <c r="J194" s="149"/>
      <c r="K194" s="141"/>
    </row>
    <row r="195" spans="1:18" x14ac:dyDescent="0.25">
      <c r="A195" s="136"/>
      <c r="B195" s="133"/>
      <c r="C195" s="137">
        <v>1</v>
      </c>
      <c r="D195" s="131">
        <v>3.31</v>
      </c>
      <c r="E195" s="131">
        <v>0.8</v>
      </c>
      <c r="F195" s="131"/>
      <c r="G195" s="131">
        <f t="shared" si="19"/>
        <v>2.6480000000000001</v>
      </c>
      <c r="H195" s="131"/>
      <c r="I195" s="131"/>
      <c r="J195" s="149"/>
      <c r="K195" s="141"/>
      <c r="N195">
        <f>(20+1.5/12)/3.281</f>
        <v>6.1338006705272781</v>
      </c>
    </row>
    <row r="196" spans="1:18" x14ac:dyDescent="0.25">
      <c r="A196" s="136"/>
      <c r="B196" s="133" t="s">
        <v>165</v>
      </c>
      <c r="C196" s="137">
        <v>1</v>
      </c>
      <c r="D196" s="131">
        <f>0.22+0.6</f>
        <v>0.82</v>
      </c>
      <c r="E196" s="131">
        <v>3.25</v>
      </c>
      <c r="F196" s="131"/>
      <c r="G196" s="131">
        <f t="shared" si="19"/>
        <v>2.665</v>
      </c>
      <c r="H196" s="131"/>
      <c r="I196" s="131"/>
      <c r="J196" s="149"/>
      <c r="K196" s="141"/>
    </row>
    <row r="197" spans="1:18" x14ac:dyDescent="0.25">
      <c r="A197" s="136"/>
      <c r="B197" s="133" t="s">
        <v>166</v>
      </c>
      <c r="C197" s="137">
        <v>1</v>
      </c>
      <c r="D197" s="131">
        <v>3.3</v>
      </c>
      <c r="E197" s="131">
        <v>0.15</v>
      </c>
      <c r="F197" s="131"/>
      <c r="G197" s="131">
        <f t="shared" si="19"/>
        <v>0.49499999999999994</v>
      </c>
      <c r="H197" s="131"/>
      <c r="I197" s="131"/>
      <c r="J197" s="149"/>
      <c r="K197" s="141"/>
    </row>
    <row r="198" spans="1:18" x14ac:dyDescent="0.25">
      <c r="A198" s="136"/>
      <c r="B198" s="133" t="s">
        <v>159</v>
      </c>
      <c r="C198" s="137">
        <v>1</v>
      </c>
      <c r="D198" s="131">
        <f>(8.75)/3.281</f>
        <v>2.6668698567509903</v>
      </c>
      <c r="E198" s="131">
        <v>6.13</v>
      </c>
      <c r="F198" s="131"/>
      <c r="G198" s="131">
        <f t="shared" si="19"/>
        <v>16.347912221883572</v>
      </c>
      <c r="H198" s="131"/>
      <c r="I198" s="131"/>
      <c r="J198" s="149"/>
      <c r="K198" s="141"/>
      <c r="N198">
        <f>20.42/3.281</f>
        <v>6.223712282840598</v>
      </c>
      <c r="O198">
        <f>8.75/3.281</f>
        <v>2.6668698567509903</v>
      </c>
      <c r="P198">
        <f>20.25/3.281</f>
        <v>6.1718988113380062</v>
      </c>
      <c r="Q198">
        <f>10.5-1.5</f>
        <v>9</v>
      </c>
      <c r="R198">
        <f>Q198/3.281</f>
        <v>2.7430661383724475</v>
      </c>
    </row>
    <row r="199" spans="1:18" ht="15" customHeight="1" x14ac:dyDescent="0.25">
      <c r="A199" s="136"/>
      <c r="B199" s="133" t="s">
        <v>25</v>
      </c>
      <c r="C199" s="137"/>
      <c r="D199" s="131"/>
      <c r="E199" s="131"/>
      <c r="F199" s="131"/>
      <c r="G199" s="138">
        <f>SUM(G189:G198)</f>
        <v>51.057712221883577</v>
      </c>
      <c r="H199" s="138" t="s">
        <v>26</v>
      </c>
      <c r="I199" s="139">
        <f>6829.24/1.15</f>
        <v>5938.4695652173914</v>
      </c>
      <c r="J199" s="140">
        <f>G199*I199</f>
        <v>303204.67009928363</v>
      </c>
      <c r="K199" s="141"/>
    </row>
    <row r="200" spans="1:18" ht="15" hidden="1" customHeight="1" x14ac:dyDescent="0.25">
      <c r="A200" s="136"/>
      <c r="B200" s="133" t="s">
        <v>89</v>
      </c>
      <c r="C200" s="137"/>
      <c r="D200" s="131"/>
      <c r="E200" s="131"/>
      <c r="F200" s="131"/>
      <c r="G200" s="131"/>
      <c r="H200" s="131"/>
      <c r="I200" s="131"/>
      <c r="J200" s="149">
        <f>0.13*G199*(573683.55/100)</f>
        <v>38078.260483027123</v>
      </c>
      <c r="K200" s="141"/>
      <c r="M200" s="58"/>
    </row>
    <row r="201" spans="1:18" ht="15" customHeight="1" x14ac:dyDescent="0.25">
      <c r="A201" s="136"/>
      <c r="B201" s="133"/>
      <c r="C201" s="137"/>
      <c r="D201" s="131"/>
      <c r="E201" s="131"/>
      <c r="F201" s="131"/>
      <c r="G201" s="131"/>
      <c r="H201" s="131"/>
      <c r="I201" s="131"/>
      <c r="J201" s="149"/>
      <c r="K201" s="141"/>
      <c r="M201" s="58">
        <f>23.17-0.667+0.33</f>
        <v>22.832999999999998</v>
      </c>
      <c r="N201" s="168">
        <f>M201/3.281</f>
        <v>6.9591587930508982</v>
      </c>
    </row>
    <row r="202" spans="1:18" ht="30" x14ac:dyDescent="0.25">
      <c r="A202" s="12">
        <v>5</v>
      </c>
      <c r="B202" s="155" t="s">
        <v>90</v>
      </c>
      <c r="C202" s="137"/>
      <c r="D202" s="131"/>
      <c r="E202" s="131"/>
      <c r="F202" s="131"/>
      <c r="G202" s="138"/>
      <c r="H202" s="138"/>
      <c r="I202" s="139"/>
      <c r="J202" s="140"/>
      <c r="K202" s="141"/>
      <c r="M202">
        <f>M203*3.281</f>
        <v>22.503</v>
      </c>
      <c r="N202">
        <f>23.17-0.33-0.33+0.33</f>
        <v>22.840000000000003</v>
      </c>
      <c r="O202">
        <f>N202/3.281</f>
        <v>6.9612922889363009</v>
      </c>
    </row>
    <row r="203" spans="1:18" ht="15" customHeight="1" x14ac:dyDescent="0.25">
      <c r="A203" s="136"/>
      <c r="B203" s="133" t="s">
        <v>88</v>
      </c>
      <c r="C203" s="137">
        <v>1</v>
      </c>
      <c r="D203" s="131">
        <f>(23.17-0.667)/3.281</f>
        <v>6.8585797013105756</v>
      </c>
      <c r="E203" s="131">
        <f>3/12/3.281</f>
        <v>7.6196281621456863E-2</v>
      </c>
      <c r="F203" s="131">
        <f>4/12/3.281</f>
        <v>0.10159504216194248</v>
      </c>
      <c r="G203" s="131">
        <f t="shared" ref="G203:G213" si="20">PRODUCT(C203:F203)</f>
        <v>5.3093393319543637E-2</v>
      </c>
      <c r="H203" s="131"/>
      <c r="I203" s="131"/>
      <c r="J203" s="149"/>
      <c r="K203" s="141"/>
      <c r="M203">
        <f>(23.17-0.667)/3.281</f>
        <v>6.8585797013105756</v>
      </c>
      <c r="N203">
        <f>7.25*2+7</f>
        <v>21.5</v>
      </c>
      <c r="O203">
        <f>N203/3.281</f>
        <v>6.5528802194452904</v>
      </c>
      <c r="P203">
        <f>20/3.281</f>
        <v>6.0957025297165499</v>
      </c>
    </row>
    <row r="204" spans="1:18" ht="15" customHeight="1" x14ac:dyDescent="0.25">
      <c r="A204" s="136"/>
      <c r="B204" s="133"/>
      <c r="C204" s="137">
        <v>1</v>
      </c>
      <c r="D204" s="131">
        <f>(23.17-0.667)/3.281</f>
        <v>6.8585797013105756</v>
      </c>
      <c r="E204" s="131">
        <f>3/12/3.281</f>
        <v>7.6196281621456863E-2</v>
      </c>
      <c r="F204" s="131">
        <f>4/12/3.281</f>
        <v>0.10159504216194248</v>
      </c>
      <c r="G204" s="131">
        <f t="shared" si="20"/>
        <v>5.3093393319543637E-2</v>
      </c>
      <c r="H204" s="131"/>
      <c r="I204" s="131"/>
      <c r="J204" s="149"/>
      <c r="K204" s="141"/>
      <c r="M204" s="50">
        <f>(7.25*2+7+0.25)/3.281</f>
        <v>6.6290765010667476</v>
      </c>
    </row>
    <row r="205" spans="1:18" ht="15" customHeight="1" x14ac:dyDescent="0.25">
      <c r="A205" s="136"/>
      <c r="B205" s="133" t="s">
        <v>131</v>
      </c>
      <c r="C205" s="137">
        <v>9</v>
      </c>
      <c r="D205" s="131">
        <f>52/12/3.281</f>
        <v>1.3207355481052523</v>
      </c>
      <c r="E205" s="131">
        <f t="shared" ref="E205:E207" si="21">3/12/3.281</f>
        <v>7.6196281621456863E-2</v>
      </c>
      <c r="F205" s="131">
        <f t="shared" ref="F205:F207" si="22">4/12/3.281</f>
        <v>0.10159504216194248</v>
      </c>
      <c r="G205" s="131">
        <f t="shared" si="20"/>
        <v>9.201627958326454E-2</v>
      </c>
      <c r="H205" s="131"/>
      <c r="I205" s="131"/>
      <c r="J205" s="149"/>
      <c r="K205" s="141"/>
      <c r="N205">
        <f>2.82+0.19</f>
        <v>3.01</v>
      </c>
      <c r="Q205">
        <f>20.42/3.281</f>
        <v>6.223712282840598</v>
      </c>
    </row>
    <row r="206" spans="1:18" x14ac:dyDescent="0.25">
      <c r="A206" s="136"/>
      <c r="B206" s="133" t="s">
        <v>132</v>
      </c>
      <c r="C206" s="137">
        <v>9</v>
      </c>
      <c r="D206" s="131">
        <f>3.917/3.281</f>
        <v>1.1938433404449862</v>
      </c>
      <c r="E206" s="131">
        <f t="shared" si="21"/>
        <v>7.6196281621456863E-2</v>
      </c>
      <c r="F206" s="131">
        <f t="shared" si="22"/>
        <v>0.10159504216194248</v>
      </c>
      <c r="G206" s="131">
        <f t="shared" si="20"/>
        <v>8.3175638567918583E-2</v>
      </c>
      <c r="H206" s="131"/>
      <c r="I206" s="131"/>
      <c r="J206" s="149"/>
      <c r="K206" s="141"/>
    </row>
    <row r="207" spans="1:18" x14ac:dyDescent="0.25">
      <c r="A207" s="136"/>
      <c r="B207" s="133" t="s">
        <v>135</v>
      </c>
      <c r="C207" s="137">
        <f>4</f>
        <v>4</v>
      </c>
      <c r="D207" s="131">
        <f>2.75/3.281</f>
        <v>0.8381590978360256</v>
      </c>
      <c r="E207" s="131">
        <f t="shared" si="21"/>
        <v>7.6196281621456863E-2</v>
      </c>
      <c r="F207" s="131">
        <f t="shared" si="22"/>
        <v>0.10159504216194248</v>
      </c>
      <c r="G207" s="131">
        <f t="shared" si="20"/>
        <v>2.5953309626048974E-2</v>
      </c>
      <c r="H207" s="131"/>
      <c r="I207" s="131"/>
      <c r="J207" s="149"/>
      <c r="K207" s="141"/>
    </row>
    <row r="208" spans="1:18" x14ac:dyDescent="0.25">
      <c r="A208" s="136"/>
      <c r="B208" s="133" t="s">
        <v>136</v>
      </c>
      <c r="C208" s="137">
        <f>8</f>
        <v>8</v>
      </c>
      <c r="D208" s="131">
        <f>12/12/3.281</f>
        <v>0.30478512648582745</v>
      </c>
      <c r="E208" s="131">
        <f>3/12/3.281</f>
        <v>7.6196281621456863E-2</v>
      </c>
      <c r="F208" s="131">
        <f>5/12/3.281</f>
        <v>0.12699380270242813</v>
      </c>
      <c r="G208" s="131">
        <f t="shared" si="20"/>
        <v>2.3593917841862707E-2</v>
      </c>
      <c r="H208" s="131"/>
      <c r="I208" s="131"/>
      <c r="J208" s="149"/>
      <c r="K208" s="141"/>
    </row>
    <row r="209" spans="1:19" x14ac:dyDescent="0.25">
      <c r="A209" s="136"/>
      <c r="B209" s="133" t="s">
        <v>137</v>
      </c>
      <c r="C209" s="137">
        <v>2</v>
      </c>
      <c r="D209" s="131">
        <f>7.833/3.281</f>
        <v>2.3873818957634869</v>
      </c>
      <c r="E209" s="131">
        <f>4/12/3.281</f>
        <v>0.10159504216194248</v>
      </c>
      <c r="F209" s="131">
        <f>4/12/3.281</f>
        <v>0.10159504216194248</v>
      </c>
      <c r="G209" s="131">
        <f t="shared" si="20"/>
        <v>4.9282975588082818E-2</v>
      </c>
      <c r="H209" s="131"/>
      <c r="I209" s="131"/>
      <c r="J209" s="149"/>
      <c r="K209" s="141"/>
      <c r="M209">
        <f>2.34*3.281</f>
        <v>7.6775399999999996</v>
      </c>
      <c r="N209">
        <f>7.75/3.281</f>
        <v>2.3620847302651629</v>
      </c>
      <c r="O209">
        <f>2.34*3.281</f>
        <v>7.6775399999999996</v>
      </c>
      <c r="P209">
        <f>O209+0.25*1</f>
        <v>7.9275399999999996</v>
      </c>
    </row>
    <row r="210" spans="1:19" x14ac:dyDescent="0.25">
      <c r="A210" s="136"/>
      <c r="B210" s="133"/>
      <c r="C210" s="137">
        <v>1</v>
      </c>
      <c r="D210" s="131">
        <f>7.833/3.281</f>
        <v>2.3873818957634869</v>
      </c>
      <c r="E210" s="131">
        <f>4/12/3.281</f>
        <v>0.10159504216194248</v>
      </c>
      <c r="F210" s="131">
        <f>5/12/3.281</f>
        <v>0.12699380270242813</v>
      </c>
      <c r="G210" s="131">
        <f t="shared" si="20"/>
        <v>3.0801859742551771E-2</v>
      </c>
      <c r="H210" s="131"/>
      <c r="I210" s="131"/>
      <c r="J210" s="149"/>
      <c r="K210" s="141"/>
    </row>
    <row r="211" spans="1:19" x14ac:dyDescent="0.25">
      <c r="A211" s="136"/>
      <c r="B211" s="133" t="s">
        <v>152</v>
      </c>
      <c r="C211" s="137">
        <v>2</v>
      </c>
      <c r="D211" s="131">
        <v>0.55000000000000004</v>
      </c>
      <c r="E211" s="131">
        <f>3/12/3.281</f>
        <v>7.6196281621456863E-2</v>
      </c>
      <c r="F211" s="131">
        <f>4/12/3.281</f>
        <v>0.10159504216194248</v>
      </c>
      <c r="G211" s="131">
        <f t="shared" si="20"/>
        <v>8.5152808883066696E-3</v>
      </c>
      <c r="H211" s="131"/>
      <c r="I211" s="131"/>
      <c r="J211" s="149"/>
      <c r="K211" s="141"/>
    </row>
    <row r="212" spans="1:19" x14ac:dyDescent="0.25">
      <c r="A212" s="136"/>
      <c r="B212" s="133" t="s">
        <v>155</v>
      </c>
      <c r="C212" s="137">
        <v>2</v>
      </c>
      <c r="D212" s="131">
        <f>6.5/3.281</f>
        <v>1.9811033221578787</v>
      </c>
      <c r="E212" s="131">
        <f>3/12/3.281</f>
        <v>7.6196281621456863E-2</v>
      </c>
      <c r="F212" s="131">
        <f>4/12/3.281</f>
        <v>0.10159504216194248</v>
      </c>
      <c r="G212" s="131">
        <f t="shared" si="20"/>
        <v>3.0672093194421515E-2</v>
      </c>
      <c r="H212" s="131"/>
      <c r="I212" s="131"/>
      <c r="J212" s="149"/>
      <c r="K212" s="141"/>
    </row>
    <row r="213" spans="1:19" x14ac:dyDescent="0.25">
      <c r="A213" s="136"/>
      <c r="B213" s="133" t="s">
        <v>156</v>
      </c>
      <c r="C213" s="137">
        <f>12+9*2*2+8*2*2*2-5</f>
        <v>107</v>
      </c>
      <c r="D213" s="131">
        <f>1/3.281</f>
        <v>0.30478512648582745</v>
      </c>
      <c r="E213" s="131">
        <f>1/12/3.281</f>
        <v>2.5398760540485621E-2</v>
      </c>
      <c r="F213" s="131">
        <f>1.75/12/3.281</f>
        <v>4.4447830945849844E-2</v>
      </c>
      <c r="G213" s="131">
        <f t="shared" si="20"/>
        <v>3.6816342632406594E-2</v>
      </c>
      <c r="H213" s="131"/>
      <c r="I213" s="131"/>
      <c r="J213" s="149"/>
      <c r="K213" s="141"/>
      <c r="M213" s="121">
        <f>SUM(J185:J215)</f>
        <v>946517.97743110114</v>
      </c>
    </row>
    <row r="214" spans="1:19" ht="15" customHeight="1" x14ac:dyDescent="0.25">
      <c r="A214" s="136"/>
      <c r="B214" s="133" t="s">
        <v>25</v>
      </c>
      <c r="C214" s="137"/>
      <c r="D214" s="131"/>
      <c r="E214" s="131"/>
      <c r="F214" s="131"/>
      <c r="G214" s="138">
        <f>SUM(G203:G213)</f>
        <v>0.48701448430395139</v>
      </c>
      <c r="H214" s="138" t="s">
        <v>30</v>
      </c>
      <c r="I214" s="139">
        <f>348511.67/1.15</f>
        <v>303053.62608695653</v>
      </c>
      <c r="J214" s="140">
        <f>G214*I214</f>
        <v>147591.50542518165</v>
      </c>
      <c r="K214" s="141"/>
    </row>
    <row r="215" spans="1:19" ht="15" hidden="1" customHeight="1" x14ac:dyDescent="0.25">
      <c r="A215" s="136"/>
      <c r="B215" s="133" t="s">
        <v>89</v>
      </c>
      <c r="C215" s="137"/>
      <c r="D215" s="131"/>
      <c r="E215" s="131"/>
      <c r="F215" s="131"/>
      <c r="G215" s="131"/>
      <c r="H215" s="131"/>
      <c r="I215" s="131"/>
      <c r="J215" s="149">
        <f>0.13*G214*(296712)</f>
        <v>18785.395416683223</v>
      </c>
      <c r="K215" s="141"/>
      <c r="M215" s="58"/>
    </row>
    <row r="216" spans="1:19" ht="15" customHeight="1" x14ac:dyDescent="0.25">
      <c r="A216" s="136"/>
      <c r="B216" s="133"/>
      <c r="C216" s="137"/>
      <c r="D216" s="131"/>
      <c r="E216" s="131"/>
      <c r="F216" s="131"/>
      <c r="G216" s="131"/>
      <c r="H216" s="131"/>
      <c r="I216" s="131"/>
      <c r="J216" s="149"/>
      <c r="K216" s="141"/>
      <c r="M216" s="58"/>
    </row>
    <row r="217" spans="1:19" ht="30" hidden="1" x14ac:dyDescent="0.25">
      <c r="A217" s="12">
        <v>25</v>
      </c>
      <c r="B217" s="156" t="s">
        <v>91</v>
      </c>
      <c r="C217" s="14"/>
      <c r="D217" s="15"/>
      <c r="E217" s="16"/>
      <c r="F217" s="16"/>
      <c r="G217" s="19"/>
      <c r="H217" s="18"/>
      <c r="I217" s="19"/>
      <c r="J217" s="132"/>
      <c r="K217" s="16"/>
      <c r="M217" s="21"/>
      <c r="N217" s="1"/>
      <c r="O217" s="1"/>
      <c r="P217" s="1"/>
      <c r="Q217" s="1"/>
      <c r="R217" s="21"/>
      <c r="S217" s="21"/>
    </row>
    <row r="218" spans="1:19" ht="15" hidden="1" customHeight="1" x14ac:dyDescent="0.25">
      <c r="A218" s="12"/>
      <c r="B218" s="13" t="str">
        <f>B55</f>
        <v>-at new roof</v>
      </c>
      <c r="C218" s="137">
        <f>0*2</f>
        <v>0</v>
      </c>
      <c r="D218" s="131">
        <f>D55</f>
        <v>4.5717768972874122</v>
      </c>
      <c r="E218" s="131">
        <f>E55</f>
        <v>3.2764401097226452</v>
      </c>
      <c r="F218" s="131"/>
      <c r="G218" s="131">
        <f t="shared" ref="G218" si="23">PRODUCT(C218:F218)</f>
        <v>0</v>
      </c>
      <c r="H218" s="18"/>
      <c r="I218" s="19"/>
      <c r="J218" s="132"/>
      <c r="K218" s="16"/>
      <c r="M218" s="21"/>
      <c r="N218" s="1"/>
      <c r="O218" s="1"/>
      <c r="P218" s="1"/>
      <c r="Q218" s="1"/>
      <c r="R218" s="21"/>
      <c r="S218" s="21"/>
    </row>
    <row r="219" spans="1:19" ht="15" hidden="1" customHeight="1" x14ac:dyDescent="0.25">
      <c r="A219" s="136"/>
      <c r="B219" s="133" t="s">
        <v>25</v>
      </c>
      <c r="C219" s="137"/>
      <c r="D219" s="131"/>
      <c r="E219" s="131"/>
      <c r="F219" s="131"/>
      <c r="G219" s="138">
        <f>SUM(G218:G218)</f>
        <v>0</v>
      </c>
      <c r="H219" s="138" t="s">
        <v>26</v>
      </c>
      <c r="I219" s="139">
        <f>5999.55/10</f>
        <v>599.95500000000004</v>
      </c>
      <c r="J219" s="140">
        <f>G219*I219</f>
        <v>0</v>
      </c>
      <c r="K219" s="141"/>
    </row>
    <row r="220" spans="1:19" ht="15" hidden="1" customHeight="1" x14ac:dyDescent="0.25">
      <c r="A220" s="136"/>
      <c r="B220" s="133" t="s">
        <v>89</v>
      </c>
      <c r="C220" s="137"/>
      <c r="D220" s="131"/>
      <c r="E220" s="131"/>
      <c r="F220" s="131"/>
      <c r="G220" s="131"/>
      <c r="H220" s="131"/>
      <c r="I220" s="131"/>
      <c r="J220" s="149">
        <f>0.13*G219*((1397.55)/10)</f>
        <v>0</v>
      </c>
      <c r="K220" s="141"/>
    </row>
    <row r="221" spans="1:19" ht="15" hidden="1" customHeight="1" x14ac:dyDescent="0.25">
      <c r="A221" s="12"/>
      <c r="B221" s="60"/>
      <c r="C221" s="14"/>
      <c r="D221" s="15"/>
      <c r="E221" s="16"/>
      <c r="F221" s="16"/>
      <c r="G221" s="19"/>
      <c r="H221" s="18"/>
      <c r="I221" s="19"/>
      <c r="J221" s="132"/>
      <c r="K221" s="16"/>
      <c r="M221" s="21"/>
      <c r="N221" s="1"/>
      <c r="O221" s="1"/>
      <c r="P221" s="1"/>
      <c r="Q221" s="1"/>
      <c r="R221" s="21"/>
      <c r="S221" s="21"/>
    </row>
    <row r="222" spans="1:19" hidden="1" x14ac:dyDescent="0.25">
      <c r="A222" s="12">
        <v>22</v>
      </c>
      <c r="B222" s="135" t="s">
        <v>92</v>
      </c>
      <c r="C222" s="137"/>
      <c r="D222" s="131"/>
      <c r="E222" s="131"/>
      <c r="F222" s="131"/>
      <c r="G222" s="131"/>
      <c r="H222" s="131"/>
      <c r="I222" s="131"/>
      <c r="J222" s="149"/>
      <c r="K222" s="141"/>
    </row>
    <row r="223" spans="1:19" ht="15" hidden="1" customHeight="1" x14ac:dyDescent="0.25">
      <c r="A223" s="136"/>
      <c r="B223" s="133" t="s">
        <v>93</v>
      </c>
      <c r="C223" s="137">
        <f>0*2</f>
        <v>0</v>
      </c>
      <c r="D223" s="131"/>
      <c r="E223" s="131"/>
      <c r="F223" s="131"/>
      <c r="G223" s="131">
        <f>PRODUCT(C223:F223)</f>
        <v>0</v>
      </c>
      <c r="H223" s="131"/>
      <c r="I223" s="131"/>
      <c r="J223" s="149"/>
      <c r="K223" s="141"/>
    </row>
    <row r="224" spans="1:19" ht="15" hidden="1" customHeight="1" x14ac:dyDescent="0.25">
      <c r="A224" s="136"/>
      <c r="B224" s="133" t="s">
        <v>25</v>
      </c>
      <c r="C224" s="137"/>
      <c r="D224" s="131"/>
      <c r="E224" s="131"/>
      <c r="F224" s="131"/>
      <c r="G224" s="138">
        <f>SUM(G223:G223)</f>
        <v>0</v>
      </c>
      <c r="H224" s="138" t="s">
        <v>94</v>
      </c>
      <c r="I224" s="139">
        <f>2365*1.15</f>
        <v>2719.75</v>
      </c>
      <c r="J224" s="140">
        <f>G224*I224</f>
        <v>0</v>
      </c>
      <c r="K224" s="141"/>
    </row>
    <row r="225" spans="1:14" ht="15" hidden="1" customHeight="1" x14ac:dyDescent="0.25">
      <c r="A225" s="12"/>
      <c r="B225" s="133" t="s">
        <v>49</v>
      </c>
      <c r="C225" s="14"/>
      <c r="D225" s="15"/>
      <c r="E225" s="16"/>
      <c r="F225" s="16"/>
      <c r="G225" s="19"/>
      <c r="H225" s="18"/>
      <c r="I225" s="19"/>
      <c r="J225" s="132">
        <f>J224*0.13</f>
        <v>0</v>
      </c>
      <c r="K225" s="16"/>
      <c r="M225" s="21"/>
      <c r="N225" s="21"/>
    </row>
    <row r="226" spans="1:14" ht="15" hidden="1" customHeight="1" x14ac:dyDescent="0.25">
      <c r="A226" s="136"/>
      <c r="B226" s="133"/>
      <c r="C226" s="137"/>
      <c r="D226" s="131"/>
      <c r="E226" s="131"/>
      <c r="F226" s="131"/>
      <c r="G226" s="138"/>
      <c r="H226" s="138"/>
      <c r="I226" s="139"/>
      <c r="J226" s="140"/>
      <c r="K226" s="141"/>
    </row>
    <row r="227" spans="1:14" ht="15.75" x14ac:dyDescent="0.25">
      <c r="A227" s="136">
        <v>6</v>
      </c>
      <c r="B227" s="130" t="s">
        <v>95</v>
      </c>
      <c r="C227" s="137"/>
      <c r="D227" s="131"/>
      <c r="E227" s="131"/>
      <c r="F227" s="131"/>
      <c r="G227" s="131"/>
      <c r="H227" s="131"/>
      <c r="I227" s="131"/>
      <c r="J227" s="149"/>
      <c r="K227" s="141"/>
    </row>
    <row r="228" spans="1:14" x14ac:dyDescent="0.25">
      <c r="A228" s="136"/>
      <c r="B228" s="133" t="s">
        <v>96</v>
      </c>
      <c r="C228" s="137">
        <f>0*2</f>
        <v>0</v>
      </c>
      <c r="D228" s="131">
        <f>3.833/3.281</f>
        <v>1.1682413898201769</v>
      </c>
      <c r="E228" s="131">
        <v>7.4999999999999997E-2</v>
      </c>
      <c r="F228" s="131">
        <v>0.125</v>
      </c>
      <c r="G228" s="131">
        <f t="shared" ref="G228:G233" si="24">PRODUCT(C228:F228)</f>
        <v>0</v>
      </c>
      <c r="H228" s="131"/>
      <c r="I228" s="131"/>
      <c r="J228" s="149"/>
      <c r="K228" s="141"/>
    </row>
    <row r="229" spans="1:14" x14ac:dyDescent="0.25">
      <c r="A229" s="136"/>
      <c r="B229" s="133"/>
      <c r="C229" s="137">
        <f t="shared" ref="C229:C233" si="25">0*2</f>
        <v>0</v>
      </c>
      <c r="D229" s="131">
        <f>6/3.281</f>
        <v>1.8287107589149649</v>
      </c>
      <c r="E229" s="131">
        <v>7.4999999999999997E-2</v>
      </c>
      <c r="F229" s="131">
        <v>0.125</v>
      </c>
      <c r="G229" s="131">
        <f t="shared" si="24"/>
        <v>0</v>
      </c>
      <c r="H229" s="131"/>
      <c r="I229" s="131"/>
      <c r="J229" s="149"/>
      <c r="K229" s="141"/>
    </row>
    <row r="230" spans="1:14" hidden="1" x14ac:dyDescent="0.25">
      <c r="A230" s="136"/>
      <c r="B230" s="133"/>
      <c r="C230" s="137">
        <f t="shared" si="25"/>
        <v>0</v>
      </c>
      <c r="D230" s="131">
        <f>6/3.281</f>
        <v>1.8287107589149649</v>
      </c>
      <c r="E230" s="131">
        <v>7.4999999999999997E-2</v>
      </c>
      <c r="F230" s="131">
        <v>7.4999999999999997E-2</v>
      </c>
      <c r="G230" s="131">
        <f t="shared" si="24"/>
        <v>0</v>
      </c>
      <c r="H230" s="131"/>
      <c r="I230" s="131"/>
      <c r="J230" s="149"/>
      <c r="K230" s="141"/>
    </row>
    <row r="231" spans="1:14" hidden="1" x14ac:dyDescent="0.25">
      <c r="A231" s="136"/>
      <c r="B231" s="133" t="s">
        <v>97</v>
      </c>
      <c r="C231" s="137">
        <f t="shared" si="25"/>
        <v>0</v>
      </c>
      <c r="D231" s="131">
        <f>3.5/3.281</f>
        <v>1.0667479427003961</v>
      </c>
      <c r="E231" s="131">
        <v>7.4999999999999997E-2</v>
      </c>
      <c r="F231" s="131">
        <v>0.125</v>
      </c>
      <c r="G231" s="131">
        <f t="shared" si="24"/>
        <v>0</v>
      </c>
      <c r="H231" s="131"/>
      <c r="I231" s="131"/>
      <c r="J231" s="149"/>
      <c r="K231" s="141"/>
    </row>
    <row r="232" spans="1:14" hidden="1" x14ac:dyDescent="0.25">
      <c r="A232" s="136"/>
      <c r="B232" s="133"/>
      <c r="C232" s="137">
        <f t="shared" si="25"/>
        <v>0</v>
      </c>
      <c r="D232" s="131">
        <f>4.5/3.281</f>
        <v>1.3715330691862238</v>
      </c>
      <c r="E232" s="131">
        <v>7.4999999999999997E-2</v>
      </c>
      <c r="F232" s="131">
        <v>0.125</v>
      </c>
      <c r="G232" s="131">
        <f t="shared" si="24"/>
        <v>0</v>
      </c>
      <c r="H232" s="131"/>
      <c r="I232" s="131"/>
      <c r="J232" s="149"/>
      <c r="K232" s="141"/>
    </row>
    <row r="233" spans="1:14" hidden="1" x14ac:dyDescent="0.25">
      <c r="A233" s="136"/>
      <c r="B233" s="133" t="s">
        <v>98</v>
      </c>
      <c r="C233" s="137">
        <f t="shared" si="25"/>
        <v>0</v>
      </c>
      <c r="D233" s="131">
        <f>(2*2+2.5*2)/3.281</f>
        <v>2.7430661383724475</v>
      </c>
      <c r="E233" s="131">
        <v>7.4999999999999997E-2</v>
      </c>
      <c r="F233" s="131">
        <v>0.125</v>
      </c>
      <c r="G233" s="131">
        <f t="shared" si="24"/>
        <v>0</v>
      </c>
      <c r="H233" s="131"/>
      <c r="I233" s="131"/>
      <c r="J233" s="149"/>
      <c r="K233" s="141"/>
    </row>
    <row r="234" spans="1:14" ht="15" customHeight="1" x14ac:dyDescent="0.25">
      <c r="A234" s="136"/>
      <c r="B234" s="133" t="s">
        <v>25</v>
      </c>
      <c r="C234" s="137"/>
      <c r="D234" s="131"/>
      <c r="E234" s="131"/>
      <c r="F234" s="131"/>
      <c r="G234" s="138">
        <f>SUM(G228:G233)</f>
        <v>0</v>
      </c>
      <c r="H234" s="138" t="s">
        <v>30</v>
      </c>
      <c r="I234" s="139">
        <f>283082.83</f>
        <v>283082.83</v>
      </c>
      <c r="J234" s="140">
        <f>G234*I234</f>
        <v>0</v>
      </c>
      <c r="K234" s="141"/>
    </row>
    <row r="235" spans="1:14" ht="15" hidden="1" customHeight="1" x14ac:dyDescent="0.25">
      <c r="A235" s="12"/>
      <c r="B235" s="133" t="s">
        <v>49</v>
      </c>
      <c r="C235" s="14"/>
      <c r="D235" s="15"/>
      <c r="E235" s="16"/>
      <c r="F235" s="16"/>
      <c r="G235" s="19"/>
      <c r="H235" s="18"/>
      <c r="I235" s="19"/>
      <c r="J235" s="132">
        <f>0.13*G234*239222.83</f>
        <v>0</v>
      </c>
      <c r="K235" s="16"/>
      <c r="M235" s="21"/>
      <c r="N235" s="21"/>
    </row>
    <row r="236" spans="1:14" ht="15" customHeight="1" x14ac:dyDescent="0.25">
      <c r="A236" s="136"/>
      <c r="B236" s="133"/>
      <c r="C236" s="137"/>
      <c r="D236" s="131"/>
      <c r="E236" s="131"/>
      <c r="F236" s="131"/>
      <c r="G236" s="131"/>
      <c r="H236" s="131"/>
      <c r="I236" s="131"/>
      <c r="J236" s="149"/>
      <c r="K236" s="141"/>
    </row>
    <row r="237" spans="1:14" ht="30" hidden="1" x14ac:dyDescent="0.25">
      <c r="A237" s="12">
        <v>25</v>
      </c>
      <c r="B237" s="155" t="s">
        <v>99</v>
      </c>
      <c r="C237" s="14"/>
      <c r="D237" s="15"/>
      <c r="E237" s="16"/>
      <c r="F237" s="16"/>
      <c r="G237" s="19"/>
      <c r="H237" s="18"/>
      <c r="I237" s="19"/>
      <c r="J237" s="148"/>
      <c r="K237" s="16"/>
    </row>
    <row r="238" spans="1:14" hidden="1" x14ac:dyDescent="0.25">
      <c r="A238" s="12"/>
      <c r="B238" s="152" t="s">
        <v>100</v>
      </c>
      <c r="C238" s="14">
        <f>0*1</f>
        <v>0</v>
      </c>
      <c r="D238" s="15">
        <f>15/3.281</f>
        <v>4.5717768972874122</v>
      </c>
      <c r="E238" s="16">
        <v>7.4999999999999997E-2</v>
      </c>
      <c r="F238" s="141"/>
      <c r="G238" s="144">
        <f>PRODUCT(C238:E238)</f>
        <v>0</v>
      </c>
      <c r="H238" s="18"/>
      <c r="I238" s="19"/>
      <c r="J238" s="148"/>
      <c r="K238" s="16"/>
    </row>
    <row r="239" spans="1:14" hidden="1" x14ac:dyDescent="0.25">
      <c r="A239" s="12"/>
      <c r="B239" s="152" t="str">
        <f>B228</f>
        <v>-For Door</v>
      </c>
      <c r="C239" s="14">
        <f>0*2</f>
        <v>0</v>
      </c>
      <c r="D239" s="15">
        <f>0.3</f>
        <v>0.3</v>
      </c>
      <c r="E239" s="16"/>
      <c r="F239" s="16">
        <f>D229</f>
        <v>1.8287107589149649</v>
      </c>
      <c r="G239" s="144">
        <f>PRODUCT(C239:F239)</f>
        <v>0</v>
      </c>
      <c r="H239" s="18"/>
      <c r="I239" s="19"/>
      <c r="J239" s="148"/>
      <c r="K239" s="16"/>
    </row>
    <row r="240" spans="1:14" hidden="1" x14ac:dyDescent="0.25">
      <c r="A240" s="12"/>
      <c r="B240" s="152"/>
      <c r="C240" s="14">
        <f>0*1</f>
        <v>0</v>
      </c>
      <c r="D240" s="15">
        <f>(6*2+4*2)/3.281</f>
        <v>6.0957025297165499</v>
      </c>
      <c r="E240" s="16">
        <v>7.4999999999999997E-2</v>
      </c>
      <c r="F240" s="16"/>
      <c r="G240" s="144">
        <f>PRODUCT(C240:F240)</f>
        <v>0</v>
      </c>
      <c r="H240" s="18"/>
      <c r="I240" s="19"/>
      <c r="J240" s="148"/>
      <c r="K240" s="16"/>
    </row>
    <row r="241" spans="1:14" hidden="1" x14ac:dyDescent="0.25">
      <c r="A241" s="12"/>
      <c r="B241" s="152" t="s">
        <v>98</v>
      </c>
      <c r="C241" s="14">
        <f>2*0</f>
        <v>0</v>
      </c>
      <c r="D241" s="15">
        <f>D233</f>
        <v>2.7430661383724475</v>
      </c>
      <c r="E241" s="16">
        <f>E233</f>
        <v>7.4999999999999997E-2</v>
      </c>
      <c r="F241" s="16"/>
      <c r="G241" s="144">
        <f>PRODUCT(C241:F241)</f>
        <v>0</v>
      </c>
      <c r="H241" s="18"/>
      <c r="I241" s="19"/>
      <c r="J241" s="148"/>
      <c r="K241" s="16"/>
    </row>
    <row r="242" spans="1:14" ht="15" hidden="1" customHeight="1" x14ac:dyDescent="0.25">
      <c r="A242" s="136"/>
      <c r="B242" s="152" t="s">
        <v>25</v>
      </c>
      <c r="C242" s="143"/>
      <c r="D242" s="144"/>
      <c r="E242" s="144"/>
      <c r="F242" s="144"/>
      <c r="G242" s="148">
        <f>SUM(G238:G241)</f>
        <v>0</v>
      </c>
      <c r="H242" s="148" t="s">
        <v>26</v>
      </c>
      <c r="I242" s="18">
        <f>39251.14/1.15</f>
        <v>34131.426086956526</v>
      </c>
      <c r="J242" s="149">
        <f>G242*I242</f>
        <v>0</v>
      </c>
      <c r="K242" s="145"/>
    </row>
    <row r="243" spans="1:14" hidden="1" x14ac:dyDescent="0.25">
      <c r="A243" s="12"/>
      <c r="B243" s="155"/>
      <c r="C243" s="14"/>
      <c r="D243" s="15"/>
      <c r="E243" s="16"/>
      <c r="F243" s="16"/>
      <c r="G243" s="19"/>
      <c r="H243" s="18"/>
      <c r="I243" s="19"/>
      <c r="J243" s="148"/>
      <c r="K243" s="16"/>
    </row>
    <row r="244" spans="1:14" ht="30" hidden="1" x14ac:dyDescent="0.25">
      <c r="A244" s="136">
        <v>25</v>
      </c>
      <c r="B244" s="135" t="s">
        <v>101</v>
      </c>
      <c r="C244" s="137"/>
      <c r="D244" s="131"/>
      <c r="E244" s="131"/>
      <c r="F244" s="131"/>
      <c r="G244" s="131"/>
      <c r="H244" s="131"/>
      <c r="I244" s="131"/>
      <c r="J244" s="149"/>
      <c r="K244" s="141"/>
    </row>
    <row r="245" spans="1:14" ht="15" hidden="1" customHeight="1" x14ac:dyDescent="0.25">
      <c r="A245" s="136"/>
      <c r="B245" s="133" t="s">
        <v>102</v>
      </c>
      <c r="C245" s="137">
        <f>0*1</f>
        <v>0</v>
      </c>
      <c r="D245" s="131">
        <f>3/3.281</f>
        <v>0.91435537945748246</v>
      </c>
      <c r="E245" s="131">
        <f>4/3.281</f>
        <v>1.2191405059433098</v>
      </c>
      <c r="F245" s="131"/>
      <c r="G245" s="131">
        <f>PRODUCT(C245:F245)</f>
        <v>0</v>
      </c>
      <c r="H245" s="131"/>
      <c r="I245" s="131"/>
      <c r="J245" s="149"/>
      <c r="K245" s="141"/>
    </row>
    <row r="246" spans="1:14" ht="15" hidden="1" customHeight="1" x14ac:dyDescent="0.25">
      <c r="A246" s="136"/>
      <c r="B246" s="133" t="s">
        <v>98</v>
      </c>
      <c r="C246" s="137">
        <f>2*0</f>
        <v>0</v>
      </c>
      <c r="D246" s="131"/>
      <c r="E246" s="131">
        <f>2.5/3.281</f>
        <v>0.76196281621456874</v>
      </c>
      <c r="F246" s="131">
        <f>1.5/3.281</f>
        <v>0.45717768972874123</v>
      </c>
      <c r="G246" s="131">
        <f>PRODUCT(C246:F246)</f>
        <v>0</v>
      </c>
      <c r="H246" s="131"/>
      <c r="I246" s="131"/>
      <c r="J246" s="149"/>
      <c r="K246" s="141"/>
    </row>
    <row r="247" spans="1:14" ht="15" hidden="1" customHeight="1" x14ac:dyDescent="0.25">
      <c r="A247" s="136"/>
      <c r="B247" s="133" t="s">
        <v>25</v>
      </c>
      <c r="C247" s="137"/>
      <c r="D247" s="131"/>
      <c r="E247" s="131"/>
      <c r="F247" s="131"/>
      <c r="G247" s="138">
        <f>SUM(G245:G246)</f>
        <v>0</v>
      </c>
      <c r="H247" s="138" t="s">
        <v>26</v>
      </c>
      <c r="I247" s="139">
        <f>31552.5/0.92</f>
        <v>34296.195652173912</v>
      </c>
      <c r="J247" s="140">
        <f>G247*I247</f>
        <v>0</v>
      </c>
      <c r="K247" s="141"/>
    </row>
    <row r="248" spans="1:14" ht="15" hidden="1" customHeight="1" x14ac:dyDescent="0.25">
      <c r="A248" s="136"/>
      <c r="B248" s="133" t="s">
        <v>89</v>
      </c>
      <c r="C248" s="137"/>
      <c r="D248" s="131"/>
      <c r="E248" s="131"/>
      <c r="F248" s="131"/>
      <c r="G248" s="131"/>
      <c r="H248" s="131"/>
      <c r="I248" s="131"/>
      <c r="J248" s="149">
        <f>0.13*G247*((9742.5)/0.92)</f>
        <v>0</v>
      </c>
      <c r="K248" s="141"/>
      <c r="M248" s="58"/>
    </row>
    <row r="249" spans="1:14" ht="15" hidden="1" customHeight="1" x14ac:dyDescent="0.25">
      <c r="A249" s="136"/>
      <c r="B249" s="133"/>
      <c r="C249" s="137"/>
      <c r="D249" s="131"/>
      <c r="E249" s="131"/>
      <c r="F249" s="131"/>
      <c r="G249" s="131"/>
      <c r="H249" s="131"/>
      <c r="I249" s="131"/>
      <c r="J249" s="149"/>
      <c r="K249" s="141"/>
      <c r="M249" s="58"/>
    </row>
    <row r="250" spans="1:14" ht="30.75" hidden="1" x14ac:dyDescent="0.25">
      <c r="A250" s="136">
        <v>26</v>
      </c>
      <c r="B250" s="130" t="s">
        <v>103</v>
      </c>
      <c r="C250" s="137"/>
      <c r="D250" s="131"/>
      <c r="E250" s="131"/>
      <c r="F250" s="131"/>
      <c r="G250" s="131"/>
      <c r="H250" s="131"/>
      <c r="I250" s="131"/>
      <c r="J250" s="149"/>
      <c r="K250" s="141"/>
      <c r="M250" s="58"/>
    </row>
    <row r="251" spans="1:14" ht="15" hidden="1" customHeight="1" x14ac:dyDescent="0.25">
      <c r="A251" s="136"/>
      <c r="B251" s="133" t="s">
        <v>104</v>
      </c>
      <c r="C251" s="137">
        <f>0*1</f>
        <v>0</v>
      </c>
      <c r="D251" s="131"/>
      <c r="E251" s="131">
        <f>3.5/3.281</f>
        <v>1.0667479427003961</v>
      </c>
      <c r="F251" s="131">
        <f>6/3.281</f>
        <v>1.8287107589149649</v>
      </c>
      <c r="G251" s="131">
        <f>PRODUCT(C251:F251)</f>
        <v>0</v>
      </c>
      <c r="H251" s="131"/>
      <c r="I251" s="131"/>
      <c r="J251" s="149"/>
      <c r="K251" s="141"/>
    </row>
    <row r="252" spans="1:14" ht="15" hidden="1" customHeight="1" x14ac:dyDescent="0.25">
      <c r="A252" s="136"/>
      <c r="B252" s="133" t="s">
        <v>25</v>
      </c>
      <c r="C252" s="137"/>
      <c r="D252" s="131"/>
      <c r="E252" s="131"/>
      <c r="F252" s="131"/>
      <c r="G252" s="138">
        <f>SUM(G251:G251)</f>
        <v>0</v>
      </c>
      <c r="H252" s="138" t="s">
        <v>26</v>
      </c>
      <c r="I252" s="139">
        <v>15731.39</v>
      </c>
      <c r="J252" s="140">
        <f>G252*I252</f>
        <v>0</v>
      </c>
      <c r="K252" s="141"/>
    </row>
    <row r="253" spans="1:14" ht="15" hidden="1" customHeight="1" x14ac:dyDescent="0.25">
      <c r="A253" s="136"/>
      <c r="B253" s="133" t="s">
        <v>89</v>
      </c>
      <c r="C253" s="137"/>
      <c r="D253" s="131"/>
      <c r="E253" s="131"/>
      <c r="F253" s="131"/>
      <c r="G253" s="131"/>
      <c r="H253" s="131"/>
      <c r="I253" s="131"/>
      <c r="J253" s="149">
        <f>0.13*G252*((20356.18)/2.114)</f>
        <v>0</v>
      </c>
      <c r="K253" s="141"/>
      <c r="M253" s="58"/>
    </row>
    <row r="254" spans="1:14" ht="15.75" hidden="1" x14ac:dyDescent="0.25">
      <c r="A254" s="136"/>
      <c r="B254" s="130"/>
      <c r="C254" s="137"/>
      <c r="D254" s="131"/>
      <c r="E254" s="131"/>
      <c r="F254" s="131"/>
      <c r="G254" s="131"/>
      <c r="H254" s="131"/>
      <c r="I254" s="131"/>
      <c r="J254" s="149"/>
      <c r="K254" s="141"/>
      <c r="M254" s="58"/>
    </row>
    <row r="255" spans="1:14" ht="30.75" x14ac:dyDescent="0.25">
      <c r="A255" s="136">
        <v>7</v>
      </c>
      <c r="B255" s="130" t="s">
        <v>129</v>
      </c>
      <c r="C255" s="137"/>
      <c r="D255" s="131"/>
      <c r="E255" s="131"/>
      <c r="F255" s="131"/>
      <c r="G255" s="131"/>
      <c r="H255" s="131"/>
      <c r="I255" s="131"/>
      <c r="J255" s="149"/>
      <c r="K255" s="141"/>
      <c r="M255" s="58"/>
    </row>
    <row r="256" spans="1:14" ht="15" customHeight="1" x14ac:dyDescent="0.25">
      <c r="A256" s="136"/>
      <c r="B256" s="133" t="s">
        <v>54</v>
      </c>
      <c r="C256" s="137">
        <f>0.5*4</f>
        <v>2</v>
      </c>
      <c r="D256" s="131">
        <f>((23.17-1.25-1.583-0.333)/2)/3.281</f>
        <v>3.0484608351112472</v>
      </c>
      <c r="E256" s="131">
        <v>0.23</v>
      </c>
      <c r="F256" s="131">
        <f>7/3.281</f>
        <v>2.1334958854007922</v>
      </c>
      <c r="G256" s="131">
        <f>PRODUCT(C256:F256)</f>
        <v>2.991784178317042</v>
      </c>
      <c r="H256" s="131"/>
      <c r="I256" s="131"/>
      <c r="J256" s="149"/>
      <c r="K256" s="141"/>
      <c r="N256">
        <f>7.333/3.281</f>
        <v>2.234989332520573</v>
      </c>
    </row>
    <row r="257" spans="1:19" ht="15" customHeight="1" x14ac:dyDescent="0.25">
      <c r="A257" s="136"/>
      <c r="B257" s="133"/>
      <c r="C257" s="137">
        <v>2</v>
      </c>
      <c r="D257" s="131">
        <v>6.13</v>
      </c>
      <c r="E257" s="131">
        <v>0.23</v>
      </c>
      <c r="F257" s="131">
        <f>2.25/3.281</f>
        <v>0.68576653459311188</v>
      </c>
      <c r="G257" s="131">
        <f>PRODUCT(C257:F257)</f>
        <v>1.9337244742456567</v>
      </c>
      <c r="H257" s="131"/>
      <c r="I257" s="131"/>
      <c r="J257" s="149"/>
      <c r="K257" s="141"/>
    </row>
    <row r="258" spans="1:19" ht="15" customHeight="1" x14ac:dyDescent="0.25">
      <c r="A258" s="136"/>
      <c r="B258" s="133"/>
      <c r="C258" s="137">
        <v>1</v>
      </c>
      <c r="D258" s="131">
        <f>10.667/3.281</f>
        <v>3.2511429442243216</v>
      </c>
      <c r="E258" s="131">
        <v>0.35</v>
      </c>
      <c r="F258" s="131">
        <f>27/12/3.281</f>
        <v>0.68576653459311188</v>
      </c>
      <c r="G258" s="131">
        <f t="shared" ref="G258:G261" si="26">PRODUCT(C258:F258)</f>
        <v>0.78033376061464588</v>
      </c>
      <c r="H258" s="131"/>
      <c r="I258" s="131"/>
      <c r="J258" s="149"/>
      <c r="K258" s="141"/>
      <c r="M258">
        <f>3.24*3.281</f>
        <v>10.630440000000002</v>
      </c>
    </row>
    <row r="259" spans="1:19" ht="15" customHeight="1" x14ac:dyDescent="0.25">
      <c r="A259" s="136"/>
      <c r="B259" s="133"/>
      <c r="C259" s="137">
        <f>1*0.5</f>
        <v>0.5</v>
      </c>
      <c r="D259" s="131">
        <f>10.667/3.281</f>
        <v>3.2511429442243216</v>
      </c>
      <c r="E259" s="131">
        <v>0.35</v>
      </c>
      <c r="F259" s="131">
        <f>6.5/12/3.281</f>
        <v>0.16509194351315654</v>
      </c>
      <c r="G259" s="131">
        <f t="shared" si="26"/>
        <v>9.3929063777688851E-2</v>
      </c>
      <c r="H259" s="131"/>
      <c r="I259" s="131"/>
      <c r="J259" s="149"/>
      <c r="K259" s="141"/>
    </row>
    <row r="260" spans="1:19" ht="15" customHeight="1" x14ac:dyDescent="0.25">
      <c r="A260" s="136"/>
      <c r="B260" s="133"/>
      <c r="C260" s="137">
        <v>1</v>
      </c>
      <c r="D260" s="131">
        <f>10.667/3.281</f>
        <v>3.2511429442243216</v>
      </c>
      <c r="E260" s="131">
        <v>0.45</v>
      </c>
      <c r="F260" s="131">
        <f>27/12/3.281</f>
        <v>0.68576653459311188</v>
      </c>
      <c r="G260" s="131">
        <f t="shared" si="26"/>
        <v>1.003286263647402</v>
      </c>
      <c r="H260" s="131"/>
      <c r="I260" s="131"/>
      <c r="J260" s="149"/>
      <c r="K260" s="141"/>
    </row>
    <row r="261" spans="1:19" ht="15" customHeight="1" x14ac:dyDescent="0.25">
      <c r="A261" s="136"/>
      <c r="B261" s="133"/>
      <c r="C261" s="137">
        <f>0.5*1</f>
        <v>0.5</v>
      </c>
      <c r="D261" s="131">
        <f>10.667/3.281</f>
        <v>3.2511429442243216</v>
      </c>
      <c r="E261" s="131">
        <v>0.45</v>
      </c>
      <c r="F261" s="131">
        <f>6.5/12/3.281</f>
        <v>0.16509194351315654</v>
      </c>
      <c r="G261" s="131">
        <f t="shared" si="26"/>
        <v>0.12076593914274282</v>
      </c>
      <c r="H261" s="131"/>
      <c r="I261" s="131"/>
      <c r="J261" s="149"/>
      <c r="K261" s="141"/>
    </row>
    <row r="262" spans="1:19" ht="15" customHeight="1" x14ac:dyDescent="0.25">
      <c r="A262" s="136"/>
      <c r="B262" s="133" t="s">
        <v>25</v>
      </c>
      <c r="C262" s="137"/>
      <c r="D262" s="131"/>
      <c r="E262" s="131"/>
      <c r="F262" s="131"/>
      <c r="G262" s="138">
        <f>SUM(G256:G261)</f>
        <v>6.923823679745178</v>
      </c>
      <c r="H262" s="138" t="s">
        <v>30</v>
      </c>
      <c r="I262" s="139">
        <v>14984.29</v>
      </c>
      <c r="J262" s="140">
        <f>G262*I262</f>
        <v>103748.58192616887</v>
      </c>
      <c r="K262" s="141"/>
    </row>
    <row r="263" spans="1:19" ht="15" hidden="1" customHeight="1" x14ac:dyDescent="0.25">
      <c r="A263" s="136"/>
      <c r="B263" s="133" t="s">
        <v>89</v>
      </c>
      <c r="C263" s="137"/>
      <c r="D263" s="131"/>
      <c r="E263" s="131"/>
      <c r="F263" s="131"/>
      <c r="G263" s="131"/>
      <c r="H263" s="131"/>
      <c r="I263" s="131"/>
      <c r="J263" s="149">
        <f>0.13*G262*10555.39</f>
        <v>9500.8757000229089</v>
      </c>
      <c r="K263" s="141"/>
      <c r="M263" s="58"/>
    </row>
    <row r="264" spans="1:19" ht="15.75" x14ac:dyDescent="0.25">
      <c r="A264" s="136"/>
      <c r="B264" s="130"/>
      <c r="C264" s="137"/>
      <c r="D264" s="131"/>
      <c r="E264" s="131"/>
      <c r="F264" s="131"/>
      <c r="G264" s="131"/>
      <c r="H264" s="131"/>
      <c r="I264" s="131"/>
      <c r="J264" s="149"/>
      <c r="K264" s="141"/>
      <c r="M264" s="58"/>
    </row>
    <row r="265" spans="1:19" ht="30" hidden="1" x14ac:dyDescent="0.25">
      <c r="A265" s="136">
        <v>27</v>
      </c>
      <c r="B265" s="135" t="s">
        <v>105</v>
      </c>
      <c r="C265" s="137"/>
      <c r="D265" s="131"/>
      <c r="E265" s="131"/>
      <c r="F265" s="131"/>
      <c r="G265" s="131"/>
      <c r="H265" s="131"/>
      <c r="I265" s="131"/>
      <c r="J265" s="149"/>
      <c r="K265" s="141"/>
    </row>
    <row r="266" spans="1:19" ht="15" hidden="1" customHeight="1" x14ac:dyDescent="0.25">
      <c r="A266" s="136"/>
      <c r="B266" s="133" t="s">
        <v>104</v>
      </c>
      <c r="C266" s="137">
        <f>0*1</f>
        <v>0</v>
      </c>
      <c r="D266" s="131"/>
      <c r="E266" s="131">
        <f>3.5/3.281</f>
        <v>1.0667479427003961</v>
      </c>
      <c r="F266" s="131">
        <f>6/3.281</f>
        <v>1.8287107589149649</v>
      </c>
      <c r="G266" s="131">
        <f>PRODUCT(C266:F266)</f>
        <v>0</v>
      </c>
      <c r="H266" s="131"/>
      <c r="I266" s="131"/>
      <c r="J266" s="149"/>
      <c r="K266" s="141"/>
    </row>
    <row r="267" spans="1:19" ht="15" hidden="1" customHeight="1" x14ac:dyDescent="0.25">
      <c r="A267" s="136"/>
      <c r="B267" s="133" t="s">
        <v>25</v>
      </c>
      <c r="C267" s="137"/>
      <c r="D267" s="131"/>
      <c r="E267" s="131"/>
      <c r="F267" s="131"/>
      <c r="G267" s="138">
        <f>SUM(G266:G266)</f>
        <v>0</v>
      </c>
      <c r="H267" s="138" t="s">
        <v>26</v>
      </c>
      <c r="I267" s="139">
        <f>45908.09/1.15</f>
        <v>39920.078260869566</v>
      </c>
      <c r="J267" s="140">
        <f>G267*I267</f>
        <v>0</v>
      </c>
      <c r="K267" s="141"/>
    </row>
    <row r="268" spans="1:19" hidden="1" x14ac:dyDescent="0.25">
      <c r="A268" s="136"/>
      <c r="B268" s="135"/>
      <c r="C268" s="137"/>
      <c r="D268" s="131"/>
      <c r="E268" s="131"/>
      <c r="F268" s="131"/>
      <c r="G268" s="131"/>
      <c r="H268" s="131"/>
      <c r="I268" s="131"/>
      <c r="J268" s="149"/>
      <c r="K268" s="141"/>
    </row>
    <row r="269" spans="1:19" ht="30" hidden="1" x14ac:dyDescent="0.25">
      <c r="A269" s="12">
        <v>32</v>
      </c>
      <c r="B269" s="156" t="s">
        <v>106</v>
      </c>
      <c r="C269" s="14"/>
      <c r="D269" s="15"/>
      <c r="E269" s="16"/>
      <c r="F269" s="16"/>
      <c r="G269" s="19"/>
      <c r="H269" s="18"/>
      <c r="I269" s="19"/>
      <c r="J269" s="132"/>
      <c r="K269" s="16"/>
      <c r="M269" s="21"/>
      <c r="N269" s="1"/>
      <c r="O269" s="1"/>
      <c r="P269" s="1"/>
      <c r="Q269" s="1"/>
      <c r="R269" s="21"/>
      <c r="S269" s="21"/>
    </row>
    <row r="270" spans="1:19" ht="15" hidden="1" customHeight="1" x14ac:dyDescent="0.25">
      <c r="A270" s="12"/>
      <c r="B270" s="13" t="s">
        <v>107</v>
      </c>
      <c r="C270" s="14">
        <f>0*2</f>
        <v>0</v>
      </c>
      <c r="D270" s="15">
        <f>(15)/3.281</f>
        <v>4.5717768972874122</v>
      </c>
      <c r="E270" s="16">
        <f>((10.5-1.5)/3.281)</f>
        <v>2.7430661383724475</v>
      </c>
      <c r="F270" s="16"/>
      <c r="G270" s="131">
        <f t="shared" ref="G270" si="27">PRODUCT(C270:F270)</f>
        <v>0</v>
      </c>
      <c r="H270" s="18"/>
      <c r="I270" s="19"/>
      <c r="J270" s="132"/>
      <c r="K270" s="16"/>
      <c r="M270" s="21"/>
      <c r="N270" s="1"/>
      <c r="O270" s="1"/>
      <c r="P270" s="1"/>
      <c r="Q270" s="1"/>
      <c r="R270" s="21"/>
      <c r="S270" s="21"/>
    </row>
    <row r="271" spans="1:19" ht="15" hidden="1" customHeight="1" x14ac:dyDescent="0.25">
      <c r="A271" s="136"/>
      <c r="B271" s="133" t="s">
        <v>25</v>
      </c>
      <c r="C271" s="137"/>
      <c r="D271" s="131"/>
      <c r="E271" s="131"/>
      <c r="F271" s="131"/>
      <c r="G271" s="138">
        <f>SUM(G270:G270)</f>
        <v>0</v>
      </c>
      <c r="H271" s="138" t="s">
        <v>26</v>
      </c>
      <c r="I271" s="139">
        <f>(325188.75/100)</f>
        <v>3251.8874999999998</v>
      </c>
      <c r="J271" s="140">
        <f>G271*I271</f>
        <v>0</v>
      </c>
      <c r="K271" s="141"/>
    </row>
    <row r="272" spans="1:19" ht="15" hidden="1" customHeight="1" x14ac:dyDescent="0.25">
      <c r="A272" s="136"/>
      <c r="B272" s="133" t="s">
        <v>89</v>
      </c>
      <c r="C272" s="137"/>
      <c r="D272" s="131"/>
      <c r="E272" s="131"/>
      <c r="F272" s="131"/>
      <c r="G272" s="131"/>
      <c r="H272" s="131"/>
      <c r="I272" s="131"/>
      <c r="J272" s="149">
        <f>0.13*G271*((221748.75)/100)</f>
        <v>0</v>
      </c>
      <c r="K272" s="141"/>
    </row>
    <row r="273" spans="1:19" ht="15" hidden="1" customHeight="1" x14ac:dyDescent="0.25">
      <c r="A273" s="136"/>
      <c r="B273" s="133"/>
      <c r="C273" s="137"/>
      <c r="D273" s="131"/>
      <c r="E273" s="131"/>
      <c r="F273" s="131"/>
      <c r="G273" s="131"/>
      <c r="H273" s="131"/>
      <c r="I273" s="131"/>
      <c r="J273" s="149"/>
      <c r="K273" s="141"/>
    </row>
    <row r="274" spans="1:19" ht="30" hidden="1" x14ac:dyDescent="0.25">
      <c r="A274" s="12">
        <v>33</v>
      </c>
      <c r="B274" s="156" t="s">
        <v>108</v>
      </c>
      <c r="C274" s="137"/>
      <c r="D274" s="131"/>
      <c r="E274" s="131"/>
      <c r="F274" s="131"/>
      <c r="G274" s="131"/>
      <c r="H274" s="131"/>
      <c r="I274" s="131"/>
      <c r="J274" s="149"/>
      <c r="K274" s="141"/>
    </row>
    <row r="275" spans="1:19" ht="15" hidden="1" customHeight="1" x14ac:dyDescent="0.25">
      <c r="A275" s="12"/>
      <c r="B275" s="13" t="s">
        <v>107</v>
      </c>
      <c r="C275" s="14">
        <f>0*2*2</f>
        <v>0</v>
      </c>
      <c r="D275" s="15">
        <f>D270</f>
        <v>4.5717768972874122</v>
      </c>
      <c r="E275" s="16"/>
      <c r="F275" s="16"/>
      <c r="G275" s="131">
        <f>PRODUCT(C275:F275)</f>
        <v>0</v>
      </c>
      <c r="H275" s="18"/>
      <c r="I275" s="19"/>
      <c r="J275" s="132"/>
      <c r="K275" s="16"/>
      <c r="M275" s="21"/>
      <c r="N275" s="1"/>
      <c r="O275" s="1"/>
      <c r="P275" s="1"/>
      <c r="Q275" s="1"/>
      <c r="R275" s="21"/>
      <c r="S275" s="21"/>
    </row>
    <row r="276" spans="1:19" ht="15" hidden="1" customHeight="1" x14ac:dyDescent="0.25">
      <c r="A276" s="136"/>
      <c r="B276" s="133" t="s">
        <v>25</v>
      </c>
      <c r="C276" s="137"/>
      <c r="D276" s="131"/>
      <c r="E276" s="131"/>
      <c r="F276" s="131"/>
      <c r="G276" s="138">
        <f>SUM(G275:G275)</f>
        <v>0</v>
      </c>
      <c r="H276" s="138" t="s">
        <v>73</v>
      </c>
      <c r="I276" s="139">
        <v>1842.85</v>
      </c>
      <c r="J276" s="140">
        <f>G276*I276</f>
        <v>0</v>
      </c>
      <c r="K276" s="141"/>
    </row>
    <row r="277" spans="1:19" ht="15" hidden="1" customHeight="1" x14ac:dyDescent="0.25">
      <c r="A277" s="136"/>
      <c r="B277" s="133" t="s">
        <v>89</v>
      </c>
      <c r="C277" s="137"/>
      <c r="D277" s="131"/>
      <c r="E277" s="131"/>
      <c r="F277" s="131"/>
      <c r="G277" s="131"/>
      <c r="H277" s="131"/>
      <c r="I277" s="131"/>
      <c r="J277" s="149">
        <f>0.13*G276*((164000)/100)</f>
        <v>0</v>
      </c>
      <c r="K277" s="141"/>
    </row>
    <row r="278" spans="1:19" ht="15" hidden="1" customHeight="1" x14ac:dyDescent="0.25">
      <c r="A278" s="136"/>
      <c r="B278" s="133"/>
      <c r="C278" s="137"/>
      <c r="D278" s="131"/>
      <c r="E278" s="131"/>
      <c r="F278" s="131"/>
      <c r="G278" s="131"/>
      <c r="H278" s="131"/>
      <c r="I278" s="131"/>
      <c r="J278" s="149"/>
      <c r="K278" s="141"/>
    </row>
    <row r="279" spans="1:19" ht="30" hidden="1" x14ac:dyDescent="0.25">
      <c r="A279" s="136">
        <v>34</v>
      </c>
      <c r="B279" s="156" t="s">
        <v>109</v>
      </c>
      <c r="C279" s="137"/>
      <c r="D279" s="131"/>
      <c r="E279" s="131"/>
      <c r="F279" s="131"/>
      <c r="G279" s="131"/>
      <c r="H279" s="131"/>
      <c r="I279" s="131"/>
      <c r="J279" s="149"/>
      <c r="K279" s="141"/>
    </row>
    <row r="280" spans="1:19" hidden="1" x14ac:dyDescent="0.25">
      <c r="A280" s="136"/>
      <c r="B280" s="133" t="s">
        <v>110</v>
      </c>
      <c r="C280" s="137">
        <f>0*4</f>
        <v>0</v>
      </c>
      <c r="D280" s="131"/>
      <c r="E280" s="131"/>
      <c r="F280" s="131"/>
      <c r="G280" s="131">
        <f t="shared" ref="G280" si="28">PRODUCT(C280:F280)</f>
        <v>0</v>
      </c>
      <c r="H280" s="131"/>
      <c r="I280" s="131"/>
      <c r="J280" s="149"/>
      <c r="K280" s="141"/>
    </row>
    <row r="281" spans="1:19" ht="15" hidden="1" customHeight="1" x14ac:dyDescent="0.25">
      <c r="A281" s="136"/>
      <c r="B281" s="133" t="s">
        <v>25</v>
      </c>
      <c r="C281" s="137"/>
      <c r="D281" s="131"/>
      <c r="E281" s="131"/>
      <c r="F281" s="131"/>
      <c r="G281" s="138">
        <f>SUM(G280)</f>
        <v>0</v>
      </c>
      <c r="H281" s="138" t="s">
        <v>94</v>
      </c>
      <c r="I281" s="139">
        <v>279</v>
      </c>
      <c r="J281" s="140">
        <f>G281*I281</f>
        <v>0</v>
      </c>
      <c r="K281" s="141"/>
    </row>
    <row r="282" spans="1:19" ht="15" hidden="1" customHeight="1" x14ac:dyDescent="0.25">
      <c r="A282" s="136"/>
      <c r="B282" s="133" t="s">
        <v>89</v>
      </c>
      <c r="C282" s="137"/>
      <c r="D282" s="131"/>
      <c r="E282" s="131"/>
      <c r="F282" s="131"/>
      <c r="G282" s="131"/>
      <c r="H282" s="131"/>
      <c r="I282" s="131"/>
      <c r="J282" s="149">
        <f>0.13*J281</f>
        <v>0</v>
      </c>
      <c r="K282" s="141"/>
    </row>
    <row r="283" spans="1:19" hidden="1" x14ac:dyDescent="0.25">
      <c r="A283" s="136"/>
      <c r="B283" s="135"/>
      <c r="C283" s="137"/>
      <c r="D283" s="131"/>
      <c r="E283" s="131"/>
      <c r="F283" s="131"/>
      <c r="G283" s="131"/>
      <c r="H283" s="131"/>
      <c r="I283" s="131"/>
      <c r="J283" s="149"/>
      <c r="K283" s="141"/>
    </row>
    <row r="284" spans="1:19" s="1" customFormat="1" ht="45" hidden="1" x14ac:dyDescent="0.25">
      <c r="A284" s="136">
        <v>35</v>
      </c>
      <c r="B284" s="157" t="s">
        <v>111</v>
      </c>
      <c r="C284" s="143">
        <f>0*3</f>
        <v>0</v>
      </c>
      <c r="D284" s="144">
        <v>3.5</v>
      </c>
      <c r="E284" s="144"/>
      <c r="F284" s="144"/>
      <c r="G284" s="144">
        <f>PRODUCT(C284:F284)</f>
        <v>0</v>
      </c>
      <c r="H284" s="136"/>
      <c r="I284" s="136"/>
      <c r="J284" s="136"/>
      <c r="K284" s="145"/>
    </row>
    <row r="285" spans="1:19" ht="15" hidden="1" customHeight="1" x14ac:dyDescent="0.25">
      <c r="A285" s="136"/>
      <c r="B285" s="133" t="s">
        <v>25</v>
      </c>
      <c r="C285" s="137"/>
      <c r="D285" s="131"/>
      <c r="E285" s="131"/>
      <c r="F285" s="131"/>
      <c r="G285" s="138">
        <f>SUM(G284:G284)</f>
        <v>0</v>
      </c>
      <c r="H285" s="138" t="s">
        <v>112</v>
      </c>
      <c r="I285" s="138">
        <v>3914.14</v>
      </c>
      <c r="J285" s="140">
        <f>G284*I285</f>
        <v>0</v>
      </c>
      <c r="K285" s="141"/>
    </row>
    <row r="286" spans="1:19" ht="15" hidden="1" customHeight="1" x14ac:dyDescent="0.25">
      <c r="A286" s="136"/>
      <c r="B286" s="133" t="s">
        <v>89</v>
      </c>
      <c r="C286" s="137"/>
      <c r="D286" s="131"/>
      <c r="E286" s="131"/>
      <c r="F286" s="131"/>
      <c r="G286" s="131"/>
      <c r="H286" s="131"/>
      <c r="I286" s="131"/>
      <c r="J286" s="149">
        <f>0.13*G285*5918/5</f>
        <v>0</v>
      </c>
      <c r="K286" s="141"/>
      <c r="M286" s="58"/>
    </row>
    <row r="287" spans="1:19" ht="15" hidden="1" customHeight="1" x14ac:dyDescent="0.25">
      <c r="A287" s="136"/>
      <c r="B287" s="133"/>
      <c r="C287" s="137"/>
      <c r="D287" s="131"/>
      <c r="E287" s="131"/>
      <c r="F287" s="131"/>
      <c r="G287" s="131"/>
      <c r="H287" s="131"/>
      <c r="I287" s="131"/>
      <c r="J287" s="149"/>
      <c r="K287" s="141"/>
    </row>
    <row r="288" spans="1:19" s="1" customFormat="1" x14ac:dyDescent="0.25">
      <c r="A288" s="12">
        <v>8</v>
      </c>
      <c r="B288" s="155" t="s">
        <v>113</v>
      </c>
      <c r="C288" s="143">
        <f>0*1</f>
        <v>0</v>
      </c>
      <c r="D288" s="144"/>
      <c r="E288" s="144"/>
      <c r="F288" s="144"/>
      <c r="G288" s="148">
        <f>PRODUCT(C288:F288)</f>
        <v>0</v>
      </c>
      <c r="H288" s="148" t="s">
        <v>114</v>
      </c>
      <c r="I288" s="148">
        <v>35000</v>
      </c>
      <c r="J288" s="149">
        <f>G288*I288</f>
        <v>0</v>
      </c>
      <c r="K288" s="145"/>
    </row>
    <row r="289" spans="1:14" ht="15" customHeight="1" x14ac:dyDescent="0.25">
      <c r="A289" s="136"/>
      <c r="B289" s="150"/>
      <c r="C289" s="137"/>
      <c r="D289" s="131"/>
      <c r="E289" s="131"/>
      <c r="F289" s="131"/>
      <c r="G289" s="131"/>
      <c r="H289" s="131"/>
      <c r="I289" s="131"/>
      <c r="J289" s="149"/>
      <c r="K289" s="141"/>
    </row>
    <row r="290" spans="1:14" ht="15" customHeight="1" x14ac:dyDescent="0.25">
      <c r="A290" s="12">
        <v>9</v>
      </c>
      <c r="B290" s="62" t="s">
        <v>115</v>
      </c>
      <c r="C290" s="14">
        <v>1</v>
      </c>
      <c r="D290" s="15"/>
      <c r="E290" s="16"/>
      <c r="F290" s="16"/>
      <c r="G290" s="148">
        <f t="shared" ref="G290" si="29">PRODUCT(C290:F290)</f>
        <v>1</v>
      </c>
      <c r="H290" s="18" t="s">
        <v>94</v>
      </c>
      <c r="I290" s="19">
        <v>1000</v>
      </c>
      <c r="J290" s="148">
        <f>G290*I290</f>
        <v>1000</v>
      </c>
      <c r="K290" s="16"/>
      <c r="M290" s="21"/>
      <c r="N290" s="21"/>
    </row>
    <row r="291" spans="1:14" ht="15" customHeight="1" x14ac:dyDescent="0.25">
      <c r="A291" s="12"/>
      <c r="B291" s="60"/>
      <c r="C291" s="14"/>
      <c r="D291" s="15"/>
      <c r="E291" s="16"/>
      <c r="F291" s="16"/>
      <c r="G291" s="19"/>
      <c r="H291" s="18"/>
      <c r="I291" s="19"/>
      <c r="J291" s="132"/>
      <c r="K291" s="16"/>
      <c r="M291" s="21"/>
      <c r="N291" s="21"/>
    </row>
    <row r="292" spans="1:14" x14ac:dyDescent="0.25">
      <c r="A292" s="136"/>
      <c r="B292" s="158" t="s">
        <v>116</v>
      </c>
      <c r="C292" s="159"/>
      <c r="D292" s="160"/>
      <c r="E292" s="160"/>
      <c r="F292" s="160"/>
      <c r="G292" s="132"/>
      <c r="H292" s="132"/>
      <c r="I292" s="132"/>
      <c r="J292" s="132">
        <f>SUM(J14:J290)</f>
        <v>1090255.627394822</v>
      </c>
      <c r="K292" s="141"/>
    </row>
    <row r="293" spans="1:14" x14ac:dyDescent="0.25">
      <c r="A293" s="108"/>
      <c r="B293" s="109"/>
      <c r="C293" s="109"/>
      <c r="D293" s="109"/>
      <c r="E293" s="109"/>
      <c r="F293" s="109"/>
      <c r="G293" s="110"/>
      <c r="H293" s="110"/>
      <c r="I293" s="110"/>
      <c r="J293" s="110"/>
      <c r="K293" s="109"/>
    </row>
    <row r="294" spans="1:14" s="1" customFormat="1" hidden="1" x14ac:dyDescent="0.25">
      <c r="A294" s="111"/>
      <c r="B294" s="145" t="s">
        <v>162</v>
      </c>
      <c r="C294" s="186">
        <f>J292</f>
        <v>1090255.627394822</v>
      </c>
      <c r="D294" s="186"/>
      <c r="E294" s="144">
        <v>100</v>
      </c>
      <c r="F294" s="112"/>
      <c r="G294" s="113"/>
      <c r="H294" s="112"/>
      <c r="I294" s="114"/>
      <c r="J294" s="115"/>
      <c r="K294" s="116"/>
    </row>
    <row r="295" spans="1:14" hidden="1" x14ac:dyDescent="0.25">
      <c r="A295" s="108"/>
      <c r="B295" s="145" t="s">
        <v>118</v>
      </c>
      <c r="C295" s="187">
        <v>1000000</v>
      </c>
      <c r="D295" s="187"/>
      <c r="E295" s="144"/>
      <c r="F295" s="109"/>
      <c r="G295" s="110"/>
      <c r="H295" s="110"/>
      <c r="I295" s="110"/>
      <c r="J295" s="110"/>
      <c r="K295" s="109"/>
    </row>
    <row r="296" spans="1:14" hidden="1" x14ac:dyDescent="0.25">
      <c r="A296" s="108"/>
      <c r="B296" s="145" t="s">
        <v>119</v>
      </c>
      <c r="C296" s="187">
        <f>84.6%*M!C294:D294</f>
        <v>922356.26077601931</v>
      </c>
      <c r="D296" s="187"/>
      <c r="E296" s="144">
        <f>C296/C294*100</f>
        <v>84.6</v>
      </c>
      <c r="F296" s="109"/>
      <c r="G296" s="110"/>
      <c r="H296" s="110"/>
      <c r="I296" s="110"/>
      <c r="J296" s="110">
        <f>J292*2</f>
        <v>2180511.2547896439</v>
      </c>
      <c r="K296" s="109"/>
    </row>
    <row r="297" spans="1:14" hidden="1" x14ac:dyDescent="0.25">
      <c r="A297" s="108"/>
      <c r="B297" s="145" t="s">
        <v>120</v>
      </c>
      <c r="C297" s="186">
        <f>C294-C296</f>
        <v>167899.36661880265</v>
      </c>
      <c r="D297" s="186"/>
      <c r="E297" s="144">
        <f>100-E296</f>
        <v>15.400000000000006</v>
      </c>
      <c r="F297" s="109"/>
      <c r="G297" s="110"/>
      <c r="H297" s="110"/>
      <c r="I297" s="110"/>
      <c r="J297" s="110"/>
      <c r="K297" s="109"/>
    </row>
    <row r="298" spans="1:14" hidden="1" x14ac:dyDescent="0.25">
      <c r="A298" s="108"/>
      <c r="B298" s="145" t="s">
        <v>121</v>
      </c>
      <c r="C298" s="186">
        <f>C295*0.03</f>
        <v>30000</v>
      </c>
      <c r="D298" s="186"/>
      <c r="E298" s="144">
        <v>3</v>
      </c>
      <c r="F298" s="109"/>
      <c r="G298" s="110"/>
      <c r="H298" s="110"/>
      <c r="I298" s="110"/>
      <c r="J298" s="110"/>
      <c r="K298" s="109"/>
    </row>
    <row r="299" spans="1:14" hidden="1" x14ac:dyDescent="0.25">
      <c r="A299" s="108"/>
      <c r="B299" s="145" t="s">
        <v>122</v>
      </c>
      <c r="C299" s="186">
        <f>C295*0.02</f>
        <v>20000</v>
      </c>
      <c r="D299" s="186"/>
      <c r="E299" s="144">
        <v>2</v>
      </c>
      <c r="F299" s="109"/>
      <c r="G299" s="110"/>
      <c r="H299" s="110"/>
      <c r="I299" s="110"/>
      <c r="J299" s="110"/>
      <c r="K299" s="109"/>
    </row>
  </sheetData>
  <mergeCells count="15">
    <mergeCell ref="C298:D298"/>
    <mergeCell ref="C299:D299"/>
    <mergeCell ref="A7:F7"/>
    <mergeCell ref="H7:K7"/>
    <mergeCell ref="C294:D294"/>
    <mergeCell ref="C295:D295"/>
    <mergeCell ref="C296:D296"/>
    <mergeCell ref="C297:D297"/>
    <mergeCell ref="A6:F6"/>
    <mergeCell ref="H6:K6"/>
    <mergeCell ref="A1:K1"/>
    <mergeCell ref="A2:K2"/>
    <mergeCell ref="A3:K3"/>
    <mergeCell ref="A4:K4"/>
    <mergeCell ref="A5:K5"/>
  </mergeCells>
  <printOptions horizontalCentered="1"/>
  <pageMargins left="0.7" right="0.7" top="0.75" bottom="0.75" header="0.3" footer="0.3"/>
  <pageSetup paperSize="9" scale="90" orientation="portrait" horizontalDpi="300" verticalDpi="300"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800000</vt:lpstr>
      <vt:lpstr>1000000</vt:lpstr>
      <vt:lpstr>roof only</vt:lpstr>
      <vt:lpstr>F_estimate</vt:lpstr>
      <vt:lpstr>WCR</vt:lpstr>
      <vt:lpstr>valuated roof only</vt:lpstr>
      <vt:lpstr>M</vt:lpstr>
      <vt:lpstr>'1000000'!Print_Area</vt:lpstr>
      <vt:lpstr>'800000'!Print_Area</vt:lpstr>
      <vt:lpstr>F_estimate!Print_Area</vt:lpstr>
      <vt:lpstr>M!Print_Area</vt:lpstr>
      <vt:lpstr>'roof only'!Print_Area</vt:lpstr>
      <vt:lpstr>'valuated roof only'!Print_Area</vt:lpstr>
      <vt:lpstr>WCR!Print_Area</vt:lpstr>
      <vt:lpstr>'1000000'!Print_Titles</vt:lpstr>
      <vt:lpstr>'800000'!Print_Titles</vt:lpstr>
      <vt:lpstr>F_estimate!Print_Titles</vt:lpstr>
      <vt:lpstr>M!Print_Titles</vt:lpstr>
      <vt:lpstr>'roof only'!Print_Titles</vt:lpstr>
      <vt:lpstr>'valuated roof only'!Print_Titles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2024-08-14T06:04:19Z</dcterms:modified>
</cp:coreProperties>
</file>