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New folder\081-082\ofc\ofc\estimates\estimates\"/>
    </mc:Choice>
  </mc:AlternateContent>
  <bookViews>
    <workbookView xWindow="-120" yWindow="-120" windowWidth="20730" windowHeight="11160" firstSheet="1" activeTab="2"/>
  </bookViews>
  <sheets>
    <sheet name="estimate" sheetId="17" state="hidden" r:id="rId1"/>
    <sheet name="WCR" sheetId="6" r:id="rId2"/>
    <sheet name="dipak dai estimate" sheetId="20" r:id="rId3"/>
  </sheets>
  <externalReferences>
    <externalReference r:id="rId4"/>
    <externalReference r:id="rId5"/>
    <externalReference r:id="rId6"/>
    <externalReference r:id="rId7"/>
  </externalReferences>
  <definedNames>
    <definedName name="description_103">[1]Abstract!$B$16</definedName>
    <definedName name="description_124" localSheetId="2">#REF!</definedName>
    <definedName name="description_124" localSheetId="0">#REF!</definedName>
    <definedName name="description_124">#REF!</definedName>
    <definedName name="description_247">[1]Abstract!$B$22</definedName>
    <definedName name="description_248">[1]Abstract!$B$23</definedName>
    <definedName name="description_261">[2]Abstract!$B$33</definedName>
    <definedName name="description_262">[1]Abstract!$B$34</definedName>
    <definedName name="description_3">[1]Abstract!$B$169</definedName>
    <definedName name="description_310">[3]Abstract!$B$60</definedName>
    <definedName name="description_312">[4]Abstract!$B$61</definedName>
    <definedName name="description_5">[1]Abstract!$B$171</definedName>
    <definedName name="description_6">[3]Abstract!$B$172</definedName>
    <definedName name="description_759">[1]Abstract!$B$278</definedName>
    <definedName name="description_783">[1]Abstract!$B$301</definedName>
    <definedName name="_xlnm.Print_Area" localSheetId="2">'dipak dai estimate'!$A$1:$K$52</definedName>
    <definedName name="_xlnm.Print_Area" localSheetId="0">estimate!$A$1:$K$52</definedName>
    <definedName name="_xlnm.Print_Titles" localSheetId="2">'dipak dai estimate'!$1:$8</definedName>
    <definedName name="_xlnm.Print_Titles" localSheetId="0">estimate!$1:$8</definedName>
    <definedName name="_xlnm.Print_Titles" localSheetId="1">WCR!$1:$12</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C11" i="20" l="1"/>
  <c r="C16" i="20"/>
  <c r="C26" i="20"/>
  <c r="C21" i="20" s="1"/>
  <c r="D10" i="20"/>
  <c r="M37" i="20"/>
  <c r="C52" i="20" l="1"/>
  <c r="C51" i="20"/>
  <c r="C49" i="20" s="1"/>
  <c r="D31" i="20"/>
  <c r="F31" i="20"/>
  <c r="A9" i="6" l="1"/>
  <c r="A8" i="6"/>
  <c r="H28" i="6" l="1"/>
  <c r="H33" i="6"/>
  <c r="E33" i="6"/>
  <c r="C33" i="6"/>
  <c r="B33" i="6"/>
  <c r="A33" i="6"/>
  <c r="H31" i="6"/>
  <c r="E31" i="6"/>
  <c r="C31" i="6"/>
  <c r="B31" i="6"/>
  <c r="A31" i="6"/>
  <c r="E28" i="6"/>
  <c r="C28" i="6"/>
  <c r="B29" i="6"/>
  <c r="B28" i="6"/>
  <c r="A28" i="6"/>
  <c r="H25" i="6"/>
  <c r="E25" i="6"/>
  <c r="C25" i="6"/>
  <c r="B26" i="6"/>
  <c r="B25" i="6"/>
  <c r="A25" i="6"/>
  <c r="H22" i="6"/>
  <c r="E22" i="6"/>
  <c r="C22" i="6"/>
  <c r="B23" i="6"/>
  <c r="B22" i="6"/>
  <c r="A22" i="6"/>
  <c r="H19" i="6"/>
  <c r="E19" i="6"/>
  <c r="C19" i="6"/>
  <c r="B20" i="6"/>
  <c r="B19" i="6"/>
  <c r="A19" i="6"/>
  <c r="H16" i="6"/>
  <c r="E16" i="6"/>
  <c r="C16" i="6"/>
  <c r="B17" i="6"/>
  <c r="B16" i="6"/>
  <c r="A16" i="6"/>
  <c r="H13" i="6"/>
  <c r="E13" i="6"/>
  <c r="C13" i="6"/>
  <c r="B14" i="6"/>
  <c r="B13" i="6"/>
  <c r="A13" i="6"/>
  <c r="G43" i="20"/>
  <c r="J43" i="20" s="1"/>
  <c r="G41" i="20"/>
  <c r="J41" i="20" s="1"/>
  <c r="P37" i="20"/>
  <c r="P38" i="20" s="1"/>
  <c r="O37" i="20"/>
  <c r="N37" i="20"/>
  <c r="G37" i="20"/>
  <c r="O33" i="20"/>
  <c r="N33" i="20"/>
  <c r="O32" i="20"/>
  <c r="N32" i="20"/>
  <c r="G32" i="20"/>
  <c r="G31" i="20"/>
  <c r="G26" i="20"/>
  <c r="G27" i="20" s="1"/>
  <c r="J27" i="20" s="1"/>
  <c r="J28" i="20" s="1"/>
  <c r="I23" i="6" s="1"/>
  <c r="G21" i="20"/>
  <c r="G16" i="20"/>
  <c r="B16" i="20"/>
  <c r="B21" i="20" s="1"/>
  <c r="B31" i="20" s="1"/>
  <c r="F11" i="20"/>
  <c r="G11" i="20" s="1"/>
  <c r="G10" i="20"/>
  <c r="G12" i="20" l="1"/>
  <c r="G13" i="6" s="1"/>
  <c r="G22" i="20"/>
  <c r="J22" i="20" s="1"/>
  <c r="G17" i="20"/>
  <c r="J18" i="20" s="1"/>
  <c r="I17" i="6" s="1"/>
  <c r="G38" i="20"/>
  <c r="G28" i="6" s="1"/>
  <c r="I28" i="6" s="1"/>
  <c r="G33" i="20"/>
  <c r="G25" i="6" s="1"/>
  <c r="I25" i="6" s="1"/>
  <c r="P33" i="20"/>
  <c r="G22" i="6"/>
  <c r="I22" i="6" s="1"/>
  <c r="G33" i="6"/>
  <c r="G31" i="6"/>
  <c r="I31" i="6" s="1"/>
  <c r="J17" i="20"/>
  <c r="J12" i="20"/>
  <c r="D31" i="17"/>
  <c r="D10" i="17"/>
  <c r="G41" i="17"/>
  <c r="D31" i="6" s="1"/>
  <c r="F31" i="6" s="1"/>
  <c r="C32" i="17"/>
  <c r="J23" i="20" l="1"/>
  <c r="I20" i="6" s="1"/>
  <c r="J13" i="20"/>
  <c r="I14" i="6" s="1"/>
  <c r="J39" i="20"/>
  <c r="I29" i="6" s="1"/>
  <c r="G16" i="6"/>
  <c r="I16" i="6" s="1"/>
  <c r="G19" i="6"/>
  <c r="I19" i="6" s="1"/>
  <c r="J38" i="20"/>
  <c r="J33" i="20"/>
  <c r="J34" i="20"/>
  <c r="I26" i="6" s="1"/>
  <c r="J31" i="6"/>
  <c r="J41" i="17"/>
  <c r="G37" i="17"/>
  <c r="G38" i="17" s="1"/>
  <c r="D28" i="6" s="1"/>
  <c r="F28" i="6" s="1"/>
  <c r="J28" i="6" s="1"/>
  <c r="C52" i="17"/>
  <c r="C51" i="17"/>
  <c r="G43" i="17"/>
  <c r="P37" i="17"/>
  <c r="P38" i="17" s="1"/>
  <c r="O37" i="17"/>
  <c r="N37" i="17"/>
  <c r="O33" i="17"/>
  <c r="N33" i="17"/>
  <c r="O32" i="17"/>
  <c r="N32" i="17"/>
  <c r="G32" i="17"/>
  <c r="G31" i="17"/>
  <c r="B31" i="17"/>
  <c r="G26" i="17"/>
  <c r="G27" i="17" s="1"/>
  <c r="G21" i="17"/>
  <c r="G22" i="17" s="1"/>
  <c r="D19" i="6" s="1"/>
  <c r="F19" i="6" s="1"/>
  <c r="J19" i="6" s="1"/>
  <c r="C16" i="17"/>
  <c r="G16" i="17" s="1"/>
  <c r="G17" i="17" s="1"/>
  <c r="D16" i="6" s="1"/>
  <c r="F16" i="6" s="1"/>
  <c r="B16" i="17"/>
  <c r="B21" i="17" s="1"/>
  <c r="F11" i="17"/>
  <c r="G11" i="17" s="1"/>
  <c r="G10" i="17"/>
  <c r="G12" i="17" s="1"/>
  <c r="D13" i="6" s="1"/>
  <c r="J16" i="6" l="1"/>
  <c r="J45" i="20"/>
  <c r="C47" i="20" s="1"/>
  <c r="J43" i="17"/>
  <c r="D33" i="6"/>
  <c r="J27" i="17"/>
  <c r="J28" i="17" s="1"/>
  <c r="F23" i="6" s="1"/>
  <c r="J23" i="6" s="1"/>
  <c r="D22" i="6"/>
  <c r="F22" i="6" s="1"/>
  <c r="J22" i="6" s="1"/>
  <c r="P33" i="17"/>
  <c r="C49" i="17"/>
  <c r="G33" i="17"/>
  <c r="J13" i="17"/>
  <c r="F14" i="6" s="1"/>
  <c r="J14" i="6" s="1"/>
  <c r="J12" i="17"/>
  <c r="J18" i="17"/>
  <c r="F17" i="6" s="1"/>
  <c r="J17" i="6" s="1"/>
  <c r="J17" i="17"/>
  <c r="J22" i="17"/>
  <c r="J23" i="17"/>
  <c r="F20" i="6" s="1"/>
  <c r="J20" i="6" s="1"/>
  <c r="J39" i="17"/>
  <c r="F29" i="6" s="1"/>
  <c r="J29" i="6" s="1"/>
  <c r="J38" i="17"/>
  <c r="C50" i="20" l="1"/>
  <c r="E49" i="20"/>
  <c r="E50" i="20" s="1"/>
  <c r="J34" i="17"/>
  <c r="F26" i="6" s="1"/>
  <c r="J26" i="6" s="1"/>
  <c r="D25" i="6"/>
  <c r="F25" i="6" s="1"/>
  <c r="J25" i="6" s="1"/>
  <c r="J33" i="17"/>
  <c r="J45" i="17"/>
  <c r="C47" i="17" s="1"/>
  <c r="C50" i="17" l="1"/>
  <c r="E49" i="17"/>
  <c r="E50" i="17" s="1"/>
  <c r="I33" i="6" l="1"/>
  <c r="J33" i="6" s="1"/>
  <c r="F33" i="6"/>
  <c r="I13" i="6" l="1"/>
  <c r="I35" i="6" s="1"/>
  <c r="F13" i="6" l="1"/>
  <c r="J13" i="6" s="1"/>
  <c r="F35" i="6" l="1"/>
  <c r="J6" i="6" l="1"/>
  <c r="J35" i="6" l="1"/>
  <c r="C6" i="6" l="1"/>
</calcChain>
</file>

<file path=xl/sharedStrings.xml><?xml version="1.0" encoding="utf-8"?>
<sst xmlns="http://schemas.openxmlformats.org/spreadsheetml/2006/main" count="146" uniqueCount="65">
  <si>
    <t>Government of Nepal</t>
  </si>
  <si>
    <t>Shankharapur Municipality Office</t>
  </si>
  <si>
    <t>Bagmati Province</t>
  </si>
  <si>
    <t>Sankhu, Kathmandu</t>
  </si>
  <si>
    <t>Detail Estimated Sheet</t>
  </si>
  <si>
    <t>S.N.</t>
  </si>
  <si>
    <t>Description of work</t>
  </si>
  <si>
    <t>No.</t>
  </si>
  <si>
    <t>Length</t>
  </si>
  <si>
    <t>Breadth</t>
  </si>
  <si>
    <t>Height</t>
  </si>
  <si>
    <t>Quantity</t>
  </si>
  <si>
    <t>Unit</t>
  </si>
  <si>
    <t>Rate</t>
  </si>
  <si>
    <t>Amount</t>
  </si>
  <si>
    <t>Remarks</t>
  </si>
  <si>
    <t>Total</t>
  </si>
  <si>
    <t>Grand Total</t>
  </si>
  <si>
    <t>Work Completion Report</t>
  </si>
  <si>
    <t>Total Estimated Amount:</t>
  </si>
  <si>
    <t>Total Valuated Amount :</t>
  </si>
  <si>
    <t>S.No.</t>
  </si>
  <si>
    <t>Description</t>
  </si>
  <si>
    <t>Estimated</t>
  </si>
  <si>
    <t>Valuated</t>
  </si>
  <si>
    <t>Difference</t>
  </si>
  <si>
    <t xml:space="preserve">Quantity </t>
  </si>
  <si>
    <t>Total Estimated</t>
  </si>
  <si>
    <t>Location:- Shankharapur Municipality 9</t>
  </si>
  <si>
    <t xml:space="preserve">Work Started : </t>
  </si>
  <si>
    <t>Information board (सुचना पाटि)</t>
  </si>
  <si>
    <t>no.</t>
  </si>
  <si>
    <t>Budget allocated</t>
  </si>
  <si>
    <t>Municipal payment</t>
  </si>
  <si>
    <t>User Contribution</t>
  </si>
  <si>
    <t xml:space="preserve">Contingencies </t>
  </si>
  <si>
    <t xml:space="preserve">Maintanince </t>
  </si>
  <si>
    <t xml:space="preserve">Work Finished:           </t>
  </si>
  <si>
    <t>VAT calculation</t>
  </si>
  <si>
    <t>m</t>
  </si>
  <si>
    <t>m3</t>
  </si>
  <si>
    <t>Sub-total</t>
  </si>
  <si>
    <t>-Manhole</t>
  </si>
  <si>
    <t>Providing and laying of Plain/Reinforced Cement Concrete in Foundation complete as per Drawing and Technical Specifications, PCC Grade M 15</t>
  </si>
  <si>
    <t>-For hume pipe</t>
  </si>
  <si>
    <t>-600mm dia hume pipe</t>
  </si>
  <si>
    <t>-Deduction for opening</t>
  </si>
  <si>
    <t>Providing and Laying Reinforced cement concrete NP3 Flush jointed pipe for culverts including fixing with cement mortar 1:2 as per Drawing and Technical Specifications., 600 mm  internal dia.</t>
  </si>
  <si>
    <t>Providing and laying of hand pack Stone soling with 150 to 200 mm thick stones and packing with smaller stone on prepared surface as per Drawing and Technical Specifications.</t>
  </si>
  <si>
    <t>e'O{+tNnfdf lrDgL e§fsf] O{+6fsf] uf/f] l;d]G6 d;nf -!M^_ df</t>
  </si>
  <si>
    <t>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t>
  </si>
  <si>
    <t>F.Y.: 2081/2082</t>
  </si>
  <si>
    <t>C.I. Manhole cover including frame</t>
  </si>
  <si>
    <t>set</t>
  </si>
  <si>
    <t>-Rounded manhole cover medium duty 500mm (24")</t>
  </si>
  <si>
    <t>Provisional sum for unforeseen works</t>
  </si>
  <si>
    <t>PS</t>
  </si>
  <si>
    <t>Date:2081/06/08</t>
  </si>
  <si>
    <t xml:space="preserve">Project:- सुन्दरबस्ती सडक ग्राबेल र ढलान (ढल निर्माण कार्य) </t>
  </si>
  <si>
    <t>Detail Valuated Sheet</t>
  </si>
  <si>
    <t>Total Valuated</t>
  </si>
  <si>
    <t>Date:2081/07/25</t>
  </si>
  <si>
    <t xml:space="preserve">F.Y:2081/2082           </t>
  </si>
  <si>
    <t xml:space="preserve">Date:2081/07/25       </t>
  </si>
  <si>
    <t xml:space="preserve"> </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</si>
</sst>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0.0"/>
  </numFmts>
  <fonts count="17" x14ac:knownFonts="1">
    <font>
      <sz val="11"/>
      <color theme="1"/>
      <name val="Calibri"/>
      <family val="2"/>
      <scheme val="minor"/>
    </font>
    <font>
      <sz val="11"/>
      <color theme="1"/>
      <name val="Calibri"/>
      <family val="2"/>
      <scheme val="minor"/>
    </font>
    <font>
      <b/>
      <sz val="11"/>
      <color theme="1"/>
      <name val="Calibri"/>
      <family val="2"/>
      <scheme val="minor"/>
    </font>
    <font>
      <b/>
      <sz val="11"/>
      <color theme="1"/>
      <name val="Times New Roman"/>
      <family val="1"/>
    </font>
    <font>
      <b/>
      <sz val="18"/>
      <color theme="1"/>
      <name val="Times New Roman"/>
      <family val="1"/>
    </font>
    <font>
      <b/>
      <sz val="14"/>
      <color theme="1"/>
      <name val="Times New Roman"/>
      <family val="1"/>
    </font>
    <font>
      <sz val="12"/>
      <color theme="1"/>
      <name val="Times New Roman"/>
      <family val="1"/>
    </font>
    <font>
      <b/>
      <sz val="12"/>
      <color theme="1"/>
      <name val="Times New Roman"/>
      <family val="1"/>
    </font>
    <font>
      <b/>
      <sz val="20"/>
      <color theme="1"/>
      <name val="Times New Roman"/>
      <family val="1"/>
    </font>
    <font>
      <b/>
      <sz val="14"/>
      <color theme="1"/>
      <name val="Calibri"/>
      <family val="2"/>
      <scheme val="minor"/>
    </font>
    <font>
      <sz val="12"/>
      <color theme="1"/>
      <name val="Calibri"/>
      <family val="2"/>
      <scheme val="minor"/>
    </font>
    <font>
      <sz val="14"/>
      <color theme="1"/>
      <name val="Calibri"/>
      <family val="2"/>
      <scheme val="minor"/>
    </font>
    <font>
      <b/>
      <sz val="11"/>
      <name val="Times New Roman"/>
      <family val="1"/>
    </font>
    <font>
      <sz val="11"/>
      <name val="Times New Roman"/>
      <family val="1"/>
    </font>
    <font>
      <sz val="16"/>
      <name val="Preeti"/>
    </font>
    <font>
      <sz val="11"/>
      <color theme="1"/>
      <name val="Times New Roman"/>
      <family val="1"/>
    </font>
    <font>
      <sz val="12"/>
      <name val="Preeti"/>
    </font>
  </fonts>
  <fills count="4">
    <fill>
      <patternFill patternType="none"/>
    </fill>
    <fill>
      <patternFill patternType="gray125"/>
    </fill>
    <fill>
      <patternFill patternType="solid">
        <fgColor theme="0" tint="-0.14999847407452621"/>
        <bgColor indexed="64"/>
      </patternFill>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2">
    <xf numFmtId="0" fontId="0" fillId="0" borderId="0"/>
    <xf numFmtId="43" fontId="1" fillId="0" borderId="0" applyFont="0" applyFill="0" applyBorder="0" applyAlignment="0" applyProtection="0"/>
  </cellStyleXfs>
  <cellXfs count="93">
    <xf numFmtId="0" fontId="0" fillId="0" borderId="0" xfId="0"/>
    <xf numFmtId="0" fontId="0" fillId="0" borderId="0" xfId="0" applyAlignment="1">
      <alignment vertical="center"/>
    </xf>
    <xf numFmtId="0" fontId="7" fillId="0" borderId="0" xfId="0" applyFont="1" applyAlignment="1">
      <alignment horizontal="center"/>
    </xf>
    <xf numFmtId="43" fontId="7" fillId="0" borderId="0" xfId="1" applyFont="1"/>
    <xf numFmtId="0" fontId="7" fillId="0" borderId="1" xfId="0" applyFont="1" applyBorder="1" applyAlignment="1">
      <alignment horizontal="center"/>
    </xf>
    <xf numFmtId="0" fontId="0" fillId="0" borderId="1" xfId="0" applyBorder="1"/>
    <xf numFmtId="0" fontId="2" fillId="0" borderId="1" xfId="0" applyFont="1" applyBorder="1" applyAlignment="1">
      <alignment horizontal="right"/>
    </xf>
    <xf numFmtId="2" fontId="2" fillId="0" borderId="1" xfId="0" applyNumberFormat="1" applyFont="1" applyBorder="1"/>
    <xf numFmtId="0" fontId="10" fillId="0" borderId="0" xfId="0" applyFont="1"/>
    <xf numFmtId="0" fontId="11" fillId="0" borderId="0" xfId="0" applyFont="1" applyAlignment="1">
      <alignment horizontal="center"/>
    </xf>
    <xf numFmtId="0" fontId="0" fillId="0" borderId="0" xfId="0" applyAlignment="1">
      <alignment horizontal="left"/>
    </xf>
    <xf numFmtId="0" fontId="0" fillId="2" borderId="1" xfId="0" applyFill="1" applyBorder="1"/>
    <xf numFmtId="2" fontId="0" fillId="0" borderId="1" xfId="0" applyNumberFormat="1" applyBorder="1" applyAlignment="1">
      <alignment vertical="center"/>
    </xf>
    <xf numFmtId="43" fontId="2" fillId="0" borderId="1" xfId="1" applyFont="1" applyBorder="1"/>
    <xf numFmtId="0" fontId="0" fillId="0" borderId="1" xfId="0" applyBorder="1" applyAlignment="1">
      <alignment vertical="center" wrapText="1"/>
    </xf>
    <xf numFmtId="0" fontId="7" fillId="0" borderId="1" xfId="0" applyFont="1" applyBorder="1" applyAlignment="1">
      <alignment horizontal="center" vertical="top" wrapText="1"/>
    </xf>
    <xf numFmtId="43" fontId="7" fillId="0" borderId="1" xfId="1" applyFont="1" applyBorder="1" applyAlignment="1">
      <alignment horizontal="center"/>
    </xf>
    <xf numFmtId="0" fontId="7" fillId="0" borderId="1" xfId="0" applyFont="1" applyBorder="1" applyAlignment="1">
      <alignment horizontal="center" wrapText="1"/>
    </xf>
    <xf numFmtId="1" fontId="12" fillId="0" borderId="1" xfId="0" applyNumberFormat="1" applyFont="1" applyFill="1" applyBorder="1" applyAlignment="1">
      <alignment vertical="center"/>
    </xf>
    <xf numFmtId="164" fontId="13" fillId="0" borderId="1" xfId="0" applyNumberFormat="1" applyFont="1" applyFill="1" applyBorder="1" applyAlignment="1">
      <alignment vertical="center"/>
    </xf>
    <xf numFmtId="2" fontId="13" fillId="0" borderId="1" xfId="1" applyNumberFormat="1" applyFont="1" applyFill="1" applyBorder="1" applyAlignment="1">
      <alignment vertical="center"/>
    </xf>
    <xf numFmtId="2" fontId="13" fillId="0" borderId="1" xfId="0" applyNumberFormat="1" applyFont="1" applyFill="1" applyBorder="1" applyAlignment="1">
      <alignment vertical="center"/>
    </xf>
    <xf numFmtId="2" fontId="12" fillId="0" borderId="1" xfId="0" applyNumberFormat="1" applyFont="1" applyFill="1" applyBorder="1" applyAlignment="1">
      <alignment vertical="center"/>
    </xf>
    <xf numFmtId="2" fontId="12" fillId="0" borderId="1" xfId="1" applyNumberFormat="1" applyFont="1" applyFill="1" applyBorder="1" applyAlignment="1">
      <alignment vertical="center"/>
    </xf>
    <xf numFmtId="1" fontId="13" fillId="0" borderId="1" xfId="0" applyNumberFormat="1" applyFont="1" applyFill="1" applyBorder="1" applyAlignment="1">
      <alignment horizontal="right" vertical="center" wrapText="1"/>
    </xf>
    <xf numFmtId="0" fontId="14" fillId="0" borderId="0" xfId="0" applyFont="1" applyBorder="1" applyAlignment="1"/>
    <xf numFmtId="0" fontId="0" fillId="0" borderId="0" xfId="0" applyAlignment="1">
      <alignment horizontal="left"/>
    </xf>
    <xf numFmtId="1" fontId="15" fillId="0" borderId="1" xfId="0" applyNumberFormat="1" applyFont="1" applyBorder="1" applyAlignment="1">
      <alignment vertical="center"/>
    </xf>
    <xf numFmtId="43" fontId="2" fillId="0" borderId="1" xfId="1" applyFont="1" applyBorder="1" applyAlignment="1">
      <alignment vertical="center"/>
    </xf>
    <xf numFmtId="0" fontId="15" fillId="0" borderId="1" xfId="0" applyFont="1" applyBorder="1" applyAlignment="1">
      <alignment vertical="center"/>
    </xf>
    <xf numFmtId="1" fontId="13" fillId="0" borderId="1" xfId="0" applyNumberFormat="1" applyFont="1" applyFill="1" applyBorder="1" applyAlignment="1">
      <alignment vertical="center" wrapText="1"/>
    </xf>
    <xf numFmtId="1" fontId="15" fillId="0" borderId="1" xfId="0" applyNumberFormat="1" applyFont="1" applyBorder="1" applyAlignment="1">
      <alignment vertical="center" wrapText="1"/>
    </xf>
    <xf numFmtId="1" fontId="6" fillId="0" borderId="1" xfId="0" applyNumberFormat="1" applyFont="1" applyFill="1" applyBorder="1" applyAlignment="1">
      <alignment horizontal="left" vertical="center" wrapText="1"/>
    </xf>
    <xf numFmtId="2" fontId="3" fillId="0" borderId="1" xfId="0" applyNumberFormat="1" applyFont="1" applyBorder="1" applyAlignment="1"/>
    <xf numFmtId="2" fontId="3" fillId="0" borderId="1" xfId="0" applyNumberFormat="1" applyFont="1" applyBorder="1" applyAlignment="1">
      <alignment vertical="center"/>
    </xf>
    <xf numFmtId="0" fontId="14" fillId="0" borderId="0" xfId="0" applyFont="1" applyBorder="1" applyAlignment="1">
      <alignment vertical="center"/>
    </xf>
    <xf numFmtId="0" fontId="16" fillId="3" borderId="1" xfId="0" applyFont="1" applyFill="1" applyBorder="1" applyAlignment="1">
      <alignment wrapText="1"/>
    </xf>
    <xf numFmtId="0" fontId="0" fillId="0" borderId="0" xfId="0" applyBorder="1"/>
    <xf numFmtId="0" fontId="15" fillId="0" borderId="1" xfId="0" applyFont="1" applyBorder="1"/>
    <xf numFmtId="0" fontId="15" fillId="0" borderId="1" xfId="0" quotePrefix="1" applyFont="1" applyBorder="1" applyAlignment="1">
      <alignment horizontal="right" wrapText="1"/>
    </xf>
    <xf numFmtId="2" fontId="15" fillId="0" borderId="1" xfId="0" applyNumberFormat="1" applyFont="1" applyBorder="1"/>
    <xf numFmtId="2" fontId="15" fillId="0" borderId="1" xfId="0" applyNumberFormat="1" applyFont="1" applyBorder="1" applyAlignment="1">
      <alignment vertical="center"/>
    </xf>
    <xf numFmtId="0" fontId="3" fillId="0" borderId="1" xfId="0" applyFont="1" applyBorder="1"/>
    <xf numFmtId="2" fontId="3" fillId="0" borderId="1" xfId="0" applyNumberFormat="1" applyFont="1" applyBorder="1"/>
    <xf numFmtId="164" fontId="15" fillId="0" borderId="1" xfId="0" applyNumberFormat="1" applyFont="1" applyBorder="1" applyAlignment="1"/>
    <xf numFmtId="2" fontId="15" fillId="0" borderId="1" xfId="0" applyNumberFormat="1" applyFont="1" applyBorder="1" applyAlignment="1"/>
    <xf numFmtId="2" fontId="3" fillId="0" borderId="1" xfId="1" applyNumberFormat="1" applyFont="1" applyBorder="1" applyAlignment="1"/>
    <xf numFmtId="2" fontId="3" fillId="0" borderId="1" xfId="1" applyNumberFormat="1" applyFont="1" applyBorder="1" applyAlignment="1">
      <alignment vertical="center"/>
    </xf>
    <xf numFmtId="0" fontId="3" fillId="0" borderId="1" xfId="0" applyFont="1" applyBorder="1" applyAlignment="1">
      <alignment horizontal="right" wrapText="1"/>
    </xf>
    <xf numFmtId="164" fontId="15" fillId="0" borderId="1" xfId="0" applyNumberFormat="1" applyFont="1" applyBorder="1"/>
    <xf numFmtId="0" fontId="3" fillId="0" borderId="0" xfId="0" applyFont="1"/>
    <xf numFmtId="0" fontId="15" fillId="0" borderId="0" xfId="0" applyFont="1"/>
    <xf numFmtId="0" fontId="15" fillId="0" borderId="0" xfId="0" applyFont="1" applyAlignment="1">
      <alignment vertical="center"/>
    </xf>
    <xf numFmtId="0" fontId="15" fillId="0" borderId="0" xfId="0" applyFont="1" applyBorder="1" applyAlignment="1">
      <alignment vertical="center"/>
    </xf>
    <xf numFmtId="2" fontId="15" fillId="0" borderId="0" xfId="0" applyNumberFormat="1" applyFont="1" applyBorder="1" applyAlignment="1">
      <alignment vertical="center"/>
    </xf>
    <xf numFmtId="0" fontId="3" fillId="0" borderId="0" xfId="0" applyFont="1" applyBorder="1" applyAlignment="1">
      <alignment horizontal="right" vertical="center"/>
    </xf>
    <xf numFmtId="43" fontId="3" fillId="0" borderId="0" xfId="1" applyFont="1" applyBorder="1" applyAlignment="1">
      <alignment vertical="center"/>
    </xf>
    <xf numFmtId="0" fontId="3" fillId="0" borderId="0" xfId="0" applyFont="1" applyBorder="1" applyAlignment="1">
      <alignment vertical="center"/>
    </xf>
    <xf numFmtId="0" fontId="3" fillId="0" borderId="0" xfId="0" applyFont="1" applyAlignment="1">
      <alignment vertical="center"/>
    </xf>
    <xf numFmtId="0" fontId="15" fillId="0" borderId="0" xfId="0" applyFont="1" applyBorder="1"/>
    <xf numFmtId="0" fontId="15" fillId="0" borderId="1" xfId="0" quotePrefix="1" applyFont="1" applyFill="1" applyBorder="1" applyAlignment="1">
      <alignment horizontal="right" vertical="center" wrapText="1"/>
    </xf>
    <xf numFmtId="2" fontId="15" fillId="0" borderId="1" xfId="0" quotePrefix="1" applyNumberFormat="1" applyFont="1" applyFill="1" applyBorder="1" applyAlignment="1">
      <alignment horizontal="right" vertical="center" wrapText="1"/>
    </xf>
    <xf numFmtId="0" fontId="3" fillId="0" borderId="0" xfId="0" applyFont="1" applyBorder="1"/>
    <xf numFmtId="2" fontId="15" fillId="0" borderId="0" xfId="0" applyNumberFormat="1" applyFont="1" applyBorder="1"/>
    <xf numFmtId="2" fontId="3" fillId="0" borderId="0" xfId="0" applyNumberFormat="1" applyFont="1" applyBorder="1"/>
    <xf numFmtId="0" fontId="3" fillId="0" borderId="0" xfId="0" applyFont="1" applyBorder="1" applyAlignment="1">
      <alignment horizontal="right" wrapText="1"/>
    </xf>
    <xf numFmtId="164" fontId="15" fillId="0" borderId="0" xfId="0" applyNumberFormat="1" applyFont="1" applyBorder="1"/>
    <xf numFmtId="0" fontId="15" fillId="0" borderId="1" xfId="0" quotePrefix="1" applyFont="1" applyBorder="1" applyAlignment="1">
      <alignment wrapText="1"/>
    </xf>
    <xf numFmtId="0" fontId="15" fillId="0" borderId="1" xfId="0" quotePrefix="1" applyFont="1" applyBorder="1" applyAlignment="1">
      <alignment vertical="center" wrapText="1"/>
    </xf>
    <xf numFmtId="0" fontId="3" fillId="0" borderId="1" xfId="0" applyFont="1" applyBorder="1" applyAlignment="1">
      <alignment vertical="center"/>
    </xf>
    <xf numFmtId="1" fontId="6" fillId="0" borderId="1" xfId="0" applyNumberFormat="1" applyFont="1" applyFill="1" applyBorder="1" applyAlignment="1">
      <alignment horizontal="right" vertical="center" wrapText="1"/>
    </xf>
    <xf numFmtId="2" fontId="15" fillId="0" borderId="1" xfId="0" applyNumberFormat="1" applyFont="1" applyBorder="1" applyAlignment="1">
      <alignment horizontal="center" vertical="center"/>
    </xf>
    <xf numFmtId="0" fontId="6" fillId="0" borderId="2" xfId="0" applyFont="1" applyBorder="1"/>
    <xf numFmtId="0" fontId="6" fillId="0" borderId="2" xfId="0" applyFont="1" applyBorder="1" applyAlignment="1">
      <alignment horizontal="right"/>
    </xf>
    <xf numFmtId="2" fontId="15" fillId="0" borderId="1" xfId="1" applyNumberFormat="1" applyFont="1" applyBorder="1" applyAlignment="1">
      <alignment horizontal="center" vertical="center"/>
    </xf>
    <xf numFmtId="0" fontId="6" fillId="0" borderId="0" xfId="0" applyFont="1" applyAlignment="1">
      <alignment horizontal="left"/>
    </xf>
    <xf numFmtId="0" fontId="6" fillId="0" borderId="0" xfId="0" applyFont="1" applyAlignment="1">
      <alignment horizontal="right"/>
    </xf>
    <xf numFmtId="0" fontId="3" fillId="0" borderId="0" xfId="0" applyFont="1" applyAlignment="1">
      <alignment horizontal="center" vertical="center"/>
    </xf>
    <xf numFmtId="0" fontId="4" fillId="0" borderId="0" xfId="0" applyFont="1" applyAlignment="1">
      <alignment horizontal="center" vertical="center"/>
    </xf>
    <xf numFmtId="0" fontId="2" fillId="0" borderId="0" xfId="0" applyFont="1" applyAlignment="1">
      <alignment horizontal="center" vertical="center"/>
    </xf>
    <xf numFmtId="0" fontId="5" fillId="0" borderId="0" xfId="0" applyFont="1" applyAlignment="1">
      <alignment horizontal="center"/>
    </xf>
    <xf numFmtId="0" fontId="0" fillId="2" borderId="1" xfId="0" applyFill="1" applyBorder="1" applyAlignment="1">
      <alignment horizontal="center" vertical="center"/>
    </xf>
    <xf numFmtId="0" fontId="0" fillId="2" borderId="1" xfId="0" applyFill="1" applyBorder="1" applyAlignment="1">
      <alignment horizontal="center" vertical="center" wrapText="1"/>
    </xf>
    <xf numFmtId="0" fontId="0" fillId="0" borderId="0" xfId="0" applyAlignment="1">
      <alignment horizontal="center"/>
    </xf>
    <xf numFmtId="0" fontId="0" fillId="0" borderId="0" xfId="0" applyAlignment="1">
      <alignment horizontal="right" vertical="center"/>
    </xf>
    <xf numFmtId="0" fontId="0" fillId="0" borderId="0" xfId="0" applyAlignment="1">
      <alignment horizontal="right"/>
    </xf>
    <xf numFmtId="0" fontId="0" fillId="0" borderId="0" xfId="0" applyAlignment="1">
      <alignment horizontal="left"/>
    </xf>
    <xf numFmtId="0" fontId="0" fillId="2" borderId="1" xfId="0" applyFill="1" applyBorder="1" applyAlignment="1">
      <alignment horizontal="center"/>
    </xf>
    <xf numFmtId="43" fontId="10" fillId="0" borderId="0" xfId="0" applyNumberFormat="1" applyFont="1" applyAlignment="1">
      <alignment horizontal="center"/>
    </xf>
    <xf numFmtId="0" fontId="10" fillId="0" borderId="0" xfId="0" applyFont="1" applyAlignment="1">
      <alignment horizontal="center"/>
    </xf>
    <xf numFmtId="0" fontId="3" fillId="0" borderId="0" xfId="0" applyFont="1" applyAlignment="1">
      <alignment horizontal="center"/>
    </xf>
    <xf numFmtId="0" fontId="8" fillId="0" borderId="0" xfId="0" applyFont="1" applyAlignment="1">
      <alignment horizontal="center"/>
    </xf>
    <xf numFmtId="0" fontId="9" fillId="0" borderId="0" xfId="0" applyFont="1" applyAlignment="1">
      <alignment horizontal="center"/>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3.xml"/><Relationship Id="rId11" Type="http://schemas.openxmlformats.org/officeDocument/2006/relationships/calcChain" Target="calcChain.xml"/><Relationship Id="rId5" Type="http://schemas.openxmlformats.org/officeDocument/2006/relationships/externalLink" Target="externalLinks/externalLink2.xml"/><Relationship Id="rId10" Type="http://schemas.openxmlformats.org/officeDocument/2006/relationships/sharedStrings" Target="sharedStrings.xml"/><Relationship Id="rId4" Type="http://schemas.openxmlformats.org/officeDocument/2006/relationships/externalLink" Target="externalLinks/externalLink1.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H:\079-080\Rate%20Analysis\Road-rate-analysis-079-80-shankharapur-as-per-dor-norms-nnnn.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Dell\Desktop\Ward%209\RATE%20ANALYSIS\Road-rate-analysis-078-79-shankharapur.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H:\081_082\ofc\ofc\For-all-Road-rate-analysis-81-82-shankharapur-as-per-dor-norms.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081-082/ofc/For-all-Road-rate-analysis-81-82-shankharapur-as-per-dor-norm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16">
          <cell r="B16" t="str">
            <v>Clearing and Grubbing Road Land ., Clearing and grubbing road land including uprooting rank vegetation, grass, bushes, shrubs, saplings and trees girth up to 300 mm, removal of stumps of trees cut earlier and disposal of unserviceable materials and stacking of serviceable Material to be used or auctioned, up to a lead of 30 meters including removal and disposal of top organic soil not exceeding 150 mm in thickness., By Mechanical Means, In area of light jungle (less than 15 number per 100 sqm )</v>
          </cell>
        </row>
        <row r="22">
          <cell r="B22" t="str">
            <v>Providing and Laying Reinforced cement concrete NP3 Flush jointed pipe for culverts including fixing with cement mortar 1:2 as per Drawing and Technical Specifications., 450 mm  internal dia.</v>
          </cell>
        </row>
        <row r="23">
          <cell r="B23" t="str">
            <v>Providing and Laying Reinforced cement concrete NP3 Flush jointed pipe for culverts including fixing with cement mortar 1:2 as per Drawing and Technical Specifications., 600 mm  internal dia.</v>
          </cell>
        </row>
        <row r="34">
          <cell r="B34" t="str">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v>
          </cell>
        </row>
        <row r="169">
          <cell r="B169" t="str">
            <v>Providing and laying of Plain/Reinforced Cement Concrete in Foundation complete as per Drawing and Technical Specifications, PCC Grade M 15</v>
          </cell>
        </row>
        <row r="171">
          <cell r="B171" t="str">
            <v>Providing and laying of Plain/Reinforced Cement Concrete in Foundation complete as per Drawing and Technical Specifications, PCC Grade M 20</v>
          </cell>
        </row>
        <row r="278">
          <cell r="B278" t="str">
            <v>Providing and laying Brick Masonry Work in Cement mortar  in Foundation / structure complete excluding Pointing and Plastering, as per Drawing and Technical Specifications., Cement sand mortar (1:6)</v>
          </cell>
        </row>
        <row r="301">
          <cell r="B301" t="str">
            <v>Random Rubble Masonry, Providing and laying of Stone Masonry Work in Cement Mortar 1:6 in Foundation complete as per Drawing and Technical Specifications.</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33">
          <cell r="B33" t="str">
            <v>Earthwork Excavation in Cutting., Roadway Excavation in all types of Soil by Manual Means ., Roadway Excavation in all types of soil as per drawing and technical specification, including removal of stumps and other deleterious matter, with all lifts and lead as per Drawing and instruction of the Engineer.</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60">
          <cell r="B60" t="str">
            <v>Providing and laying of hand pack Stone soling with 150 to 200 mm thick stones and packing with smaller stone on prepared surface as per Drawing and Technical Specifications.</v>
          </cell>
        </row>
        <row r="172">
          <cell r="B172" t="str">
            <v>Providing and laying of Plain/Reinforced Cement Concrete in Foundation complete as per Drawing and Technical Specifications., RCC Grade M 20</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61">
          <cell r="B61" t="str">
            <v>Providing and laying  granular sub-base   on prepared surface, mixing  at OMC, and compacting  to achieve the desired density, complete as per Drawing and Technical Specifications., By Mechanical means</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09"/>
  <sheetViews>
    <sheetView topLeftCell="A25" zoomScaleNormal="100" workbookViewId="0">
      <selection activeCell="C38" sqref="C38"/>
    </sheetView>
  </sheetViews>
  <sheetFormatPr defaultRowHeight="15" x14ac:dyDescent="0.25"/>
  <cols>
    <col min="1" max="1" width="4.7109375" customWidth="1"/>
    <col min="2" max="2" width="31.28515625" customWidth="1"/>
    <col min="3" max="3" width="4.5703125" bestFit="1" customWidth="1"/>
    <col min="4" max="4" width="7.5703125" customWidth="1"/>
    <col min="5" max="5" width="8.5703125" customWidth="1"/>
    <col min="6" max="6" width="8" customWidth="1"/>
    <col min="7" max="7" width="9.42578125" customWidth="1"/>
    <col min="8" max="8" width="5" bestFit="1" customWidth="1"/>
    <col min="9" max="9" width="9.85546875" customWidth="1"/>
    <col min="10" max="10" width="10.7109375" bestFit="1" customWidth="1"/>
  </cols>
  <sheetData>
    <row r="1" spans="1:19" s="1" customFormat="1" x14ac:dyDescent="0.25">
      <c r="A1" s="77" t="s">
        <v>0</v>
      </c>
      <c r="B1" s="77"/>
      <c r="C1" s="77"/>
      <c r="D1" s="77"/>
      <c r="E1" s="77"/>
      <c r="F1" s="77"/>
      <c r="G1" s="77"/>
      <c r="H1" s="77"/>
      <c r="I1" s="77"/>
      <c r="J1" s="77"/>
      <c r="K1" s="77"/>
    </row>
    <row r="2" spans="1:19" s="1" customFormat="1" ht="22.5" x14ac:dyDescent="0.25">
      <c r="A2" s="78" t="s">
        <v>1</v>
      </c>
      <c r="B2" s="78"/>
      <c r="C2" s="78"/>
      <c r="D2" s="78"/>
      <c r="E2" s="78"/>
      <c r="F2" s="78"/>
      <c r="G2" s="78"/>
      <c r="H2" s="78"/>
      <c r="I2" s="78"/>
      <c r="J2" s="78"/>
      <c r="K2" s="78"/>
    </row>
    <row r="3" spans="1:19" s="1" customFormat="1" x14ac:dyDescent="0.25">
      <c r="A3" s="79" t="s">
        <v>2</v>
      </c>
      <c r="B3" s="79"/>
      <c r="C3" s="79"/>
      <c r="D3" s="79"/>
      <c r="E3" s="79"/>
      <c r="F3" s="79"/>
      <c r="G3" s="79"/>
      <c r="H3" s="79"/>
      <c r="I3" s="79"/>
      <c r="J3" s="79"/>
      <c r="K3" s="79"/>
    </row>
    <row r="4" spans="1:19" s="1" customFormat="1" x14ac:dyDescent="0.25">
      <c r="A4" s="79" t="s">
        <v>3</v>
      </c>
      <c r="B4" s="79"/>
      <c r="C4" s="79"/>
      <c r="D4" s="79"/>
      <c r="E4" s="79"/>
      <c r="F4" s="79"/>
      <c r="G4" s="79"/>
      <c r="H4" s="79"/>
      <c r="I4" s="79"/>
      <c r="J4" s="79"/>
      <c r="K4" s="79"/>
    </row>
    <row r="5" spans="1:19" ht="18.75" x14ac:dyDescent="0.3">
      <c r="A5" s="80" t="s">
        <v>4</v>
      </c>
      <c r="B5" s="80"/>
      <c r="C5" s="80"/>
      <c r="D5" s="80"/>
      <c r="E5" s="80"/>
      <c r="F5" s="80"/>
      <c r="G5" s="80"/>
      <c r="H5" s="80"/>
      <c r="I5" s="80"/>
      <c r="J5" s="80"/>
      <c r="K5" s="80"/>
    </row>
    <row r="6" spans="1:19" ht="15.75" x14ac:dyDescent="0.25">
      <c r="A6" s="75" t="s">
        <v>58</v>
      </c>
      <c r="B6" s="75"/>
      <c r="C6" s="75"/>
      <c r="D6" s="75"/>
      <c r="E6" s="75"/>
      <c r="F6" s="75"/>
      <c r="G6" s="2"/>
      <c r="H6" s="76" t="s">
        <v>51</v>
      </c>
      <c r="I6" s="76"/>
      <c r="J6" s="76"/>
      <c r="K6" s="76"/>
    </row>
    <row r="7" spans="1:19" ht="15.75" x14ac:dyDescent="0.25">
      <c r="A7" s="72" t="s">
        <v>28</v>
      </c>
      <c r="B7" s="72"/>
      <c r="C7" s="72"/>
      <c r="D7" s="72"/>
      <c r="E7" s="72"/>
      <c r="F7" s="72"/>
      <c r="G7" s="3"/>
      <c r="H7" s="73" t="s">
        <v>57</v>
      </c>
      <c r="I7" s="73"/>
      <c r="J7" s="73"/>
      <c r="K7" s="73"/>
    </row>
    <row r="8" spans="1:19" ht="15" customHeight="1" x14ac:dyDescent="0.25">
      <c r="A8" s="4" t="s">
        <v>5</v>
      </c>
      <c r="B8" s="15" t="s">
        <v>6</v>
      </c>
      <c r="C8" s="4" t="s">
        <v>7</v>
      </c>
      <c r="D8" s="16" t="s">
        <v>8</v>
      </c>
      <c r="E8" s="16" t="s">
        <v>9</v>
      </c>
      <c r="F8" s="16" t="s">
        <v>10</v>
      </c>
      <c r="G8" s="16" t="s">
        <v>11</v>
      </c>
      <c r="H8" s="4" t="s">
        <v>12</v>
      </c>
      <c r="I8" s="16" t="s">
        <v>13</v>
      </c>
      <c r="J8" s="16" t="s">
        <v>14</v>
      </c>
      <c r="K8" s="17" t="s">
        <v>15</v>
      </c>
    </row>
    <row r="9" spans="1:19" ht="150" x14ac:dyDescent="0.25">
      <c r="A9" s="29">
        <v>1</v>
      </c>
      <c r="B9" s="30" t="s">
        <v>50</v>
      </c>
      <c r="C9" s="38"/>
      <c r="D9" s="38"/>
      <c r="E9" s="38"/>
      <c r="F9" s="38"/>
      <c r="G9" s="38"/>
      <c r="H9" s="38"/>
      <c r="I9" s="38"/>
      <c r="J9" s="38"/>
      <c r="K9" s="38"/>
    </row>
    <row r="10" spans="1:19" ht="15" customHeight="1" x14ac:dyDescent="0.25">
      <c r="A10" s="18"/>
      <c r="B10" s="39" t="s">
        <v>44</v>
      </c>
      <c r="C10" s="38">
        <v>1</v>
      </c>
      <c r="D10" s="40">
        <f>20+25-4*1.2+20</f>
        <v>60.2</v>
      </c>
      <c r="E10" s="40">
        <v>0.75</v>
      </c>
      <c r="F10" s="40">
        <v>1.2</v>
      </c>
      <c r="G10" s="41">
        <f>PRODUCT(C10:F10)</f>
        <v>54.180000000000007</v>
      </c>
      <c r="H10" s="42"/>
      <c r="I10" s="42"/>
      <c r="J10" s="42"/>
      <c r="K10" s="21"/>
      <c r="M10" s="25"/>
      <c r="N10" s="1"/>
      <c r="O10" s="1"/>
      <c r="P10" s="1"/>
      <c r="Q10" s="1"/>
      <c r="R10" s="25"/>
      <c r="S10" s="25"/>
    </row>
    <row r="11" spans="1:19" ht="15" customHeight="1" x14ac:dyDescent="0.25">
      <c r="A11" s="18"/>
      <c r="B11" s="39" t="s">
        <v>42</v>
      </c>
      <c r="C11" s="38">
        <v>2</v>
      </c>
      <c r="D11" s="40">
        <v>1.5</v>
      </c>
      <c r="E11" s="40">
        <v>1.5</v>
      </c>
      <c r="F11" s="40">
        <f>1.5+0.2</f>
        <v>1.7</v>
      </c>
      <c r="G11" s="41">
        <f>C11*(PI())*(D11*E11/4)*F11</f>
        <v>6.0082959499904796</v>
      </c>
      <c r="H11" s="42"/>
      <c r="I11" s="42"/>
      <c r="J11" s="42"/>
      <c r="K11" s="21"/>
      <c r="M11" s="25"/>
      <c r="N11" s="1"/>
      <c r="O11" s="1"/>
      <c r="P11" s="1"/>
      <c r="Q11" s="1"/>
      <c r="R11" s="25"/>
      <c r="S11" s="25"/>
    </row>
    <row r="12" spans="1:19" ht="15" customHeight="1" x14ac:dyDescent="0.25">
      <c r="A12" s="18"/>
      <c r="B12" s="39" t="s">
        <v>41</v>
      </c>
      <c r="C12" s="19"/>
      <c r="D12" s="20"/>
      <c r="E12" s="21"/>
      <c r="F12" s="21"/>
      <c r="G12" s="23">
        <f>SUM(G10:G11)</f>
        <v>60.18829594999049</v>
      </c>
      <c r="H12" s="22" t="s">
        <v>40</v>
      </c>
      <c r="I12" s="23">
        <v>64.63</v>
      </c>
      <c r="J12" s="43">
        <f>G12*I12</f>
        <v>3889.9695672478852</v>
      </c>
      <c r="K12" s="21"/>
      <c r="M12" s="25"/>
      <c r="N12" s="1"/>
      <c r="O12" s="1"/>
      <c r="P12" s="1"/>
      <c r="Q12" s="1"/>
      <c r="R12" s="25"/>
      <c r="S12" s="25"/>
    </row>
    <row r="13" spans="1:19" ht="15" customHeight="1" x14ac:dyDescent="0.25">
      <c r="A13" s="18"/>
      <c r="B13" s="39" t="s">
        <v>38</v>
      </c>
      <c r="C13" s="19"/>
      <c r="D13" s="20"/>
      <c r="E13" s="21"/>
      <c r="F13" s="21"/>
      <c r="G13" s="23"/>
      <c r="H13" s="22"/>
      <c r="I13" s="23"/>
      <c r="J13" s="43">
        <f>0.13*G12*19284/360</f>
        <v>419.13123023041715</v>
      </c>
      <c r="K13" s="21"/>
      <c r="M13" s="25"/>
      <c r="N13" s="1"/>
      <c r="O13" s="1"/>
      <c r="P13" s="1"/>
      <c r="Q13" s="1"/>
      <c r="R13" s="25"/>
      <c r="S13" s="25"/>
    </row>
    <row r="14" spans="1:19" ht="15" customHeight="1" x14ac:dyDescent="0.25">
      <c r="A14" s="18"/>
      <c r="B14" s="24"/>
      <c r="C14" s="19"/>
      <c r="D14" s="20"/>
      <c r="E14" s="21"/>
      <c r="F14" s="21"/>
      <c r="G14" s="23"/>
      <c r="H14" s="22"/>
      <c r="I14" s="23"/>
      <c r="J14" s="43"/>
      <c r="K14" s="21"/>
      <c r="M14" s="25"/>
      <c r="N14" s="1"/>
      <c r="O14" s="1"/>
      <c r="P14" s="1"/>
      <c r="Q14" s="1"/>
      <c r="R14" s="25"/>
      <c r="S14" s="25"/>
    </row>
    <row r="15" spans="1:19" ht="90" x14ac:dyDescent="0.25">
      <c r="A15" s="18">
        <v>2</v>
      </c>
      <c r="B15" s="30" t="s">
        <v>48</v>
      </c>
      <c r="C15" s="19"/>
      <c r="D15" s="20"/>
      <c r="E15" s="21"/>
      <c r="F15" s="21"/>
      <c r="G15" s="23"/>
      <c r="H15" s="22"/>
      <c r="I15" s="23"/>
      <c r="J15" s="43"/>
      <c r="K15" s="21"/>
      <c r="M15" s="25"/>
      <c r="N15" s="1"/>
      <c r="O15" s="1"/>
      <c r="P15" s="1"/>
      <c r="Q15" s="1"/>
      <c r="R15" s="25"/>
      <c r="S15" s="25"/>
    </row>
    <row r="16" spans="1:19" ht="15" customHeight="1" x14ac:dyDescent="0.25">
      <c r="A16" s="18"/>
      <c r="B16" s="39" t="str">
        <f>B11</f>
        <v>-Manhole</v>
      </c>
      <c r="C16" s="38">
        <f>C11</f>
        <v>2</v>
      </c>
      <c r="D16" s="38">
        <v>1.5</v>
      </c>
      <c r="E16" s="38">
        <v>1.5</v>
      </c>
      <c r="F16" s="40">
        <v>0.15</v>
      </c>
      <c r="G16" s="41">
        <f>C16*(PI())*(D16*E16/4)*F16</f>
        <v>0.53014376029327759</v>
      </c>
      <c r="H16" s="42"/>
      <c r="I16" s="42"/>
      <c r="J16" s="42"/>
      <c r="K16" s="21"/>
      <c r="M16" s="25"/>
      <c r="N16" s="1"/>
      <c r="O16" s="1"/>
      <c r="P16" s="1"/>
      <c r="Q16" s="1"/>
      <c r="R16" s="25"/>
      <c r="S16" s="25"/>
    </row>
    <row r="17" spans="1:19" ht="15" customHeight="1" x14ac:dyDescent="0.25">
      <c r="A17" s="42"/>
      <c r="B17" s="39" t="s">
        <v>41</v>
      </c>
      <c r="C17" s="44"/>
      <c r="D17" s="45"/>
      <c r="E17" s="45"/>
      <c r="F17" s="45"/>
      <c r="G17" s="33">
        <f>SUM(G16:G16)</f>
        <v>0.53014376029327759</v>
      </c>
      <c r="H17" s="33" t="s">
        <v>40</v>
      </c>
      <c r="I17" s="33">
        <v>4561.53</v>
      </c>
      <c r="J17" s="46">
        <f>G17*I17</f>
        <v>2418.2666668905945</v>
      </c>
      <c r="K17" s="38"/>
    </row>
    <row r="18" spans="1:19" x14ac:dyDescent="0.25">
      <c r="A18" s="42"/>
      <c r="B18" s="39" t="s">
        <v>38</v>
      </c>
      <c r="C18" s="44"/>
      <c r="D18" s="45"/>
      <c r="E18" s="45"/>
      <c r="F18" s="45"/>
      <c r="G18" s="45"/>
      <c r="H18" s="45"/>
      <c r="I18" s="45"/>
      <c r="J18" s="47">
        <f>0.13*G17*(15452.6/5)</f>
        <v>212.99458622800543</v>
      </c>
      <c r="K18" s="38"/>
    </row>
    <row r="19" spans="1:19" x14ac:dyDescent="0.25">
      <c r="A19" s="42"/>
      <c r="B19" s="39"/>
      <c r="C19" s="44"/>
      <c r="D19" s="45"/>
      <c r="E19" s="45"/>
      <c r="F19" s="45"/>
      <c r="G19" s="45"/>
      <c r="H19" s="45"/>
      <c r="I19" s="45"/>
      <c r="J19" s="47"/>
      <c r="K19" s="38"/>
    </row>
    <row r="20" spans="1:19" ht="75" x14ac:dyDescent="0.25">
      <c r="A20" s="18">
        <v>3</v>
      </c>
      <c r="B20" s="30" t="s">
        <v>43</v>
      </c>
      <c r="C20" s="19"/>
      <c r="D20" s="20"/>
      <c r="E20" s="21"/>
      <c r="F20" s="21"/>
      <c r="G20" s="23"/>
      <c r="H20" s="22"/>
      <c r="I20" s="23"/>
      <c r="J20" s="43"/>
      <c r="K20" s="21"/>
      <c r="M20" s="25"/>
      <c r="N20" s="1"/>
      <c r="O20" s="1"/>
      <c r="P20" s="1"/>
      <c r="Q20" s="1"/>
      <c r="R20" s="25"/>
      <c r="S20" s="25"/>
    </row>
    <row r="21" spans="1:19" ht="15" customHeight="1" x14ac:dyDescent="0.25">
      <c r="A21" s="18"/>
      <c r="B21" s="39" t="str">
        <f>B16</f>
        <v>-Manhole</v>
      </c>
      <c r="C21" s="38">
        <v>2</v>
      </c>
      <c r="D21" s="38">
        <v>1.5</v>
      </c>
      <c r="E21" s="38">
        <v>1.5</v>
      </c>
      <c r="F21" s="40">
        <v>7.4999999999999997E-2</v>
      </c>
      <c r="G21" s="41">
        <f>C21*(PI())*(D21*E21/4)*F21</f>
        <v>0.26507188014663879</v>
      </c>
      <c r="H21" s="42"/>
      <c r="I21" s="42"/>
      <c r="J21" s="42"/>
      <c r="K21" s="21"/>
      <c r="M21" s="25"/>
      <c r="N21" s="1"/>
      <c r="O21" s="1"/>
      <c r="P21" s="1"/>
      <c r="Q21" s="1"/>
      <c r="R21" s="25"/>
      <c r="S21" s="25"/>
    </row>
    <row r="22" spans="1:19" ht="15" customHeight="1" x14ac:dyDescent="0.25">
      <c r="A22" s="42"/>
      <c r="B22" s="39" t="s">
        <v>41</v>
      </c>
      <c r="C22" s="44"/>
      <c r="D22" s="45"/>
      <c r="E22" s="45"/>
      <c r="F22" s="45"/>
      <c r="G22" s="33">
        <f>SUM(G21:G21)</f>
        <v>0.26507188014663879</v>
      </c>
      <c r="H22" s="33" t="s">
        <v>40</v>
      </c>
      <c r="I22" s="33">
        <v>10634.5</v>
      </c>
      <c r="J22" s="46">
        <f>G22*I22</f>
        <v>2818.9069094194301</v>
      </c>
      <c r="K22" s="38"/>
    </row>
    <row r="23" spans="1:19" ht="15" customHeight="1" x14ac:dyDescent="0.25">
      <c r="A23" s="42"/>
      <c r="B23" s="39" t="s">
        <v>38</v>
      </c>
      <c r="C23" s="44"/>
      <c r="D23" s="45"/>
      <c r="E23" s="45"/>
      <c r="F23" s="45"/>
      <c r="G23" s="45"/>
      <c r="H23" s="45"/>
      <c r="I23" s="45"/>
      <c r="J23" s="47">
        <f>0.13*G22*((114907.3+6135.3)/15)</f>
        <v>278.06990951859206</v>
      </c>
      <c r="K23" s="38"/>
    </row>
    <row r="24" spans="1:19" ht="15" customHeight="1" x14ac:dyDescent="0.25">
      <c r="A24" s="42"/>
      <c r="B24" s="39"/>
      <c r="C24" s="44"/>
      <c r="D24" s="45"/>
      <c r="E24" s="45"/>
      <c r="F24" s="45"/>
      <c r="G24" s="45"/>
      <c r="H24" s="45"/>
      <c r="I24" s="45"/>
      <c r="J24" s="47"/>
      <c r="K24" s="38"/>
    </row>
    <row r="25" spans="1:19" ht="30" x14ac:dyDescent="0.25">
      <c r="A25" s="18">
        <v>4</v>
      </c>
      <c r="B25" s="30" t="s">
        <v>52</v>
      </c>
      <c r="C25" s="19"/>
      <c r="D25" s="20"/>
      <c r="E25" s="21"/>
      <c r="F25" s="21"/>
      <c r="G25" s="23"/>
      <c r="H25" s="22"/>
      <c r="I25" s="23"/>
      <c r="J25" s="43"/>
      <c r="K25" s="21"/>
      <c r="M25" s="25"/>
      <c r="N25" s="1"/>
      <c r="O25" s="1"/>
      <c r="P25" s="1"/>
      <c r="Q25" s="1"/>
      <c r="R25" s="25"/>
      <c r="S25" s="25"/>
    </row>
    <row r="26" spans="1:19" ht="30" x14ac:dyDescent="0.25">
      <c r="A26" s="18"/>
      <c r="B26" s="39" t="s">
        <v>54</v>
      </c>
      <c r="C26" s="60">
        <v>2</v>
      </c>
      <c r="D26" s="60"/>
      <c r="E26" s="60"/>
      <c r="F26" s="60"/>
      <c r="G26" s="41">
        <f>PRODUCT(C26:F26)</f>
        <v>2</v>
      </c>
      <c r="H26" s="42"/>
      <c r="I26" s="42"/>
      <c r="J26" s="42"/>
      <c r="K26" s="21"/>
      <c r="M26" s="25"/>
      <c r="N26" s="1"/>
      <c r="O26" s="1"/>
      <c r="P26" s="1"/>
      <c r="Q26" s="1"/>
      <c r="R26" s="25"/>
      <c r="S26" s="25"/>
    </row>
    <row r="27" spans="1:19" ht="15" customHeight="1" x14ac:dyDescent="0.25">
      <c r="A27" s="42"/>
      <c r="B27" s="39" t="s">
        <v>41</v>
      </c>
      <c r="C27" s="44"/>
      <c r="D27" s="45"/>
      <c r="E27" s="45"/>
      <c r="F27" s="45"/>
      <c r="G27" s="33">
        <f>SUM(G26:G26)</f>
        <v>2</v>
      </c>
      <c r="H27" s="33" t="s">
        <v>53</v>
      </c>
      <c r="I27" s="33">
        <v>7063</v>
      </c>
      <c r="J27" s="46">
        <f>G27*I27</f>
        <v>14126</v>
      </c>
      <c r="K27" s="38"/>
    </row>
    <row r="28" spans="1:19" ht="15" customHeight="1" x14ac:dyDescent="0.25">
      <c r="A28" s="42"/>
      <c r="B28" s="39" t="s">
        <v>38</v>
      </c>
      <c r="C28" s="44"/>
      <c r="D28" s="45"/>
      <c r="E28" s="45"/>
      <c r="F28" s="45"/>
      <c r="G28" s="45"/>
      <c r="H28" s="45"/>
      <c r="I28" s="45"/>
      <c r="J28" s="47">
        <f>0.13*J27</f>
        <v>1836.38</v>
      </c>
      <c r="K28" s="38"/>
    </row>
    <row r="29" spans="1:19" ht="15" customHeight="1" x14ac:dyDescent="0.25">
      <c r="A29" s="42"/>
      <c r="B29" s="39"/>
      <c r="C29" s="44"/>
      <c r="D29" s="45"/>
      <c r="E29" s="45"/>
      <c r="F29" s="45"/>
      <c r="G29" s="45"/>
      <c r="H29" s="45"/>
      <c r="I29" s="45"/>
      <c r="J29" s="47"/>
      <c r="K29" s="38"/>
    </row>
    <row r="30" spans="1:19" ht="30.75" x14ac:dyDescent="0.25">
      <c r="A30" s="18">
        <v>5</v>
      </c>
      <c r="B30" s="36" t="s">
        <v>49</v>
      </c>
      <c r="C30" s="19"/>
      <c r="D30" s="20"/>
      <c r="E30" s="21"/>
      <c r="F30" s="21"/>
      <c r="G30" s="23"/>
      <c r="H30" s="22"/>
      <c r="I30" s="23"/>
      <c r="J30" s="43"/>
      <c r="K30" s="21"/>
      <c r="M30" s="25"/>
      <c r="N30" s="1"/>
      <c r="O30" s="1"/>
      <c r="P30" s="1"/>
      <c r="Q30" s="1"/>
      <c r="R30" s="25"/>
      <c r="S30" s="25"/>
    </row>
    <row r="31" spans="1:19" ht="15" customHeight="1" x14ac:dyDescent="0.25">
      <c r="A31" s="18"/>
      <c r="B31" s="39" t="str">
        <f>B26</f>
        <v>-Rounded manhole cover medium duty 500mm (24")</v>
      </c>
      <c r="C31" s="60">
        <v>2</v>
      </c>
      <c r="D31" s="61">
        <f>((1.5-0.23)+((24/12/3.281)-0.23))/2</f>
        <v>0.82478512648582747</v>
      </c>
      <c r="E31" s="60">
        <v>0.23</v>
      </c>
      <c r="F31" s="60">
        <v>1.5</v>
      </c>
      <c r="G31" s="41">
        <f>C31*(PI())*(D31)*E31*F31</f>
        <v>1.7878858369690229</v>
      </c>
      <c r="H31" s="42"/>
      <c r="I31" s="42"/>
      <c r="J31" s="42"/>
      <c r="K31" s="21"/>
      <c r="M31" s="25"/>
      <c r="N31" s="1"/>
      <c r="O31" s="1"/>
      <c r="P31" s="1"/>
      <c r="Q31" s="1"/>
      <c r="R31" s="25"/>
      <c r="S31" s="25"/>
    </row>
    <row r="32" spans="1:19" ht="15" customHeight="1" x14ac:dyDescent="0.25">
      <c r="A32" s="18"/>
      <c r="B32" s="39" t="s">
        <v>46</v>
      </c>
      <c r="C32" s="60">
        <f>-2*2-1</f>
        <v>-5</v>
      </c>
      <c r="D32" s="60">
        <v>0.6</v>
      </c>
      <c r="E32" s="60">
        <v>0.23</v>
      </c>
      <c r="F32" s="60">
        <v>0.6</v>
      </c>
      <c r="G32" s="41">
        <f>C32*(PI())*(D32*F32/4)*E32</f>
        <v>-0.32515483964654363</v>
      </c>
      <c r="H32" s="42"/>
      <c r="I32" s="42"/>
      <c r="J32" s="42"/>
      <c r="K32" s="21"/>
      <c r="M32" s="25"/>
      <c r="N32" s="1">
        <f>(1.5-0.23+0.6-0.23)/2</f>
        <v>0.82000000000000006</v>
      </c>
      <c r="O32" s="1">
        <f>22/12/3.281</f>
        <v>0.55877273189068366</v>
      </c>
      <c r="P32" s="1"/>
      <c r="Q32" s="1"/>
      <c r="R32" s="25"/>
      <c r="S32" s="25"/>
    </row>
    <row r="33" spans="1:19" ht="15" customHeight="1" x14ac:dyDescent="0.25">
      <c r="A33" s="42"/>
      <c r="B33" s="39" t="s">
        <v>41</v>
      </c>
      <c r="C33" s="44"/>
      <c r="D33" s="45"/>
      <c r="E33" s="45"/>
      <c r="F33" s="45"/>
      <c r="G33" s="33">
        <f>SUM(G31:G32)</f>
        <v>1.4627309973224794</v>
      </c>
      <c r="H33" s="33" t="s">
        <v>40</v>
      </c>
      <c r="I33" s="33">
        <v>14362.76</v>
      </c>
      <c r="J33" s="46">
        <f>G33*I33</f>
        <v>21008.854259103413</v>
      </c>
      <c r="K33" s="38"/>
      <c r="N33">
        <f>1.667/3.281</f>
        <v>0.50807680585187442</v>
      </c>
      <c r="O33">
        <f>2.17/3.281</f>
        <v>0.66138372447424565</v>
      </c>
      <c r="P33">
        <f>(N33+O33)/2</f>
        <v>0.58473026516306004</v>
      </c>
    </row>
    <row r="34" spans="1:19" ht="15" customHeight="1" x14ac:dyDescent="0.25">
      <c r="A34" s="42"/>
      <c r="B34" s="39" t="s">
        <v>38</v>
      </c>
      <c r="C34" s="44"/>
      <c r="D34" s="45"/>
      <c r="E34" s="45"/>
      <c r="F34" s="45"/>
      <c r="G34" s="45"/>
      <c r="H34" s="45"/>
      <c r="I34" s="45"/>
      <c r="J34" s="47">
        <f>0.13*G33*10311.74</f>
        <v>1960.8292254629134</v>
      </c>
      <c r="K34" s="38"/>
    </row>
    <row r="35" spans="1:19" ht="15" customHeight="1" x14ac:dyDescent="0.25">
      <c r="A35" s="42"/>
      <c r="B35" s="39"/>
      <c r="C35" s="44"/>
      <c r="D35" s="45"/>
      <c r="E35" s="45"/>
      <c r="F35" s="45"/>
      <c r="G35" s="45"/>
      <c r="H35" s="45"/>
      <c r="I35" s="45"/>
      <c r="J35" s="47"/>
      <c r="K35" s="38"/>
    </row>
    <row r="36" spans="1:19" ht="105" x14ac:dyDescent="0.25">
      <c r="A36" s="18">
        <v>6</v>
      </c>
      <c r="B36" s="30" t="s">
        <v>47</v>
      </c>
      <c r="C36" s="38"/>
      <c r="D36" s="40"/>
      <c r="E36" s="40"/>
      <c r="F36" s="40"/>
      <c r="G36" s="43"/>
      <c r="H36" s="42"/>
      <c r="I36" s="42"/>
      <c r="J36" s="42"/>
      <c r="K36" s="21"/>
      <c r="M36" s="25"/>
      <c r="N36" s="1"/>
      <c r="O36" s="1"/>
      <c r="P36" s="1"/>
      <c r="Q36" s="1"/>
      <c r="R36" s="25"/>
      <c r="S36" s="25"/>
    </row>
    <row r="37" spans="1:19" ht="15" customHeight="1" x14ac:dyDescent="0.25">
      <c r="A37" s="18"/>
      <c r="B37" s="39" t="s">
        <v>45</v>
      </c>
      <c r="C37" s="38">
        <v>14</v>
      </c>
      <c r="D37" s="40">
        <v>2.5</v>
      </c>
      <c r="E37" s="40"/>
      <c r="F37" s="40"/>
      <c r="G37" s="41">
        <f>PRODUCT(C37:F37)</f>
        <v>35</v>
      </c>
      <c r="H37" s="42"/>
      <c r="I37" s="42"/>
      <c r="J37" s="42"/>
      <c r="K37" s="21"/>
      <c r="M37" s="25"/>
      <c r="N37" s="1">
        <f>44/2.5</f>
        <v>17.600000000000001</v>
      </c>
      <c r="O37" s="1">
        <f>45/2.5</f>
        <v>18</v>
      </c>
      <c r="P37" s="1">
        <f>45+12.5</f>
        <v>57.5</v>
      </c>
      <c r="Q37" s="1"/>
      <c r="R37" s="25"/>
      <c r="S37" s="25"/>
    </row>
    <row r="38" spans="1:19" ht="15" customHeight="1" x14ac:dyDescent="0.25">
      <c r="A38" s="18"/>
      <c r="B38" s="39" t="s">
        <v>41</v>
      </c>
      <c r="C38" s="38"/>
      <c r="D38" s="40"/>
      <c r="E38" s="40"/>
      <c r="F38" s="40"/>
      <c r="G38" s="34">
        <f>SUM(G37:G37)</f>
        <v>35</v>
      </c>
      <c r="H38" s="42" t="s">
        <v>39</v>
      </c>
      <c r="I38" s="42">
        <v>6932.79</v>
      </c>
      <c r="J38" s="42">
        <f>G38*I38</f>
        <v>242647.65</v>
      </c>
      <c r="K38" s="21"/>
      <c r="M38" s="25"/>
      <c r="N38" s="1"/>
      <c r="O38" s="1"/>
      <c r="P38" s="1">
        <f>P37/2.5</f>
        <v>23</v>
      </c>
      <c r="Q38" s="1"/>
      <c r="R38" s="25"/>
      <c r="S38" s="25"/>
    </row>
    <row r="39" spans="1:19" ht="15" customHeight="1" x14ac:dyDescent="0.25">
      <c r="A39" s="18"/>
      <c r="B39" s="39" t="s">
        <v>38</v>
      </c>
      <c r="C39" s="38"/>
      <c r="D39" s="40"/>
      <c r="E39" s="40"/>
      <c r="F39" s="40"/>
      <c r="G39" s="43"/>
      <c r="H39" s="42"/>
      <c r="I39" s="42"/>
      <c r="J39" s="42">
        <f>0.13*G38*((78764.9)/12.5)</f>
        <v>28670.423599999995</v>
      </c>
      <c r="K39" s="21"/>
      <c r="M39" s="25"/>
      <c r="N39" s="1"/>
      <c r="O39" s="1"/>
      <c r="P39" s="1"/>
      <c r="Q39" s="1"/>
      <c r="R39" s="25"/>
      <c r="S39" s="25"/>
    </row>
    <row r="40" spans="1:19" ht="15" customHeight="1" x14ac:dyDescent="0.25">
      <c r="A40" s="18"/>
      <c r="B40" s="39"/>
      <c r="C40" s="38"/>
      <c r="D40" s="40"/>
      <c r="E40" s="40"/>
      <c r="F40" s="40"/>
      <c r="G40" s="43"/>
      <c r="H40" s="42"/>
      <c r="I40" s="42"/>
      <c r="J40" s="42"/>
      <c r="K40" s="21"/>
      <c r="M40" s="25"/>
      <c r="N40" s="1"/>
      <c r="O40" s="1"/>
      <c r="P40" s="1"/>
      <c r="Q40" s="1"/>
      <c r="R40" s="25"/>
      <c r="S40" s="25"/>
    </row>
    <row r="41" spans="1:19" ht="30" x14ac:dyDescent="0.25">
      <c r="A41" s="18">
        <v>7</v>
      </c>
      <c r="B41" s="67" t="s">
        <v>55</v>
      </c>
      <c r="C41" s="38">
        <v>1</v>
      </c>
      <c r="D41" s="40"/>
      <c r="E41" s="40"/>
      <c r="F41" s="40"/>
      <c r="G41" s="41">
        <f>PRODUCT(C41:F41)</f>
        <v>1</v>
      </c>
      <c r="H41" s="42" t="s">
        <v>56</v>
      </c>
      <c r="I41" s="23">
        <v>5000</v>
      </c>
      <c r="J41" s="34">
        <f>G41*I41</f>
        <v>5000</v>
      </c>
      <c r="K41" s="21"/>
      <c r="M41" s="25"/>
      <c r="N41" s="1"/>
      <c r="O41" s="1"/>
      <c r="P41" s="1"/>
      <c r="Q41" s="1"/>
      <c r="R41" s="25"/>
      <c r="S41" s="25"/>
    </row>
    <row r="42" spans="1:19" ht="15" customHeight="1" x14ac:dyDescent="0.25">
      <c r="A42" s="18"/>
      <c r="B42" s="39"/>
      <c r="C42" s="38"/>
      <c r="D42" s="40"/>
      <c r="E42" s="40"/>
      <c r="F42" s="40"/>
      <c r="G42" s="43"/>
      <c r="H42" s="42"/>
      <c r="I42" s="42"/>
      <c r="J42" s="42"/>
      <c r="K42" s="21"/>
      <c r="M42" s="25"/>
      <c r="N42" s="1"/>
      <c r="O42" s="1"/>
      <c r="P42" s="1"/>
      <c r="Q42" s="1"/>
      <c r="R42" s="25"/>
      <c r="S42" s="25"/>
    </row>
    <row r="43" spans="1:19" ht="15" customHeight="1" x14ac:dyDescent="0.25">
      <c r="A43" s="18">
        <v>8</v>
      </c>
      <c r="B43" s="30" t="s">
        <v>30</v>
      </c>
      <c r="C43" s="19">
        <v>1</v>
      </c>
      <c r="D43" s="20"/>
      <c r="E43" s="21"/>
      <c r="F43" s="21"/>
      <c r="G43" s="34">
        <f t="shared" ref="G43" si="0">PRODUCT(C43:F43)</f>
        <v>1</v>
      </c>
      <c r="H43" s="22" t="s">
        <v>31</v>
      </c>
      <c r="I43" s="23">
        <v>1000</v>
      </c>
      <c r="J43" s="34">
        <f>G43*I43</f>
        <v>1000</v>
      </c>
      <c r="K43" s="21"/>
      <c r="M43" s="25"/>
      <c r="N43" s="1"/>
      <c r="O43" s="1"/>
      <c r="P43" s="1"/>
      <c r="Q43" s="1"/>
      <c r="R43" s="25"/>
      <c r="S43" s="25"/>
    </row>
    <row r="44" spans="1:19" ht="15" customHeight="1" x14ac:dyDescent="0.25">
      <c r="A44" s="18"/>
      <c r="B44" s="24"/>
      <c r="C44" s="19"/>
      <c r="D44" s="20"/>
      <c r="E44" s="21"/>
      <c r="F44" s="21"/>
      <c r="G44" s="23"/>
      <c r="H44" s="22"/>
      <c r="I44" s="23"/>
      <c r="J44" s="43"/>
      <c r="K44" s="21"/>
      <c r="M44" s="25"/>
      <c r="N44" s="1"/>
      <c r="O44" s="1"/>
      <c r="P44" s="1"/>
      <c r="Q44" s="1"/>
      <c r="R44" s="25"/>
      <c r="S44" s="25"/>
    </row>
    <row r="45" spans="1:19" x14ac:dyDescent="0.25">
      <c r="A45" s="42"/>
      <c r="B45" s="48" t="s">
        <v>17</v>
      </c>
      <c r="C45" s="49"/>
      <c r="D45" s="40"/>
      <c r="E45" s="40"/>
      <c r="F45" s="40"/>
      <c r="G45" s="43"/>
      <c r="H45" s="43"/>
      <c r="I45" s="43"/>
      <c r="J45" s="43">
        <f>SUM(J10:J43)</f>
        <v>326287.47595410125</v>
      </c>
      <c r="K45" s="38"/>
    </row>
    <row r="46" spans="1:19" x14ac:dyDescent="0.25">
      <c r="A46" s="62"/>
      <c r="B46" s="65"/>
      <c r="C46" s="66"/>
      <c r="D46" s="63"/>
      <c r="E46" s="63"/>
      <c r="F46" s="63"/>
      <c r="G46" s="64"/>
      <c r="H46" s="64"/>
      <c r="I46" s="64"/>
      <c r="J46" s="64"/>
      <c r="K46" s="59"/>
    </row>
    <row r="47" spans="1:19" s="1" customFormat="1" x14ac:dyDescent="0.25">
      <c r="A47" s="52"/>
      <c r="B47" s="29" t="s">
        <v>27</v>
      </c>
      <c r="C47" s="71">
        <f>J45</f>
        <v>326287.47595410125</v>
      </c>
      <c r="D47" s="71"/>
      <c r="E47" s="41">
        <v>100</v>
      </c>
      <c r="F47" s="53"/>
      <c r="G47" s="54"/>
      <c r="H47" s="53"/>
      <c r="I47" s="55"/>
      <c r="J47" s="56"/>
      <c r="K47" s="57"/>
    </row>
    <row r="48" spans="1:19" x14ac:dyDescent="0.25">
      <c r="A48" s="58"/>
      <c r="B48" s="29" t="s">
        <v>32</v>
      </c>
      <c r="C48" s="74">
        <v>500000</v>
      </c>
      <c r="D48" s="74"/>
      <c r="E48" s="41"/>
      <c r="F48" s="51"/>
      <c r="G48" s="50"/>
      <c r="H48" s="50"/>
      <c r="I48" s="50"/>
      <c r="J48" s="50"/>
      <c r="K48" s="51"/>
    </row>
    <row r="49" spans="1:11" x14ac:dyDescent="0.25">
      <c r="A49" s="58"/>
      <c r="B49" s="29" t="s">
        <v>33</v>
      </c>
      <c r="C49" s="74">
        <f>C48-C51-C52</f>
        <v>475000</v>
      </c>
      <c r="D49" s="74"/>
      <c r="E49" s="41">
        <f>C49/C47*100</f>
        <v>145.57714745595018</v>
      </c>
      <c r="F49" s="51"/>
      <c r="G49" s="50"/>
      <c r="H49" s="50"/>
      <c r="I49" s="50"/>
      <c r="J49" s="50"/>
      <c r="K49" s="51"/>
    </row>
    <row r="50" spans="1:11" x14ac:dyDescent="0.25">
      <c r="A50" s="58"/>
      <c r="B50" s="29" t="s">
        <v>34</v>
      </c>
      <c r="C50" s="71">
        <f>C47-C49</f>
        <v>-148712.52404589875</v>
      </c>
      <c r="D50" s="71"/>
      <c r="E50" s="41">
        <f>100-E49</f>
        <v>-45.577147455950183</v>
      </c>
      <c r="F50" s="51"/>
      <c r="G50" s="50"/>
      <c r="H50" s="50"/>
      <c r="I50" s="50"/>
      <c r="J50" s="50"/>
      <c r="K50" s="51"/>
    </row>
    <row r="51" spans="1:11" x14ac:dyDescent="0.25">
      <c r="A51" s="58"/>
      <c r="B51" s="29" t="s">
        <v>35</v>
      </c>
      <c r="C51" s="71">
        <f>C48*0.03</f>
        <v>15000</v>
      </c>
      <c r="D51" s="71"/>
      <c r="E51" s="41">
        <v>3</v>
      </c>
      <c r="F51" s="51"/>
      <c r="G51" s="50"/>
      <c r="H51" s="50"/>
      <c r="I51" s="50"/>
      <c r="J51" s="50"/>
      <c r="K51" s="51"/>
    </row>
    <row r="52" spans="1:11" x14ac:dyDescent="0.25">
      <c r="A52" s="58"/>
      <c r="B52" s="29" t="s">
        <v>36</v>
      </c>
      <c r="C52" s="71">
        <f>C48*0.02</f>
        <v>10000</v>
      </c>
      <c r="D52" s="71"/>
      <c r="E52" s="41">
        <v>2</v>
      </c>
      <c r="F52" s="51"/>
      <c r="G52" s="50"/>
      <c r="H52" s="50"/>
      <c r="I52" s="50"/>
      <c r="J52" s="50"/>
      <c r="K52" s="51"/>
    </row>
    <row r="53" spans="1:11" s="37" customFormat="1" x14ac:dyDescent="0.25">
      <c r="A53" s="59"/>
      <c r="B53" s="59"/>
      <c r="C53" s="59"/>
      <c r="D53" s="59"/>
      <c r="E53" s="59"/>
      <c r="F53" s="59"/>
      <c r="G53" s="59"/>
      <c r="H53" s="59"/>
      <c r="I53" s="59"/>
      <c r="J53" s="59"/>
      <c r="K53" s="59"/>
    </row>
    <row r="54" spans="1:11" s="37" customFormat="1" x14ac:dyDescent="0.25"/>
    <row r="55" spans="1:11" s="37" customFormat="1" x14ac:dyDescent="0.25"/>
    <row r="56" spans="1:11" s="37" customFormat="1" x14ac:dyDescent="0.25"/>
    <row r="57" spans="1:11" s="37" customFormat="1" x14ac:dyDescent="0.25"/>
    <row r="58" spans="1:11" s="37" customFormat="1" x14ac:dyDescent="0.25"/>
    <row r="59" spans="1:11" s="37" customFormat="1" x14ac:dyDescent="0.25"/>
    <row r="60" spans="1:11" s="37" customFormat="1" x14ac:dyDescent="0.25"/>
    <row r="61" spans="1:11" s="37" customFormat="1" x14ac:dyDescent="0.25"/>
    <row r="62" spans="1:11" s="37" customFormat="1" x14ac:dyDescent="0.25"/>
    <row r="63" spans="1:11" s="37" customFormat="1" x14ac:dyDescent="0.25"/>
    <row r="64" spans="1:11" s="37" customFormat="1" x14ac:dyDescent="0.25"/>
    <row r="65" s="37" customFormat="1" x14ac:dyDescent="0.25"/>
    <row r="66" s="37" customFormat="1" x14ac:dyDescent="0.25"/>
    <row r="67" s="37" customFormat="1" x14ac:dyDescent="0.25"/>
    <row r="68" s="37" customFormat="1" x14ac:dyDescent="0.25"/>
    <row r="69" s="37" customFormat="1" x14ac:dyDescent="0.25"/>
    <row r="70" s="37" customFormat="1" x14ac:dyDescent="0.25"/>
    <row r="71" s="37" customFormat="1" x14ac:dyDescent="0.25"/>
    <row r="72" s="37" customFormat="1" x14ac:dyDescent="0.25"/>
    <row r="73" s="37" customFormat="1" x14ac:dyDescent="0.25"/>
    <row r="74" s="37" customFormat="1" x14ac:dyDescent="0.25"/>
    <row r="75" s="37" customFormat="1" x14ac:dyDescent="0.25"/>
    <row r="76" s="37" customFormat="1" x14ac:dyDescent="0.25"/>
    <row r="77" s="37" customFormat="1" x14ac:dyDescent="0.25"/>
    <row r="78" s="37" customFormat="1" x14ac:dyDescent="0.25"/>
    <row r="79" s="37" customFormat="1" x14ac:dyDescent="0.25"/>
    <row r="80" s="37" customFormat="1" x14ac:dyDescent="0.25"/>
    <row r="81" s="37" customFormat="1" x14ac:dyDescent="0.25"/>
    <row r="82" s="37" customFormat="1" x14ac:dyDescent="0.25"/>
    <row r="83" s="37" customFormat="1" x14ac:dyDescent="0.25"/>
    <row r="84" s="37" customFormat="1" x14ac:dyDescent="0.25"/>
    <row r="85" s="37" customFormat="1" x14ac:dyDescent="0.25"/>
    <row r="86" s="37" customFormat="1" x14ac:dyDescent="0.25"/>
    <row r="87" s="37" customFormat="1" x14ac:dyDescent="0.25"/>
    <row r="88" s="37" customFormat="1" x14ac:dyDescent="0.25"/>
    <row r="89" s="37" customFormat="1" x14ac:dyDescent="0.25"/>
    <row r="90" s="37" customFormat="1" x14ac:dyDescent="0.25"/>
    <row r="91" s="37" customFormat="1" x14ac:dyDescent="0.25"/>
    <row r="92" s="37" customFormat="1" x14ac:dyDescent="0.25"/>
    <row r="93" s="37" customFormat="1" x14ac:dyDescent="0.25"/>
    <row r="94" s="37" customFormat="1" x14ac:dyDescent="0.25"/>
    <row r="95" s="37" customFormat="1" x14ac:dyDescent="0.25"/>
    <row r="96" s="37" customFormat="1" x14ac:dyDescent="0.25"/>
    <row r="97" s="37" customFormat="1" x14ac:dyDescent="0.25"/>
    <row r="98" s="37" customFormat="1" x14ac:dyDescent="0.25"/>
    <row r="99" s="37" customFormat="1" x14ac:dyDescent="0.25"/>
    <row r="100" s="37" customFormat="1" x14ac:dyDescent="0.25"/>
    <row r="101" s="37" customFormat="1" x14ac:dyDescent="0.25"/>
    <row r="102" s="37" customFormat="1" x14ac:dyDescent="0.25"/>
    <row r="103" s="37" customFormat="1" x14ac:dyDescent="0.25"/>
    <row r="104" s="37" customFormat="1" x14ac:dyDescent="0.25"/>
    <row r="105" s="37" customFormat="1" x14ac:dyDescent="0.25"/>
    <row r="106" s="37" customFormat="1" x14ac:dyDescent="0.25"/>
    <row r="107" s="37" customFormat="1" x14ac:dyDescent="0.25"/>
    <row r="108" s="37" customFormat="1" x14ac:dyDescent="0.25"/>
    <row r="109" s="37" customFormat="1" x14ac:dyDescent="0.25"/>
  </sheetData>
  <mergeCells count="15">
    <mergeCell ref="A6:F6"/>
    <mergeCell ref="H6:K6"/>
    <mergeCell ref="A1:K1"/>
    <mergeCell ref="A2:K2"/>
    <mergeCell ref="A3:K3"/>
    <mergeCell ref="A4:K4"/>
    <mergeCell ref="A5:K5"/>
    <mergeCell ref="C51:D51"/>
    <mergeCell ref="C52:D52"/>
    <mergeCell ref="A7:F7"/>
    <mergeCell ref="H7:K7"/>
    <mergeCell ref="C47:D47"/>
    <mergeCell ref="C48:D48"/>
    <mergeCell ref="C49:D49"/>
    <mergeCell ref="C50:D50"/>
  </mergeCells>
  <pageMargins left="0.7" right="0.7" top="0.75" bottom="0.75" header="0.3" footer="0.3"/>
  <pageSetup paperSize="9" scale="80" orientation="portrait" r:id="rId1"/>
  <headerFooter>
    <oddFooter>&amp;LPrepared By:
Kristal Suwal&amp;CChecked By:
Er. Milan Phuyal&amp;RApproved By:
Er. Prakash Singh Saud</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5"/>
  <sheetViews>
    <sheetView topLeftCell="A28" zoomScaleNormal="100" workbookViewId="0">
      <selection activeCell="I10" sqref="I10"/>
    </sheetView>
  </sheetViews>
  <sheetFormatPr defaultRowHeight="15" x14ac:dyDescent="0.25"/>
  <cols>
    <col min="1" max="1" width="6.28515625" customWidth="1"/>
    <col min="2" max="2" width="36.7109375" customWidth="1"/>
    <col min="3" max="3" width="8.85546875" customWidth="1"/>
    <col min="4" max="4" width="9.28515625" bestFit="1" customWidth="1"/>
    <col min="5" max="5" width="11.5703125" bestFit="1" customWidth="1"/>
    <col min="6" max="6" width="12.28515625" bestFit="1" customWidth="1"/>
    <col min="7" max="7" width="9.5703125" bestFit="1" customWidth="1"/>
    <col min="8" max="8" width="11.140625" bestFit="1" customWidth="1"/>
    <col min="9" max="9" width="11.85546875" bestFit="1" customWidth="1"/>
    <col min="10" max="10" width="12.28515625" bestFit="1" customWidth="1"/>
    <col min="11" max="11" width="11" customWidth="1"/>
  </cols>
  <sheetData>
    <row r="1" spans="1:11" x14ac:dyDescent="0.25">
      <c r="A1" s="90" t="s">
        <v>0</v>
      </c>
      <c r="B1" s="90"/>
      <c r="C1" s="90"/>
      <c r="D1" s="90"/>
      <c r="E1" s="90"/>
      <c r="F1" s="90"/>
      <c r="G1" s="90"/>
      <c r="H1" s="90"/>
      <c r="I1" s="90"/>
      <c r="J1" s="90"/>
      <c r="K1" s="90"/>
    </row>
    <row r="2" spans="1:11" ht="25.5" x14ac:dyDescent="0.35">
      <c r="A2" s="91" t="s">
        <v>1</v>
      </c>
      <c r="B2" s="91"/>
      <c r="C2" s="91"/>
      <c r="D2" s="91"/>
      <c r="E2" s="91"/>
      <c r="F2" s="91"/>
      <c r="G2" s="91"/>
      <c r="H2" s="91"/>
      <c r="I2" s="91"/>
      <c r="J2" s="91"/>
      <c r="K2" s="91"/>
    </row>
    <row r="3" spans="1:11" s="1" customFormat="1" x14ac:dyDescent="0.25">
      <c r="A3" s="79" t="s">
        <v>2</v>
      </c>
      <c r="B3" s="79"/>
      <c r="C3" s="79"/>
      <c r="D3" s="79"/>
      <c r="E3" s="79"/>
      <c r="F3" s="79"/>
      <c r="G3" s="79"/>
      <c r="H3" s="79"/>
      <c r="I3" s="79"/>
      <c r="J3" s="79"/>
      <c r="K3" s="79"/>
    </row>
    <row r="4" spans="1:11" s="1" customFormat="1" x14ac:dyDescent="0.25">
      <c r="A4" s="79" t="s">
        <v>3</v>
      </c>
      <c r="B4" s="79"/>
      <c r="C4" s="79"/>
      <c r="D4" s="79"/>
      <c r="E4" s="79"/>
      <c r="F4" s="79"/>
      <c r="G4" s="79"/>
      <c r="H4" s="79"/>
      <c r="I4" s="79"/>
      <c r="J4" s="79"/>
      <c r="K4" s="79"/>
    </row>
    <row r="5" spans="1:11" ht="18.75" x14ac:dyDescent="0.3">
      <c r="A5" s="92" t="s">
        <v>18</v>
      </c>
      <c r="B5" s="92"/>
      <c r="C5" s="92"/>
      <c r="D5" s="92"/>
      <c r="E5" s="92"/>
      <c r="F5" s="92"/>
      <c r="G5" s="92"/>
      <c r="H5" s="92"/>
      <c r="I5" s="92"/>
      <c r="J5" s="92"/>
      <c r="K5" s="92"/>
    </row>
    <row r="6" spans="1:11" ht="18.75" x14ac:dyDescent="0.3">
      <c r="A6" s="8" t="s">
        <v>19</v>
      </c>
      <c r="B6" s="8"/>
      <c r="C6" s="88">
        <f>F35</f>
        <v>326287.47595410125</v>
      </c>
      <c r="D6" s="89"/>
      <c r="E6" s="9"/>
      <c r="F6" s="8"/>
      <c r="G6" s="8"/>
      <c r="H6" s="8" t="s">
        <v>20</v>
      </c>
      <c r="I6" s="8"/>
      <c r="J6" s="88">
        <f>I35</f>
        <v>500265.19277918153</v>
      </c>
      <c r="K6" s="89"/>
    </row>
    <row r="7" spans="1:11" x14ac:dyDescent="0.25">
      <c r="A7" s="26" t="s">
        <v>29</v>
      </c>
      <c r="B7" s="10"/>
      <c r="C7" s="10"/>
      <c r="D7" s="10"/>
      <c r="F7" s="83"/>
      <c r="G7" s="83"/>
      <c r="I7" s="84" t="s">
        <v>37</v>
      </c>
      <c r="J7" s="84"/>
      <c r="K7" s="84"/>
    </row>
    <row r="8" spans="1:11" ht="15.75" x14ac:dyDescent="0.25">
      <c r="A8" s="75" t="str">
        <f>estimate!A6</f>
        <v xml:space="preserve">Project:- सुन्दरबस्ती सडक ग्राबेल र ढलान (ढल निर्माण कार्य) </v>
      </c>
      <c r="B8" s="75"/>
      <c r="C8" s="75"/>
      <c r="D8" s="75"/>
      <c r="E8" s="75"/>
      <c r="F8" s="75"/>
      <c r="I8" s="85" t="s">
        <v>62</v>
      </c>
      <c r="J8" s="85"/>
      <c r="K8" s="85"/>
    </row>
    <row r="9" spans="1:11" x14ac:dyDescent="0.25">
      <c r="A9" s="86" t="str">
        <f>estimate!A7</f>
        <v>Location:- Shankharapur Municipality 9</v>
      </c>
      <c r="B9" s="86"/>
      <c r="C9" s="86"/>
      <c r="D9" s="86"/>
      <c r="E9" s="86"/>
      <c r="F9" s="86"/>
      <c r="I9" s="85" t="s">
        <v>63</v>
      </c>
      <c r="J9" s="85"/>
      <c r="K9" s="85"/>
    </row>
    <row r="11" spans="1:11" x14ac:dyDescent="0.25">
      <c r="A11" s="81" t="s">
        <v>21</v>
      </c>
      <c r="B11" s="81" t="s">
        <v>22</v>
      </c>
      <c r="C11" s="81" t="s">
        <v>12</v>
      </c>
      <c r="D11" s="87" t="s">
        <v>23</v>
      </c>
      <c r="E11" s="87"/>
      <c r="F11" s="87"/>
      <c r="G11" s="87" t="s">
        <v>24</v>
      </c>
      <c r="H11" s="87"/>
      <c r="I11" s="87"/>
      <c r="J11" s="81" t="s">
        <v>25</v>
      </c>
      <c r="K11" s="82" t="s">
        <v>15</v>
      </c>
    </row>
    <row r="12" spans="1:11" x14ac:dyDescent="0.25">
      <c r="A12" s="81"/>
      <c r="B12" s="81"/>
      <c r="C12" s="81"/>
      <c r="D12" s="11" t="s">
        <v>26</v>
      </c>
      <c r="E12" s="11" t="s">
        <v>13</v>
      </c>
      <c r="F12" s="11" t="s">
        <v>14</v>
      </c>
      <c r="G12" s="11" t="s">
        <v>26</v>
      </c>
      <c r="H12" s="11" t="s">
        <v>13</v>
      </c>
      <c r="I12" s="11" t="s">
        <v>14</v>
      </c>
      <c r="J12" s="81"/>
      <c r="K12" s="82"/>
    </row>
    <row r="13" spans="1:11" s="1" customFormat="1" ht="141.75" x14ac:dyDescent="0.25">
      <c r="A13" s="27">
        <f>estimate!A9</f>
        <v>1</v>
      </c>
      <c r="B13" s="32" t="str">
        <f>estimate!B9</f>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v>
      </c>
      <c r="C13" s="12" t="str">
        <f>estimate!H12</f>
        <v>m3</v>
      </c>
      <c r="D13" s="12">
        <f>estimate!G12</f>
        <v>60.18829594999049</v>
      </c>
      <c r="E13" s="12">
        <f>estimate!I12</f>
        <v>64.63</v>
      </c>
      <c r="F13" s="12">
        <f>D13*E13</f>
        <v>3889.9695672478852</v>
      </c>
      <c r="G13" s="12">
        <f>'dipak dai estimate'!G12</f>
        <v>63.216535824966677</v>
      </c>
      <c r="H13" s="12">
        <f>'dipak dai estimate'!I12</f>
        <v>64.63</v>
      </c>
      <c r="I13" s="12">
        <f>G13*H13</f>
        <v>4085.6847103675959</v>
      </c>
      <c r="J13" s="28">
        <f>I13-F13</f>
        <v>195.71514311971077</v>
      </c>
      <c r="K13" s="14"/>
    </row>
    <row r="14" spans="1:11" s="1" customFormat="1" ht="15.75" x14ac:dyDescent="0.25">
      <c r="A14" s="27"/>
      <c r="B14" s="70" t="str">
        <f>estimate!B13</f>
        <v>VAT calculation</v>
      </c>
      <c r="C14" s="12"/>
      <c r="D14" s="12"/>
      <c r="E14" s="12"/>
      <c r="F14" s="12">
        <f>estimate!J13</f>
        <v>419.13123023041715</v>
      </c>
      <c r="G14" s="12"/>
      <c r="H14" s="12"/>
      <c r="I14" s="12">
        <f>'dipak dai estimate'!J13</f>
        <v>440.21888330645959</v>
      </c>
      <c r="J14" s="28">
        <f>I14-F14</f>
        <v>21.087653076042443</v>
      </c>
      <c r="K14" s="14"/>
    </row>
    <row r="15" spans="1:11" s="1" customFormat="1" ht="15.75" x14ac:dyDescent="0.25">
      <c r="A15" s="27"/>
      <c r="B15" s="32"/>
      <c r="C15" s="12"/>
      <c r="D15" s="12"/>
      <c r="E15" s="12"/>
      <c r="F15" s="12"/>
      <c r="G15" s="12"/>
      <c r="H15" s="12"/>
      <c r="I15" s="12"/>
      <c r="J15" s="28"/>
      <c r="K15" s="14"/>
    </row>
    <row r="16" spans="1:11" s="1" customFormat="1" ht="78.75" x14ac:dyDescent="0.25">
      <c r="A16" s="27">
        <f>estimate!A15</f>
        <v>2</v>
      </c>
      <c r="B16" s="32" t="str">
        <f>estimate!B15</f>
        <v>Providing and laying of hand pack Stone soling with 150 to 200 mm thick stones and packing with smaller stone on prepared surface as per Drawing and Technical Specifications.</v>
      </c>
      <c r="C16" s="12" t="str">
        <f>estimate!H17</f>
        <v>m3</v>
      </c>
      <c r="D16" s="12">
        <f>estimate!G17</f>
        <v>0.53014376029327759</v>
      </c>
      <c r="E16" s="12">
        <f>estimate!I17</f>
        <v>4561.53</v>
      </c>
      <c r="F16" s="12">
        <f>D16*E16</f>
        <v>2418.2666668905945</v>
      </c>
      <c r="G16" s="12">
        <f>'dipak dai estimate'!G17</f>
        <v>1.8555031610264716</v>
      </c>
      <c r="H16" s="12">
        <f>'dipak dai estimate'!I17</f>
        <v>4561.53</v>
      </c>
      <c r="I16" s="12">
        <f>G16*H16</f>
        <v>8463.9333341170804</v>
      </c>
      <c r="J16" s="28">
        <f>I16-F16</f>
        <v>6045.6666672264855</v>
      </c>
      <c r="K16" s="14"/>
    </row>
    <row r="17" spans="1:11" s="1" customFormat="1" ht="15.75" x14ac:dyDescent="0.25">
      <c r="A17" s="27"/>
      <c r="B17" s="70" t="str">
        <f>estimate!B18</f>
        <v>VAT calculation</v>
      </c>
      <c r="C17" s="12"/>
      <c r="D17" s="12"/>
      <c r="E17" s="12"/>
      <c r="F17" s="12">
        <f>estimate!J18</f>
        <v>212.99458622800543</v>
      </c>
      <c r="G17" s="12"/>
      <c r="H17" s="12"/>
      <c r="I17" s="12">
        <f>'dipak dai estimate'!J18</f>
        <v>745.48105179801905</v>
      </c>
      <c r="J17" s="28">
        <f>I17-F17</f>
        <v>532.48646557001359</v>
      </c>
      <c r="K17" s="14"/>
    </row>
    <row r="18" spans="1:11" s="1" customFormat="1" ht="15.75" x14ac:dyDescent="0.25">
      <c r="A18" s="27"/>
      <c r="B18" s="32"/>
      <c r="C18" s="12"/>
      <c r="D18" s="12"/>
      <c r="E18" s="12"/>
      <c r="F18" s="12"/>
      <c r="G18" s="12"/>
      <c r="H18" s="12"/>
      <c r="I18" s="12"/>
      <c r="J18" s="28"/>
      <c r="K18" s="14"/>
    </row>
    <row r="19" spans="1:11" s="1" customFormat="1" ht="63" x14ac:dyDescent="0.25">
      <c r="A19" s="27">
        <f>estimate!A20</f>
        <v>3</v>
      </c>
      <c r="B19" s="32" t="str">
        <f>estimate!B20</f>
        <v>Providing and laying of Plain/Reinforced Cement Concrete in Foundation complete as per Drawing and Technical Specifications, PCC Grade M 15</v>
      </c>
      <c r="C19" s="12" t="str">
        <f>estimate!H22</f>
        <v>m3</v>
      </c>
      <c r="D19" s="12">
        <f>estimate!G22</f>
        <v>0.26507188014663879</v>
      </c>
      <c r="E19" s="12">
        <f>estimate!I22</f>
        <v>10634.5</v>
      </c>
      <c r="F19" s="12">
        <f>D19*E19</f>
        <v>2818.9069094194301</v>
      </c>
      <c r="G19" s="12">
        <f>'dipak dai estimate'!G22</f>
        <v>0.92775158051323581</v>
      </c>
      <c r="H19" s="12">
        <f>'dipak dai estimate'!I22</f>
        <v>10634.5</v>
      </c>
      <c r="I19" s="12">
        <f>G19*H19</f>
        <v>9866.1741829680068</v>
      </c>
      <c r="J19" s="28">
        <f>I19-F19</f>
        <v>7047.2672735485767</v>
      </c>
      <c r="K19" s="14"/>
    </row>
    <row r="20" spans="1:11" s="1" customFormat="1" ht="15.75" x14ac:dyDescent="0.25">
      <c r="A20" s="27"/>
      <c r="B20" s="70" t="str">
        <f>estimate!B23</f>
        <v>VAT calculation</v>
      </c>
      <c r="C20" s="12"/>
      <c r="D20" s="12"/>
      <c r="E20" s="12"/>
      <c r="F20" s="12">
        <f>estimate!J23</f>
        <v>278.06990951859206</v>
      </c>
      <c r="G20" s="12"/>
      <c r="H20" s="12"/>
      <c r="I20" s="12">
        <f>'dipak dai estimate'!J23</f>
        <v>973.24468331507217</v>
      </c>
      <c r="J20" s="28">
        <f>I20-F20</f>
        <v>695.17477379648017</v>
      </c>
      <c r="K20" s="14"/>
    </row>
    <row r="21" spans="1:11" s="1" customFormat="1" ht="15.75" x14ac:dyDescent="0.25">
      <c r="A21" s="27"/>
      <c r="B21" s="32"/>
      <c r="C21" s="12"/>
      <c r="D21" s="12"/>
      <c r="E21" s="12"/>
      <c r="F21" s="12"/>
      <c r="G21" s="12"/>
      <c r="H21" s="12"/>
      <c r="I21" s="12"/>
      <c r="J21" s="28"/>
      <c r="K21" s="14"/>
    </row>
    <row r="22" spans="1:11" s="1" customFormat="1" ht="15.75" x14ac:dyDescent="0.25">
      <c r="A22" s="27">
        <f>estimate!A25</f>
        <v>4</v>
      </c>
      <c r="B22" s="32" t="str">
        <f>estimate!B25</f>
        <v>C.I. Manhole cover including frame</v>
      </c>
      <c r="C22" s="12" t="str">
        <f>estimate!H27</f>
        <v>set</v>
      </c>
      <c r="D22" s="12">
        <f>estimate!G27</f>
        <v>2</v>
      </c>
      <c r="E22" s="12">
        <f>estimate!I27</f>
        <v>7063</v>
      </c>
      <c r="F22" s="12">
        <f>D22*E22</f>
        <v>14126</v>
      </c>
      <c r="G22" s="12">
        <f>'dipak dai estimate'!G27</f>
        <v>7</v>
      </c>
      <c r="H22" s="12">
        <f>'dipak dai estimate'!I27</f>
        <v>7063</v>
      </c>
      <c r="I22" s="12">
        <f>G22*H22</f>
        <v>49441</v>
      </c>
      <c r="J22" s="28">
        <f>I22-F22</f>
        <v>35315</v>
      </c>
      <c r="K22" s="14"/>
    </row>
    <row r="23" spans="1:11" s="1" customFormat="1" ht="15.75" x14ac:dyDescent="0.25">
      <c r="A23" s="27"/>
      <c r="B23" s="70" t="str">
        <f>estimate!B28</f>
        <v>VAT calculation</v>
      </c>
      <c r="C23" s="12"/>
      <c r="D23" s="12"/>
      <c r="E23" s="12"/>
      <c r="F23" s="12">
        <f>estimate!J28</f>
        <v>1836.38</v>
      </c>
      <c r="G23" s="12"/>
      <c r="H23" s="12"/>
      <c r="I23" s="12">
        <f>'dipak dai estimate'!J28</f>
        <v>6427.33</v>
      </c>
      <c r="J23" s="28">
        <f>I23-F23</f>
        <v>4590.95</v>
      </c>
      <c r="K23" s="14"/>
    </row>
    <row r="24" spans="1:11" s="1" customFormat="1" ht="15.75" x14ac:dyDescent="0.25">
      <c r="A24" s="27"/>
      <c r="B24" s="32"/>
      <c r="C24" s="12"/>
      <c r="D24" s="12"/>
      <c r="E24" s="12"/>
      <c r="F24" s="12"/>
      <c r="G24" s="12"/>
      <c r="H24" s="12"/>
      <c r="I24" s="12"/>
      <c r="J24" s="28"/>
      <c r="K24" s="14"/>
    </row>
    <row r="25" spans="1:11" s="1" customFormat="1" ht="30" x14ac:dyDescent="0.2">
      <c r="A25" s="27">
        <f>estimate!A30</f>
        <v>5</v>
      </c>
      <c r="B25" s="36" t="str">
        <f>estimate!B30</f>
        <v>e'O{+tNnfdf lrDgL e§fsf] O{+6fsf] uf/f] l;d]G6 d;nf -!M^_ df</v>
      </c>
      <c r="C25" s="12" t="str">
        <f>estimate!H33</f>
        <v>m3</v>
      </c>
      <c r="D25" s="12">
        <f>estimate!G33</f>
        <v>1.4627309973224794</v>
      </c>
      <c r="E25" s="12">
        <f>estimate!I33</f>
        <v>14362.76</v>
      </c>
      <c r="F25" s="12">
        <f>D25*E25</f>
        <v>21008.854259103413</v>
      </c>
      <c r="G25" s="12">
        <f>'dipak dai estimate'!G33</f>
        <v>7.8406639454427891</v>
      </c>
      <c r="H25" s="12">
        <f>'dipak dai estimate'!I33</f>
        <v>14362.76</v>
      </c>
      <c r="I25" s="12">
        <f>G25*H25</f>
        <v>112613.57448904788</v>
      </c>
      <c r="J25" s="28">
        <f>I25-F25</f>
        <v>91604.720229944476</v>
      </c>
      <c r="K25" s="14"/>
    </row>
    <row r="26" spans="1:11" s="1" customFormat="1" ht="15.75" x14ac:dyDescent="0.25">
      <c r="A26" s="27"/>
      <c r="B26" s="70" t="str">
        <f>estimate!B34</f>
        <v>VAT calculation</v>
      </c>
      <c r="C26" s="12"/>
      <c r="D26" s="12"/>
      <c r="E26" s="12"/>
      <c r="F26" s="12">
        <f>estimate!J34</f>
        <v>1960.8292254629134</v>
      </c>
      <c r="G26" s="12"/>
      <c r="H26" s="12"/>
      <c r="I26" s="12">
        <f>'dipak dai estimate'!J34</f>
        <v>10510.61544426143</v>
      </c>
      <c r="J26" s="28">
        <f>I26-F26</f>
        <v>8549.7862187985156</v>
      </c>
      <c r="K26" s="14"/>
    </row>
    <row r="27" spans="1:11" s="1" customFormat="1" ht="15.75" x14ac:dyDescent="0.25">
      <c r="A27" s="27"/>
      <c r="B27" s="32"/>
      <c r="C27" s="12"/>
      <c r="D27" s="12"/>
      <c r="E27" s="12"/>
      <c r="F27" s="12"/>
      <c r="G27" s="12"/>
      <c r="H27" s="12"/>
      <c r="I27" s="12"/>
      <c r="J27" s="28"/>
      <c r="K27" s="14"/>
    </row>
    <row r="28" spans="1:11" s="1" customFormat="1" ht="94.5" x14ac:dyDescent="0.25">
      <c r="A28" s="27">
        <f>estimate!A36</f>
        <v>6</v>
      </c>
      <c r="B28" s="32" t="str">
        <f>estimate!B36</f>
        <v>Providing and Laying Reinforced cement concrete NP3 Flush jointed pipe for culverts including fixing with cement mortar 1:2 as per Drawing and Technical Specifications., 600 mm  internal dia.</v>
      </c>
      <c r="C28" s="12" t="str">
        <f>estimate!H38</f>
        <v>m</v>
      </c>
      <c r="D28" s="12">
        <f>estimate!G38</f>
        <v>35</v>
      </c>
      <c r="E28" s="12">
        <f>estimate!I38</f>
        <v>6932.79</v>
      </c>
      <c r="F28" s="12">
        <f>D28*E28</f>
        <v>242647.65</v>
      </c>
      <c r="G28" s="12">
        <f>'dipak dai estimate'!G38</f>
        <v>37.5</v>
      </c>
      <c r="H28" s="12">
        <f>'dipak dai estimate'!I38</f>
        <v>6932.79</v>
      </c>
      <c r="I28" s="12">
        <f>G28*H28</f>
        <v>259979.625</v>
      </c>
      <c r="J28" s="28">
        <f>I28-F28</f>
        <v>17331.975000000006</v>
      </c>
      <c r="K28" s="14"/>
    </row>
    <row r="29" spans="1:11" s="1" customFormat="1" ht="15.75" x14ac:dyDescent="0.25">
      <c r="A29" s="27"/>
      <c r="B29" s="70" t="str">
        <f>estimate!B39</f>
        <v>VAT calculation</v>
      </c>
      <c r="C29" s="12"/>
      <c r="D29" s="12"/>
      <c r="E29" s="12"/>
      <c r="F29" s="12">
        <f>estimate!J39</f>
        <v>28670.423599999995</v>
      </c>
      <c r="G29" s="12"/>
      <c r="H29" s="12"/>
      <c r="I29" s="12">
        <f>'dipak dai estimate'!J39</f>
        <v>30718.310999999994</v>
      </c>
      <c r="J29" s="28">
        <f>I29-F29</f>
        <v>2047.8873999999996</v>
      </c>
      <c r="K29" s="14"/>
    </row>
    <row r="30" spans="1:11" s="1" customFormat="1" ht="15.75" x14ac:dyDescent="0.25">
      <c r="A30" s="27"/>
      <c r="B30" s="32"/>
      <c r="C30" s="12"/>
      <c r="D30" s="12"/>
      <c r="E30" s="12"/>
      <c r="F30" s="12"/>
      <c r="G30" s="12"/>
      <c r="H30" s="12"/>
      <c r="I30" s="12"/>
      <c r="J30" s="28"/>
      <c r="K30" s="14"/>
    </row>
    <row r="31" spans="1:11" s="1" customFormat="1" ht="15.75" x14ac:dyDescent="0.25">
      <c r="A31" s="27">
        <f>estimate!A41</f>
        <v>7</v>
      </c>
      <c r="B31" s="32" t="str">
        <f>estimate!B41</f>
        <v>Provisional sum for unforeseen works</v>
      </c>
      <c r="C31" s="12" t="str">
        <f>estimate!H41</f>
        <v>PS</v>
      </c>
      <c r="D31" s="12">
        <f>estimate!G41</f>
        <v>1</v>
      </c>
      <c r="E31" s="12">
        <f>estimate!I41</f>
        <v>5000</v>
      </c>
      <c r="F31" s="12">
        <f>D31*E31</f>
        <v>5000</v>
      </c>
      <c r="G31" s="12">
        <f>'dipak dai estimate'!G41</f>
        <v>1</v>
      </c>
      <c r="H31" s="12">
        <f>'dipak dai estimate'!I41</f>
        <v>5000</v>
      </c>
      <c r="I31" s="12">
        <f>G31*H31</f>
        <v>5000</v>
      </c>
      <c r="J31" s="28">
        <f>I31-F31</f>
        <v>0</v>
      </c>
      <c r="K31" s="14"/>
    </row>
    <row r="32" spans="1:11" s="1" customFormat="1" ht="15.75" x14ac:dyDescent="0.25">
      <c r="A32" s="27"/>
      <c r="B32" s="32"/>
      <c r="C32" s="12"/>
      <c r="D32" s="12"/>
      <c r="E32" s="12"/>
      <c r="F32" s="12"/>
      <c r="G32" s="12"/>
      <c r="H32" s="12"/>
      <c r="I32" s="12"/>
      <c r="J32" s="28"/>
      <c r="K32" s="14"/>
    </row>
    <row r="33" spans="1:11" s="1" customFormat="1" x14ac:dyDescent="0.25">
      <c r="A33" s="27">
        <f>estimate!A43</f>
        <v>8</v>
      </c>
      <c r="B33" s="31" t="str">
        <f>estimate!B43</f>
        <v>Information board (सुचना पाटि)</v>
      </c>
      <c r="C33" s="12" t="str">
        <f>estimate!H43</f>
        <v>no.</v>
      </c>
      <c r="D33" s="12">
        <f>estimate!G43</f>
        <v>1</v>
      </c>
      <c r="E33" s="12">
        <f>estimate!I43</f>
        <v>1000</v>
      </c>
      <c r="F33" s="12">
        <f>D33*E33</f>
        <v>1000</v>
      </c>
      <c r="G33" s="12">
        <f>'dipak dai estimate'!G43</f>
        <v>1</v>
      </c>
      <c r="H33" s="12">
        <f>'dipak dai estimate'!I43</f>
        <v>1000</v>
      </c>
      <c r="I33" s="12">
        <f>G33*H33</f>
        <v>1000</v>
      </c>
      <c r="J33" s="28">
        <f>I33-F33</f>
        <v>0</v>
      </c>
      <c r="K33" s="14"/>
    </row>
    <row r="34" spans="1:11" s="1" customFormat="1" x14ac:dyDescent="0.25">
      <c r="A34" s="29"/>
      <c r="B34" s="29"/>
      <c r="C34" s="12"/>
      <c r="D34" s="12"/>
      <c r="E34" s="12"/>
      <c r="F34" s="12"/>
      <c r="G34" s="12"/>
      <c r="H34" s="12"/>
      <c r="I34" s="12"/>
      <c r="J34" s="28"/>
      <c r="K34" s="14"/>
    </row>
    <row r="35" spans="1:11" x14ac:dyDescent="0.25">
      <c r="A35" s="5"/>
      <c r="B35" s="6" t="s">
        <v>16</v>
      </c>
      <c r="C35" s="6"/>
      <c r="D35" s="7"/>
      <c r="E35" s="7"/>
      <c r="F35" s="7">
        <f>SUM(F13:F33)</f>
        <v>326287.47595410125</v>
      </c>
      <c r="G35" s="7"/>
      <c r="H35" s="7"/>
      <c r="I35" s="7">
        <f>SUM(I13:I33)</f>
        <v>500265.19277918153</v>
      </c>
      <c r="J35" s="13">
        <f>I35-F35</f>
        <v>173977.71682508028</v>
      </c>
      <c r="K35" s="5"/>
    </row>
  </sheetData>
  <mergeCells count="20">
    <mergeCell ref="C6:D6"/>
    <mergeCell ref="J6:K6"/>
    <mergeCell ref="A1:K1"/>
    <mergeCell ref="A2:K2"/>
    <mergeCell ref="A3:K3"/>
    <mergeCell ref="A4:K4"/>
    <mergeCell ref="A5:K5"/>
    <mergeCell ref="J11:J12"/>
    <mergeCell ref="K11:K12"/>
    <mergeCell ref="A8:F8"/>
    <mergeCell ref="F7:G7"/>
    <mergeCell ref="I7:K7"/>
    <mergeCell ref="I8:K8"/>
    <mergeCell ref="A9:F9"/>
    <mergeCell ref="I9:K9"/>
    <mergeCell ref="A11:A12"/>
    <mergeCell ref="B11:B12"/>
    <mergeCell ref="C11:C12"/>
    <mergeCell ref="D11:F11"/>
    <mergeCell ref="G11:I11"/>
  </mergeCells>
  <printOptions horizontalCentered="1"/>
  <pageMargins left="0.70866141732283472" right="0.70866141732283472" top="0.74803149606299213" bottom="0.74803149606299213" header="0.31496062992125984" footer="0.31496062992125984"/>
  <pageSetup scale="85" orientation="landscape" horizontalDpi="300" verticalDpi="300" r:id="rId1"/>
  <headerFooter>
    <oddFooter>&amp;LPrepared By:
Kristal Suwal&amp;CChecked By:
Er. Milan Phuyal&amp;RApproved By:
Er. Prakash Singh Saud</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09"/>
  <sheetViews>
    <sheetView tabSelected="1" topLeftCell="A37" zoomScaleNormal="100" workbookViewId="0">
      <selection activeCell="C49" sqref="C49:D49"/>
    </sheetView>
  </sheetViews>
  <sheetFormatPr defaultRowHeight="15" x14ac:dyDescent="0.25"/>
  <cols>
    <col min="1" max="1" width="4.7109375" customWidth="1"/>
    <col min="2" max="2" width="31.28515625" customWidth="1"/>
    <col min="3" max="3" width="4.5703125" bestFit="1" customWidth="1"/>
    <col min="4" max="4" width="7.5703125" customWidth="1"/>
    <col min="5" max="5" width="8.5703125" customWidth="1"/>
    <col min="6" max="6" width="8" customWidth="1"/>
    <col min="7" max="7" width="9.42578125" customWidth="1"/>
    <col min="8" max="8" width="5" bestFit="1" customWidth="1"/>
    <col min="9" max="9" width="9.85546875" customWidth="1"/>
    <col min="10" max="10" width="10.7109375" bestFit="1" customWidth="1"/>
  </cols>
  <sheetData>
    <row r="1" spans="1:19" s="1" customFormat="1" x14ac:dyDescent="0.25">
      <c r="A1" s="77" t="s">
        <v>0</v>
      </c>
      <c r="B1" s="77"/>
      <c r="C1" s="77"/>
      <c r="D1" s="77"/>
      <c r="E1" s="77"/>
      <c r="F1" s="77"/>
      <c r="G1" s="77"/>
      <c r="H1" s="77"/>
      <c r="I1" s="77"/>
      <c r="J1" s="77"/>
      <c r="K1" s="77"/>
    </row>
    <row r="2" spans="1:19" s="1" customFormat="1" ht="22.5" x14ac:dyDescent="0.25">
      <c r="A2" s="78" t="s">
        <v>1</v>
      </c>
      <c r="B2" s="78"/>
      <c r="C2" s="78"/>
      <c r="D2" s="78"/>
      <c r="E2" s="78"/>
      <c r="F2" s="78"/>
      <c r="G2" s="78"/>
      <c r="H2" s="78"/>
      <c r="I2" s="78"/>
      <c r="J2" s="78"/>
      <c r="K2" s="78"/>
    </row>
    <row r="3" spans="1:19" s="1" customFormat="1" x14ac:dyDescent="0.25">
      <c r="A3" s="79" t="s">
        <v>2</v>
      </c>
      <c r="B3" s="79"/>
      <c r="C3" s="79"/>
      <c r="D3" s="79"/>
      <c r="E3" s="79"/>
      <c r="F3" s="79"/>
      <c r="G3" s="79"/>
      <c r="H3" s="79"/>
      <c r="I3" s="79"/>
      <c r="J3" s="79"/>
      <c r="K3" s="79"/>
    </row>
    <row r="4" spans="1:19" s="1" customFormat="1" x14ac:dyDescent="0.25">
      <c r="A4" s="79" t="s">
        <v>3</v>
      </c>
      <c r="B4" s="79"/>
      <c r="C4" s="79"/>
      <c r="D4" s="79"/>
      <c r="E4" s="79"/>
      <c r="F4" s="79"/>
      <c r="G4" s="79"/>
      <c r="H4" s="79"/>
      <c r="I4" s="79"/>
      <c r="J4" s="79"/>
      <c r="K4" s="79"/>
    </row>
    <row r="5" spans="1:19" ht="18.75" x14ac:dyDescent="0.3">
      <c r="A5" s="80" t="s">
        <v>59</v>
      </c>
      <c r="B5" s="80"/>
      <c r="C5" s="80"/>
      <c r="D5" s="80"/>
      <c r="E5" s="80"/>
      <c r="F5" s="80"/>
      <c r="G5" s="80"/>
      <c r="H5" s="80"/>
      <c r="I5" s="80"/>
      <c r="J5" s="80"/>
      <c r="K5" s="80"/>
    </row>
    <row r="6" spans="1:19" ht="15.75" x14ac:dyDescent="0.25">
      <c r="A6" s="75" t="s">
        <v>58</v>
      </c>
      <c r="B6" s="75"/>
      <c r="C6" s="75"/>
      <c r="D6" s="75"/>
      <c r="E6" s="75"/>
      <c r="F6" s="75"/>
      <c r="G6" s="2"/>
      <c r="H6" s="76" t="s">
        <v>51</v>
      </c>
      <c r="I6" s="76"/>
      <c r="J6" s="76"/>
      <c r="K6" s="76"/>
    </row>
    <row r="7" spans="1:19" ht="15.75" x14ac:dyDescent="0.25">
      <c r="A7" s="72" t="s">
        <v>28</v>
      </c>
      <c r="B7" s="72"/>
      <c r="C7" s="72"/>
      <c r="D7" s="72"/>
      <c r="E7" s="72"/>
      <c r="F7" s="72"/>
      <c r="G7" s="3"/>
      <c r="H7" s="73" t="s">
        <v>61</v>
      </c>
      <c r="I7" s="73"/>
      <c r="J7" s="73"/>
      <c r="K7" s="73"/>
    </row>
    <row r="8" spans="1:19" ht="15" customHeight="1" x14ac:dyDescent="0.25">
      <c r="A8" s="4" t="s">
        <v>5</v>
      </c>
      <c r="B8" s="15" t="s">
        <v>6</v>
      </c>
      <c r="C8" s="4" t="s">
        <v>7</v>
      </c>
      <c r="D8" s="16" t="s">
        <v>8</v>
      </c>
      <c r="E8" s="16" t="s">
        <v>9</v>
      </c>
      <c r="F8" s="16" t="s">
        <v>10</v>
      </c>
      <c r="G8" s="16" t="s">
        <v>11</v>
      </c>
      <c r="H8" s="4" t="s">
        <v>12</v>
      </c>
      <c r="I8" s="16" t="s">
        <v>13</v>
      </c>
      <c r="J8" s="16" t="s">
        <v>14</v>
      </c>
      <c r="K8" s="17" t="s">
        <v>15</v>
      </c>
    </row>
    <row r="9" spans="1:19" ht="150" x14ac:dyDescent="0.25">
      <c r="A9" s="29">
        <v>1</v>
      </c>
      <c r="B9" s="30" t="s">
        <v>50</v>
      </c>
      <c r="C9" s="38"/>
      <c r="D9" s="38"/>
      <c r="E9" s="38"/>
      <c r="F9" s="38"/>
      <c r="G9" s="38"/>
      <c r="H9" s="38"/>
      <c r="I9" s="38"/>
      <c r="J9" s="38"/>
      <c r="K9" s="38"/>
    </row>
    <row r="10" spans="1:19" ht="15" customHeight="1" x14ac:dyDescent="0.25">
      <c r="A10" s="18"/>
      <c r="B10" s="39" t="s">
        <v>44</v>
      </c>
      <c r="C10" s="38">
        <v>1</v>
      </c>
      <c r="D10" s="40">
        <f>C37*D37</f>
        <v>37.5</v>
      </c>
      <c r="E10" s="40">
        <v>0.75</v>
      </c>
      <c r="F10" s="40">
        <v>1.5</v>
      </c>
      <c r="G10" s="41">
        <f>PRODUCT(C10:F10)</f>
        <v>42.1875</v>
      </c>
      <c r="H10" s="42"/>
      <c r="I10" s="42"/>
      <c r="J10" s="42"/>
      <c r="K10" s="21"/>
      <c r="M10" s="25"/>
      <c r="N10" s="1"/>
      <c r="O10" s="1"/>
      <c r="P10" s="1"/>
      <c r="Q10" s="1"/>
      <c r="R10" s="25"/>
      <c r="S10" s="25"/>
    </row>
    <row r="11" spans="1:19" ht="15" customHeight="1" x14ac:dyDescent="0.25">
      <c r="A11" s="18"/>
      <c r="B11" s="39" t="s">
        <v>42</v>
      </c>
      <c r="C11" s="38">
        <f>C16</f>
        <v>7</v>
      </c>
      <c r="D11" s="40">
        <v>1.5</v>
      </c>
      <c r="E11" s="40">
        <v>1.5</v>
      </c>
      <c r="F11" s="40">
        <f>1.5+0.2</f>
        <v>1.7</v>
      </c>
      <c r="G11" s="41">
        <f>C11*(PI())*(D11*E11/4)*F11</f>
        <v>21.029035824966677</v>
      </c>
      <c r="H11" s="42"/>
      <c r="I11" s="42"/>
      <c r="J11" s="42"/>
      <c r="K11" s="21"/>
      <c r="M11" s="25"/>
      <c r="N11" s="1"/>
      <c r="O11" s="1"/>
      <c r="P11" s="1"/>
      <c r="Q11" s="1"/>
      <c r="R11" s="25"/>
      <c r="S11" s="25"/>
    </row>
    <row r="12" spans="1:19" ht="15" customHeight="1" x14ac:dyDescent="0.25">
      <c r="A12" s="18"/>
      <c r="B12" s="39" t="s">
        <v>41</v>
      </c>
      <c r="C12" s="19"/>
      <c r="D12" s="20"/>
      <c r="E12" s="21"/>
      <c r="F12" s="21"/>
      <c r="G12" s="23">
        <f>SUM(G10:G11)</f>
        <v>63.216535824966677</v>
      </c>
      <c r="H12" s="22" t="s">
        <v>40</v>
      </c>
      <c r="I12" s="23">
        <v>64.63</v>
      </c>
      <c r="J12" s="43">
        <f>G12*I12</f>
        <v>4085.6847103675959</v>
      </c>
      <c r="K12" s="21"/>
      <c r="M12" s="25"/>
      <c r="N12" s="1"/>
      <c r="O12" s="1"/>
      <c r="P12" s="1"/>
      <c r="Q12" s="1"/>
      <c r="R12" s="25"/>
      <c r="S12" s="25"/>
    </row>
    <row r="13" spans="1:19" ht="15" customHeight="1" x14ac:dyDescent="0.25">
      <c r="A13" s="18"/>
      <c r="B13" s="39" t="s">
        <v>38</v>
      </c>
      <c r="C13" s="19"/>
      <c r="D13" s="20"/>
      <c r="E13" s="21"/>
      <c r="F13" s="21"/>
      <c r="G13" s="23"/>
      <c r="H13" s="22"/>
      <c r="I13" s="23"/>
      <c r="J13" s="43">
        <f>0.13*G12*19284/360</f>
        <v>440.21888330645959</v>
      </c>
      <c r="K13" s="21"/>
      <c r="M13" s="25"/>
      <c r="N13" s="1"/>
      <c r="O13" s="1"/>
      <c r="P13" s="1"/>
      <c r="Q13" s="1"/>
      <c r="R13" s="25"/>
      <c r="S13" s="25"/>
    </row>
    <row r="14" spans="1:19" ht="15" customHeight="1" x14ac:dyDescent="0.25">
      <c r="A14" s="18"/>
      <c r="B14" s="24"/>
      <c r="C14" s="19"/>
      <c r="D14" s="20"/>
      <c r="E14" s="21"/>
      <c r="F14" s="21"/>
      <c r="G14" s="23"/>
      <c r="H14" s="22"/>
      <c r="I14" s="23"/>
      <c r="J14" s="43"/>
      <c r="K14" s="21"/>
      <c r="M14" s="25"/>
      <c r="N14" s="1"/>
      <c r="O14" s="1"/>
      <c r="P14" s="1"/>
      <c r="Q14" s="1"/>
      <c r="R14" s="25"/>
      <c r="S14" s="25"/>
    </row>
    <row r="15" spans="1:19" ht="90" x14ac:dyDescent="0.25">
      <c r="A15" s="18">
        <v>2</v>
      </c>
      <c r="B15" s="30" t="s">
        <v>48</v>
      </c>
      <c r="C15" s="19"/>
      <c r="D15" s="20"/>
      <c r="E15" s="21"/>
      <c r="F15" s="21"/>
      <c r="G15" s="23"/>
      <c r="H15" s="22"/>
      <c r="I15" s="23"/>
      <c r="J15" s="43"/>
      <c r="K15" s="21"/>
      <c r="M15" s="25"/>
      <c r="N15" s="1"/>
      <c r="O15" s="1"/>
      <c r="P15" s="1"/>
      <c r="Q15" s="1"/>
      <c r="R15" s="25"/>
      <c r="S15" s="25"/>
    </row>
    <row r="16" spans="1:19" ht="15" customHeight="1" x14ac:dyDescent="0.25">
      <c r="A16" s="18"/>
      <c r="B16" s="39" t="str">
        <f>B11</f>
        <v>-Manhole</v>
      </c>
      <c r="C16" s="38">
        <f>C21</f>
        <v>7</v>
      </c>
      <c r="D16" s="38">
        <v>1.5</v>
      </c>
      <c r="E16" s="38">
        <v>1.5</v>
      </c>
      <c r="F16" s="40">
        <v>0.15</v>
      </c>
      <c r="G16" s="41">
        <f>C16*(PI())*(D16*E16/4)*F16</f>
        <v>1.8555031610264716</v>
      </c>
      <c r="H16" s="42"/>
      <c r="I16" s="42"/>
      <c r="J16" s="42"/>
      <c r="K16" s="21"/>
      <c r="M16" s="25"/>
      <c r="N16" s="1"/>
      <c r="O16" s="1"/>
      <c r="P16" s="1"/>
      <c r="Q16" s="1"/>
      <c r="R16" s="25"/>
      <c r="S16" s="25"/>
    </row>
    <row r="17" spans="1:19" ht="15" customHeight="1" x14ac:dyDescent="0.25">
      <c r="A17" s="42"/>
      <c r="B17" s="39" t="s">
        <v>41</v>
      </c>
      <c r="C17" s="44"/>
      <c r="D17" s="45"/>
      <c r="E17" s="45"/>
      <c r="F17" s="45"/>
      <c r="G17" s="33">
        <f>SUM(G16:G16)</f>
        <v>1.8555031610264716</v>
      </c>
      <c r="H17" s="33" t="s">
        <v>40</v>
      </c>
      <c r="I17" s="33">
        <v>4561.53</v>
      </c>
      <c r="J17" s="46">
        <f>G17*I17</f>
        <v>8463.9333341170804</v>
      </c>
      <c r="K17" s="38"/>
    </row>
    <row r="18" spans="1:19" x14ac:dyDescent="0.25">
      <c r="A18" s="42"/>
      <c r="B18" s="39" t="s">
        <v>38</v>
      </c>
      <c r="C18" s="44"/>
      <c r="D18" s="45"/>
      <c r="E18" s="45"/>
      <c r="F18" s="45"/>
      <c r="G18" s="45"/>
      <c r="H18" s="45"/>
      <c r="I18" s="45"/>
      <c r="J18" s="47">
        <f>0.13*G17*(15452.6/5)</f>
        <v>745.48105179801905</v>
      </c>
      <c r="K18" s="38"/>
    </row>
    <row r="19" spans="1:19" x14ac:dyDescent="0.25">
      <c r="A19" s="42"/>
      <c r="B19" s="39"/>
      <c r="C19" s="44"/>
      <c r="D19" s="45"/>
      <c r="E19" s="45"/>
      <c r="F19" s="45"/>
      <c r="G19" s="45"/>
      <c r="H19" s="45"/>
      <c r="I19" s="45"/>
      <c r="J19" s="47"/>
      <c r="K19" s="38"/>
    </row>
    <row r="20" spans="1:19" ht="75" x14ac:dyDescent="0.25">
      <c r="A20" s="18">
        <v>3</v>
      </c>
      <c r="B20" s="30" t="s">
        <v>43</v>
      </c>
      <c r="C20" s="19"/>
      <c r="D20" s="20"/>
      <c r="E20" s="21"/>
      <c r="F20" s="21"/>
      <c r="G20" s="23"/>
      <c r="H20" s="22"/>
      <c r="I20" s="23"/>
      <c r="J20" s="43"/>
      <c r="K20" s="21"/>
      <c r="M20" s="25"/>
      <c r="N20" s="1"/>
      <c r="O20" s="1"/>
      <c r="P20" s="1"/>
      <c r="Q20" s="1"/>
      <c r="R20" s="25"/>
      <c r="S20" s="25"/>
    </row>
    <row r="21" spans="1:19" ht="15" customHeight="1" x14ac:dyDescent="0.25">
      <c r="A21" s="18"/>
      <c r="B21" s="39" t="str">
        <f>B16</f>
        <v>-Manhole</v>
      </c>
      <c r="C21" s="38">
        <f>C26</f>
        <v>7</v>
      </c>
      <c r="D21" s="38">
        <v>1.5</v>
      </c>
      <c r="E21" s="38">
        <v>1.5</v>
      </c>
      <c r="F21" s="40">
        <v>7.4999999999999997E-2</v>
      </c>
      <c r="G21" s="41">
        <f>C21*(PI())*(D21*E21/4)*F21</f>
        <v>0.92775158051323581</v>
      </c>
      <c r="H21" s="42"/>
      <c r="I21" s="42"/>
      <c r="J21" s="42"/>
      <c r="K21" s="21"/>
      <c r="M21" s="25"/>
      <c r="N21" s="1"/>
      <c r="O21" s="1"/>
      <c r="P21" s="1"/>
      <c r="Q21" s="1"/>
      <c r="R21" s="25"/>
      <c r="S21" s="25"/>
    </row>
    <row r="22" spans="1:19" ht="15" customHeight="1" x14ac:dyDescent="0.25">
      <c r="A22" s="42"/>
      <c r="B22" s="39" t="s">
        <v>41</v>
      </c>
      <c r="C22" s="44"/>
      <c r="D22" s="45"/>
      <c r="E22" s="45"/>
      <c r="F22" s="45"/>
      <c r="G22" s="33">
        <f>SUM(G21:G21)</f>
        <v>0.92775158051323581</v>
      </c>
      <c r="H22" s="33" t="s">
        <v>40</v>
      </c>
      <c r="I22" s="33">
        <v>10634.5</v>
      </c>
      <c r="J22" s="46">
        <f>G22*I22</f>
        <v>9866.1741829680068</v>
      </c>
      <c r="K22" s="38"/>
    </row>
    <row r="23" spans="1:19" ht="15" customHeight="1" x14ac:dyDescent="0.25">
      <c r="A23" s="42"/>
      <c r="B23" s="39" t="s">
        <v>38</v>
      </c>
      <c r="C23" s="44"/>
      <c r="D23" s="45"/>
      <c r="E23" s="45"/>
      <c r="F23" s="45"/>
      <c r="G23" s="45"/>
      <c r="H23" s="45"/>
      <c r="I23" s="45"/>
      <c r="J23" s="47">
        <f>0.13*G22*((114907.3+6135.3)/15)</f>
        <v>973.24468331507217</v>
      </c>
      <c r="K23" s="38"/>
    </row>
    <row r="24" spans="1:19" ht="15" customHeight="1" x14ac:dyDescent="0.25">
      <c r="A24" s="42"/>
      <c r="B24" s="39"/>
      <c r="C24" s="44"/>
      <c r="D24" s="45"/>
      <c r="E24" s="45"/>
      <c r="F24" s="45"/>
      <c r="G24" s="45"/>
      <c r="H24" s="45"/>
      <c r="I24" s="45"/>
      <c r="J24" s="47"/>
      <c r="K24" s="38"/>
    </row>
    <row r="25" spans="1:19" ht="15" customHeight="1" x14ac:dyDescent="0.25">
      <c r="A25" s="42">
        <v>4</v>
      </c>
      <c r="B25" s="67" t="s">
        <v>52</v>
      </c>
      <c r="C25" s="44"/>
      <c r="D25" s="45"/>
      <c r="E25" s="45"/>
      <c r="F25" s="45"/>
      <c r="G25" s="33"/>
      <c r="H25" s="33"/>
      <c r="I25" s="33"/>
      <c r="J25" s="46"/>
      <c r="K25" s="38"/>
    </row>
    <row r="26" spans="1:19" ht="30" x14ac:dyDescent="0.25">
      <c r="A26" s="18"/>
      <c r="B26" s="39" t="s">
        <v>54</v>
      </c>
      <c r="C26" s="60">
        <f>C31</f>
        <v>7</v>
      </c>
      <c r="D26" s="60"/>
      <c r="E26" s="60"/>
      <c r="F26" s="60"/>
      <c r="G26" s="41">
        <f>PRODUCT(C26:F26)</f>
        <v>7</v>
      </c>
      <c r="H26" s="42"/>
      <c r="I26" s="42"/>
      <c r="J26" s="42"/>
      <c r="K26" s="21"/>
      <c r="M26" s="25"/>
      <c r="N26" s="1"/>
      <c r="O26" s="1"/>
      <c r="P26" s="1"/>
      <c r="Q26" s="1"/>
      <c r="R26" s="25"/>
      <c r="S26" s="25"/>
    </row>
    <row r="27" spans="1:19" ht="15" customHeight="1" x14ac:dyDescent="0.25">
      <c r="A27" s="42"/>
      <c r="B27" s="39" t="s">
        <v>41</v>
      </c>
      <c r="C27" s="44"/>
      <c r="D27" s="45"/>
      <c r="E27" s="45"/>
      <c r="F27" s="45"/>
      <c r="G27" s="33">
        <f>SUM(G26:G26)</f>
        <v>7</v>
      </c>
      <c r="H27" s="33" t="s">
        <v>53</v>
      </c>
      <c r="I27" s="33">
        <v>7063</v>
      </c>
      <c r="J27" s="46">
        <f>G27*I27</f>
        <v>49441</v>
      </c>
      <c r="K27" s="38"/>
    </row>
    <row r="28" spans="1:19" ht="15" customHeight="1" x14ac:dyDescent="0.25">
      <c r="A28" s="42"/>
      <c r="B28" s="39" t="s">
        <v>38</v>
      </c>
      <c r="C28" s="44"/>
      <c r="D28" s="45"/>
      <c r="E28" s="45"/>
      <c r="F28" s="45"/>
      <c r="G28" s="45"/>
      <c r="H28" s="45"/>
      <c r="I28" s="45"/>
      <c r="J28" s="47">
        <f>0.13*J27</f>
        <v>6427.33</v>
      </c>
      <c r="K28" s="38"/>
    </row>
    <row r="29" spans="1:19" ht="15" customHeight="1" x14ac:dyDescent="0.25">
      <c r="A29" s="42"/>
      <c r="B29" s="39"/>
      <c r="C29" s="44"/>
      <c r="D29" s="45"/>
      <c r="E29" s="45"/>
      <c r="F29" s="45"/>
      <c r="G29" s="45"/>
      <c r="H29" s="45"/>
      <c r="I29" s="45"/>
      <c r="J29" s="47"/>
      <c r="K29" s="38"/>
    </row>
    <row r="30" spans="1:19" ht="30.75" x14ac:dyDescent="0.25">
      <c r="A30" s="18">
        <v>5</v>
      </c>
      <c r="B30" s="36" t="s">
        <v>49</v>
      </c>
      <c r="C30" s="19"/>
      <c r="D30" s="20"/>
      <c r="E30" s="21"/>
      <c r="F30" s="21"/>
      <c r="G30" s="23"/>
      <c r="H30" s="22"/>
      <c r="I30" s="23"/>
      <c r="J30" s="43"/>
      <c r="K30" s="21"/>
      <c r="M30" s="25"/>
      <c r="N30" s="1"/>
      <c r="O30" s="1"/>
      <c r="P30" s="1"/>
      <c r="Q30" s="1"/>
      <c r="R30" s="25"/>
      <c r="S30" s="25"/>
    </row>
    <row r="31" spans="1:19" ht="15" customHeight="1" x14ac:dyDescent="0.25">
      <c r="A31" s="18"/>
      <c r="B31" s="39" t="str">
        <f>B21</f>
        <v>-Manhole</v>
      </c>
      <c r="C31" s="60">
        <v>7</v>
      </c>
      <c r="D31" s="61">
        <f>((1.5-0.23)+(((33)/12/3.281)-0.23))/2</f>
        <v>0.93907954891801282</v>
      </c>
      <c r="E31" s="61">
        <v>0.23</v>
      </c>
      <c r="F31" s="61">
        <f>6/3.281</f>
        <v>1.8287107589149649</v>
      </c>
      <c r="G31" s="41">
        <f>C31*(PI())*(D31)*E31*F31</f>
        <v>8.6860665285238028</v>
      </c>
      <c r="H31" s="42"/>
      <c r="I31" s="42"/>
      <c r="J31" s="42"/>
      <c r="K31" s="21"/>
      <c r="M31" s="25"/>
      <c r="N31" s="1"/>
      <c r="O31" s="1"/>
      <c r="P31" s="1"/>
      <c r="Q31" s="1"/>
      <c r="R31" s="25"/>
      <c r="S31" s="25"/>
    </row>
    <row r="32" spans="1:19" ht="15" customHeight="1" x14ac:dyDescent="0.25">
      <c r="A32" s="18"/>
      <c r="B32" s="39" t="s">
        <v>46</v>
      </c>
      <c r="C32" s="60">
        <v>-13</v>
      </c>
      <c r="D32" s="60">
        <v>0.6</v>
      </c>
      <c r="E32" s="60">
        <v>0.23</v>
      </c>
      <c r="F32" s="60">
        <v>0.6</v>
      </c>
      <c r="G32" s="41">
        <f>C32*(PI())*(D32*F32/4)*E32</f>
        <v>-0.84540258308101335</v>
      </c>
      <c r="H32" s="42"/>
      <c r="I32" s="42"/>
      <c r="J32" s="42"/>
      <c r="K32" s="21"/>
      <c r="M32" s="25"/>
      <c r="N32" s="1">
        <f>(1.5-0.23+0.6-0.23)/2</f>
        <v>0.82000000000000006</v>
      </c>
      <c r="O32" s="1">
        <f>22/12/3.281</f>
        <v>0.55877273189068366</v>
      </c>
      <c r="P32" s="1"/>
      <c r="Q32" s="1"/>
      <c r="R32" s="25"/>
      <c r="S32" s="25"/>
    </row>
    <row r="33" spans="1:19" ht="15" customHeight="1" x14ac:dyDescent="0.25">
      <c r="A33" s="42"/>
      <c r="B33" s="39" t="s">
        <v>41</v>
      </c>
      <c r="C33" s="44"/>
      <c r="D33" s="45"/>
      <c r="E33" s="45"/>
      <c r="F33" s="45"/>
      <c r="G33" s="33">
        <f>SUM(G31:G32)</f>
        <v>7.8406639454427891</v>
      </c>
      <c r="H33" s="33" t="s">
        <v>40</v>
      </c>
      <c r="I33" s="33">
        <v>14362.76</v>
      </c>
      <c r="J33" s="46">
        <f>G33*I33</f>
        <v>112613.57448904788</v>
      </c>
      <c r="K33" s="38"/>
      <c r="N33">
        <f>1.667/3.281</f>
        <v>0.50807680585187442</v>
      </c>
      <c r="O33">
        <f>2.17/3.281</f>
        <v>0.66138372447424565</v>
      </c>
      <c r="P33">
        <f>(N33+O33)/2</f>
        <v>0.58473026516306004</v>
      </c>
    </row>
    <row r="34" spans="1:19" ht="15" customHeight="1" x14ac:dyDescent="0.25">
      <c r="A34" s="42"/>
      <c r="B34" s="39" t="s">
        <v>38</v>
      </c>
      <c r="C34" s="44"/>
      <c r="D34" s="45"/>
      <c r="E34" s="45"/>
      <c r="F34" s="45"/>
      <c r="G34" s="45"/>
      <c r="H34" s="45"/>
      <c r="I34" s="45"/>
      <c r="J34" s="47">
        <f>0.13*G33*10311.74</f>
        <v>10510.61544426143</v>
      </c>
      <c r="K34" s="38"/>
    </row>
    <row r="35" spans="1:19" ht="15" customHeight="1" x14ac:dyDescent="0.25">
      <c r="A35" s="42"/>
      <c r="B35" s="39"/>
      <c r="C35" s="44"/>
      <c r="D35" s="45"/>
      <c r="E35" s="45"/>
      <c r="F35" s="45"/>
      <c r="G35" s="45"/>
      <c r="H35" s="45"/>
      <c r="I35" s="45"/>
      <c r="J35" s="47"/>
      <c r="K35" s="38"/>
    </row>
    <row r="36" spans="1:19" ht="105" x14ac:dyDescent="0.25">
      <c r="A36" s="18">
        <v>6</v>
      </c>
      <c r="B36" s="30" t="s">
        <v>47</v>
      </c>
      <c r="C36" s="38"/>
      <c r="D36" s="40"/>
      <c r="E36" s="40"/>
      <c r="F36" s="40"/>
      <c r="G36" s="43"/>
      <c r="H36" s="42"/>
      <c r="I36" s="42"/>
      <c r="J36" s="42"/>
      <c r="K36" s="21"/>
      <c r="M36" s="25"/>
      <c r="N36" s="1"/>
      <c r="O36" s="1"/>
      <c r="P36" s="1"/>
      <c r="Q36" s="1"/>
      <c r="R36" s="25"/>
      <c r="S36" s="25"/>
    </row>
    <row r="37" spans="1:19" ht="15" customHeight="1" x14ac:dyDescent="0.25">
      <c r="A37" s="18"/>
      <c r="B37" s="39" t="s">
        <v>45</v>
      </c>
      <c r="C37" s="38">
        <v>15</v>
      </c>
      <c r="D37" s="40">
        <v>2.5</v>
      </c>
      <c r="E37" s="40"/>
      <c r="F37" s="40"/>
      <c r="G37" s="41">
        <f>PRODUCT(C37:F37)</f>
        <v>37.5</v>
      </c>
      <c r="H37" s="42"/>
      <c r="I37" s="42"/>
      <c r="J37" s="42"/>
      <c r="K37" s="21"/>
      <c r="M37" s="40">
        <f>112.5/3.281</f>
        <v>34.288326729655594</v>
      </c>
      <c r="N37" s="1">
        <f>44/2.5</f>
        <v>17.600000000000001</v>
      </c>
      <c r="O37" s="1">
        <f>45/2.5</f>
        <v>18</v>
      </c>
      <c r="P37" s="1">
        <f>45+12.5</f>
        <v>57.5</v>
      </c>
      <c r="Q37" s="1"/>
      <c r="R37" s="25"/>
      <c r="S37" s="25"/>
    </row>
    <row r="38" spans="1:19" ht="15" customHeight="1" x14ac:dyDescent="0.25">
      <c r="A38" s="18"/>
      <c r="B38" s="39" t="s">
        <v>41</v>
      </c>
      <c r="C38" s="38"/>
      <c r="D38" s="40"/>
      <c r="E38" s="40"/>
      <c r="F38" s="40"/>
      <c r="G38" s="34">
        <f>SUM(G37:G37)</f>
        <v>37.5</v>
      </c>
      <c r="H38" s="42" t="s">
        <v>39</v>
      </c>
      <c r="I38" s="42">
        <v>6932.79</v>
      </c>
      <c r="J38" s="42">
        <f>G38*I38</f>
        <v>259979.625</v>
      </c>
      <c r="K38" s="21"/>
      <c r="M38" s="25"/>
      <c r="N38" s="1"/>
      <c r="O38" s="1"/>
      <c r="P38" s="1">
        <f>P37/2.5</f>
        <v>23</v>
      </c>
      <c r="Q38" s="1"/>
      <c r="R38" s="25"/>
      <c r="S38" s="25"/>
    </row>
    <row r="39" spans="1:19" ht="15" customHeight="1" x14ac:dyDescent="0.25">
      <c r="A39" s="18"/>
      <c r="B39" s="39" t="s">
        <v>38</v>
      </c>
      <c r="C39" s="38"/>
      <c r="D39" s="40"/>
      <c r="E39" s="40"/>
      <c r="F39" s="40"/>
      <c r="G39" s="43"/>
      <c r="H39" s="42"/>
      <c r="I39" s="42"/>
      <c r="J39" s="42">
        <f>0.13*G38*((78764.9)/12.5)</f>
        <v>30718.310999999994</v>
      </c>
      <c r="K39" s="21"/>
      <c r="M39" s="25"/>
      <c r="N39" s="1"/>
      <c r="O39" s="1"/>
      <c r="P39" s="1"/>
      <c r="Q39" s="1"/>
      <c r="R39" s="25"/>
      <c r="S39" s="25"/>
    </row>
    <row r="40" spans="1:19" ht="15" customHeight="1" x14ac:dyDescent="0.25">
      <c r="A40" s="18"/>
      <c r="B40" s="39"/>
      <c r="C40" s="38"/>
      <c r="D40" s="40"/>
      <c r="E40" s="40"/>
      <c r="F40" s="40"/>
      <c r="G40" s="43"/>
      <c r="H40" s="42"/>
      <c r="I40" s="42"/>
      <c r="J40" s="42"/>
      <c r="K40" s="21"/>
      <c r="M40" s="25"/>
      <c r="N40" s="1"/>
      <c r="O40" s="1"/>
      <c r="P40" s="1"/>
      <c r="Q40" s="1"/>
      <c r="R40" s="25"/>
      <c r="S40" s="25"/>
    </row>
    <row r="41" spans="1:19" s="1" customFormat="1" ht="30" x14ac:dyDescent="0.25">
      <c r="A41" s="18">
        <v>7</v>
      </c>
      <c r="B41" s="68" t="s">
        <v>55</v>
      </c>
      <c r="C41" s="29">
        <v>1</v>
      </c>
      <c r="D41" s="41"/>
      <c r="E41" s="41"/>
      <c r="F41" s="41"/>
      <c r="G41" s="34">
        <f>PRODUCT(C41:F41)</f>
        <v>1</v>
      </c>
      <c r="H41" s="69" t="s">
        <v>56</v>
      </c>
      <c r="I41" s="23">
        <v>5000</v>
      </c>
      <c r="J41" s="34">
        <f>G41*I41</f>
        <v>5000</v>
      </c>
      <c r="K41" s="21"/>
      <c r="M41" s="35"/>
      <c r="R41" s="35"/>
      <c r="S41" s="35"/>
    </row>
    <row r="42" spans="1:19" ht="15" customHeight="1" x14ac:dyDescent="0.25">
      <c r="A42" s="18"/>
      <c r="B42" s="39"/>
      <c r="C42" s="38"/>
      <c r="D42" s="40"/>
      <c r="E42" s="40"/>
      <c r="F42" s="40"/>
      <c r="G42" s="43"/>
      <c r="H42" s="42"/>
      <c r="I42" s="42"/>
      <c r="J42" s="42"/>
      <c r="K42" s="21"/>
      <c r="M42" s="25"/>
      <c r="N42" s="1"/>
      <c r="O42" s="1"/>
      <c r="P42" s="1"/>
      <c r="Q42" s="1"/>
      <c r="R42" s="25"/>
      <c r="S42" s="25"/>
    </row>
    <row r="43" spans="1:19" ht="15" customHeight="1" x14ac:dyDescent="0.25">
      <c r="A43" s="18">
        <v>8</v>
      </c>
      <c r="B43" s="30" t="s">
        <v>30</v>
      </c>
      <c r="C43" s="19">
        <v>1</v>
      </c>
      <c r="D43" s="20"/>
      <c r="E43" s="21"/>
      <c r="F43" s="21"/>
      <c r="G43" s="34">
        <f t="shared" ref="G43" si="0">PRODUCT(C43:F43)</f>
        <v>1</v>
      </c>
      <c r="H43" s="22" t="s">
        <v>31</v>
      </c>
      <c r="I43" s="23">
        <v>1000</v>
      </c>
      <c r="J43" s="34">
        <f>G43*I43</f>
        <v>1000</v>
      </c>
      <c r="K43" s="21"/>
      <c r="M43" s="25"/>
      <c r="N43" s="1"/>
      <c r="O43" s="1"/>
      <c r="P43" s="1"/>
      <c r="Q43" s="1"/>
      <c r="R43" s="25"/>
      <c r="S43" s="25"/>
    </row>
    <row r="44" spans="1:19" ht="15" customHeight="1" x14ac:dyDescent="0.25">
      <c r="A44" s="18"/>
      <c r="B44" s="24"/>
      <c r="C44" s="19"/>
      <c r="D44" s="20"/>
      <c r="E44" s="21"/>
      <c r="F44" s="21"/>
      <c r="G44" s="23"/>
      <c r="H44" s="22"/>
      <c r="I44" s="23"/>
      <c r="J44" s="43"/>
      <c r="K44" s="21"/>
      <c r="M44" s="25"/>
      <c r="N44" s="1"/>
      <c r="O44" s="1"/>
      <c r="P44" s="1"/>
      <c r="Q44" s="1"/>
      <c r="R44" s="25"/>
      <c r="S44" s="25"/>
    </row>
    <row r="45" spans="1:19" x14ac:dyDescent="0.25">
      <c r="A45" s="42"/>
      <c r="B45" s="48" t="s">
        <v>17</v>
      </c>
      <c r="C45" s="49"/>
      <c r="D45" s="40"/>
      <c r="E45" s="40"/>
      <c r="F45" s="40"/>
      <c r="G45" s="43"/>
      <c r="H45" s="43"/>
      <c r="I45" s="43"/>
      <c r="J45" s="43">
        <f>SUM(J10:J43)</f>
        <v>500265.19277918153</v>
      </c>
      <c r="K45" s="38"/>
    </row>
    <row r="46" spans="1:19" x14ac:dyDescent="0.25">
      <c r="A46" s="62"/>
      <c r="B46" s="65"/>
      <c r="C46" s="66"/>
      <c r="D46" s="63"/>
      <c r="E46" s="63"/>
      <c r="F46" s="63"/>
      <c r="G46" s="64"/>
      <c r="H46" s="64"/>
      <c r="I46" s="64"/>
      <c r="J46" s="64"/>
      <c r="K46" s="59"/>
    </row>
    <row r="47" spans="1:19" s="1" customFormat="1" x14ac:dyDescent="0.25">
      <c r="A47" s="52"/>
      <c r="B47" s="29" t="s">
        <v>60</v>
      </c>
      <c r="C47" s="71">
        <f>J45</f>
        <v>500265.19277918153</v>
      </c>
      <c r="D47" s="71"/>
      <c r="E47" s="41">
        <v>100</v>
      </c>
      <c r="F47" s="53"/>
      <c r="G47" s="54"/>
      <c r="H47" s="53"/>
      <c r="I47" s="55"/>
      <c r="J47" s="56"/>
      <c r="K47" s="57"/>
    </row>
    <row r="48" spans="1:19" x14ac:dyDescent="0.25">
      <c r="A48" s="58"/>
      <c r="B48" s="29" t="s">
        <v>32</v>
      </c>
      <c r="C48" s="74">
        <v>440000</v>
      </c>
      <c r="D48" s="74"/>
      <c r="E48" s="41"/>
      <c r="F48" s="51"/>
      <c r="G48" s="50"/>
      <c r="H48" s="50"/>
      <c r="I48" s="50"/>
      <c r="J48" s="50"/>
      <c r="K48" s="51"/>
    </row>
    <row r="49" spans="1:11" x14ac:dyDescent="0.25">
      <c r="A49" s="58"/>
      <c r="B49" s="29" t="s">
        <v>33</v>
      </c>
      <c r="C49" s="74">
        <f>C48-C51-C52</f>
        <v>418000</v>
      </c>
      <c r="D49" s="74"/>
      <c r="E49" s="41">
        <f>C49/C47*100</f>
        <v>83.555683272273228</v>
      </c>
      <c r="F49" s="51"/>
      <c r="G49" s="50"/>
      <c r="H49" s="50"/>
      <c r="I49" s="50" t="s">
        <v>64</v>
      </c>
      <c r="J49" s="50"/>
      <c r="K49" s="51"/>
    </row>
    <row r="50" spans="1:11" x14ac:dyDescent="0.25">
      <c r="A50" s="58"/>
      <c r="B50" s="29" t="s">
        <v>34</v>
      </c>
      <c r="C50" s="71">
        <f>C47-C49</f>
        <v>82265.192779181525</v>
      </c>
      <c r="D50" s="71"/>
      <c r="E50" s="41">
        <f>100-E49</f>
        <v>16.444316727726772</v>
      </c>
      <c r="F50" s="51"/>
      <c r="G50" s="50"/>
      <c r="H50" s="50"/>
      <c r="I50" s="50"/>
      <c r="J50" s="50"/>
      <c r="K50" s="51"/>
    </row>
    <row r="51" spans="1:11" x14ac:dyDescent="0.25">
      <c r="A51" s="58"/>
      <c r="B51" s="29" t="s">
        <v>35</v>
      </c>
      <c r="C51" s="71">
        <f>C48*0.03</f>
        <v>13200</v>
      </c>
      <c r="D51" s="71"/>
      <c r="E51" s="41">
        <v>3</v>
      </c>
      <c r="F51" s="51"/>
      <c r="G51" s="50"/>
      <c r="H51" s="50"/>
      <c r="I51" s="50"/>
      <c r="J51" s="50"/>
      <c r="K51" s="51"/>
    </row>
    <row r="52" spans="1:11" x14ac:dyDescent="0.25">
      <c r="A52" s="58"/>
      <c r="B52" s="29" t="s">
        <v>36</v>
      </c>
      <c r="C52" s="71">
        <f>C48*0.02</f>
        <v>8800</v>
      </c>
      <c r="D52" s="71"/>
      <c r="E52" s="41">
        <v>2</v>
      </c>
      <c r="F52" s="51"/>
      <c r="G52" s="50"/>
      <c r="H52" s="50"/>
      <c r="I52" s="50"/>
      <c r="J52" s="50"/>
      <c r="K52" s="51"/>
    </row>
    <row r="53" spans="1:11" s="37" customFormat="1" x14ac:dyDescent="0.25">
      <c r="A53" s="59"/>
      <c r="B53" s="59"/>
      <c r="C53" s="59"/>
      <c r="D53" s="59"/>
      <c r="E53" s="59"/>
      <c r="F53" s="59"/>
      <c r="G53" s="59"/>
      <c r="H53" s="59"/>
      <c r="I53" s="59"/>
      <c r="J53" s="59"/>
      <c r="K53" s="59"/>
    </row>
    <row r="54" spans="1:11" s="37" customFormat="1" x14ac:dyDescent="0.25"/>
    <row r="55" spans="1:11" s="37" customFormat="1" x14ac:dyDescent="0.25"/>
    <row r="56" spans="1:11" s="37" customFormat="1" x14ac:dyDescent="0.25"/>
    <row r="57" spans="1:11" s="37" customFormat="1" x14ac:dyDescent="0.25"/>
    <row r="58" spans="1:11" s="37" customFormat="1" x14ac:dyDescent="0.25"/>
    <row r="59" spans="1:11" s="37" customFormat="1" x14ac:dyDescent="0.25"/>
    <row r="60" spans="1:11" s="37" customFormat="1" x14ac:dyDescent="0.25"/>
    <row r="61" spans="1:11" s="37" customFormat="1" x14ac:dyDescent="0.25"/>
    <row r="62" spans="1:11" s="37" customFormat="1" x14ac:dyDescent="0.25"/>
    <row r="63" spans="1:11" s="37" customFormat="1" x14ac:dyDescent="0.25"/>
    <row r="64" spans="1:11" s="37" customFormat="1" x14ac:dyDescent="0.25"/>
    <row r="65" s="37" customFormat="1" x14ac:dyDescent="0.25"/>
    <row r="66" s="37" customFormat="1" x14ac:dyDescent="0.25"/>
    <row r="67" s="37" customFormat="1" x14ac:dyDescent="0.25"/>
    <row r="68" s="37" customFormat="1" x14ac:dyDescent="0.25"/>
    <row r="69" s="37" customFormat="1" x14ac:dyDescent="0.25"/>
    <row r="70" s="37" customFormat="1" x14ac:dyDescent="0.25"/>
    <row r="71" s="37" customFormat="1" x14ac:dyDescent="0.25"/>
    <row r="72" s="37" customFormat="1" x14ac:dyDescent="0.25"/>
    <row r="73" s="37" customFormat="1" x14ac:dyDescent="0.25"/>
    <row r="74" s="37" customFormat="1" x14ac:dyDescent="0.25"/>
    <row r="75" s="37" customFormat="1" x14ac:dyDescent="0.25"/>
    <row r="76" s="37" customFormat="1" x14ac:dyDescent="0.25"/>
    <row r="77" s="37" customFormat="1" x14ac:dyDescent="0.25"/>
    <row r="78" s="37" customFormat="1" x14ac:dyDescent="0.25"/>
    <row r="79" s="37" customFormat="1" x14ac:dyDescent="0.25"/>
    <row r="80" s="37" customFormat="1" x14ac:dyDescent="0.25"/>
    <row r="81" s="37" customFormat="1" x14ac:dyDescent="0.25"/>
    <row r="82" s="37" customFormat="1" x14ac:dyDescent="0.25"/>
    <row r="83" s="37" customFormat="1" x14ac:dyDescent="0.25"/>
    <row r="84" s="37" customFormat="1" x14ac:dyDescent="0.25"/>
    <row r="85" s="37" customFormat="1" x14ac:dyDescent="0.25"/>
    <row r="86" s="37" customFormat="1" x14ac:dyDescent="0.25"/>
    <row r="87" s="37" customFormat="1" x14ac:dyDescent="0.25"/>
    <row r="88" s="37" customFormat="1" x14ac:dyDescent="0.25"/>
    <row r="89" s="37" customFormat="1" x14ac:dyDescent="0.25"/>
    <row r="90" s="37" customFormat="1" x14ac:dyDescent="0.25"/>
    <row r="91" s="37" customFormat="1" x14ac:dyDescent="0.25"/>
    <row r="92" s="37" customFormat="1" x14ac:dyDescent="0.25"/>
    <row r="93" s="37" customFormat="1" x14ac:dyDescent="0.25"/>
    <row r="94" s="37" customFormat="1" x14ac:dyDescent="0.25"/>
    <row r="95" s="37" customFormat="1" x14ac:dyDescent="0.25"/>
    <row r="96" s="37" customFormat="1" x14ac:dyDescent="0.25"/>
    <row r="97" s="37" customFormat="1" x14ac:dyDescent="0.25"/>
    <row r="98" s="37" customFormat="1" x14ac:dyDescent="0.25"/>
    <row r="99" s="37" customFormat="1" x14ac:dyDescent="0.25"/>
    <row r="100" s="37" customFormat="1" x14ac:dyDescent="0.25"/>
    <row r="101" s="37" customFormat="1" x14ac:dyDescent="0.25"/>
    <row r="102" s="37" customFormat="1" x14ac:dyDescent="0.25"/>
    <row r="103" s="37" customFormat="1" x14ac:dyDescent="0.25"/>
    <row r="104" s="37" customFormat="1" x14ac:dyDescent="0.25"/>
    <row r="105" s="37" customFormat="1" x14ac:dyDescent="0.25"/>
    <row r="106" s="37" customFormat="1" x14ac:dyDescent="0.25"/>
    <row r="107" s="37" customFormat="1" x14ac:dyDescent="0.25"/>
    <row r="108" s="37" customFormat="1" x14ac:dyDescent="0.25"/>
    <row r="109" s="37" customFormat="1" x14ac:dyDescent="0.25"/>
  </sheetData>
  <mergeCells count="15">
    <mergeCell ref="C51:D51"/>
    <mergeCell ref="C52:D52"/>
    <mergeCell ref="A7:F7"/>
    <mergeCell ref="H7:K7"/>
    <mergeCell ref="C47:D47"/>
    <mergeCell ref="C48:D48"/>
    <mergeCell ref="C49:D49"/>
    <mergeCell ref="C50:D50"/>
    <mergeCell ref="A6:F6"/>
    <mergeCell ref="H6:K6"/>
    <mergeCell ref="A1:K1"/>
    <mergeCell ref="A2:K2"/>
    <mergeCell ref="A3:K3"/>
    <mergeCell ref="A4:K4"/>
    <mergeCell ref="A5:K5"/>
  </mergeCells>
  <pageMargins left="0.70866141732283472" right="0.70866141732283472" top="0.74803149606299213" bottom="0.74803149606299213" header="0.31496062992125984" footer="0.31496062992125984"/>
  <pageSetup paperSize="9" scale="80" orientation="portrait" r:id="rId1"/>
  <headerFooter>
    <oddFooter>&amp;LPrepared By:
Kristal Suwal&amp;CChecked By:
Er. Milan Phuyal&amp;RApproved By:
Er. Prakash Singh Saud</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5</vt:i4>
      </vt:variant>
    </vt:vector>
  </HeadingPairs>
  <TitlesOfParts>
    <vt:vector size="8" baseType="lpstr">
      <vt:lpstr>estimate</vt:lpstr>
      <vt:lpstr>WCR</vt:lpstr>
      <vt:lpstr>dipak dai estimate</vt:lpstr>
      <vt:lpstr>'dipak dai estimate'!Print_Area</vt:lpstr>
      <vt:lpstr>estimate!Print_Area</vt:lpstr>
      <vt:lpstr>'dipak dai estimate'!Print_Titles</vt:lpstr>
      <vt:lpstr>estimate!Print_Titles</vt:lpstr>
      <vt:lpstr>WCR!Print_Titles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Info Hub</dc:creator>
  <cp:lastModifiedBy>Windows User</cp:lastModifiedBy>
  <cp:lastPrinted>2024-11-10T07:06:48Z</cp:lastPrinted>
  <dcterms:created xsi:type="dcterms:W3CDTF">2015-06-05T18:17:20Z</dcterms:created>
  <dcterms:modified xsi:type="dcterms:W3CDTF">2025-05-30T05:58:40Z</dcterms:modified>
</cp:coreProperties>
</file>