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 activeTab="2"/>
  </bookViews>
  <sheets>
    <sheet name="final (2)" sheetId="6" state="hidden" r:id="rId1"/>
    <sheet name="Sheet1" sheetId="7" state="hidden" r:id="rId2"/>
    <sheet name="final (3)" sheetId="8" r:id="rId3"/>
  </sheets>
  <externalReferences>
    <externalReference r:id="rId4"/>
    <externalReference r:id="rId5"/>
    <externalReference r:id="rId6"/>
    <externalReference r:id="rId7"/>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61">[2]Abstract!$B$33</definedName>
    <definedName name="description_262">[1]Abstract!$B$34</definedName>
    <definedName name="description_299">[3]Abstract!$B$54</definedName>
    <definedName name="description_3">[1]Abstract!$B$169</definedName>
    <definedName name="description_5">[1]Abstract!$B$171</definedName>
    <definedName name="description_6">[3]Abstract!$B$172</definedName>
    <definedName name="description_759">[1]Abstract!$B$278</definedName>
    <definedName name="description_783">[4]Abstract!$B$301</definedName>
    <definedName name="_xlnm.Print_Area" localSheetId="0">'final (2)'!$A$1:$K$48</definedName>
    <definedName name="_xlnm.Print_Area" localSheetId="2">'final (3)'!$A$1:$K$29</definedName>
    <definedName name="_xlnm.Print_Titles" localSheetId="0">'final (2)'!$1:$8</definedName>
    <definedName name="_xlnm.Print_Titles" localSheetId="2">'final (3)'!$1:$8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8" l="1"/>
  <c r="G12" i="8"/>
  <c r="G13" i="8"/>
  <c r="G14" i="8"/>
  <c r="G15" i="8"/>
  <c r="G16" i="8"/>
  <c r="G17" i="8"/>
  <c r="G18" i="8"/>
  <c r="G19" i="8"/>
  <c r="G20" i="8"/>
  <c r="G11" i="8"/>
  <c r="G9" i="8"/>
  <c r="F20" i="8"/>
  <c r="F16" i="8"/>
  <c r="C29" i="8"/>
  <c r="C28" i="8"/>
  <c r="C26" i="8" s="1"/>
  <c r="F36" i="6" l="1"/>
  <c r="D36" i="6"/>
  <c r="E36" i="6"/>
  <c r="E23" i="6"/>
  <c r="C36" i="6"/>
  <c r="G36" i="6" s="1"/>
  <c r="G37" i="6" s="1"/>
  <c r="J38" i="6" s="1"/>
  <c r="E32" i="6"/>
  <c r="D32" i="6"/>
  <c r="C32" i="6"/>
  <c r="G29" i="6"/>
  <c r="G30" i="6" s="1"/>
  <c r="J30" i="6" s="1"/>
  <c r="E25" i="6"/>
  <c r="D25" i="6"/>
  <c r="G25" i="6"/>
  <c r="E24" i="6"/>
  <c r="G24" i="6" s="1"/>
  <c r="D24" i="6"/>
  <c r="D23" i="6"/>
  <c r="G23" i="6" s="1"/>
  <c r="D12" i="6"/>
  <c r="G32" i="6"/>
  <c r="G33" i="6" s="1"/>
  <c r="J34" i="6" s="1"/>
  <c r="E22" i="6"/>
  <c r="G22" i="6" s="1"/>
  <c r="D22" i="6"/>
  <c r="D13" i="6"/>
  <c r="E18" i="6"/>
  <c r="D18" i="6"/>
  <c r="J22" i="8" l="1"/>
  <c r="C24" i="8" s="1"/>
  <c r="G26" i="6"/>
  <c r="J27" i="6" s="1"/>
  <c r="J37" i="6"/>
  <c r="J33" i="6"/>
  <c r="C27" i="8" l="1"/>
  <c r="E26" i="8"/>
  <c r="E27" i="8" s="1"/>
  <c r="J26" i="6"/>
  <c r="G13" i="6"/>
  <c r="G12" i="6"/>
  <c r="D10" i="6"/>
  <c r="D14" i="6"/>
  <c r="D11" i="6"/>
  <c r="G18" i="6" l="1"/>
  <c r="G19" i="6" s="1"/>
  <c r="J20" i="6" l="1"/>
  <c r="J19" i="6"/>
  <c r="G14" i="6"/>
  <c r="G11" i="6"/>
  <c r="G10" i="6"/>
  <c r="G15" i="6" l="1"/>
  <c r="J15" i="6" s="1"/>
  <c r="C48" i="6"/>
  <c r="C47" i="6"/>
  <c r="G40" i="6"/>
  <c r="J40" i="6" s="1"/>
  <c r="J16" i="6" l="1"/>
  <c r="J41" i="6" s="1"/>
  <c r="C45" i="6"/>
  <c r="C43" i="6" l="1"/>
  <c r="C46" i="6" l="1"/>
  <c r="E45" i="6"/>
  <c r="E46" i="6" s="1"/>
</calcChain>
</file>

<file path=xl/sharedStrings.xml><?xml version="1.0" encoding="utf-8"?>
<sst xmlns="http://schemas.openxmlformats.org/spreadsheetml/2006/main" count="96" uniqueCount="55">
  <si>
    <t>Government of Nepal</t>
  </si>
  <si>
    <t>Shankharapur Municipality Office</t>
  </si>
  <si>
    <t>Bagmati Province</t>
  </si>
  <si>
    <t>Sankhu, Kathmandu</t>
  </si>
  <si>
    <t>Detail Estimated Sheet</t>
  </si>
  <si>
    <t>Location:- Shankharapur Municipality 9</t>
  </si>
  <si>
    <t>S.N.</t>
  </si>
  <si>
    <t>Description of work</t>
  </si>
  <si>
    <t>No.</t>
  </si>
  <si>
    <t>Length</t>
  </si>
  <si>
    <t>Breadth</t>
  </si>
  <si>
    <t>Height</t>
  </si>
  <si>
    <t>Quantity</t>
  </si>
  <si>
    <t>Unit</t>
  </si>
  <si>
    <t>Rate</t>
  </si>
  <si>
    <t>Amount</t>
  </si>
  <si>
    <t>Sub-total</t>
  </si>
  <si>
    <t>Information board (सुचना पाटि)</t>
  </si>
  <si>
    <t>no.</t>
  </si>
  <si>
    <t>Grand total</t>
  </si>
  <si>
    <t>Total Estimated</t>
  </si>
  <si>
    <t>Budget allocated</t>
  </si>
  <si>
    <t>Municipal payment</t>
  </si>
  <si>
    <t>User Contribution</t>
  </si>
  <si>
    <t xml:space="preserve">Contingencies </t>
  </si>
  <si>
    <t xml:space="preserve">Maintanince </t>
  </si>
  <si>
    <t>Remark</t>
  </si>
  <si>
    <t>F.Y.: 2080/2081</t>
  </si>
  <si>
    <t>ljleGg ;fO{hsf] kmnfd] PËn km]lj|s]zg u/L k|fOd/ k]G6 ;lxt ug]{</t>
  </si>
  <si>
    <t>MS Flats 20mm*5mm</t>
  </si>
  <si>
    <t>Kg</t>
  </si>
  <si>
    <t>VAT 13% for material</t>
  </si>
  <si>
    <t>Project:- वडा भवन खानेपानी मर्मत योजना</t>
  </si>
  <si>
    <t>Date: 2081/02/16</t>
  </si>
  <si>
    <t xml:space="preserve">  35mm*35mm*4mm equal angle</t>
  </si>
  <si>
    <t xml:space="preserve">MS square hollow section of 38mm*38mm with 2mm thickness  </t>
  </si>
  <si>
    <t>!=@ ld=ld= Kn]g kmfO{j/ Unf; kftfn] 5fgf 5fpg] sfd</t>
  </si>
  <si>
    <t>Sqm</t>
  </si>
  <si>
    <t>c:t/ jfx]s b'O{sf]6 tof/L Ogfd]n k]G6 ug]{ sfd .</t>
  </si>
  <si>
    <t>husf] vf8ndf 9'+uf eg]{ / n]en ug]{ sfddf</t>
  </si>
  <si>
    <t>cum</t>
  </si>
  <si>
    <t xml:space="preserve">d]lzgsf] k|of]u u/L ;'k/ :6«Sr/df l;d]G6 s+lqm6 ug]{ sfd -!M!=%M#_ </t>
  </si>
  <si>
    <t>-Pole</t>
  </si>
  <si>
    <t>g/d k|sf/sf] Sn] / l;N6L df6f]df ;j} lsl;dsf] vGg] sfd</t>
  </si>
  <si>
    <t xml:space="preserve">MS black pipe of 60.3mm*60.3mm with 2mm thickness  </t>
  </si>
  <si>
    <t xml:space="preserve">MS black pipe of 114.3mm*114.3mm with 2mm thickness  </t>
  </si>
  <si>
    <t>SN</t>
  </si>
  <si>
    <t>Description of Items</t>
  </si>
  <si>
    <t>Project:- नगर अस्पताल प्लाई बोर्डको काम</t>
  </si>
  <si>
    <t xml:space="preserve">Date: </t>
  </si>
  <si>
    <t>No Formica</t>
  </si>
  <si>
    <t>Racks (8" wide)</t>
  </si>
  <si>
    <t>Door</t>
  </si>
  <si>
    <t>Table (height = 0.74)</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</si>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</sst>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b/>
      <sz val="12"/>
      <name val="Preeti"/>
    </font>
    <font>
      <sz val="11"/>
      <name val="Times New Roman"/>
      <family val="1"/>
    </font>
    <font>
      <b/>
      <sz val="12"/>
      <name val="Times New Roman"/>
      <family val="1"/>
    </font>
    <font>
      <sz val="11"/>
      <color theme="1"/>
      <name val="Times New Roman"/>
      <family val="1"/>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164" fontId="1" fillId="0" borderId="0" applyFont="0" applyFill="0" applyBorder="0" applyAlignment="0" applyProtection="0"/>
  </cellStyleXfs>
  <cellXfs count="54">
    <xf numFmtId="0" fontId="0" fillId="0" borderId="0" xfId="0"/>
    <xf numFmtId="0" fontId="7" fillId="0" borderId="0" xfId="0" applyFont="1" applyAlignment="1">
      <alignment horizontal="center"/>
    </xf>
    <xf numFmtId="164" fontId="7" fillId="0" borderId="0" xfId="1" applyFont="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164" fontId="7" fillId="0" borderId="1" xfId="1" applyFont="1" applyBorder="1" applyAlignment="1">
      <alignment horizontal="center" vertical="center"/>
    </xf>
    <xf numFmtId="2" fontId="8" fillId="0" borderId="1" xfId="0" applyNumberFormat="1" applyFont="1" applyFill="1" applyBorder="1" applyAlignment="1">
      <alignment vertical="center"/>
    </xf>
    <xf numFmtId="2" fontId="2" fillId="0" borderId="1" xfId="1" applyNumberFormat="1" applyFont="1" applyBorder="1" applyAlignment="1">
      <alignment vertical="center"/>
    </xf>
    <xf numFmtId="0" fontId="0" fillId="0" borderId="0" xfId="0" applyAlignment="1">
      <alignment vertical="center"/>
    </xf>
    <xf numFmtId="1" fontId="10" fillId="0" borderId="1" xfId="0" applyNumberFormat="1" applyFont="1" applyFill="1" applyBorder="1" applyAlignment="1">
      <alignment vertical="center" wrapText="1"/>
    </xf>
    <xf numFmtId="0" fontId="0" fillId="0" borderId="1" xfId="0" applyBorder="1" applyAlignment="1">
      <alignment vertical="center"/>
    </xf>
    <xf numFmtId="2" fontId="0" fillId="0" borderId="1" xfId="0" applyNumberFormat="1"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2" fillId="0" borderId="0" xfId="0" applyFont="1"/>
    <xf numFmtId="0" fontId="2" fillId="0" borderId="1" xfId="0" applyFont="1" applyBorder="1" applyAlignment="1">
      <alignment vertical="center"/>
    </xf>
    <xf numFmtId="2" fontId="2" fillId="0" borderId="1" xfId="0" applyNumberFormat="1" applyFont="1" applyBorder="1" applyAlignment="1">
      <alignment vertical="center"/>
    </xf>
    <xf numFmtId="165" fontId="0" fillId="0" borderId="1" xfId="0" applyNumberFormat="1" applyBorder="1" applyAlignment="1">
      <alignment vertical="center"/>
    </xf>
    <xf numFmtId="0" fontId="7" fillId="0" borderId="1" xfId="0" applyFont="1" applyBorder="1" applyAlignment="1">
      <alignment vertical="center"/>
    </xf>
    <xf numFmtId="0" fontId="0" fillId="0" borderId="1" xfId="0" applyBorder="1" applyAlignment="1">
      <alignment horizontal="right" vertical="center"/>
    </xf>
    <xf numFmtId="0" fontId="0" fillId="0" borderId="1" xfId="0" applyBorder="1" applyAlignment="1">
      <alignment vertical="center" wrapText="1"/>
    </xf>
    <xf numFmtId="0" fontId="2" fillId="0" borderId="1" xfId="0" applyFont="1" applyBorder="1" applyAlignment="1">
      <alignment horizontal="right" vertical="center"/>
    </xf>
    <xf numFmtId="0" fontId="0" fillId="0" borderId="1" xfId="0" applyBorder="1"/>
    <xf numFmtId="0" fontId="9" fillId="2" borderId="1" xfId="0" applyFont="1" applyFill="1" applyBorder="1" applyAlignment="1">
      <alignment wrapText="1"/>
    </xf>
    <xf numFmtId="2" fontId="0" fillId="0" borderId="1" xfId="0" applyNumberFormat="1" applyFont="1" applyBorder="1" applyAlignment="1">
      <alignment vertical="center"/>
    </xf>
    <xf numFmtId="0" fontId="0" fillId="0" borderId="1" xfId="0" quotePrefix="1" applyBorder="1" applyAlignment="1">
      <alignment horizontal="right" vertic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6" fillId="0" borderId="0" xfId="0" applyFont="1" applyAlignment="1">
      <alignment horizontal="lef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11" fillId="2" borderId="1" xfId="0" applyFont="1" applyFill="1" applyBorder="1" applyAlignment="1">
      <alignment wrapText="1"/>
    </xf>
    <xf numFmtId="165" fontId="12" fillId="0" borderId="1" xfId="0" applyNumberFormat="1" applyFont="1" applyBorder="1" applyAlignment="1">
      <alignment vertical="center"/>
    </xf>
    <xf numFmtId="2" fontId="12" fillId="0" borderId="1" xfId="0" applyNumberFormat="1" applyFont="1" applyBorder="1" applyAlignment="1">
      <alignment vertical="center"/>
    </xf>
    <xf numFmtId="2" fontId="3" fillId="0" borderId="1" xfId="0" applyNumberFormat="1" applyFont="1" applyBorder="1" applyAlignment="1">
      <alignment vertical="center"/>
    </xf>
    <xf numFmtId="0" fontId="3" fillId="0" borderId="1" xfId="0" applyFont="1" applyBorder="1" applyAlignment="1">
      <alignment vertical="center"/>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applyFont="1" applyBorder="1" applyAlignment="1">
      <alignment horizontal="right" vertical="center"/>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0-081\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Users\USER\Videos\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row r="54">
          <cell r="B54" t="str">
            <v>Scarifying Existing road Surface to a Depth of 50 mm by
Manual Means, Scarifying the existing road surface to a depth of 50 mm and disposal of scarified Material with all lifts and leads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5" zoomScaleNormal="100" workbookViewId="0">
      <selection activeCell="A9" sqref="A9:F18"/>
    </sheetView>
  </sheetViews>
  <sheetFormatPr defaultRowHeight="14.4" x14ac:dyDescent="0.3"/>
  <cols>
    <col min="1" max="1" width="4.44140625" customWidth="1"/>
    <col min="2" max="2" width="31.33203125" customWidth="1"/>
    <col min="3" max="3" width="5.5546875" customWidth="1"/>
    <col min="4" max="4" width="8.6640625" customWidth="1"/>
    <col min="5" max="5" width="7.88671875" customWidth="1"/>
    <col min="6" max="6" width="8.33203125" customWidth="1"/>
    <col min="7" max="7" width="9.33203125" customWidth="1"/>
    <col min="8" max="8" width="5.33203125" bestFit="1" customWidth="1"/>
    <col min="9" max="9" width="9.33203125" customWidth="1"/>
    <col min="10" max="10" width="10.5546875" customWidth="1"/>
    <col min="11" max="11" width="8.5546875" customWidth="1"/>
    <col min="14" max="14" width="9.5546875" bestFit="1" customWidth="1"/>
  </cols>
  <sheetData>
    <row r="1" spans="1:11" x14ac:dyDescent="0.3">
      <c r="A1" s="37" t="s">
        <v>0</v>
      </c>
      <c r="B1" s="37"/>
      <c r="C1" s="37"/>
      <c r="D1" s="37"/>
      <c r="E1" s="37"/>
      <c r="F1" s="37"/>
      <c r="G1" s="37"/>
      <c r="H1" s="37"/>
      <c r="I1" s="37"/>
      <c r="J1" s="37"/>
      <c r="K1" s="37"/>
    </row>
    <row r="2" spans="1:11" ht="22.8" x14ac:dyDescent="0.3">
      <c r="A2" s="38" t="s">
        <v>1</v>
      </c>
      <c r="B2" s="38"/>
      <c r="C2" s="38"/>
      <c r="D2" s="38"/>
      <c r="E2" s="38"/>
      <c r="F2" s="38"/>
      <c r="G2" s="38"/>
      <c r="H2" s="38"/>
      <c r="I2" s="38"/>
      <c r="J2" s="38"/>
      <c r="K2" s="38"/>
    </row>
    <row r="3" spans="1:11" x14ac:dyDescent="0.3">
      <c r="A3" s="39" t="s">
        <v>2</v>
      </c>
      <c r="B3" s="39"/>
      <c r="C3" s="39"/>
      <c r="D3" s="39"/>
      <c r="E3" s="39"/>
      <c r="F3" s="39"/>
      <c r="G3" s="39"/>
      <c r="H3" s="39"/>
      <c r="I3" s="39"/>
      <c r="J3" s="39"/>
      <c r="K3" s="39"/>
    </row>
    <row r="4" spans="1:11" x14ac:dyDescent="0.3">
      <c r="A4" s="39" t="s">
        <v>3</v>
      </c>
      <c r="B4" s="39"/>
      <c r="C4" s="39"/>
      <c r="D4" s="39"/>
      <c r="E4" s="39"/>
      <c r="F4" s="39"/>
      <c r="G4" s="39"/>
      <c r="H4" s="39"/>
      <c r="I4" s="39"/>
      <c r="J4" s="39"/>
      <c r="K4" s="39"/>
    </row>
    <row r="5" spans="1:11" ht="17.399999999999999" x14ac:dyDescent="0.3">
      <c r="A5" s="40" t="s">
        <v>4</v>
      </c>
      <c r="B5" s="40"/>
      <c r="C5" s="40"/>
      <c r="D5" s="40"/>
      <c r="E5" s="40"/>
      <c r="F5" s="40"/>
      <c r="G5" s="40"/>
      <c r="H5" s="40"/>
      <c r="I5" s="40"/>
      <c r="J5" s="40"/>
      <c r="K5" s="40"/>
    </row>
    <row r="6" spans="1:11" ht="15.6" x14ac:dyDescent="0.3">
      <c r="A6" s="36" t="s">
        <v>32</v>
      </c>
      <c r="B6" s="36"/>
      <c r="C6" s="36"/>
      <c r="D6" s="36"/>
      <c r="E6" s="36"/>
      <c r="F6" s="36"/>
      <c r="G6" s="1"/>
      <c r="H6" s="33" t="s">
        <v>27</v>
      </c>
      <c r="I6" s="33"/>
      <c r="J6" s="33"/>
      <c r="K6" s="33"/>
    </row>
    <row r="7" spans="1:11" ht="15.6" x14ac:dyDescent="0.3">
      <c r="A7" s="32" t="s">
        <v>5</v>
      </c>
      <c r="B7" s="32"/>
      <c r="C7" s="32"/>
      <c r="D7" s="32"/>
      <c r="E7" s="32"/>
      <c r="F7" s="32"/>
      <c r="G7" s="2"/>
      <c r="H7" s="33" t="s">
        <v>33</v>
      </c>
      <c r="I7" s="33"/>
      <c r="J7" s="33"/>
      <c r="K7" s="33"/>
    </row>
    <row r="8" spans="1:11" ht="15" customHeight="1" x14ac:dyDescent="0.3">
      <c r="A8" s="21" t="s">
        <v>6</v>
      </c>
      <c r="B8" s="4" t="s">
        <v>7</v>
      </c>
      <c r="C8" s="3" t="s">
        <v>8</v>
      </c>
      <c r="D8" s="5" t="s">
        <v>9</v>
      </c>
      <c r="E8" s="5" t="s">
        <v>10</v>
      </c>
      <c r="F8" s="5" t="s">
        <v>11</v>
      </c>
      <c r="G8" s="5" t="s">
        <v>12</v>
      </c>
      <c r="H8" s="3" t="s">
        <v>13</v>
      </c>
      <c r="I8" s="5" t="s">
        <v>14</v>
      </c>
      <c r="J8" s="5" t="s">
        <v>15</v>
      </c>
      <c r="K8" s="4" t="s">
        <v>26</v>
      </c>
    </row>
    <row r="9" spans="1:11" ht="30.6" x14ac:dyDescent="0.3">
      <c r="A9" s="18">
        <v>1</v>
      </c>
      <c r="B9" s="26" t="s">
        <v>28</v>
      </c>
      <c r="C9" s="20"/>
      <c r="D9" s="11"/>
      <c r="E9" s="11"/>
      <c r="F9" s="11"/>
      <c r="G9" s="19"/>
      <c r="H9" s="18"/>
      <c r="I9" s="19"/>
      <c r="J9" s="19"/>
      <c r="K9" s="10"/>
    </row>
    <row r="10" spans="1:11" x14ac:dyDescent="0.3">
      <c r="A10" s="18"/>
      <c r="B10" s="10" t="s">
        <v>34</v>
      </c>
      <c r="C10" s="20">
        <v>1</v>
      </c>
      <c r="D10" s="11">
        <f>(3*16/12/3.281)+(5*12/12/3.281)+(3*21/12/3.281)+(3*3/12/3.281)+(3*10/3.281)</f>
        <v>13.715330691862237</v>
      </c>
      <c r="E10" s="11">
        <v>2.1</v>
      </c>
      <c r="F10" s="11"/>
      <c r="G10" s="27">
        <f>PRODUCT(C10:F10)</f>
        <v>28.802194452910697</v>
      </c>
      <c r="H10" s="18"/>
      <c r="I10" s="19"/>
      <c r="J10" s="19"/>
      <c r="K10" s="10"/>
    </row>
    <row r="11" spans="1:11" ht="38.25" customHeight="1" x14ac:dyDescent="0.3">
      <c r="A11" s="18"/>
      <c r="B11" s="23" t="s">
        <v>35</v>
      </c>
      <c r="C11" s="20">
        <v>1</v>
      </c>
      <c r="D11" s="11">
        <f>(4*10/3.281)</f>
        <v>12.1914050594331</v>
      </c>
      <c r="E11" s="11">
        <v>2.2599999999999998</v>
      </c>
      <c r="F11" s="11"/>
      <c r="G11" s="27">
        <f t="shared" ref="G11:G14" si="0">PRODUCT(C11:F11)</f>
        <v>27.552575434318804</v>
      </c>
      <c r="H11" s="18"/>
      <c r="I11" s="19"/>
      <c r="J11" s="19"/>
      <c r="K11" s="10"/>
    </row>
    <row r="12" spans="1:11" ht="43.2" x14ac:dyDescent="0.3">
      <c r="A12" s="18"/>
      <c r="B12" s="23" t="s">
        <v>45</v>
      </c>
      <c r="C12" s="20">
        <v>1</v>
      </c>
      <c r="D12" s="11">
        <f>(3*10.5/3.281)+(3*4.5/3.281)</f>
        <v>13.715330691862237</v>
      </c>
      <c r="E12" s="11">
        <v>5.54</v>
      </c>
      <c r="F12" s="11"/>
      <c r="G12" s="27">
        <f t="shared" ref="G12" si="1">PRODUCT(C12:F12)</f>
        <v>75.982932032916793</v>
      </c>
      <c r="H12" s="18"/>
      <c r="I12" s="19"/>
      <c r="J12" s="19"/>
      <c r="K12" s="10"/>
    </row>
    <row r="13" spans="1:11" ht="38.25" customHeight="1" x14ac:dyDescent="0.3">
      <c r="A13" s="18"/>
      <c r="B13" s="23" t="s">
        <v>44</v>
      </c>
      <c r="C13" s="20">
        <v>1</v>
      </c>
      <c r="D13" s="11">
        <f>(3*2.5/3.281)</f>
        <v>2.2858884486437061</v>
      </c>
      <c r="E13" s="11">
        <v>2.88</v>
      </c>
      <c r="F13" s="11"/>
      <c r="G13" s="27">
        <f t="shared" ref="G13" si="2">PRODUCT(C13:F13)</f>
        <v>6.5833587320938731</v>
      </c>
      <c r="H13" s="18"/>
      <c r="I13" s="19"/>
      <c r="J13" s="19"/>
      <c r="K13" s="10"/>
    </row>
    <row r="14" spans="1:11" x14ac:dyDescent="0.3">
      <c r="A14" s="18"/>
      <c r="B14" s="10" t="s">
        <v>29</v>
      </c>
      <c r="C14" s="20">
        <v>1</v>
      </c>
      <c r="D14" s="11">
        <f>(7*9.917/3.281)+(2*15/12/3.281)+(4*12/12/3.281)</f>
        <v>23.138982017677534</v>
      </c>
      <c r="E14" s="11">
        <v>0.8</v>
      </c>
      <c r="F14" s="11"/>
      <c r="G14" s="27">
        <f t="shared" si="0"/>
        <v>18.511185614142029</v>
      </c>
      <c r="H14" s="18"/>
      <c r="I14" s="19"/>
      <c r="J14" s="19"/>
      <c r="K14" s="10"/>
    </row>
    <row r="15" spans="1:11" x14ac:dyDescent="0.3">
      <c r="A15" s="18"/>
      <c r="B15" s="22" t="s">
        <v>16</v>
      </c>
      <c r="C15" s="20"/>
      <c r="D15" s="11"/>
      <c r="E15" s="11"/>
      <c r="F15" s="11"/>
      <c r="G15" s="19">
        <f>SUM(G10:G14)</f>
        <v>157.43224626638218</v>
      </c>
      <c r="H15" s="18" t="s">
        <v>30</v>
      </c>
      <c r="I15" s="19">
        <v>179.44</v>
      </c>
      <c r="J15" s="19">
        <f>G15*I15</f>
        <v>28249.642270039618</v>
      </c>
      <c r="K15" s="10"/>
    </row>
    <row r="16" spans="1:11" x14ac:dyDescent="0.3">
      <c r="A16" s="18"/>
      <c r="B16" s="22" t="s">
        <v>31</v>
      </c>
      <c r="C16" s="20"/>
      <c r="D16" s="11"/>
      <c r="E16" s="11"/>
      <c r="F16" s="11"/>
      <c r="G16" s="19"/>
      <c r="H16" s="18"/>
      <c r="I16" s="19"/>
      <c r="J16" s="19">
        <f>0.13*G15*1871.42/18.94</f>
        <v>2022.2196969386632</v>
      </c>
      <c r="K16" s="10"/>
    </row>
    <row r="17" spans="1:11" x14ac:dyDescent="0.3">
      <c r="A17" s="18"/>
      <c r="B17" s="22"/>
      <c r="C17" s="20"/>
      <c r="D17" s="11"/>
      <c r="E17" s="11"/>
      <c r="F17" s="11"/>
      <c r="G17" s="19"/>
      <c r="H17" s="18"/>
      <c r="I17" s="19"/>
      <c r="J17" s="19"/>
      <c r="K17" s="10"/>
    </row>
    <row r="18" spans="1:11" ht="30.6" x14ac:dyDescent="0.3">
      <c r="A18" s="18">
        <v>2</v>
      </c>
      <c r="B18" s="26" t="s">
        <v>36</v>
      </c>
      <c r="C18" s="20">
        <v>1</v>
      </c>
      <c r="D18" s="11">
        <f>10/3.281</f>
        <v>3.047851264858275</v>
      </c>
      <c r="E18" s="11">
        <f>4.5/3.281</f>
        <v>1.3715330691862238</v>
      </c>
      <c r="F18" s="11"/>
      <c r="G18" s="27">
        <f t="shared" ref="G18" si="3">PRODUCT(C18:F18)</f>
        <v>4.1802287997141843</v>
      </c>
      <c r="H18" s="18"/>
      <c r="I18" s="19"/>
      <c r="J18" s="19"/>
      <c r="K18" s="10"/>
    </row>
    <row r="19" spans="1:11" x14ac:dyDescent="0.3">
      <c r="A19" s="18"/>
      <c r="B19" s="22" t="s">
        <v>16</v>
      </c>
      <c r="C19" s="20"/>
      <c r="D19" s="11"/>
      <c r="E19" s="11"/>
      <c r="F19" s="11"/>
      <c r="G19" s="19">
        <f>SUM(G18)</f>
        <v>4.1802287997141843</v>
      </c>
      <c r="H19" s="18" t="s">
        <v>37</v>
      </c>
      <c r="I19" s="19">
        <v>2141.3200000000002</v>
      </c>
      <c r="J19" s="19">
        <f>G19*I19</f>
        <v>8951.2075334039782</v>
      </c>
      <c r="K19" s="10"/>
    </row>
    <row r="20" spans="1:11" x14ac:dyDescent="0.3">
      <c r="A20" s="18"/>
      <c r="B20" s="22" t="s">
        <v>31</v>
      </c>
      <c r="C20" s="20"/>
      <c r="D20" s="11"/>
      <c r="E20" s="11"/>
      <c r="F20" s="11"/>
      <c r="G20" s="19"/>
      <c r="H20" s="18"/>
      <c r="I20" s="19"/>
      <c r="J20" s="19">
        <f>0.13*G19*18968.16/10</f>
        <v>1030.7862332246257</v>
      </c>
      <c r="K20" s="10"/>
    </row>
    <row r="21" spans="1:11" ht="15.6" x14ac:dyDescent="0.3">
      <c r="A21" s="25"/>
      <c r="B21" s="26"/>
      <c r="C21" s="20"/>
      <c r="D21" s="11"/>
      <c r="E21" s="11"/>
      <c r="F21" s="11"/>
      <c r="G21" s="19"/>
      <c r="H21" s="18"/>
      <c r="I21" s="19"/>
      <c r="J21" s="19"/>
      <c r="K21" s="10"/>
    </row>
    <row r="22" spans="1:11" ht="30.6" x14ac:dyDescent="0.3">
      <c r="A22" s="18">
        <v>3</v>
      </c>
      <c r="B22" s="26" t="s">
        <v>38</v>
      </c>
      <c r="C22" s="20">
        <v>1</v>
      </c>
      <c r="D22" s="11">
        <f>10/3.281</f>
        <v>3.047851264858275</v>
      </c>
      <c r="E22" s="11">
        <f>29/12/3.281</f>
        <v>0.73656405567408301</v>
      </c>
      <c r="F22" s="11"/>
      <c r="G22" s="27">
        <f t="shared" ref="G22" si="4">PRODUCT(C22:F22)</f>
        <v>2.2449376887353947</v>
      </c>
      <c r="H22" s="18"/>
      <c r="I22" s="19"/>
      <c r="J22" s="19"/>
      <c r="K22" s="10"/>
    </row>
    <row r="23" spans="1:11" x14ac:dyDescent="0.3">
      <c r="A23" s="18"/>
      <c r="B23" s="28" t="s">
        <v>42</v>
      </c>
      <c r="C23" s="20">
        <v>3</v>
      </c>
      <c r="D23" s="11">
        <f>9.5/3.281</f>
        <v>2.895458701615361</v>
      </c>
      <c r="E23" s="11">
        <f>0.1143*PI()</f>
        <v>0.35908404030531332</v>
      </c>
      <c r="F23" s="11"/>
      <c r="G23" s="27">
        <f>PRODUCT(C23:F23)</f>
        <v>3.1191390273396613</v>
      </c>
      <c r="H23" s="18"/>
      <c r="I23" s="19"/>
      <c r="J23" s="19"/>
      <c r="K23" s="10"/>
    </row>
    <row r="24" spans="1:11" x14ac:dyDescent="0.3">
      <c r="A24" s="18"/>
      <c r="B24" s="25"/>
      <c r="C24" s="20">
        <v>4</v>
      </c>
      <c r="D24" s="11">
        <f>10/3.281</f>
        <v>3.047851264858275</v>
      </c>
      <c r="E24" s="11">
        <f>3*0.038</f>
        <v>0.11399999999999999</v>
      </c>
      <c r="F24" s="11"/>
      <c r="G24" s="27">
        <f>PRODUCT(C24:F24)</f>
        <v>1.3898201767753733</v>
      </c>
      <c r="H24" s="18"/>
      <c r="I24" s="19"/>
      <c r="J24" s="19"/>
      <c r="K24" s="10"/>
    </row>
    <row r="25" spans="1:11" x14ac:dyDescent="0.3">
      <c r="A25" s="18"/>
      <c r="B25" s="25"/>
      <c r="C25" s="20">
        <v>3</v>
      </c>
      <c r="D25" s="11">
        <f>2.5/3.281</f>
        <v>0.76196281621456874</v>
      </c>
      <c r="E25" s="11">
        <f>3*0.0603</f>
        <v>0.18090000000000001</v>
      </c>
      <c r="F25" s="11"/>
      <c r="G25" s="27">
        <f>PRODUCT(C25:F25)</f>
        <v>0.41351722035964644</v>
      </c>
      <c r="H25" s="18"/>
      <c r="I25" s="19"/>
      <c r="J25" s="19"/>
      <c r="K25" s="10"/>
    </row>
    <row r="26" spans="1:11" x14ac:dyDescent="0.3">
      <c r="A26" s="18"/>
      <c r="B26" s="22" t="s">
        <v>16</v>
      </c>
      <c r="C26" s="20"/>
      <c r="D26" s="11"/>
      <c r="E26" s="11"/>
      <c r="F26" s="11"/>
      <c r="G26" s="19">
        <f>SUM(G22:G25)</f>
        <v>7.1674141132100759</v>
      </c>
      <c r="H26" s="18" t="s">
        <v>37</v>
      </c>
      <c r="I26" s="19">
        <v>239.71</v>
      </c>
      <c r="J26" s="19">
        <f>G26*I26</f>
        <v>1718.1008370775874</v>
      </c>
      <c r="K26" s="10"/>
    </row>
    <row r="27" spans="1:11" x14ac:dyDescent="0.3">
      <c r="A27" s="18"/>
      <c r="B27" s="22" t="s">
        <v>31</v>
      </c>
      <c r="C27" s="20"/>
      <c r="D27" s="11"/>
      <c r="E27" s="11"/>
      <c r="F27" s="11"/>
      <c r="G27" s="19"/>
      <c r="H27" s="18"/>
      <c r="I27" s="19"/>
      <c r="J27" s="19">
        <f>0.13*G26*8672/100</f>
        <v>80.80255974668512</v>
      </c>
      <c r="K27" s="10"/>
    </row>
    <row r="28" spans="1:11" x14ac:dyDescent="0.3">
      <c r="A28" s="18"/>
      <c r="B28" s="22"/>
      <c r="C28" s="20"/>
      <c r="D28" s="11"/>
      <c r="E28" s="11"/>
      <c r="F28" s="11"/>
      <c r="G28" s="19"/>
      <c r="H28" s="18"/>
      <c r="I28" s="19"/>
      <c r="J28" s="19"/>
      <c r="K28" s="10"/>
    </row>
    <row r="29" spans="1:11" ht="30.6" x14ac:dyDescent="0.3">
      <c r="A29" s="18">
        <v>4</v>
      </c>
      <c r="B29" s="26" t="s">
        <v>43</v>
      </c>
      <c r="C29" s="20">
        <v>3</v>
      </c>
      <c r="D29" s="11">
        <v>0.35</v>
      </c>
      <c r="E29" s="11">
        <v>0.35</v>
      </c>
      <c r="F29" s="11">
        <v>0.35</v>
      </c>
      <c r="G29" s="27">
        <f>PRODUCT(C29:F29)</f>
        <v>0.12862499999999996</v>
      </c>
      <c r="H29" s="6"/>
      <c r="I29" s="19"/>
      <c r="J29" s="7"/>
      <c r="K29" s="10"/>
    </row>
    <row r="30" spans="1:11" x14ac:dyDescent="0.3">
      <c r="A30" s="18"/>
      <c r="B30" s="22" t="s">
        <v>16</v>
      </c>
      <c r="C30" s="20"/>
      <c r="D30" s="11"/>
      <c r="E30" s="11"/>
      <c r="F30" s="11"/>
      <c r="G30" s="19">
        <f>SUM(G29)</f>
        <v>0.12862499999999996</v>
      </c>
      <c r="H30" s="18" t="s">
        <v>40</v>
      </c>
      <c r="I30" s="19">
        <v>648.9</v>
      </c>
      <c r="J30" s="19">
        <f>G30*I30</f>
        <v>83.464762499999978</v>
      </c>
      <c r="K30" s="10"/>
    </row>
    <row r="31" spans="1:11" ht="15.6" x14ac:dyDescent="0.3">
      <c r="A31" s="25"/>
      <c r="B31" s="26"/>
      <c r="C31" s="20"/>
      <c r="D31" s="11"/>
      <c r="E31" s="11"/>
      <c r="F31" s="11"/>
      <c r="G31" s="19"/>
      <c r="H31" s="18"/>
      <c r="I31" s="19"/>
      <c r="J31" s="19"/>
      <c r="K31" s="10"/>
    </row>
    <row r="32" spans="1:11" ht="30.6" x14ac:dyDescent="0.3">
      <c r="A32" s="18">
        <v>5</v>
      </c>
      <c r="B32" s="26" t="s">
        <v>39</v>
      </c>
      <c r="C32" s="20">
        <f>C29</f>
        <v>3</v>
      </c>
      <c r="D32" s="11">
        <f>D29</f>
        <v>0.35</v>
      </c>
      <c r="E32" s="11">
        <f>E29</f>
        <v>0.35</v>
      </c>
      <c r="F32" s="11">
        <v>0.15</v>
      </c>
      <c r="G32" s="27">
        <f>PRODUCT(C32:F32)</f>
        <v>5.5124999999999987E-2</v>
      </c>
      <c r="H32" s="6"/>
      <c r="I32" s="19"/>
      <c r="J32" s="7"/>
      <c r="K32" s="10"/>
    </row>
    <row r="33" spans="1:11" x14ac:dyDescent="0.3">
      <c r="A33" s="18"/>
      <c r="B33" s="22" t="s">
        <v>16</v>
      </c>
      <c r="C33" s="20"/>
      <c r="D33" s="11"/>
      <c r="E33" s="11"/>
      <c r="F33" s="11"/>
      <c r="G33" s="19">
        <f>SUM(G32)</f>
        <v>5.5124999999999987E-2</v>
      </c>
      <c r="H33" s="18" t="s">
        <v>40</v>
      </c>
      <c r="I33" s="19">
        <v>4612.63</v>
      </c>
      <c r="J33" s="19">
        <f>G33*I33</f>
        <v>254.27122874999995</v>
      </c>
      <c r="K33" s="10"/>
    </row>
    <row r="34" spans="1:11" x14ac:dyDescent="0.3">
      <c r="A34" s="18"/>
      <c r="B34" s="22" t="s">
        <v>31</v>
      </c>
      <c r="C34" s="20"/>
      <c r="D34" s="11"/>
      <c r="E34" s="11"/>
      <c r="F34" s="11"/>
      <c r="G34" s="19"/>
      <c r="H34" s="18"/>
      <c r="I34" s="19"/>
      <c r="J34" s="19">
        <f>0.13*G33*3262.64</f>
        <v>23.380893899999993</v>
      </c>
      <c r="K34" s="10"/>
    </row>
    <row r="35" spans="1:11" ht="15.6" x14ac:dyDescent="0.3">
      <c r="A35" s="18"/>
      <c r="B35" s="26"/>
      <c r="C35" s="20"/>
      <c r="D35" s="11"/>
      <c r="E35" s="11"/>
      <c r="F35" s="11"/>
      <c r="G35" s="11"/>
      <c r="H35" s="6"/>
      <c r="I35" s="19"/>
      <c r="J35" s="7"/>
      <c r="K35" s="10"/>
    </row>
    <row r="36" spans="1:11" ht="30.6" x14ac:dyDescent="0.3">
      <c r="A36" s="18">
        <v>6</v>
      </c>
      <c r="B36" s="26" t="s">
        <v>41</v>
      </c>
      <c r="C36" s="20">
        <f>C29</f>
        <v>3</v>
      </c>
      <c r="D36" s="11">
        <f>D29</f>
        <v>0.35</v>
      </c>
      <c r="E36" s="11">
        <f>E29</f>
        <v>0.35</v>
      </c>
      <c r="F36" s="11">
        <f>F29</f>
        <v>0.35</v>
      </c>
      <c r="G36" s="27">
        <f>PRODUCT(C36:F36)</f>
        <v>0.12862499999999996</v>
      </c>
      <c r="H36" s="6"/>
      <c r="I36" s="19"/>
      <c r="J36" s="7"/>
      <c r="K36" s="10"/>
    </row>
    <row r="37" spans="1:11" x14ac:dyDescent="0.3">
      <c r="A37" s="18"/>
      <c r="B37" s="22" t="s">
        <v>16</v>
      </c>
      <c r="C37" s="20"/>
      <c r="D37" s="11"/>
      <c r="E37" s="11"/>
      <c r="F37" s="11"/>
      <c r="G37" s="19">
        <f>SUM(G36)</f>
        <v>0.12862499999999996</v>
      </c>
      <c r="H37" s="18" t="s">
        <v>40</v>
      </c>
      <c r="I37" s="19">
        <v>14200.82</v>
      </c>
      <c r="J37" s="19">
        <f>G37*I37</f>
        <v>1826.5804724999994</v>
      </c>
      <c r="K37" s="10"/>
    </row>
    <row r="38" spans="1:11" x14ac:dyDescent="0.3">
      <c r="A38" s="18"/>
      <c r="B38" s="22" t="s">
        <v>31</v>
      </c>
      <c r="C38" s="20"/>
      <c r="D38" s="11"/>
      <c r="E38" s="11"/>
      <c r="F38" s="11"/>
      <c r="G38" s="19"/>
      <c r="H38" s="18"/>
      <c r="I38" s="19"/>
      <c r="J38" s="19">
        <f>0.13*G37*10250.02</f>
        <v>171.39314692499997</v>
      </c>
      <c r="K38" s="10"/>
    </row>
    <row r="39" spans="1:11" ht="15.6" x14ac:dyDescent="0.3">
      <c r="A39" s="18"/>
      <c r="B39" s="26"/>
      <c r="C39" s="20"/>
      <c r="D39" s="11"/>
      <c r="E39" s="11"/>
      <c r="F39" s="11"/>
      <c r="G39" s="11"/>
      <c r="H39" s="6"/>
      <c r="I39" s="19"/>
      <c r="J39" s="7"/>
      <c r="K39" s="10"/>
    </row>
    <row r="40" spans="1:11" x14ac:dyDescent="0.3">
      <c r="A40" s="18">
        <v>7</v>
      </c>
      <c r="B40" s="9" t="s">
        <v>17</v>
      </c>
      <c r="C40" s="20">
        <v>1</v>
      </c>
      <c r="D40" s="11"/>
      <c r="E40" s="11"/>
      <c r="F40" s="11"/>
      <c r="G40" s="19">
        <f>PRODUCT(C40:F40)</f>
        <v>1</v>
      </c>
      <c r="H40" s="18" t="s">
        <v>18</v>
      </c>
      <c r="I40" s="19">
        <v>500</v>
      </c>
      <c r="J40" s="19">
        <f>G40*I40</f>
        <v>500</v>
      </c>
      <c r="K40" s="10"/>
    </row>
    <row r="41" spans="1:11" x14ac:dyDescent="0.3">
      <c r="A41" s="18"/>
      <c r="B41" s="24" t="s">
        <v>19</v>
      </c>
      <c r="C41" s="20"/>
      <c r="D41" s="11"/>
      <c r="E41" s="11"/>
      <c r="F41" s="11"/>
      <c r="G41" s="11"/>
      <c r="H41" s="10"/>
      <c r="I41" s="11"/>
      <c r="J41" s="19">
        <f>SUM(J9:J40)</f>
        <v>44911.849635006161</v>
      </c>
      <c r="K41" s="10"/>
    </row>
    <row r="43" spans="1:11" s="8" customFormat="1" x14ac:dyDescent="0.3">
      <c r="B43" s="10" t="s">
        <v>20</v>
      </c>
      <c r="C43" s="30">
        <f>J41</f>
        <v>44911.849635006161</v>
      </c>
      <c r="D43" s="31"/>
      <c r="E43" s="11">
        <v>100</v>
      </c>
      <c r="F43" s="12"/>
      <c r="G43" s="13"/>
      <c r="H43" s="12"/>
      <c r="I43" s="14"/>
      <c r="J43" s="15"/>
      <c r="K43" s="16"/>
    </row>
    <row r="44" spans="1:11" x14ac:dyDescent="0.3">
      <c r="A44" s="17"/>
      <c r="B44" s="10" t="s">
        <v>21</v>
      </c>
      <c r="C44" s="34">
        <v>50000</v>
      </c>
      <c r="D44" s="35"/>
      <c r="E44" s="11"/>
      <c r="G44" s="17"/>
      <c r="H44" s="17"/>
      <c r="I44" s="17"/>
      <c r="J44" s="17"/>
    </row>
    <row r="45" spans="1:11" x14ac:dyDescent="0.3">
      <c r="A45" s="17"/>
      <c r="B45" s="10" t="s">
        <v>22</v>
      </c>
      <c r="C45" s="34">
        <f>C44-C47-C48</f>
        <v>47500</v>
      </c>
      <c r="D45" s="35"/>
      <c r="E45" s="11">
        <f>C45/C43*100</f>
        <v>105.76273385760653</v>
      </c>
      <c r="G45" s="17"/>
      <c r="H45" s="17"/>
      <c r="I45" s="17"/>
      <c r="J45" s="17"/>
    </row>
    <row r="46" spans="1:11" x14ac:dyDescent="0.3">
      <c r="A46" s="17"/>
      <c r="B46" s="10" t="s">
        <v>23</v>
      </c>
      <c r="C46" s="29">
        <f>C43-C45</f>
        <v>-2588.1503649938386</v>
      </c>
      <c r="D46" s="29"/>
      <c r="E46" s="11">
        <f>100-E45</f>
        <v>-5.7627338576065341</v>
      </c>
      <c r="G46" s="17"/>
      <c r="H46" s="17"/>
      <c r="I46" s="17"/>
      <c r="J46" s="17"/>
    </row>
    <row r="47" spans="1:11" x14ac:dyDescent="0.3">
      <c r="A47" s="17"/>
      <c r="B47" s="10" t="s">
        <v>24</v>
      </c>
      <c r="C47" s="30">
        <f>C44*0.03</f>
        <v>1500</v>
      </c>
      <c r="D47" s="31"/>
      <c r="E47" s="11">
        <v>3</v>
      </c>
      <c r="G47" s="17"/>
      <c r="H47" s="17"/>
      <c r="I47" s="17"/>
      <c r="J47" s="17"/>
    </row>
    <row r="48" spans="1:11" x14ac:dyDescent="0.3">
      <c r="A48" s="17"/>
      <c r="B48" s="10" t="s">
        <v>25</v>
      </c>
      <c r="C48" s="30">
        <f>C44*0.02</f>
        <v>1000</v>
      </c>
      <c r="D48" s="31"/>
      <c r="E48" s="11">
        <v>2</v>
      </c>
      <c r="G48" s="17"/>
      <c r="H48" s="17"/>
      <c r="I48" s="17"/>
      <c r="J48" s="17"/>
    </row>
  </sheetData>
  <mergeCells count="15">
    <mergeCell ref="A6:F6"/>
    <mergeCell ref="H6:K6"/>
    <mergeCell ref="A1:K1"/>
    <mergeCell ref="A2:K2"/>
    <mergeCell ref="A3:K3"/>
    <mergeCell ref="A4:K4"/>
    <mergeCell ref="A5:K5"/>
    <mergeCell ref="C46:D46"/>
    <mergeCell ref="C47:D47"/>
    <mergeCell ref="C48:D48"/>
    <mergeCell ref="A7:F7"/>
    <mergeCell ref="H7:K7"/>
    <mergeCell ref="C43:D43"/>
    <mergeCell ref="C44:D44"/>
    <mergeCell ref="C45:D4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
  <sheetViews>
    <sheetView workbookViewId="0">
      <selection activeCell="H2" sqref="H2"/>
    </sheetView>
  </sheetViews>
  <sheetFormatPr defaultRowHeight="14.4" x14ac:dyDescent="0.3"/>
  <sheetData>
    <row r="2" spans="1:7" x14ac:dyDescent="0.3">
      <c r="A2" t="s">
        <v>46</v>
      </c>
      <c r="B2" t="s">
        <v>47</v>
      </c>
      <c r="C2" t="s">
        <v>8</v>
      </c>
      <c r="D2" t="s">
        <v>9</v>
      </c>
      <c r="E2" t="s">
        <v>10</v>
      </c>
      <c r="F2" t="s">
        <v>11</v>
      </c>
      <c r="G2"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zoomScaleNormal="100" workbookViewId="0">
      <selection activeCell="N19" sqref="N19"/>
    </sheetView>
  </sheetViews>
  <sheetFormatPr defaultRowHeight="14.4" x14ac:dyDescent="0.3"/>
  <cols>
    <col min="1" max="1" width="4.44140625" customWidth="1"/>
    <col min="2" max="2" width="31.33203125" customWidth="1"/>
    <col min="3" max="3" width="5.5546875" customWidth="1"/>
    <col min="4" max="4" width="8.6640625" customWidth="1"/>
    <col min="5" max="5" width="7.88671875" customWidth="1"/>
    <col min="6" max="6" width="8.33203125" customWidth="1"/>
    <col min="7" max="7" width="9.33203125" customWidth="1"/>
    <col min="8" max="8" width="5.33203125" bestFit="1" customWidth="1"/>
    <col min="9" max="9" width="9.33203125" customWidth="1"/>
    <col min="10" max="10" width="10.5546875" customWidth="1"/>
    <col min="11" max="11" width="10.5546875" bestFit="1" customWidth="1"/>
    <col min="14" max="14" width="9.5546875" bestFit="1" customWidth="1"/>
  </cols>
  <sheetData>
    <row r="1" spans="1:11" x14ac:dyDescent="0.3">
      <c r="A1" s="37" t="s">
        <v>0</v>
      </c>
      <c r="B1" s="37"/>
      <c r="C1" s="37"/>
      <c r="D1" s="37"/>
      <c r="E1" s="37"/>
      <c r="F1" s="37"/>
      <c r="G1" s="37"/>
      <c r="H1" s="37"/>
      <c r="I1" s="37"/>
      <c r="J1" s="37"/>
      <c r="K1" s="37"/>
    </row>
    <row r="2" spans="1:11" ht="22.8" x14ac:dyDescent="0.3">
      <c r="A2" s="38" t="s">
        <v>1</v>
      </c>
      <c r="B2" s="38"/>
      <c r="C2" s="38"/>
      <c r="D2" s="38"/>
      <c r="E2" s="38"/>
      <c r="F2" s="38"/>
      <c r="G2" s="38"/>
      <c r="H2" s="38"/>
      <c r="I2" s="38"/>
      <c r="J2" s="38"/>
      <c r="K2" s="38"/>
    </row>
    <row r="3" spans="1:11" x14ac:dyDescent="0.3">
      <c r="A3" s="39" t="s">
        <v>2</v>
      </c>
      <c r="B3" s="39"/>
      <c r="C3" s="39"/>
      <c r="D3" s="39"/>
      <c r="E3" s="39"/>
      <c r="F3" s="39"/>
      <c r="G3" s="39"/>
      <c r="H3" s="39"/>
      <c r="I3" s="39"/>
      <c r="J3" s="39"/>
      <c r="K3" s="39"/>
    </row>
    <row r="4" spans="1:11" x14ac:dyDescent="0.3">
      <c r="A4" s="39" t="s">
        <v>3</v>
      </c>
      <c r="B4" s="39"/>
      <c r="C4" s="39"/>
      <c r="D4" s="39"/>
      <c r="E4" s="39"/>
      <c r="F4" s="39"/>
      <c r="G4" s="39"/>
      <c r="H4" s="39"/>
      <c r="I4" s="39"/>
      <c r="J4" s="39"/>
      <c r="K4" s="39"/>
    </row>
    <row r="5" spans="1:11" ht="17.399999999999999" x14ac:dyDescent="0.3">
      <c r="A5" s="40" t="s">
        <v>54</v>
      </c>
      <c r="B5" s="40"/>
      <c r="C5" s="40"/>
      <c r="D5" s="40"/>
      <c r="E5" s="40"/>
      <c r="F5" s="40"/>
      <c r="G5" s="40"/>
      <c r="H5" s="40"/>
      <c r="I5" s="40"/>
      <c r="J5" s="40"/>
      <c r="K5" s="40"/>
    </row>
    <row r="6" spans="1:11" ht="15.6" x14ac:dyDescent="0.3">
      <c r="A6" s="36" t="s">
        <v>48</v>
      </c>
      <c r="B6" s="36"/>
      <c r="C6" s="36"/>
      <c r="D6" s="36"/>
      <c r="E6" s="36"/>
      <c r="F6" s="36"/>
      <c r="G6" s="1"/>
      <c r="H6" s="33" t="s">
        <v>27</v>
      </c>
      <c r="I6" s="33"/>
      <c r="J6" s="33"/>
      <c r="K6" s="33"/>
    </row>
    <row r="7" spans="1:11" ht="15.6" x14ac:dyDescent="0.3">
      <c r="A7" s="32" t="s">
        <v>5</v>
      </c>
      <c r="B7" s="32"/>
      <c r="C7" s="32"/>
      <c r="D7" s="32"/>
      <c r="E7" s="32"/>
      <c r="F7" s="32"/>
      <c r="G7" s="2"/>
      <c r="H7" s="33" t="s">
        <v>49</v>
      </c>
      <c r="I7" s="33"/>
      <c r="J7" s="33"/>
      <c r="K7" s="33"/>
    </row>
    <row r="8" spans="1:11" ht="15" customHeight="1" x14ac:dyDescent="0.3">
      <c r="A8" s="21" t="s">
        <v>6</v>
      </c>
      <c r="B8" s="4" t="s">
        <v>7</v>
      </c>
      <c r="C8" s="3" t="s">
        <v>8</v>
      </c>
      <c r="D8" s="5" t="s">
        <v>9</v>
      </c>
      <c r="E8" s="5" t="s">
        <v>10</v>
      </c>
      <c r="F8" s="5" t="s">
        <v>11</v>
      </c>
      <c r="G8" s="5" t="s">
        <v>12</v>
      </c>
      <c r="H8" s="3" t="s">
        <v>13</v>
      </c>
      <c r="I8" s="5" t="s">
        <v>14</v>
      </c>
      <c r="J8" s="5" t="s">
        <v>15</v>
      </c>
      <c r="K8" s="4" t="s">
        <v>26</v>
      </c>
    </row>
    <row r="9" spans="1:11" ht="15.6" x14ac:dyDescent="0.3">
      <c r="A9" s="18">
        <v>1</v>
      </c>
      <c r="B9" s="41" t="s">
        <v>53</v>
      </c>
      <c r="C9" s="42">
        <v>1</v>
      </c>
      <c r="D9" s="43">
        <v>0.9</v>
      </c>
      <c r="E9" s="43">
        <v>0.52</v>
      </c>
      <c r="F9" s="43"/>
      <c r="G9" s="44">
        <f>PRODUCT(C9:F9)</f>
        <v>0.46800000000000003</v>
      </c>
      <c r="H9" s="45"/>
      <c r="I9" s="44"/>
      <c r="J9" s="44"/>
      <c r="K9" s="46"/>
    </row>
    <row r="10" spans="1:11" x14ac:dyDescent="0.3">
      <c r="A10" s="18">
        <v>2</v>
      </c>
      <c r="B10" s="46" t="s">
        <v>51</v>
      </c>
      <c r="C10" s="42"/>
      <c r="D10" s="43"/>
      <c r="E10" s="43"/>
      <c r="F10" s="43"/>
      <c r="G10" s="43"/>
      <c r="H10" s="45"/>
      <c r="I10" s="44"/>
      <c r="J10" s="44"/>
      <c r="K10" s="46"/>
    </row>
    <row r="11" spans="1:11" x14ac:dyDescent="0.3">
      <c r="A11" s="18"/>
      <c r="B11" s="49"/>
      <c r="C11" s="42">
        <v>1</v>
      </c>
      <c r="D11" s="43">
        <v>1.63</v>
      </c>
      <c r="E11" s="43"/>
      <c r="F11" s="43">
        <v>1.29</v>
      </c>
      <c r="G11" s="44">
        <f>PRODUCT(C11:F11)</f>
        <v>2.1027</v>
      </c>
      <c r="H11" s="45"/>
      <c r="I11" s="44"/>
      <c r="J11" s="44"/>
      <c r="K11" s="46"/>
    </row>
    <row r="12" spans="1:11" x14ac:dyDescent="0.3">
      <c r="A12" s="18"/>
      <c r="B12" s="50"/>
      <c r="C12" s="42">
        <v>0.5</v>
      </c>
      <c r="D12" s="43">
        <v>1.63</v>
      </c>
      <c r="E12" s="43"/>
      <c r="F12" s="43">
        <v>0.88</v>
      </c>
      <c r="G12" s="44">
        <f t="shared" ref="G12:G20" si="0">PRODUCT(C12:F12)</f>
        <v>0.71719999999999995</v>
      </c>
      <c r="H12" s="45"/>
      <c r="I12" s="44"/>
      <c r="J12" s="44"/>
      <c r="K12" s="46"/>
    </row>
    <row r="13" spans="1:11" x14ac:dyDescent="0.3">
      <c r="A13" s="18"/>
      <c r="B13" s="47"/>
      <c r="C13" s="42">
        <v>1</v>
      </c>
      <c r="D13" s="43">
        <v>2.33</v>
      </c>
      <c r="E13" s="43"/>
      <c r="F13" s="43">
        <v>0.9</v>
      </c>
      <c r="G13" s="44">
        <f t="shared" si="0"/>
        <v>2.097</v>
      </c>
      <c r="H13" s="45"/>
      <c r="I13" s="44"/>
      <c r="J13" s="44"/>
      <c r="K13" s="46"/>
    </row>
    <row r="14" spans="1:11" x14ac:dyDescent="0.3">
      <c r="A14" s="18"/>
      <c r="B14" s="46"/>
      <c r="C14" s="42">
        <v>1</v>
      </c>
      <c r="D14" s="43">
        <v>0.94</v>
      </c>
      <c r="E14" s="43"/>
      <c r="F14" s="43">
        <v>1.28</v>
      </c>
      <c r="G14" s="44">
        <f t="shared" si="0"/>
        <v>1.2032</v>
      </c>
      <c r="H14" s="45"/>
      <c r="I14" s="44"/>
      <c r="J14" s="44"/>
      <c r="K14" s="51" t="s">
        <v>50</v>
      </c>
    </row>
    <row r="15" spans="1:11" x14ac:dyDescent="0.3">
      <c r="A15" s="18"/>
      <c r="B15" s="51"/>
      <c r="C15" s="42">
        <v>1</v>
      </c>
      <c r="D15" s="43">
        <v>1.93</v>
      </c>
      <c r="E15" s="43"/>
      <c r="F15" s="43">
        <v>1.28</v>
      </c>
      <c r="G15" s="44">
        <f t="shared" si="0"/>
        <v>2.4704000000000002</v>
      </c>
      <c r="H15" s="45"/>
      <c r="I15" s="44"/>
      <c r="J15" s="44"/>
      <c r="K15" s="53"/>
    </row>
    <row r="16" spans="1:11" x14ac:dyDescent="0.3">
      <c r="A16" s="18"/>
      <c r="B16" s="52"/>
      <c r="C16" s="42">
        <v>0.5</v>
      </c>
      <c r="D16" s="43">
        <v>1.93</v>
      </c>
      <c r="E16" s="43"/>
      <c r="F16" s="43">
        <f>2.33-1.28</f>
        <v>1.05</v>
      </c>
      <c r="G16" s="44">
        <f t="shared" si="0"/>
        <v>1.01325</v>
      </c>
      <c r="H16" s="45"/>
      <c r="I16" s="44"/>
      <c r="J16" s="44"/>
      <c r="K16" s="52"/>
    </row>
    <row r="17" spans="1:11" x14ac:dyDescent="0.3">
      <c r="A17" s="18"/>
      <c r="B17" s="46"/>
      <c r="C17" s="42">
        <v>1</v>
      </c>
      <c r="D17" s="43">
        <v>1.22</v>
      </c>
      <c r="E17" s="43"/>
      <c r="F17" s="43">
        <v>2.76</v>
      </c>
      <c r="G17" s="44">
        <f t="shared" si="0"/>
        <v>3.3671999999999995</v>
      </c>
      <c r="H17" s="45"/>
      <c r="I17" s="44"/>
      <c r="J17" s="44"/>
      <c r="K17" s="46"/>
    </row>
    <row r="18" spans="1:11" x14ac:dyDescent="0.3">
      <c r="A18" s="18">
        <v>3</v>
      </c>
      <c r="B18" s="46" t="s">
        <v>52</v>
      </c>
      <c r="C18" s="42">
        <v>1</v>
      </c>
      <c r="D18" s="43">
        <v>0.66</v>
      </c>
      <c r="E18" s="43"/>
      <c r="F18" s="43">
        <v>1.91</v>
      </c>
      <c r="G18" s="44">
        <f t="shared" si="0"/>
        <v>1.2605999999999999</v>
      </c>
      <c r="H18" s="45"/>
      <c r="I18" s="44"/>
      <c r="J18" s="44"/>
      <c r="K18" s="46"/>
    </row>
    <row r="19" spans="1:11" x14ac:dyDescent="0.3">
      <c r="A19" s="18"/>
      <c r="B19" s="51"/>
      <c r="C19" s="42">
        <v>1</v>
      </c>
      <c r="D19" s="43">
        <v>0.86</v>
      </c>
      <c r="E19" s="43"/>
      <c r="F19" s="43">
        <v>0.35</v>
      </c>
      <c r="G19" s="44">
        <f t="shared" si="0"/>
        <v>0.30099999999999999</v>
      </c>
      <c r="H19" s="45"/>
      <c r="I19" s="44"/>
      <c r="J19" s="44"/>
      <c r="K19" s="46"/>
    </row>
    <row r="20" spans="1:11" x14ac:dyDescent="0.3">
      <c r="A20" s="18"/>
      <c r="B20" s="52"/>
      <c r="C20" s="42">
        <v>0.5</v>
      </c>
      <c r="D20" s="43">
        <v>0.86</v>
      </c>
      <c r="E20" s="43"/>
      <c r="F20" s="43">
        <f>0.63-0.35</f>
        <v>0.28000000000000003</v>
      </c>
      <c r="G20" s="44">
        <f t="shared" si="0"/>
        <v>0.12040000000000001</v>
      </c>
      <c r="H20" s="45"/>
      <c r="I20" s="44"/>
      <c r="J20" s="44"/>
      <c r="K20" s="46"/>
    </row>
    <row r="21" spans="1:11" x14ac:dyDescent="0.3">
      <c r="A21" s="18"/>
      <c r="B21" s="48"/>
      <c r="C21" s="42"/>
      <c r="D21" s="43"/>
      <c r="E21" s="43"/>
      <c r="F21" s="43"/>
      <c r="G21" s="44">
        <f>SUM(G9:G20)</f>
        <v>15.120949999999999</v>
      </c>
      <c r="H21" s="45"/>
      <c r="I21" s="44"/>
      <c r="J21" s="44"/>
      <c r="K21" s="46"/>
    </row>
    <row r="22" spans="1:11" x14ac:dyDescent="0.3">
      <c r="A22" s="18"/>
      <c r="B22" s="24" t="s">
        <v>19</v>
      </c>
      <c r="C22" s="20"/>
      <c r="D22" s="11"/>
      <c r="E22" s="11"/>
      <c r="F22" s="11"/>
      <c r="G22" s="11"/>
      <c r="H22" s="10"/>
      <c r="I22" s="11"/>
      <c r="J22" s="19">
        <f>SUM(J9:J21)</f>
        <v>0</v>
      </c>
      <c r="K22" s="10"/>
    </row>
    <row r="24" spans="1:11" s="8" customFormat="1" hidden="1" x14ac:dyDescent="0.3">
      <c r="B24" s="10" t="s">
        <v>20</v>
      </c>
      <c r="C24" s="30">
        <f>J22</f>
        <v>0</v>
      </c>
      <c r="D24" s="31"/>
      <c r="E24" s="11">
        <v>100</v>
      </c>
      <c r="F24" s="12"/>
      <c r="G24" s="13"/>
      <c r="H24" s="12"/>
      <c r="I24" s="14"/>
      <c r="J24" s="15"/>
      <c r="K24" s="16"/>
    </row>
    <row r="25" spans="1:11" hidden="1" x14ac:dyDescent="0.3">
      <c r="A25" s="17"/>
      <c r="B25" s="10" t="s">
        <v>21</v>
      </c>
      <c r="C25" s="34">
        <v>50000</v>
      </c>
      <c r="D25" s="35"/>
      <c r="E25" s="11"/>
      <c r="G25" s="17"/>
      <c r="H25" s="17"/>
      <c r="I25" s="17"/>
      <c r="J25" s="17"/>
    </row>
    <row r="26" spans="1:11" hidden="1" x14ac:dyDescent="0.3">
      <c r="A26" s="17"/>
      <c r="B26" s="10" t="s">
        <v>22</v>
      </c>
      <c r="C26" s="34">
        <f>C25-C28-C29</f>
        <v>47500</v>
      </c>
      <c r="D26" s="35"/>
      <c r="E26" s="11" t="e">
        <f>C26/C24*100</f>
        <v>#DIV/0!</v>
      </c>
      <c r="G26" s="17"/>
      <c r="H26" s="17"/>
      <c r="I26" s="17"/>
      <c r="J26" s="17"/>
    </row>
    <row r="27" spans="1:11" hidden="1" x14ac:dyDescent="0.3">
      <c r="A27" s="17"/>
      <c r="B27" s="10" t="s">
        <v>23</v>
      </c>
      <c r="C27" s="29">
        <f>C24-C26</f>
        <v>-47500</v>
      </c>
      <c r="D27" s="29"/>
      <c r="E27" s="11" t="e">
        <f>100-E26</f>
        <v>#DIV/0!</v>
      </c>
      <c r="G27" s="17"/>
      <c r="H27" s="17"/>
      <c r="I27" s="17"/>
      <c r="J27" s="17"/>
    </row>
    <row r="28" spans="1:11" hidden="1" x14ac:dyDescent="0.3">
      <c r="A28" s="17"/>
      <c r="B28" s="10" t="s">
        <v>24</v>
      </c>
      <c r="C28" s="30">
        <f>C25*0.03</f>
        <v>1500</v>
      </c>
      <c r="D28" s="31"/>
      <c r="E28" s="11">
        <v>3</v>
      </c>
      <c r="G28" s="17"/>
      <c r="H28" s="17"/>
      <c r="I28" s="17"/>
      <c r="J28" s="17"/>
    </row>
    <row r="29" spans="1:11" hidden="1" x14ac:dyDescent="0.3">
      <c r="A29" s="17"/>
      <c r="B29" s="10" t="s">
        <v>25</v>
      </c>
      <c r="C29" s="30">
        <f>C25*0.02</f>
        <v>1000</v>
      </c>
      <c r="D29" s="31"/>
      <c r="E29" s="11">
        <v>2</v>
      </c>
      <c r="G29" s="17"/>
      <c r="H29" s="17"/>
      <c r="I29" s="17"/>
      <c r="J29" s="17"/>
    </row>
  </sheetData>
  <mergeCells count="19">
    <mergeCell ref="C28:D28"/>
    <mergeCell ref="C29:D29"/>
    <mergeCell ref="B11:B12"/>
    <mergeCell ref="B19:B20"/>
    <mergeCell ref="B15:B16"/>
    <mergeCell ref="K14:K16"/>
    <mergeCell ref="A7:F7"/>
    <mergeCell ref="H7:K7"/>
    <mergeCell ref="C24:D24"/>
    <mergeCell ref="C25:D25"/>
    <mergeCell ref="C26:D26"/>
    <mergeCell ref="C27:D27"/>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final (2)</vt:lpstr>
      <vt:lpstr>Sheet1</vt:lpstr>
      <vt:lpstr>final (3)</vt:lpstr>
      <vt:lpstr>'final (2)'!Print_Area</vt:lpstr>
      <vt:lpstr>'final (3)'!Print_Area</vt:lpstr>
      <vt:lpstr>'final (2)'!Print_Titles</vt:lpstr>
      <vt:lpstr>'final (3)'!Print_Titles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2024-10-01T03:03:56Z</dcterms:modified>
</cp:coreProperties>
</file>