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khulaltaar baatika truss\"/>
    </mc:Choice>
  </mc:AlternateContent>
  <bookViews>
    <workbookView xWindow="-120" yWindow="-120" windowWidth="20736" windowHeight="11160" activeTab="2"/>
  </bookViews>
  <sheets>
    <sheet name="as per mistry" sheetId="19" r:id="rId1"/>
    <sheet name="WCR" sheetId="21" r:id="rId2"/>
    <sheet name="V" sheetId="20" r:id="rId3"/>
    <sheet name="as per mistry (2)" sheetId="22" state="hidden"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03">[3]Abstract!$B$16</definedName>
    <definedName name="description_124" localSheetId="1">#REF!</definedName>
    <definedName name="description_124">[4]Abstract!$B$18</definedName>
    <definedName name="description_2">[2]Abstract!$B$168</definedName>
    <definedName name="description_247">[3]Abstract!$B$22</definedName>
    <definedName name="description_248">[3]Abstract!$B$23</definedName>
    <definedName name="description_261">[5]Abstract!$B$33</definedName>
    <definedName name="description_262" localSheetId="1">[3]Abstract!$B$34</definedName>
    <definedName name="description_262">[6]Abstract!$B$34</definedName>
    <definedName name="description_3">[3]Abstract!$B$169</definedName>
    <definedName name="description_310">[7]Abstract!$B$60</definedName>
    <definedName name="description_312">[8]Abstract!$B$61</definedName>
    <definedName name="description_5">[3]Abstract!$B$171</definedName>
    <definedName name="description_6" localSheetId="1">[7]Abstract!$B$172</definedName>
    <definedName name="description_6">[2]Abstract!$B$172</definedName>
    <definedName name="description_759">[3]Abstract!$B$278</definedName>
    <definedName name="description_783">[3]Abstract!$B$301</definedName>
    <definedName name="description_784">[2]Abstract!$B$300</definedName>
    <definedName name="excavator">[1]Equipment_Rate!$J$19</definedName>
    <definedName name="generator">[1]Equipment_Rate!$J$20</definedName>
    <definedName name="_xlnm.Print_Area" localSheetId="0">'as per mistry'!$A$5:$K$95</definedName>
    <definedName name="_xlnm.Print_Area" localSheetId="3">'as per mistry (2)'!$A$5:$K$95</definedName>
    <definedName name="_xlnm.Print_Area" localSheetId="2">V!$A$5:$K$101</definedName>
    <definedName name="_xlnm.Print_Titles" localSheetId="0">'as per mistry'!$1:$8</definedName>
    <definedName name="_xlnm.Print_Titles" localSheetId="3">'as per mistry (2)'!$1:$8</definedName>
    <definedName name="_xlnm.Print_Titles" localSheetId="2">V!$1:$8</definedName>
    <definedName name="_xlnm.Print_Titles" localSheetId="1">WCR!$1:$12</definedName>
    <definedName name="skilled">[1]District_Rate!$D$148</definedName>
    <definedName name="skilled_blacksmith">[1]District_Rate!$D$149</definedName>
    <definedName name="unskilled">[1]District_Rate!$D$156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7" i="19" l="1"/>
  <c r="J26" i="20"/>
  <c r="G89" i="20" l="1"/>
  <c r="G82" i="20"/>
  <c r="G74" i="20"/>
  <c r="G68" i="20"/>
  <c r="G62" i="20"/>
  <c r="G56" i="20"/>
  <c r="G47" i="20"/>
  <c r="G40" i="20"/>
  <c r="G35" i="20"/>
  <c r="G30" i="20"/>
  <c r="G25" i="20"/>
  <c r="G20" i="20"/>
  <c r="C95" i="22"/>
  <c r="C94" i="22"/>
  <c r="C92" i="22" s="1"/>
  <c r="G86" i="22"/>
  <c r="J86" i="22" s="1"/>
  <c r="E82" i="22"/>
  <c r="G82" i="22" s="1"/>
  <c r="G83" i="22" s="1"/>
  <c r="E76" i="22"/>
  <c r="E71" i="22" s="1"/>
  <c r="D76" i="22"/>
  <c r="D77" i="22" s="1"/>
  <c r="G77" i="22" s="1"/>
  <c r="E66" i="22"/>
  <c r="D66" i="22"/>
  <c r="D61" i="22"/>
  <c r="C61" i="22"/>
  <c r="G61" i="22" s="1"/>
  <c r="G60" i="22"/>
  <c r="G62" i="22" s="1"/>
  <c r="D60" i="22"/>
  <c r="C60" i="22"/>
  <c r="G55" i="22"/>
  <c r="D55" i="22"/>
  <c r="G54" i="22"/>
  <c r="D54" i="22"/>
  <c r="D53" i="22"/>
  <c r="G53" i="22" s="1"/>
  <c r="D52" i="22"/>
  <c r="C52" i="22"/>
  <c r="G52" i="22" s="1"/>
  <c r="G56" i="22" s="1"/>
  <c r="G40" i="22"/>
  <c r="G41" i="22" s="1"/>
  <c r="E40" i="22"/>
  <c r="E45" i="22" s="1"/>
  <c r="D40" i="22"/>
  <c r="D45" i="22" s="1"/>
  <c r="C40" i="22"/>
  <c r="C45" i="22" s="1"/>
  <c r="E35" i="22"/>
  <c r="E47" i="22" s="1"/>
  <c r="D35" i="22"/>
  <c r="D47" i="22" s="1"/>
  <c r="G34" i="22"/>
  <c r="E34" i="22"/>
  <c r="D34" i="22"/>
  <c r="C34" i="22"/>
  <c r="G30" i="22"/>
  <c r="G31" i="22" s="1"/>
  <c r="J31" i="22" s="1"/>
  <c r="F30" i="22"/>
  <c r="E25" i="22"/>
  <c r="D25" i="22"/>
  <c r="G25" i="22" s="1"/>
  <c r="G26" i="22" s="1"/>
  <c r="F19" i="22"/>
  <c r="G19" i="22" s="1"/>
  <c r="D19" i="22"/>
  <c r="C19" i="22"/>
  <c r="D18" i="22"/>
  <c r="C18" i="22"/>
  <c r="F18" i="22" s="1"/>
  <c r="G18" i="22" s="1"/>
  <c r="F17" i="22"/>
  <c r="G17" i="22" s="1"/>
  <c r="D17" i="22"/>
  <c r="C17" i="22"/>
  <c r="D16" i="22"/>
  <c r="C16" i="22"/>
  <c r="F16" i="22" s="1"/>
  <c r="G16" i="22" s="1"/>
  <c r="F15" i="22"/>
  <c r="G15" i="22" s="1"/>
  <c r="D15" i="22"/>
  <c r="C15" i="22"/>
  <c r="F14" i="22"/>
  <c r="G14" i="22" s="1"/>
  <c r="D14" i="22"/>
  <c r="C14" i="22"/>
  <c r="F13" i="22"/>
  <c r="G13" i="22" s="1"/>
  <c r="D13" i="22"/>
  <c r="D12" i="22"/>
  <c r="F12" i="22" s="1"/>
  <c r="G12" i="22" s="1"/>
  <c r="C12" i="22"/>
  <c r="D11" i="22"/>
  <c r="F11" i="22" s="1"/>
  <c r="G11" i="22" s="1"/>
  <c r="F10" i="22"/>
  <c r="G10" i="22" s="1"/>
  <c r="D10" i="22"/>
  <c r="G66" i="22" l="1"/>
  <c r="G67" i="22" s="1"/>
  <c r="J67" i="22" s="1"/>
  <c r="J42" i="22"/>
  <c r="J41" i="22"/>
  <c r="G45" i="22"/>
  <c r="C46" i="22"/>
  <c r="G46" i="22" s="1"/>
  <c r="J57" i="22"/>
  <c r="J56" i="22"/>
  <c r="J84" i="22"/>
  <c r="J83" i="22"/>
  <c r="G36" i="22"/>
  <c r="J63" i="22"/>
  <c r="J62" i="22"/>
  <c r="J27" i="22"/>
  <c r="J26" i="22"/>
  <c r="G47" i="22"/>
  <c r="G35" i="22"/>
  <c r="D20" i="22"/>
  <c r="F20" i="22" s="1"/>
  <c r="G20" i="22" s="1"/>
  <c r="G21" i="22" s="1"/>
  <c r="D71" i="22"/>
  <c r="G71" i="22" s="1"/>
  <c r="G72" i="22" s="1"/>
  <c r="G76" i="22"/>
  <c r="G78" i="22" s="1"/>
  <c r="C73" i="20"/>
  <c r="G88" i="20"/>
  <c r="D34" i="20"/>
  <c r="D46" i="20" s="1"/>
  <c r="J68" i="22" l="1"/>
  <c r="J21" i="22"/>
  <c r="J22" i="22"/>
  <c r="G48" i="22"/>
  <c r="J78" i="22"/>
  <c r="J79" i="22"/>
  <c r="J37" i="22"/>
  <c r="J36" i="22"/>
  <c r="J72" i="22"/>
  <c r="J73" i="22"/>
  <c r="D11" i="20"/>
  <c r="J88" i="22" l="1"/>
  <c r="C90" i="22" s="1"/>
  <c r="J49" i="22"/>
  <c r="J48" i="22"/>
  <c r="F11" i="20"/>
  <c r="G11" i="20" s="1"/>
  <c r="D10" i="20"/>
  <c r="E34" i="20"/>
  <c r="O34" i="20"/>
  <c r="M24" i="21"/>
  <c r="M25" i="21"/>
  <c r="M27" i="21"/>
  <c r="M28" i="21"/>
  <c r="M30" i="21"/>
  <c r="M31" i="21"/>
  <c r="M33" i="21"/>
  <c r="M34" i="21"/>
  <c r="M48" i="21"/>
  <c r="M21" i="21"/>
  <c r="M22" i="21"/>
  <c r="M16" i="21"/>
  <c r="M19" i="21"/>
  <c r="G54" i="20"/>
  <c r="G55" i="20"/>
  <c r="D67" i="20"/>
  <c r="E67" i="20"/>
  <c r="F87" i="20"/>
  <c r="D80" i="20"/>
  <c r="E87" i="20"/>
  <c r="E78" i="20"/>
  <c r="E86" i="20"/>
  <c r="N86" i="20"/>
  <c r="O86" i="20" s="1"/>
  <c r="P86" i="20" s="1"/>
  <c r="F86" i="20"/>
  <c r="M86" i="20"/>
  <c r="D60" i="20"/>
  <c r="D61" i="20"/>
  <c r="D53" i="20"/>
  <c r="D24" i="20"/>
  <c r="E24" i="20"/>
  <c r="C93" i="22" l="1"/>
  <c r="E92" i="22"/>
  <c r="E93" i="22" s="1"/>
  <c r="D81" i="20"/>
  <c r="G81" i="20" s="1"/>
  <c r="D73" i="20"/>
  <c r="G73" i="20" s="1"/>
  <c r="G80" i="20"/>
  <c r="G87" i="20"/>
  <c r="F67" i="20"/>
  <c r="G67" i="20"/>
  <c r="H48" i="21"/>
  <c r="E48" i="21"/>
  <c r="D48" i="21"/>
  <c r="C48" i="21"/>
  <c r="B48" i="21"/>
  <c r="A48" i="21"/>
  <c r="H45" i="21"/>
  <c r="E45" i="21"/>
  <c r="C45" i="21"/>
  <c r="B46" i="21"/>
  <c r="B45" i="21"/>
  <c r="A45" i="21"/>
  <c r="H42" i="21"/>
  <c r="E42" i="21"/>
  <c r="C42" i="21"/>
  <c r="B43" i="21"/>
  <c r="B42" i="21"/>
  <c r="A42" i="21"/>
  <c r="H39" i="21"/>
  <c r="E39" i="21"/>
  <c r="C39" i="21"/>
  <c r="B40" i="21"/>
  <c r="B39" i="21"/>
  <c r="A39" i="21"/>
  <c r="H36" i="21"/>
  <c r="E36" i="21"/>
  <c r="C36" i="21"/>
  <c r="B36" i="21"/>
  <c r="A36" i="21"/>
  <c r="H33" i="21"/>
  <c r="F34" i="21"/>
  <c r="E33" i="21"/>
  <c r="F33" i="21" s="1"/>
  <c r="D33" i="21"/>
  <c r="C33" i="21"/>
  <c r="B34" i="21"/>
  <c r="B33" i="21"/>
  <c r="A33" i="21"/>
  <c r="H30" i="21"/>
  <c r="F31" i="21"/>
  <c r="E30" i="21"/>
  <c r="D30" i="21"/>
  <c r="C30" i="21"/>
  <c r="B31" i="21"/>
  <c r="B30" i="21"/>
  <c r="A30" i="21"/>
  <c r="H27" i="21"/>
  <c r="F28" i="21"/>
  <c r="E27" i="21"/>
  <c r="D27" i="21"/>
  <c r="C27" i="21"/>
  <c r="B28" i="21"/>
  <c r="B27" i="21"/>
  <c r="A27" i="21"/>
  <c r="H24" i="21"/>
  <c r="F25" i="21"/>
  <c r="E24" i="21"/>
  <c r="D24" i="21"/>
  <c r="C24" i="21"/>
  <c r="B25" i="21"/>
  <c r="B24" i="21"/>
  <c r="A24" i="21"/>
  <c r="H21" i="21"/>
  <c r="F22" i="21"/>
  <c r="E21" i="21"/>
  <c r="D21" i="21"/>
  <c r="C21" i="21"/>
  <c r="B22" i="21"/>
  <c r="B21" i="21"/>
  <c r="A21" i="21"/>
  <c r="H19" i="21"/>
  <c r="E19" i="21"/>
  <c r="F19" i="21" s="1"/>
  <c r="D19" i="21"/>
  <c r="C19" i="21"/>
  <c r="B19" i="21"/>
  <c r="A19" i="21"/>
  <c r="H16" i="21"/>
  <c r="F17" i="21"/>
  <c r="M17" i="21" s="1"/>
  <c r="E16" i="21"/>
  <c r="D16" i="21"/>
  <c r="B17" i="21"/>
  <c r="C16" i="21"/>
  <c r="B16" i="21"/>
  <c r="A16" i="21"/>
  <c r="H13" i="21"/>
  <c r="E13" i="21"/>
  <c r="C13" i="21"/>
  <c r="B14" i="21"/>
  <c r="B13" i="21"/>
  <c r="A13" i="21"/>
  <c r="B37" i="21"/>
  <c r="A9" i="21"/>
  <c r="A8" i="21"/>
  <c r="F48" i="21" l="1"/>
  <c r="F30" i="21"/>
  <c r="F24" i="21"/>
  <c r="F21" i="21"/>
  <c r="F27" i="21"/>
  <c r="F16" i="21"/>
  <c r="C101" i="20" l="1"/>
  <c r="C100" i="20"/>
  <c r="G92" i="20"/>
  <c r="G86" i="20"/>
  <c r="D78" i="20"/>
  <c r="D79" i="20" s="1"/>
  <c r="G79" i="20" s="1"/>
  <c r="E66" i="20"/>
  <c r="D66" i="20"/>
  <c r="G53" i="20"/>
  <c r="D52" i="20"/>
  <c r="G52" i="20" s="1"/>
  <c r="D51" i="20"/>
  <c r="C51" i="20"/>
  <c r="E46" i="20"/>
  <c r="G34" i="20"/>
  <c r="E33" i="20"/>
  <c r="E39" i="20" s="1"/>
  <c r="E44" i="20" s="1"/>
  <c r="D33" i="20"/>
  <c r="D39" i="20" s="1"/>
  <c r="D44" i="20" s="1"/>
  <c r="C33" i="20"/>
  <c r="G33" i="20" s="1"/>
  <c r="F29" i="20"/>
  <c r="G29" i="20" s="1"/>
  <c r="F19" i="20"/>
  <c r="G19" i="20" s="1"/>
  <c r="C18" i="20"/>
  <c r="F18" i="20" s="1"/>
  <c r="G18" i="20" s="1"/>
  <c r="C17" i="20"/>
  <c r="F17" i="20" s="1"/>
  <c r="G17" i="20" s="1"/>
  <c r="C16" i="20"/>
  <c r="F16" i="20" s="1"/>
  <c r="G16" i="20" s="1"/>
  <c r="C15" i="20"/>
  <c r="F14" i="20"/>
  <c r="G14" i="20" s="1"/>
  <c r="C13" i="20"/>
  <c r="F13" i="20" s="1"/>
  <c r="G13" i="20" s="1"/>
  <c r="D12" i="20"/>
  <c r="F12" i="20" s="1"/>
  <c r="G12" i="20" s="1"/>
  <c r="F10" i="20"/>
  <c r="G10" i="20" s="1"/>
  <c r="N34" i="20" l="1"/>
  <c r="G45" i="21"/>
  <c r="I45" i="21" s="1"/>
  <c r="D72" i="20"/>
  <c r="G51" i="20"/>
  <c r="C98" i="20"/>
  <c r="G60" i="20"/>
  <c r="G61" i="20"/>
  <c r="G46" i="20"/>
  <c r="G78" i="20"/>
  <c r="G24" i="20"/>
  <c r="G16" i="21" s="1"/>
  <c r="I16" i="21" s="1"/>
  <c r="J16" i="21" s="1"/>
  <c r="J30" i="20"/>
  <c r="G19" i="21"/>
  <c r="I19" i="21" s="1"/>
  <c r="J19" i="21" s="1"/>
  <c r="F15" i="20"/>
  <c r="G15" i="20" s="1"/>
  <c r="G66" i="20"/>
  <c r="J92" i="20"/>
  <c r="G48" i="21"/>
  <c r="I48" i="21" s="1"/>
  <c r="J48" i="21" s="1"/>
  <c r="J90" i="20"/>
  <c r="I46" i="21" s="1"/>
  <c r="C39" i="20"/>
  <c r="E72" i="20"/>
  <c r="G72" i="20" s="1"/>
  <c r="G56" i="19"/>
  <c r="G48" i="19"/>
  <c r="G41" i="19"/>
  <c r="G36" i="19"/>
  <c r="G31" i="19"/>
  <c r="G26" i="19"/>
  <c r="G13" i="21" l="1"/>
  <c r="I13" i="21" s="1"/>
  <c r="J89" i="20"/>
  <c r="G30" i="21"/>
  <c r="I30" i="21" s="1"/>
  <c r="J30" i="21" s="1"/>
  <c r="G39" i="21"/>
  <c r="I39" i="21" s="1"/>
  <c r="G42" i="21"/>
  <c r="I42" i="21" s="1"/>
  <c r="G36" i="21"/>
  <c r="I36" i="21" s="1"/>
  <c r="G33" i="21"/>
  <c r="I33" i="21" s="1"/>
  <c r="J33" i="21" s="1"/>
  <c r="J25" i="20"/>
  <c r="I17" i="21"/>
  <c r="J17" i="21" s="1"/>
  <c r="J75" i="20"/>
  <c r="I40" i="21" s="1"/>
  <c r="C44" i="20"/>
  <c r="G39" i="20"/>
  <c r="G24" i="21" s="1"/>
  <c r="I24" i="21" s="1"/>
  <c r="J24" i="21" s="1"/>
  <c r="J56" i="20"/>
  <c r="E82" i="19"/>
  <c r="G82" i="19" s="1"/>
  <c r="G83" i="19" s="1"/>
  <c r="E76" i="19"/>
  <c r="E71" i="19" s="1"/>
  <c r="D76" i="19"/>
  <c r="D77" i="19" s="1"/>
  <c r="G77" i="19" s="1"/>
  <c r="E66" i="19"/>
  <c r="D66" i="19"/>
  <c r="J84" i="19" l="1"/>
  <c r="F46" i="21" s="1"/>
  <c r="D45" i="21"/>
  <c r="F45" i="21" s="1"/>
  <c r="J21" i="20"/>
  <c r="I14" i="21" s="1"/>
  <c r="J20" i="20"/>
  <c r="J83" i="20"/>
  <c r="I43" i="21" s="1"/>
  <c r="J57" i="20"/>
  <c r="I31" i="21" s="1"/>
  <c r="J31" i="21" s="1"/>
  <c r="J82" i="20"/>
  <c r="J69" i="20"/>
  <c r="I37" i="21" s="1"/>
  <c r="J68" i="20"/>
  <c r="J74" i="20"/>
  <c r="J62" i="20"/>
  <c r="J63" i="20"/>
  <c r="I34" i="21" s="1"/>
  <c r="J34" i="21" s="1"/>
  <c r="J41" i="20"/>
  <c r="I25" i="21" s="1"/>
  <c r="J25" i="21" s="1"/>
  <c r="J40" i="20"/>
  <c r="C45" i="20"/>
  <c r="G45" i="20" s="1"/>
  <c r="G44" i="20"/>
  <c r="D71" i="19"/>
  <c r="G71" i="19" s="1"/>
  <c r="G72" i="19" s="1"/>
  <c r="G76" i="19"/>
  <c r="G78" i="19" s="1"/>
  <c r="G66" i="19"/>
  <c r="G67" i="19" s="1"/>
  <c r="J83" i="19"/>
  <c r="J79" i="19" l="1"/>
  <c r="F43" i="21" s="1"/>
  <c r="M43" i="21" s="1"/>
  <c r="D42" i="21"/>
  <c r="F42" i="21" s="1"/>
  <c r="J73" i="19"/>
  <c r="F40" i="21" s="1"/>
  <c r="D39" i="21"/>
  <c r="F39" i="21" s="1"/>
  <c r="M45" i="21"/>
  <c r="J45" i="21"/>
  <c r="J68" i="19"/>
  <c r="F37" i="21" s="1"/>
  <c r="M37" i="21" s="1"/>
  <c r="D36" i="21"/>
  <c r="F36" i="21" s="1"/>
  <c r="M46" i="21"/>
  <c r="J46" i="21"/>
  <c r="G27" i="21"/>
  <c r="I27" i="21" s="1"/>
  <c r="J67" i="19"/>
  <c r="J78" i="19"/>
  <c r="J72" i="19"/>
  <c r="J43" i="21" l="1"/>
  <c r="M39" i="21"/>
  <c r="J39" i="21"/>
  <c r="M40" i="21"/>
  <c r="J40" i="21"/>
  <c r="M42" i="21"/>
  <c r="J42" i="21"/>
  <c r="J37" i="21"/>
  <c r="M36" i="21"/>
  <c r="J36" i="21"/>
  <c r="J27" i="21"/>
  <c r="J48" i="20"/>
  <c r="I28" i="21" s="1"/>
  <c r="J28" i="21" s="1"/>
  <c r="J47" i="20"/>
  <c r="D61" i="19"/>
  <c r="D60" i="19"/>
  <c r="C52" i="19"/>
  <c r="D55" i="19"/>
  <c r="D54" i="19"/>
  <c r="D53" i="19"/>
  <c r="D52" i="19"/>
  <c r="E35" i="19"/>
  <c r="E47" i="19" s="1"/>
  <c r="D35" i="19"/>
  <c r="D47" i="19" s="1"/>
  <c r="E25" i="19"/>
  <c r="D25" i="19"/>
  <c r="D13" i="19"/>
  <c r="D12" i="19"/>
  <c r="D19" i="19"/>
  <c r="D18" i="19"/>
  <c r="D17" i="19"/>
  <c r="C19" i="19"/>
  <c r="C18" i="19"/>
  <c r="C17" i="19"/>
  <c r="C16" i="19"/>
  <c r="C15" i="19"/>
  <c r="C14" i="19"/>
  <c r="D16" i="19"/>
  <c r="D15" i="19"/>
  <c r="D14" i="19"/>
  <c r="C12" i="19"/>
  <c r="D11" i="19"/>
  <c r="D20" i="19" s="1"/>
  <c r="D10" i="19"/>
  <c r="C61" i="19" l="1"/>
  <c r="C60" i="19"/>
  <c r="G61" i="19"/>
  <c r="G60" i="19" l="1"/>
  <c r="G62" i="19" s="1"/>
  <c r="J63" i="19" s="1"/>
  <c r="J62" i="19" l="1"/>
  <c r="G55" i="19"/>
  <c r="G54" i="19"/>
  <c r="G47" i="19" l="1"/>
  <c r="G35" i="19"/>
  <c r="E34" i="19"/>
  <c r="E40" i="19" s="1"/>
  <c r="E45" i="19" s="1"/>
  <c r="D34" i="19"/>
  <c r="D40" i="19" s="1"/>
  <c r="D45" i="19" s="1"/>
  <c r="F30" i="19"/>
  <c r="C34" i="19"/>
  <c r="C40" i="19" s="1"/>
  <c r="C45" i="19" s="1"/>
  <c r="C46" i="19" s="1"/>
  <c r="G46" i="19" s="1"/>
  <c r="F20" i="19"/>
  <c r="G20" i="19" s="1"/>
  <c r="G53" i="19" l="1"/>
  <c r="G52" i="19"/>
  <c r="J57" i="19" l="1"/>
  <c r="C95" i="19"/>
  <c r="C94" i="19"/>
  <c r="G86" i="19"/>
  <c r="J86" i="19" s="1"/>
  <c r="G45" i="19"/>
  <c r="G40" i="19"/>
  <c r="G34" i="19"/>
  <c r="J37" i="19" s="1"/>
  <c r="G30" i="19"/>
  <c r="G25" i="19"/>
  <c r="F19" i="19"/>
  <c r="G19" i="19" s="1"/>
  <c r="F18" i="19"/>
  <c r="G18" i="19" s="1"/>
  <c r="F17" i="19"/>
  <c r="G17" i="19" s="1"/>
  <c r="F16" i="19"/>
  <c r="G16" i="19" s="1"/>
  <c r="F15" i="19"/>
  <c r="G15" i="19" s="1"/>
  <c r="F14" i="19"/>
  <c r="G14" i="19" s="1"/>
  <c r="F13" i="19"/>
  <c r="G13" i="19" s="1"/>
  <c r="F12" i="19"/>
  <c r="G12" i="19" s="1"/>
  <c r="F11" i="19"/>
  <c r="G11" i="19" s="1"/>
  <c r="F10" i="19"/>
  <c r="G10" i="19" s="1"/>
  <c r="G21" i="19" l="1"/>
  <c r="D13" i="21" s="1"/>
  <c r="F13" i="21" s="1"/>
  <c r="M13" i="21" s="1"/>
  <c r="C92" i="19"/>
  <c r="J56" i="19"/>
  <c r="J31" i="19"/>
  <c r="J42" i="19"/>
  <c r="J41" i="19"/>
  <c r="J36" i="19"/>
  <c r="J26" i="19"/>
  <c r="J48" i="19"/>
  <c r="J49" i="19"/>
  <c r="J22" i="19" l="1"/>
  <c r="F14" i="21" s="1"/>
  <c r="M14" i="21" s="1"/>
  <c r="J13" i="21"/>
  <c r="J21" i="19"/>
  <c r="J88" i="19" s="1"/>
  <c r="F50" i="21" l="1"/>
  <c r="C6" i="21" s="1"/>
  <c r="J14" i="21"/>
  <c r="C90" i="19"/>
  <c r="C93" i="19" s="1"/>
  <c r="E92" i="19" l="1"/>
  <c r="E93" i="19" s="1"/>
  <c r="J36" i="20"/>
  <c r="I22" i="21" s="1"/>
  <c r="G21" i="21"/>
  <c r="I21" i="21" s="1"/>
  <c r="J21" i="21" s="1"/>
  <c r="J35" i="20"/>
  <c r="J94" i="20" l="1"/>
  <c r="C96" i="20" s="1"/>
  <c r="C99" i="20" s="1"/>
  <c r="I50" i="21"/>
  <c r="J22" i="21"/>
  <c r="E98" i="20" l="1"/>
  <c r="E99" i="20" s="1"/>
  <c r="J6" i="21"/>
  <c r="J50" i="21"/>
</calcChain>
</file>

<file path=xl/sharedStrings.xml><?xml version="1.0" encoding="utf-8"?>
<sst xmlns="http://schemas.openxmlformats.org/spreadsheetml/2006/main" count="330" uniqueCount="82">
  <si>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</si>
  <si>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</si>
  <si>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</si>
  <si>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</si>
  <si>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</si>
  <si>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</si>
  <si>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</si>
  <si>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</si>
  <si>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</si>
  <si>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</si>
  <si>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</si>
  <si>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</si>
  <si>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</si>
  <si>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</si>
  <si>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</si>
  <si>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</si>
  <si>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</si>
  <si>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</si>
  <si>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</si>
  <si>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</si>
  <si>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</si>
  <si>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</si>
  <si>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</si>
  <si>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</si>
  <si>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</si>
  <si>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sub-total</t>
  </si>
  <si>
    <t>Length (m)</t>
  </si>
  <si>
    <t>Total Weight (kg)</t>
  </si>
  <si>
    <t>Unit length (Kg/m)</t>
  </si>
  <si>
    <t>sfnf] kmnfd] kfO{ksf] 6«; agfO{ h8fg ug]{ sfd</t>
  </si>
  <si>
    <t>Kg</t>
  </si>
  <si>
    <t xml:space="preserve">).#^ lblv ).$ dL.dL.afSnf] sf]?u]6]8 /+lug ss{6 kftfsf] 5fgf 5fpg] sfd </t>
  </si>
  <si>
    <t>sqm</t>
  </si>
  <si>
    <t>Information board</t>
  </si>
  <si>
    <t>-VAT 13% for materials</t>
  </si>
  <si>
    <t xml:space="preserve">g/d k|sf/sf] Sn] / l;N6L df6f]df ;j} lsl;dsf] vGg] sfd </t>
  </si>
  <si>
    <t>;-for footing</t>
  </si>
  <si>
    <t>cum</t>
  </si>
  <si>
    <t xml:space="preserve">hu leQf kvf{ndf l;d]G6 s+lqm6 ug]{ sfd -lk=;L=;L= !M@M$_  </t>
  </si>
  <si>
    <t xml:space="preserve">d]lzgsf] k|of]u u/L ;'k/ :6«Sr/df l;d]G6 s+lqm6 ug]{ sfd -!M!=%M#_ </t>
  </si>
  <si>
    <t>-MS square pipe of 3" * 3" of 1.8mm thickness for vertical post</t>
  </si>
  <si>
    <t>-MS square pipe of 2"*2" of 1.8mm thickness for horizontal member</t>
  </si>
  <si>
    <t>-MS square pipe of 1.5"*1.5" of 1.6mm thickness for vertical member</t>
  </si>
  <si>
    <t>-MS square pipe of 1.5"*1.5" of 1.6mm thickness for diagnol member</t>
  </si>
  <si>
    <t>-MS square pipe of 2"*2" of 1.8mm thickness for inclined member</t>
  </si>
  <si>
    <t>-MS square pipe of 2"*2" of 1.8mm thickness for purlins</t>
  </si>
  <si>
    <t>e'O{+tNnfdf lrDgL e§fsf] O{+6fsf] uf/f] l;d]G6 d;nf -!M^_ df</t>
  </si>
  <si>
    <t>;'Vvf O{6f RofK6f] 5fKg] sfd</t>
  </si>
  <si>
    <t>no.</t>
  </si>
  <si>
    <t>-for flooring</t>
  </si>
  <si>
    <t>-for footing</t>
  </si>
  <si>
    <t>-wall</t>
  </si>
  <si>
    <t>!@=% dL=dL= l;d]G6 afn'jf -!M$_ Knfi6/</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</si>
  <si>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</si>
  <si>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13m</t>
  </si>
  <si>
    <t>ht=3'9"</t>
  </si>
  <si>
    <t>-For wall</t>
  </si>
  <si>
    <t>Sub-total</t>
  </si>
  <si>
    <t>m3</t>
  </si>
  <si>
    <t>VAT calculation</t>
  </si>
  <si>
    <t>-Road</t>
  </si>
  <si>
    <t>Providing and laying of Plain/Reinforced Cement Concrete in Foundation complete as per Drawing and Technical Specifications, PCC Grade M 15</t>
  </si>
  <si>
    <t>Random Rubble Masonry, Providing and laying of Stone Masonry Work in Cement Mortar 1:6 in Foundation complete as per Drawing and Technical Specifications.</t>
  </si>
  <si>
    <t>Providing and laying of hand pack locally available Stone soling with 150 to 200 mm thick stones and packing with smaller stone on prepared surface as per Drawing and Technical Specifications.</t>
  </si>
  <si>
    <t>Project:- खुलालटार कार्कीटोल वाटिका निर्माण</t>
  </si>
  <si>
    <t xml:space="preserve">Date: 2081/09/29  </t>
  </si>
  <si>
    <t>Work Completion Report</t>
  </si>
  <si>
    <t>Total Estimated Amount:</t>
  </si>
  <si>
    <t>Total Valuated Amount :</t>
  </si>
  <si>
    <t xml:space="preserve">Work Started : </t>
  </si>
  <si>
    <t xml:space="preserve">Work Finished:           </t>
  </si>
  <si>
    <t xml:space="preserve">F.Y:2081/2082             </t>
  </si>
  <si>
    <t xml:space="preserve">Date:2081/12/14       </t>
  </si>
  <si>
    <t>S.No.</t>
  </si>
  <si>
    <t>Description</t>
  </si>
  <si>
    <t>Estimated</t>
  </si>
  <si>
    <t>Valuated</t>
  </si>
  <si>
    <t>Difference</t>
  </si>
  <si>
    <t xml:space="preserve">Quantity </t>
  </si>
  <si>
    <t>Total</t>
  </si>
  <si>
    <t>-for steps</t>
  </si>
  <si>
    <t>-MS square pipe of 2"*2" of 1.8mm thickness for king post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</si>
</sst>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22"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sz val="16"/>
      <name val="Preeti"/>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Preeti"/>
    </font>
    <font>
      <sz val="11"/>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164" fontId="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98">
    <xf numFmtId="0" fontId="0" fillId="0" borderId="0" xfId="0"/>
    <xf numFmtId="0" fontId="0" fillId="0" borderId="0" xfId="0" applyAlignment="1">
      <alignment vertic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5"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5" fontId="0" fillId="0" borderId="1" xfId="0" applyNumberFormat="1" applyBorder="1" applyAlignment="1">
      <alignment vertical="center"/>
    </xf>
    <xf numFmtId="0" fontId="3" fillId="0" borderId="1" xfId="0" quotePrefix="1" applyFont="1" applyBorder="1" applyAlignment="1">
      <alignment vertical="center" wrapText="1"/>
    </xf>
    <xf numFmtId="0" fontId="10" fillId="0" borderId="1" xfId="0" applyFont="1" applyBorder="1" applyAlignment="1">
      <alignment vertical="center"/>
    </xf>
    <xf numFmtId="1" fontId="9" fillId="0" borderId="1" xfId="0" applyNumberFormat="1" applyFont="1" applyFill="1" applyBorder="1" applyAlignment="1">
      <alignment vertical="center" wrapText="1"/>
    </xf>
    <xf numFmtId="0" fontId="10" fillId="0" borderId="1" xfId="0" applyFont="1" applyBorder="1"/>
    <xf numFmtId="0" fontId="10" fillId="0" borderId="1" xfId="0" quotePrefix="1" applyFont="1" applyBorder="1" applyAlignment="1">
      <alignment horizontal="right" wrapText="1"/>
    </xf>
    <xf numFmtId="2" fontId="10" fillId="0" borderId="1" xfId="0" applyNumberFormat="1" applyFont="1" applyBorder="1"/>
    <xf numFmtId="2" fontId="10" fillId="0" borderId="1" xfId="0" applyNumberFormat="1" applyFont="1" applyBorder="1" applyAlignment="1">
      <alignment vertical="center"/>
    </xf>
    <xf numFmtId="0" fontId="3" fillId="0" borderId="1" xfId="0" applyFont="1" applyBorder="1"/>
    <xf numFmtId="0" fontId="15" fillId="0" borderId="0" xfId="0" applyFont="1" applyBorder="1" applyAlignment="1"/>
    <xf numFmtId="2" fontId="3" fillId="0" borderId="1" xfId="0" applyNumberFormat="1" applyFont="1" applyBorder="1"/>
    <xf numFmtId="165" fontId="10" fillId="0" borderId="1" xfId="0" applyNumberFormat="1" applyFont="1" applyBorder="1" applyAlignment="1"/>
    <xf numFmtId="2" fontId="10" fillId="0" borderId="1" xfId="0" applyNumberFormat="1" applyFont="1" applyBorder="1" applyAlignment="1"/>
    <xf numFmtId="2" fontId="3"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vertical="center"/>
    </xf>
    <xf numFmtId="165" fontId="10" fillId="0" borderId="1" xfId="0" applyNumberFormat="1" applyFont="1" applyBorder="1" applyAlignment="1">
      <alignment vertical="center"/>
    </xf>
    <xf numFmtId="0" fontId="18" fillId="0" borderId="0" xfId="0" applyFont="1"/>
    <xf numFmtId="0" fontId="19" fillId="0" borderId="0" xfId="0" applyFont="1" applyAlignment="1">
      <alignment horizontal="center"/>
    </xf>
    <xf numFmtId="0" fontId="0" fillId="0" borderId="0" xfId="0" applyAlignment="1">
      <alignment horizontal="left"/>
    </xf>
    <xf numFmtId="0" fontId="0" fillId="3" borderId="1" xfId="0" applyFill="1" applyBorder="1"/>
    <xf numFmtId="1" fontId="10" fillId="0" borderId="1" xfId="0" applyNumberFormat="1" applyFont="1" applyBorder="1" applyAlignment="1">
      <alignment vertical="center"/>
    </xf>
    <xf numFmtId="0" fontId="20" fillId="2" borderId="1" xfId="0" applyFont="1" applyFill="1" applyBorder="1" applyAlignment="1">
      <alignment vertical="center" wrapText="1"/>
    </xf>
    <xf numFmtId="164" fontId="2" fillId="0" borderId="1" xfId="1" applyFont="1" applyBorder="1" applyAlignment="1">
      <alignment vertical="center"/>
    </xf>
    <xf numFmtId="0" fontId="0" fillId="0" borderId="1" xfId="0" applyBorder="1" applyAlignment="1">
      <alignment vertical="center" wrapText="1"/>
    </xf>
    <xf numFmtId="1" fontId="6" fillId="0" borderId="1" xfId="0" applyNumberFormat="1" applyFont="1" applyFill="1" applyBorder="1" applyAlignment="1">
      <alignment horizontal="right" vertical="center" wrapText="1"/>
    </xf>
    <xf numFmtId="1" fontId="6" fillId="0" borderId="1" xfId="0" applyNumberFormat="1" applyFont="1" applyFill="1" applyBorder="1" applyAlignment="1">
      <alignment horizontal="left" vertical="center" wrapText="1"/>
    </xf>
    <xf numFmtId="1" fontId="6" fillId="0" borderId="1" xfId="0" applyNumberFormat="1" applyFont="1" applyFill="1" applyBorder="1" applyAlignment="1">
      <alignment vertical="center" wrapText="1"/>
    </xf>
    <xf numFmtId="1" fontId="10" fillId="0" borderId="1" xfId="0" applyNumberFormat="1" applyFont="1" applyBorder="1" applyAlignment="1">
      <alignment vertical="center" wrapText="1"/>
    </xf>
    <xf numFmtId="0" fontId="2" fillId="0" borderId="1" xfId="0" applyFont="1" applyBorder="1" applyAlignment="1">
      <alignment horizontal="right"/>
    </xf>
    <xf numFmtId="164" fontId="2" fillId="0" borderId="1" xfId="1" applyFont="1" applyBorder="1"/>
    <xf numFmtId="2" fontId="21" fillId="0" borderId="1" xfId="0" applyNumberFormat="1" applyFont="1" applyBorder="1" applyAlignment="1">
      <alignment vertical="center"/>
    </xf>
    <xf numFmtId="0" fontId="12"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164" fontId="18" fillId="0" borderId="0" xfId="0" applyNumberFormat="1" applyFont="1" applyAlignment="1">
      <alignment horizontal="center"/>
    </xf>
    <xf numFmtId="0" fontId="18" fillId="0" borderId="0" xfId="0" applyFont="1" applyAlignment="1">
      <alignment horizontal="center"/>
    </xf>
    <xf numFmtId="0" fontId="3"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0" borderId="0" xfId="0" applyFont="1" applyAlignment="1">
      <alignment horizontal="left"/>
    </xf>
    <xf numFmtId="0" fontId="0" fillId="0" borderId="0" xfId="0" applyAlignment="1">
      <alignment horizontal="right"/>
    </xf>
    <xf numFmtId="0" fontId="0" fillId="0" borderId="0" xfId="0" applyAlignment="1">
      <alignment horizontal="left"/>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styles" Target="styles.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081_082/ofc/ofc/estimates/Om%20shanti%20mandir/V%20&#2768;%20&#2358;&#2366;&#2344;&#2381;&#2340;&#2367;%20&#2349;&#2357;&#23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2)"/>
      <sheetName val="WCR"/>
      <sheetName val="Valuated"/>
      <sheetName val="M"/>
    </sheetNames>
    <sheetDataSet>
      <sheetData sheetId="0">
        <row r="6">
          <cell r="A6" t="str">
            <v>Project:- ૐ शान्ति भवन निर्माण तथा मर्मत</v>
          </cell>
        </row>
        <row r="7">
          <cell r="A7" t="str">
            <v>Location:- Shankharapur Municipality 9</v>
          </cell>
        </row>
        <row r="56">
          <cell r="B56" t="str">
            <v>VAT calculation</v>
          </cell>
        </row>
      </sheetData>
      <sheetData sheetId="1"/>
      <sheetData sheetId="2">
        <row r="24">
          <cell r="G24">
            <v>19.912400000000005</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25%20dL=dL=%20l;d]G6%20afn'jf%20-!M$_%20Knfi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5"/>
  <sheetViews>
    <sheetView topLeftCell="A77" zoomScaleNormal="100" zoomScaleSheetLayoutView="80" workbookViewId="0">
      <selection activeCell="E84" sqref="E84"/>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9.332031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x14ac:dyDescent="0.3">
      <c r="A1" s="75" t="s">
        <v>0</v>
      </c>
      <c r="B1" s="75"/>
      <c r="C1" s="75"/>
      <c r="D1" s="75"/>
      <c r="E1" s="75"/>
      <c r="F1" s="75"/>
      <c r="G1" s="75"/>
      <c r="H1" s="75"/>
      <c r="I1" s="75"/>
      <c r="J1" s="75"/>
      <c r="K1" s="75"/>
    </row>
    <row r="2" spans="1:13" s="1" customFormat="1" ht="22.8" x14ac:dyDescent="0.3">
      <c r="A2" s="76" t="s">
        <v>1</v>
      </c>
      <c r="B2" s="76"/>
      <c r="C2" s="76"/>
      <c r="D2" s="76"/>
      <c r="E2" s="76"/>
      <c r="F2" s="76"/>
      <c r="G2" s="76"/>
      <c r="H2" s="76"/>
      <c r="I2" s="76"/>
      <c r="J2" s="76"/>
      <c r="K2" s="76"/>
    </row>
    <row r="3" spans="1:13" s="1" customFormat="1" x14ac:dyDescent="0.3">
      <c r="A3" s="77" t="s">
        <v>2</v>
      </c>
      <c r="B3" s="77"/>
      <c r="C3" s="77"/>
      <c r="D3" s="77"/>
      <c r="E3" s="77"/>
      <c r="F3" s="77"/>
      <c r="G3" s="77"/>
      <c r="H3" s="77"/>
      <c r="I3" s="77"/>
      <c r="J3" s="77"/>
      <c r="K3" s="77"/>
    </row>
    <row r="4" spans="1:13" s="1" customFormat="1" x14ac:dyDescent="0.3">
      <c r="A4" s="77" t="s">
        <v>3</v>
      </c>
      <c r="B4" s="77"/>
      <c r="C4" s="77"/>
      <c r="D4" s="77"/>
      <c r="E4" s="77"/>
      <c r="F4" s="77"/>
      <c r="G4" s="77"/>
      <c r="H4" s="77"/>
      <c r="I4" s="77"/>
      <c r="J4" s="77"/>
      <c r="K4" s="77"/>
    </row>
    <row r="5" spans="1:13" ht="17.399999999999999" x14ac:dyDescent="0.3">
      <c r="A5" s="78" t="s">
        <v>4</v>
      </c>
      <c r="B5" s="78"/>
      <c r="C5" s="78"/>
      <c r="D5" s="78"/>
      <c r="E5" s="78"/>
      <c r="F5" s="78"/>
      <c r="G5" s="78"/>
      <c r="H5" s="78"/>
      <c r="I5" s="78"/>
      <c r="J5" s="78"/>
      <c r="K5" s="78"/>
    </row>
    <row r="6" spans="1:13" ht="18" x14ac:dyDescent="0.35">
      <c r="A6" s="73" t="s">
        <v>64</v>
      </c>
      <c r="B6" s="73"/>
      <c r="C6" s="73"/>
      <c r="D6" s="73"/>
      <c r="E6" s="73"/>
      <c r="F6" s="73"/>
      <c r="G6" s="73"/>
      <c r="H6" s="74" t="s">
        <v>24</v>
      </c>
      <c r="I6" s="74"/>
      <c r="J6" s="74"/>
      <c r="K6" s="74"/>
    </row>
    <row r="7" spans="1:13" ht="15.6" x14ac:dyDescent="0.3">
      <c r="A7" s="81" t="s">
        <v>23</v>
      </c>
      <c r="B7" s="81"/>
      <c r="C7" s="81"/>
      <c r="D7" s="81"/>
      <c r="E7" s="81"/>
      <c r="F7" s="81"/>
      <c r="G7" s="2"/>
      <c r="H7" s="74" t="s">
        <v>65</v>
      </c>
      <c r="I7" s="74"/>
      <c r="J7" s="74"/>
      <c r="K7" s="74"/>
    </row>
    <row r="8" spans="1:13" ht="15" customHeight="1" x14ac:dyDescent="0.3">
      <c r="A8" s="3" t="s">
        <v>5</v>
      </c>
      <c r="B8" s="17" t="s">
        <v>6</v>
      </c>
      <c r="C8" s="3" t="s">
        <v>7</v>
      </c>
      <c r="D8" s="18" t="s">
        <v>8</v>
      </c>
      <c r="E8" s="18" t="s">
        <v>9</v>
      </c>
      <c r="F8" s="18" t="s">
        <v>10</v>
      </c>
      <c r="G8" s="18" t="s">
        <v>11</v>
      </c>
      <c r="H8" s="3" t="s">
        <v>12</v>
      </c>
      <c r="I8" s="18" t="s">
        <v>13</v>
      </c>
      <c r="J8" s="18" t="s">
        <v>14</v>
      </c>
      <c r="K8" s="19" t="s">
        <v>15</v>
      </c>
    </row>
    <row r="9" spans="1:13" s="1" customFormat="1" ht="41.4" x14ac:dyDescent="0.3">
      <c r="A9" s="21">
        <v>1</v>
      </c>
      <c r="B9" s="37" t="s">
        <v>29</v>
      </c>
      <c r="C9" s="22" t="s">
        <v>7</v>
      </c>
      <c r="D9" s="34" t="s">
        <v>26</v>
      </c>
      <c r="E9" s="35" t="s">
        <v>28</v>
      </c>
      <c r="F9" s="35" t="s">
        <v>27</v>
      </c>
      <c r="G9" s="35"/>
      <c r="H9" s="25"/>
      <c r="I9" s="26"/>
      <c r="J9" s="27"/>
      <c r="K9" s="24"/>
    </row>
    <row r="10" spans="1:13" s="1" customFormat="1" ht="27.6" x14ac:dyDescent="0.3">
      <c r="A10" s="38"/>
      <c r="B10" s="39" t="s">
        <v>40</v>
      </c>
      <c r="C10" s="40">
        <v>6</v>
      </c>
      <c r="D10" s="10">
        <f>(2.5+1.5+11)/3.281</f>
        <v>4.5717768972874122</v>
      </c>
      <c r="E10" s="10">
        <v>3.97</v>
      </c>
      <c r="F10" s="10">
        <f>PRODUCT(C10:E10)</f>
        <v>108.89972569338616</v>
      </c>
      <c r="G10" s="36">
        <f>F10</f>
        <v>108.89972569338616</v>
      </c>
      <c r="H10" s="27"/>
      <c r="I10" s="27"/>
      <c r="J10" s="27"/>
      <c r="K10" s="11"/>
      <c r="M10" s="12"/>
    </row>
    <row r="11" spans="1:13" s="1" customFormat="1" ht="41.4" x14ac:dyDescent="0.3">
      <c r="A11" s="38"/>
      <c r="B11" s="39" t="s">
        <v>41</v>
      </c>
      <c r="C11" s="40">
        <v>3</v>
      </c>
      <c r="D11" s="10">
        <f>(1+20+1)/3.281</f>
        <v>6.7052727826882048</v>
      </c>
      <c r="E11" s="10">
        <v>2.72</v>
      </c>
      <c r="F11" s="10">
        <f t="shared" ref="F11:F19" si="0">PRODUCT(C11:E11)</f>
        <v>54.715025906735754</v>
      </c>
      <c r="G11" s="36">
        <f t="shared" ref="G11:G19" si="1">F11</f>
        <v>54.715025906735754</v>
      </c>
      <c r="H11" s="27"/>
      <c r="I11" s="27"/>
      <c r="J11" s="27"/>
      <c r="K11" s="11"/>
      <c r="M11" s="12"/>
    </row>
    <row r="12" spans="1:13" s="1" customFormat="1" ht="41.4" x14ac:dyDescent="0.3">
      <c r="A12" s="38"/>
      <c r="B12" s="39" t="s">
        <v>44</v>
      </c>
      <c r="C12" s="40">
        <f>2*3</f>
        <v>6</v>
      </c>
      <c r="D12" s="10">
        <f>12/3.281</f>
        <v>3.6574215178299299</v>
      </c>
      <c r="E12" s="10">
        <v>2.72</v>
      </c>
      <c r="F12" s="10">
        <f t="shared" si="0"/>
        <v>59.689119170984462</v>
      </c>
      <c r="G12" s="36">
        <f t="shared" si="1"/>
        <v>59.689119170984462</v>
      </c>
      <c r="H12" s="27"/>
      <c r="I12" s="27"/>
      <c r="J12" s="27"/>
      <c r="K12" s="11"/>
      <c r="M12" s="12"/>
    </row>
    <row r="13" spans="1:13" s="1" customFormat="1" ht="41.4" x14ac:dyDescent="0.3">
      <c r="A13" s="38"/>
      <c r="B13" s="39" t="s">
        <v>81</v>
      </c>
      <c r="C13" s="40">
        <v>3</v>
      </c>
      <c r="D13" s="10">
        <f>3.25/3.281</f>
        <v>0.99055166107893933</v>
      </c>
      <c r="E13" s="10">
        <v>2.72</v>
      </c>
      <c r="F13" s="10">
        <f t="shared" si="0"/>
        <v>8.0829015544041454</v>
      </c>
      <c r="G13" s="36">
        <f t="shared" si="1"/>
        <v>8.0829015544041454</v>
      </c>
      <c r="H13" s="27"/>
      <c r="I13" s="27"/>
      <c r="J13" s="27"/>
      <c r="K13" s="11"/>
      <c r="M13" s="12"/>
    </row>
    <row r="14" spans="1:13" s="1" customFormat="1" ht="41.4" x14ac:dyDescent="0.3">
      <c r="A14" s="38"/>
      <c r="B14" s="39" t="s">
        <v>43</v>
      </c>
      <c r="C14" s="40">
        <f t="shared" ref="C14:C20" si="2">2*3</f>
        <v>6</v>
      </c>
      <c r="D14" s="10">
        <f>3.25/3.281</f>
        <v>0.99055166107893933</v>
      </c>
      <c r="E14" s="10">
        <v>1.83</v>
      </c>
      <c r="F14" s="10">
        <f t="shared" si="0"/>
        <v>10.876257238646755</v>
      </c>
      <c r="G14" s="36">
        <f t="shared" si="1"/>
        <v>10.876257238646755</v>
      </c>
      <c r="H14" s="27"/>
      <c r="I14" s="27"/>
      <c r="J14" s="27"/>
      <c r="K14" s="11"/>
      <c r="M14" s="12"/>
    </row>
    <row r="15" spans="1:13" s="1" customFormat="1" x14ac:dyDescent="0.3">
      <c r="A15" s="38"/>
      <c r="B15" s="39"/>
      <c r="C15" s="40">
        <f t="shared" si="2"/>
        <v>6</v>
      </c>
      <c r="D15" s="10">
        <f>2.75/3.281</f>
        <v>0.8381590978360256</v>
      </c>
      <c r="E15" s="10">
        <v>1.83</v>
      </c>
      <c r="F15" s="10">
        <f t="shared" si="0"/>
        <v>9.2029868942395616</v>
      </c>
      <c r="G15" s="36">
        <f t="shared" si="1"/>
        <v>9.2029868942395616</v>
      </c>
      <c r="H15" s="27"/>
      <c r="I15" s="27"/>
      <c r="J15" s="27"/>
      <c r="K15" s="11"/>
      <c r="M15" s="12"/>
    </row>
    <row r="16" spans="1:13" s="1" customFormat="1" x14ac:dyDescent="0.3">
      <c r="A16" s="38"/>
      <c r="B16" s="39"/>
      <c r="C16" s="40">
        <f t="shared" si="2"/>
        <v>6</v>
      </c>
      <c r="D16" s="10">
        <f>2.42/3.281</f>
        <v>0.73758000609570251</v>
      </c>
      <c r="E16" s="10">
        <v>1.83</v>
      </c>
      <c r="F16" s="10">
        <f t="shared" si="0"/>
        <v>8.0986284669308137</v>
      </c>
      <c r="G16" s="36">
        <f t="shared" si="1"/>
        <v>8.0986284669308137</v>
      </c>
      <c r="H16" s="27"/>
      <c r="I16" s="27"/>
      <c r="J16" s="27"/>
      <c r="K16" s="11"/>
      <c r="M16" s="12"/>
    </row>
    <row r="17" spans="1:13" s="1" customFormat="1" ht="41.4" x14ac:dyDescent="0.3">
      <c r="A17" s="38"/>
      <c r="B17" s="39" t="s">
        <v>42</v>
      </c>
      <c r="C17" s="40">
        <f t="shared" si="2"/>
        <v>6</v>
      </c>
      <c r="D17" s="10">
        <f>2.25/3.281</f>
        <v>0.68576653459311188</v>
      </c>
      <c r="E17" s="10">
        <v>1.83</v>
      </c>
      <c r="F17" s="10">
        <f t="shared" si="0"/>
        <v>7.5297165498323677</v>
      </c>
      <c r="G17" s="36">
        <f t="shared" si="1"/>
        <v>7.5297165498323677</v>
      </c>
      <c r="H17" s="27"/>
      <c r="I17" s="27"/>
      <c r="J17" s="27"/>
      <c r="K17" s="11"/>
      <c r="M17" s="12"/>
    </row>
    <row r="18" spans="1:13" s="1" customFormat="1" x14ac:dyDescent="0.3">
      <c r="A18" s="38"/>
      <c r="B18" s="39"/>
      <c r="C18" s="40">
        <f t="shared" si="2"/>
        <v>6</v>
      </c>
      <c r="D18" s="10">
        <f>1.5/3.281</f>
        <v>0.45717768972874123</v>
      </c>
      <c r="E18" s="10">
        <v>1.83</v>
      </c>
      <c r="F18" s="10">
        <f t="shared" si="0"/>
        <v>5.0198110332215791</v>
      </c>
      <c r="G18" s="36">
        <f t="shared" si="1"/>
        <v>5.0198110332215791</v>
      </c>
      <c r="H18" s="27"/>
      <c r="I18" s="27"/>
      <c r="J18" s="27"/>
      <c r="K18" s="11"/>
      <c r="M18" s="12"/>
    </row>
    <row r="19" spans="1:13" s="1" customFormat="1" x14ac:dyDescent="0.3">
      <c r="A19" s="38"/>
      <c r="B19" s="39"/>
      <c r="C19" s="40">
        <f t="shared" si="2"/>
        <v>6</v>
      </c>
      <c r="D19" s="10">
        <f>0.667/3.281</f>
        <v>0.20329167936604695</v>
      </c>
      <c r="E19" s="10">
        <v>1.83</v>
      </c>
      <c r="F19" s="10">
        <f t="shared" si="0"/>
        <v>2.2321426394391954</v>
      </c>
      <c r="G19" s="36">
        <f t="shared" si="1"/>
        <v>2.2321426394391954</v>
      </c>
      <c r="H19" s="27"/>
      <c r="I19" s="27"/>
      <c r="J19" s="27"/>
      <c r="K19" s="11"/>
      <c r="M19" s="12"/>
    </row>
    <row r="20" spans="1:13" s="1" customFormat="1" ht="27.6" x14ac:dyDescent="0.3">
      <c r="A20" s="38"/>
      <c r="B20" s="39" t="s">
        <v>45</v>
      </c>
      <c r="C20" s="40">
        <v>8</v>
      </c>
      <c r="D20" s="10">
        <f>D11</f>
        <v>6.7052727826882048</v>
      </c>
      <c r="E20" s="10">
        <v>2.72</v>
      </c>
      <c r="F20" s="10">
        <f t="shared" ref="F20" si="3">PRODUCT(C20:E20)</f>
        <v>145.90673575129534</v>
      </c>
      <c r="G20" s="36">
        <f t="shared" ref="G20" si="4">F20</f>
        <v>145.90673575129534</v>
      </c>
      <c r="H20" s="27"/>
      <c r="I20" s="27"/>
      <c r="J20" s="27"/>
      <c r="K20" s="11"/>
      <c r="M20" s="12"/>
    </row>
    <row r="21" spans="1:13" s="1" customFormat="1" x14ac:dyDescent="0.3">
      <c r="A21" s="21"/>
      <c r="B21" s="39" t="s">
        <v>25</v>
      </c>
      <c r="C21" s="22"/>
      <c r="D21" s="23"/>
      <c r="E21" s="24"/>
      <c r="F21" s="24"/>
      <c r="G21" s="27">
        <f>SUM(G10:G20)</f>
        <v>420.25305089911609</v>
      </c>
      <c r="H21" s="25" t="s">
        <v>30</v>
      </c>
      <c r="I21" s="26">
        <v>181.17</v>
      </c>
      <c r="J21" s="27">
        <f>G21*I21</f>
        <v>76137.245231392852</v>
      </c>
      <c r="K21" s="24"/>
    </row>
    <row r="22" spans="1:13" s="1" customFormat="1" x14ac:dyDescent="0.3">
      <c r="A22" s="21"/>
      <c r="B22" s="39" t="s">
        <v>34</v>
      </c>
      <c r="C22" s="22"/>
      <c r="D22" s="23"/>
      <c r="E22" s="24"/>
      <c r="F22" s="24"/>
      <c r="G22" s="27"/>
      <c r="H22" s="25"/>
      <c r="I22" s="26"/>
      <c r="J22" s="27">
        <f>0.13*G21*(1871.42/18.94)</f>
        <v>5398.1570953944611</v>
      </c>
      <c r="K22" s="24"/>
    </row>
    <row r="23" spans="1:13" s="1" customFormat="1" ht="15" x14ac:dyDescent="0.3">
      <c r="A23" s="21"/>
      <c r="B23" s="37"/>
      <c r="C23" s="22"/>
      <c r="D23" s="23"/>
      <c r="E23" s="24"/>
      <c r="F23" s="24"/>
      <c r="G23" s="28"/>
      <c r="H23" s="25"/>
      <c r="I23" s="26"/>
      <c r="J23" s="27"/>
      <c r="K23" s="24"/>
    </row>
    <row r="24" spans="1:13" s="1" customFormat="1" ht="45" x14ac:dyDescent="0.3">
      <c r="A24" s="38">
        <v>2</v>
      </c>
      <c r="B24" s="37" t="s">
        <v>31</v>
      </c>
      <c r="C24" s="40"/>
      <c r="D24" s="10"/>
      <c r="E24" s="10"/>
      <c r="F24" s="10"/>
      <c r="G24" s="36"/>
      <c r="H24" s="27"/>
      <c r="I24" s="27"/>
      <c r="J24" s="27"/>
      <c r="K24" s="11"/>
      <c r="M24" s="12"/>
    </row>
    <row r="25" spans="1:13" s="1" customFormat="1" x14ac:dyDescent="0.3">
      <c r="A25" s="38"/>
      <c r="B25" s="39"/>
      <c r="C25" s="40">
        <v>2</v>
      </c>
      <c r="D25" s="10">
        <f>22/3.281</f>
        <v>6.7052727826882048</v>
      </c>
      <c r="E25" s="10">
        <f>12/3.281</f>
        <v>3.6574215178299299</v>
      </c>
      <c r="F25" s="10"/>
      <c r="G25" s="36">
        <f>PRODUCT(C25:F25)</f>
        <v>49.048017916646423</v>
      </c>
      <c r="H25" s="27"/>
      <c r="I25" s="27"/>
      <c r="J25" s="27"/>
      <c r="K25" s="11"/>
      <c r="M25" s="12"/>
    </row>
    <row r="26" spans="1:13" s="1" customFormat="1" x14ac:dyDescent="0.3">
      <c r="A26" s="21"/>
      <c r="B26" s="39" t="s">
        <v>25</v>
      </c>
      <c r="C26" s="22"/>
      <c r="D26" s="23"/>
      <c r="E26" s="24"/>
      <c r="F26" s="24"/>
      <c r="G26" s="27">
        <f>SUM(G25:G25)</f>
        <v>49.048017916646423</v>
      </c>
      <c r="H26" s="25" t="s">
        <v>32</v>
      </c>
      <c r="I26" s="26">
        <v>1070.9000000000001</v>
      </c>
      <c r="J26" s="27">
        <f>G26*I26</f>
        <v>52525.52238693666</v>
      </c>
      <c r="K26" s="24"/>
    </row>
    <row r="27" spans="1:13" s="1" customFormat="1" x14ac:dyDescent="0.3">
      <c r="A27" s="21"/>
      <c r="B27" s="39" t="s">
        <v>34</v>
      </c>
      <c r="C27" s="22"/>
      <c r="D27" s="23"/>
      <c r="E27" s="24"/>
      <c r="F27" s="24"/>
      <c r="G27" s="27"/>
      <c r="H27" s="25"/>
      <c r="I27" s="26"/>
      <c r="J27" s="27">
        <f>0.13*G26*8211.62/10</f>
        <v>5235.9279035009986</v>
      </c>
      <c r="K27" s="24"/>
    </row>
    <row r="28" spans="1:13" s="1" customFormat="1" x14ac:dyDescent="0.3">
      <c r="A28" s="21"/>
      <c r="B28" s="39"/>
      <c r="C28" s="22"/>
      <c r="D28" s="23"/>
      <c r="E28" s="24"/>
      <c r="F28" s="24"/>
      <c r="G28" s="27"/>
      <c r="H28" s="25"/>
      <c r="I28" s="26"/>
      <c r="J28" s="27"/>
      <c r="K28" s="24"/>
    </row>
    <row r="29" spans="1:13" s="1" customFormat="1" ht="30" x14ac:dyDescent="0.3">
      <c r="A29" s="21">
        <v>3</v>
      </c>
      <c r="B29" s="37" t="s">
        <v>35</v>
      </c>
      <c r="C29" s="22"/>
      <c r="D29" s="23"/>
      <c r="E29" s="24"/>
      <c r="F29" s="24"/>
      <c r="G29" s="27"/>
      <c r="H29" s="25"/>
      <c r="I29" s="26"/>
      <c r="J29" s="27"/>
      <c r="K29" s="24"/>
    </row>
    <row r="30" spans="1:13" s="1" customFormat="1" x14ac:dyDescent="0.3">
      <c r="A30" s="21"/>
      <c r="B30" s="39" t="s">
        <v>36</v>
      </c>
      <c r="C30" s="22">
        <v>6</v>
      </c>
      <c r="D30" s="23">
        <v>0.45</v>
      </c>
      <c r="E30" s="24">
        <v>0.45</v>
      </c>
      <c r="F30" s="24">
        <f>(2.5+0.25+0.17)/3.281</f>
        <v>0.88997256933861624</v>
      </c>
      <c r="G30" s="36">
        <f>PRODUCT(C30:F30)</f>
        <v>1.0813166717464189</v>
      </c>
      <c r="H30" s="25"/>
      <c r="I30" s="26"/>
      <c r="J30" s="27"/>
      <c r="K30" s="24"/>
    </row>
    <row r="31" spans="1:13" s="1" customFormat="1" x14ac:dyDescent="0.3">
      <c r="A31" s="21"/>
      <c r="B31" s="39" t="s">
        <v>25</v>
      </c>
      <c r="C31" s="22"/>
      <c r="D31" s="23"/>
      <c r="E31" s="24"/>
      <c r="F31" s="24"/>
      <c r="G31" s="27">
        <f>SUM(G30:G30)</f>
        <v>1.0813166717464189</v>
      </c>
      <c r="H31" s="25" t="s">
        <v>37</v>
      </c>
      <c r="I31" s="26">
        <v>663.31</v>
      </c>
      <c r="J31" s="27">
        <f>G31*I31</f>
        <v>717.2481615361171</v>
      </c>
      <c r="K31" s="24"/>
    </row>
    <row r="32" spans="1:13" s="1" customFormat="1" x14ac:dyDescent="0.3">
      <c r="A32" s="21"/>
      <c r="B32" s="39"/>
      <c r="C32" s="22"/>
      <c r="D32" s="23"/>
      <c r="E32" s="24"/>
      <c r="F32" s="24"/>
      <c r="G32" s="27"/>
      <c r="H32" s="25"/>
      <c r="I32" s="26"/>
      <c r="J32" s="27"/>
      <c r="K32" s="24"/>
    </row>
    <row r="33" spans="1:11" s="1" customFormat="1" ht="15" x14ac:dyDescent="0.3">
      <c r="A33" s="21">
        <v>4</v>
      </c>
      <c r="B33" s="37" t="s">
        <v>47</v>
      </c>
      <c r="C33" s="22"/>
      <c r="D33" s="23"/>
      <c r="E33" s="24"/>
      <c r="F33" s="24"/>
      <c r="G33" s="27"/>
      <c r="H33" s="25"/>
      <c r="I33" s="26"/>
      <c r="J33" s="27"/>
      <c r="K33" s="24"/>
    </row>
    <row r="34" spans="1:11" s="1" customFormat="1" x14ac:dyDescent="0.3">
      <c r="A34" s="21"/>
      <c r="B34" s="39" t="s">
        <v>36</v>
      </c>
      <c r="C34" s="22">
        <f>C30</f>
        <v>6</v>
      </c>
      <c r="D34" s="23">
        <f>D30</f>
        <v>0.45</v>
      </c>
      <c r="E34" s="24">
        <f>E30</f>
        <v>0.45</v>
      </c>
      <c r="F34" s="24"/>
      <c r="G34" s="36">
        <f>PRODUCT(C34:F34)</f>
        <v>1.2150000000000001</v>
      </c>
      <c r="H34" s="25"/>
      <c r="I34" s="26"/>
      <c r="J34" s="27"/>
      <c r="K34" s="24"/>
    </row>
    <row r="35" spans="1:11" s="1" customFormat="1" x14ac:dyDescent="0.3">
      <c r="A35" s="21"/>
      <c r="B35" s="39" t="s">
        <v>49</v>
      </c>
      <c r="C35" s="22">
        <v>2</v>
      </c>
      <c r="D35" s="23">
        <f>(11.5)/3.281</f>
        <v>3.5050289545870159</v>
      </c>
      <c r="E35" s="24">
        <f>(8.917)/3.281</f>
        <v>2.7177689728741234</v>
      </c>
      <c r="F35" s="24"/>
      <c r="G35" s="36">
        <f>PRODUCT(C35:F35)</f>
        <v>19.051717883604034</v>
      </c>
      <c r="H35" s="25"/>
      <c r="I35" s="26"/>
      <c r="J35" s="27"/>
      <c r="K35" s="24"/>
    </row>
    <row r="36" spans="1:11" s="1" customFormat="1" x14ac:dyDescent="0.3">
      <c r="A36" s="21"/>
      <c r="B36" s="39" t="s">
        <v>25</v>
      </c>
      <c r="C36" s="22"/>
      <c r="D36" s="23"/>
      <c r="E36" s="24"/>
      <c r="F36" s="24"/>
      <c r="G36" s="27">
        <f>SUM(G34:G35)</f>
        <v>20.266717883604034</v>
      </c>
      <c r="H36" s="25" t="s">
        <v>32</v>
      </c>
      <c r="I36" s="26">
        <v>1014.97</v>
      </c>
      <c r="J36" s="27">
        <f>G36*I36</f>
        <v>20570.110650321589</v>
      </c>
      <c r="K36" s="24"/>
    </row>
    <row r="37" spans="1:11" s="1" customFormat="1" x14ac:dyDescent="0.3">
      <c r="A37" s="21"/>
      <c r="B37" s="39" t="s">
        <v>34</v>
      </c>
      <c r="C37" s="22"/>
      <c r="D37" s="23"/>
      <c r="E37" s="24"/>
      <c r="F37" s="24"/>
      <c r="G37" s="27"/>
      <c r="H37" s="25"/>
      <c r="I37" s="26"/>
      <c r="J37" s="27">
        <f>0.13*G36*8617.2/10</f>
        <v>2270.3506975057053</v>
      </c>
      <c r="K37" s="24"/>
    </row>
    <row r="38" spans="1:11" s="1" customFormat="1" x14ac:dyDescent="0.3">
      <c r="A38" s="21"/>
      <c r="B38" s="39"/>
      <c r="C38" s="22"/>
      <c r="D38" s="23"/>
      <c r="E38" s="24"/>
      <c r="F38" s="24"/>
      <c r="G38" s="27"/>
      <c r="H38" s="25"/>
      <c r="I38" s="26"/>
      <c r="J38" s="27"/>
      <c r="K38" s="24"/>
    </row>
    <row r="39" spans="1:11" s="1" customFormat="1" ht="30" x14ac:dyDescent="0.3">
      <c r="A39" s="21">
        <v>5</v>
      </c>
      <c r="B39" s="37" t="s">
        <v>38</v>
      </c>
      <c r="C39" s="22"/>
      <c r="D39" s="23"/>
      <c r="E39" s="24"/>
      <c r="F39" s="24"/>
      <c r="G39" s="27"/>
      <c r="H39" s="25"/>
      <c r="I39" s="26"/>
      <c r="J39" s="27"/>
      <c r="K39" s="24"/>
    </row>
    <row r="40" spans="1:11" s="1" customFormat="1" x14ac:dyDescent="0.3">
      <c r="A40" s="21"/>
      <c r="B40" s="39" t="s">
        <v>36</v>
      </c>
      <c r="C40" s="22">
        <f>C34</f>
        <v>6</v>
      </c>
      <c r="D40" s="23">
        <f>D34</f>
        <v>0.45</v>
      </c>
      <c r="E40" s="24">
        <f>E34</f>
        <v>0.45</v>
      </c>
      <c r="F40" s="24">
        <v>7.4999999999999997E-2</v>
      </c>
      <c r="G40" s="36">
        <f>PRODUCT(C40:F40)</f>
        <v>9.1124999999999998E-2</v>
      </c>
      <c r="H40" s="25"/>
      <c r="I40" s="26"/>
      <c r="J40" s="27"/>
      <c r="K40" s="24"/>
    </row>
    <row r="41" spans="1:11" s="1" customFormat="1" x14ac:dyDescent="0.3">
      <c r="A41" s="21"/>
      <c r="B41" s="39" t="s">
        <v>25</v>
      </c>
      <c r="C41" s="22"/>
      <c r="D41" s="23"/>
      <c r="E41" s="24"/>
      <c r="F41" s="24"/>
      <c r="G41" s="27">
        <f>SUM(G40:G40)</f>
        <v>9.1124999999999998E-2</v>
      </c>
      <c r="H41" s="25" t="s">
        <v>37</v>
      </c>
      <c r="I41" s="26">
        <v>12983.1</v>
      </c>
      <c r="J41" s="27">
        <f>G41*I41</f>
        <v>1183.0849874999999</v>
      </c>
      <c r="K41" s="24"/>
    </row>
    <row r="42" spans="1:11" s="1" customFormat="1" x14ac:dyDescent="0.3">
      <c r="A42" s="21"/>
      <c r="B42" s="39" t="s">
        <v>34</v>
      </c>
      <c r="C42" s="22"/>
      <c r="D42" s="23"/>
      <c r="E42" s="24"/>
      <c r="F42" s="24"/>
      <c r="G42" s="27"/>
      <c r="H42" s="25"/>
      <c r="I42" s="26"/>
      <c r="J42" s="27">
        <f>0.13*G41*8078.11</f>
        <v>95.695310587500003</v>
      </c>
      <c r="K42" s="24"/>
    </row>
    <row r="43" spans="1:11" s="1" customFormat="1" x14ac:dyDescent="0.3">
      <c r="A43" s="21"/>
      <c r="B43" s="39"/>
      <c r="C43" s="22"/>
      <c r="D43" s="23"/>
      <c r="E43" s="24"/>
      <c r="F43" s="24"/>
      <c r="G43" s="27"/>
      <c r="H43" s="25"/>
      <c r="I43" s="26"/>
      <c r="J43" s="27"/>
      <c r="K43" s="24"/>
    </row>
    <row r="44" spans="1:11" s="1" customFormat="1" ht="30" x14ac:dyDescent="0.3">
      <c r="A44" s="21">
        <v>6</v>
      </c>
      <c r="B44" s="37" t="s">
        <v>39</v>
      </c>
      <c r="C44" s="22"/>
      <c r="D44" s="23"/>
      <c r="E44" s="24"/>
      <c r="F44" s="24"/>
      <c r="G44" s="27"/>
      <c r="H44" s="25"/>
      <c r="I44" s="26"/>
      <c r="J44" s="27"/>
      <c r="K44" s="24"/>
    </row>
    <row r="45" spans="1:11" s="1" customFormat="1" x14ac:dyDescent="0.3">
      <c r="A45" s="21"/>
      <c r="B45" s="39" t="s">
        <v>50</v>
      </c>
      <c r="C45" s="22">
        <f>C40</f>
        <v>6</v>
      </c>
      <c r="D45" s="23">
        <f>D40</f>
        <v>0.45</v>
      </c>
      <c r="E45" s="24">
        <f>E40</f>
        <v>0.45</v>
      </c>
      <c r="F45" s="24">
        <v>0.75</v>
      </c>
      <c r="G45" s="36">
        <f>PRODUCT(C45:F45)</f>
        <v>0.91125000000000012</v>
      </c>
      <c r="H45" s="25"/>
      <c r="I45" s="26"/>
      <c r="J45" s="27"/>
      <c r="K45" s="24"/>
    </row>
    <row r="46" spans="1:11" s="1" customFormat="1" x14ac:dyDescent="0.3">
      <c r="A46" s="21"/>
      <c r="B46" s="39"/>
      <c r="C46" s="22">
        <f>C45</f>
        <v>6</v>
      </c>
      <c r="D46" s="23">
        <v>0.3</v>
      </c>
      <c r="E46" s="24">
        <v>0.3</v>
      </c>
      <c r="F46" s="24">
        <v>0.45</v>
      </c>
      <c r="G46" s="36">
        <f>PRODUCT(C46:F46)</f>
        <v>0.24299999999999997</v>
      </c>
      <c r="H46" s="25"/>
      <c r="I46" s="26"/>
      <c r="J46" s="27"/>
      <c r="K46" s="24"/>
    </row>
    <row r="47" spans="1:11" s="1" customFormat="1" x14ac:dyDescent="0.3">
      <c r="A47" s="21"/>
      <c r="B47" s="39" t="s">
        <v>49</v>
      </c>
      <c r="C47" s="22">
        <v>2</v>
      </c>
      <c r="D47" s="23">
        <f>D35</f>
        <v>3.5050289545870159</v>
      </c>
      <c r="E47" s="24">
        <f>E35</f>
        <v>2.7177689728741234</v>
      </c>
      <c r="F47" s="24">
        <v>7.4999999999999997E-2</v>
      </c>
      <c r="G47" s="36">
        <f>PRODUCT(C47:F47)</f>
        <v>1.4288788412703026</v>
      </c>
      <c r="H47" s="25"/>
      <c r="I47" s="26"/>
      <c r="J47" s="27"/>
      <c r="K47" s="24"/>
    </row>
    <row r="48" spans="1:11" s="1" customFormat="1" x14ac:dyDescent="0.3">
      <c r="A48" s="21"/>
      <c r="B48" s="39" t="s">
        <v>25</v>
      </c>
      <c r="C48" s="22"/>
      <c r="D48" s="23"/>
      <c r="E48" s="24"/>
      <c r="F48" s="24"/>
      <c r="G48" s="27">
        <f>SUM(G45:G47)</f>
        <v>2.5831288412703026</v>
      </c>
      <c r="H48" s="25" t="s">
        <v>37</v>
      </c>
      <c r="I48" s="26">
        <v>13568.9</v>
      </c>
      <c r="J48" s="27">
        <f>G48*I48</f>
        <v>35050.216934312608</v>
      </c>
      <c r="K48" s="24"/>
    </row>
    <row r="49" spans="1:11" s="1" customFormat="1" x14ac:dyDescent="0.3">
      <c r="A49" s="21"/>
      <c r="B49" s="39" t="s">
        <v>34</v>
      </c>
      <c r="C49" s="22"/>
      <c r="D49" s="23"/>
      <c r="E49" s="24"/>
      <c r="F49" s="24"/>
      <c r="G49" s="27"/>
      <c r="H49" s="25"/>
      <c r="I49" s="26"/>
      <c r="J49" s="27">
        <f>0.13*G48*9524.2</f>
        <v>3198.2906423034606</v>
      </c>
      <c r="K49" s="24"/>
    </row>
    <row r="50" spans="1:11" s="1" customFormat="1" x14ac:dyDescent="0.3">
      <c r="A50" s="21"/>
      <c r="B50" s="39"/>
      <c r="C50" s="22"/>
      <c r="D50" s="23"/>
      <c r="E50" s="24"/>
      <c r="F50" s="24"/>
      <c r="G50" s="27"/>
      <c r="H50" s="25"/>
      <c r="I50" s="26"/>
      <c r="J50" s="27"/>
      <c r="K50" s="24"/>
    </row>
    <row r="51" spans="1:11" s="1" customFormat="1" ht="30" x14ac:dyDescent="0.3">
      <c r="A51" s="21">
        <v>7</v>
      </c>
      <c r="B51" s="37" t="s">
        <v>46</v>
      </c>
      <c r="C51" s="22"/>
      <c r="D51" s="23"/>
      <c r="E51" s="24"/>
      <c r="F51" s="24"/>
      <c r="G51" s="27"/>
      <c r="H51" s="25"/>
      <c r="I51" s="26"/>
      <c r="J51" s="27"/>
      <c r="K51" s="24"/>
    </row>
    <row r="52" spans="1:11" s="1" customFormat="1" x14ac:dyDescent="0.3">
      <c r="A52" s="21"/>
      <c r="B52" s="39" t="s">
        <v>50</v>
      </c>
      <c r="C52" s="22">
        <f>2*2</f>
        <v>4</v>
      </c>
      <c r="D52" s="23">
        <f>8.42/3.281</f>
        <v>2.5662907650106672</v>
      </c>
      <c r="E52" s="24">
        <v>0.23</v>
      </c>
      <c r="F52" s="24">
        <v>0.3</v>
      </c>
      <c r="G52" s="36">
        <f>PRODUCT(C52:F52)</f>
        <v>0.70829625114294414</v>
      </c>
      <c r="H52" s="25"/>
      <c r="I52" s="26"/>
      <c r="J52" s="27"/>
      <c r="K52" s="24"/>
    </row>
    <row r="53" spans="1:11" s="1" customFormat="1" x14ac:dyDescent="0.3">
      <c r="A53" s="21"/>
      <c r="B53" s="39"/>
      <c r="C53" s="22">
        <v>3</v>
      </c>
      <c r="D53" s="23">
        <f>11.25/3.281</f>
        <v>3.4288326729655592</v>
      </c>
      <c r="E53" s="24">
        <v>0.23</v>
      </c>
      <c r="F53" s="24">
        <v>0.3</v>
      </c>
      <c r="G53" s="36">
        <f>PRODUCT(C53:F53)</f>
        <v>0.70976836330387083</v>
      </c>
      <c r="H53" s="25"/>
      <c r="I53" s="26"/>
      <c r="J53" s="27"/>
      <c r="K53" s="24"/>
    </row>
    <row r="54" spans="1:11" s="1" customFormat="1" x14ac:dyDescent="0.3">
      <c r="A54" s="21"/>
      <c r="B54" s="39" t="s">
        <v>51</v>
      </c>
      <c r="C54" s="22">
        <v>4</v>
      </c>
      <c r="D54" s="23">
        <f>8.917/3.281</f>
        <v>2.7177689728741234</v>
      </c>
      <c r="E54" s="24">
        <v>0.23</v>
      </c>
      <c r="F54" s="24">
        <v>0.9</v>
      </c>
      <c r="G54" s="36">
        <f t="shared" ref="G54:G55" si="5">PRODUCT(C54:F54)</f>
        <v>2.2503127095397741</v>
      </c>
      <c r="H54" s="25"/>
      <c r="I54" s="26"/>
      <c r="J54" s="27"/>
      <c r="K54" s="24"/>
    </row>
    <row r="55" spans="1:11" s="1" customFormat="1" x14ac:dyDescent="0.3">
      <c r="A55" s="21"/>
      <c r="B55" s="39"/>
      <c r="C55" s="22">
        <v>3</v>
      </c>
      <c r="D55" s="23">
        <f>(11.5)/3.281</f>
        <v>3.5050289545870159</v>
      </c>
      <c r="E55" s="24">
        <v>0.23</v>
      </c>
      <c r="F55" s="24">
        <v>0.9</v>
      </c>
      <c r="G55" s="36">
        <f t="shared" si="5"/>
        <v>2.1766229807985376</v>
      </c>
      <c r="H55" s="25"/>
      <c r="I55" s="26"/>
      <c r="J55" s="27"/>
      <c r="K55" s="24"/>
    </row>
    <row r="56" spans="1:11" s="1" customFormat="1" x14ac:dyDescent="0.3">
      <c r="A56" s="21"/>
      <c r="B56" s="39" t="s">
        <v>25</v>
      </c>
      <c r="C56" s="22"/>
      <c r="D56" s="23"/>
      <c r="E56" s="24"/>
      <c r="F56" s="24"/>
      <c r="G56" s="27">
        <f>SUM(G52:G55)</f>
        <v>5.8450003047851267</v>
      </c>
      <c r="H56" s="25" t="s">
        <v>37</v>
      </c>
      <c r="I56" s="26">
        <v>14362.76</v>
      </c>
      <c r="J56" s="27">
        <f>G56*I56</f>
        <v>83950.33657755563</v>
      </c>
      <c r="K56" s="24"/>
    </row>
    <row r="57" spans="1:11" s="1" customFormat="1" x14ac:dyDescent="0.3">
      <c r="A57" s="21"/>
      <c r="B57" s="39" t="s">
        <v>34</v>
      </c>
      <c r="C57" s="22"/>
      <c r="D57" s="23"/>
      <c r="E57" s="24"/>
      <c r="F57" s="24"/>
      <c r="G57" s="27"/>
      <c r="H57" s="25"/>
      <c r="I57" s="26"/>
      <c r="J57" s="27">
        <f>0.13*G56*10311.74</f>
        <v>7835.3760475724484</v>
      </c>
      <c r="K57" s="24"/>
    </row>
    <row r="58" spans="1:11" s="1" customFormat="1" x14ac:dyDescent="0.3">
      <c r="A58" s="21"/>
      <c r="B58" s="39"/>
      <c r="C58" s="22"/>
      <c r="D58" s="23"/>
      <c r="E58" s="24"/>
      <c r="F58" s="24"/>
      <c r="G58" s="27"/>
      <c r="H58" s="25"/>
      <c r="I58" s="26"/>
      <c r="J58" s="27"/>
      <c r="K58" s="24"/>
    </row>
    <row r="59" spans="1:11" s="1" customFormat="1" ht="30" x14ac:dyDescent="0.3">
      <c r="A59" s="21">
        <v>8</v>
      </c>
      <c r="B59" s="37" t="s">
        <v>52</v>
      </c>
      <c r="C59" s="22"/>
      <c r="D59" s="23"/>
      <c r="E59" s="24"/>
      <c r="F59" s="24"/>
      <c r="G59" s="27"/>
      <c r="H59" s="25"/>
      <c r="I59" s="26"/>
      <c r="J59" s="27"/>
      <c r="K59" s="24"/>
    </row>
    <row r="60" spans="1:11" s="1" customFormat="1" x14ac:dyDescent="0.3">
      <c r="A60" s="21"/>
      <c r="B60" s="39" t="s">
        <v>51</v>
      </c>
      <c r="C60" s="22">
        <f>2*2</f>
        <v>4</v>
      </c>
      <c r="D60" s="23">
        <f>20/3.281</f>
        <v>6.0957025297165499</v>
      </c>
      <c r="E60" s="24"/>
      <c r="F60" s="24">
        <v>0.9</v>
      </c>
      <c r="G60" s="36">
        <f t="shared" ref="G60:G61" si="6">PRODUCT(C60:F60)</f>
        <v>21.94452910697958</v>
      </c>
      <c r="H60" s="25"/>
      <c r="I60" s="26"/>
      <c r="J60" s="27"/>
      <c r="K60" s="24"/>
    </row>
    <row r="61" spans="1:11" s="1" customFormat="1" x14ac:dyDescent="0.3">
      <c r="A61" s="21"/>
      <c r="B61" s="39"/>
      <c r="C61" s="22">
        <f>2*2</f>
        <v>4</v>
      </c>
      <c r="D61" s="23">
        <f>(13-1.5)/3.281</f>
        <v>3.5050289545870159</v>
      </c>
      <c r="E61" s="24"/>
      <c r="F61" s="24">
        <v>0.9</v>
      </c>
      <c r="G61" s="36">
        <f t="shared" si="6"/>
        <v>12.618104236513258</v>
      </c>
      <c r="H61" s="25"/>
      <c r="I61" s="26"/>
      <c r="J61" s="27"/>
      <c r="K61" s="24"/>
    </row>
    <row r="62" spans="1:11" s="1" customFormat="1" x14ac:dyDescent="0.3">
      <c r="A62" s="21"/>
      <c r="B62" s="39" t="s">
        <v>25</v>
      </c>
      <c r="C62" s="22"/>
      <c r="D62" s="23"/>
      <c r="E62" s="24"/>
      <c r="F62" s="24"/>
      <c r="G62" s="27">
        <f>SUM(G58:G61)</f>
        <v>34.562633343492834</v>
      </c>
      <c r="H62" s="25" t="s">
        <v>32</v>
      </c>
      <c r="I62" s="26">
        <v>405.86</v>
      </c>
      <c r="J62" s="27">
        <f>G62*I62</f>
        <v>14027.590368790003</v>
      </c>
      <c r="K62" s="24"/>
    </row>
    <row r="63" spans="1:11" s="1" customFormat="1" x14ac:dyDescent="0.3">
      <c r="A63" s="21"/>
      <c r="B63" s="39" t="s">
        <v>34</v>
      </c>
      <c r="C63" s="22"/>
      <c r="D63" s="23"/>
      <c r="E63" s="24"/>
      <c r="F63" s="24"/>
      <c r="G63" s="27"/>
      <c r="H63" s="25"/>
      <c r="I63" s="26"/>
      <c r="J63" s="27">
        <f>0.13*G62*11166.2/100</f>
        <v>501.71325937214266</v>
      </c>
      <c r="K63" s="24"/>
    </row>
    <row r="64" spans="1:11" s="1" customFormat="1" ht="15" x14ac:dyDescent="0.3">
      <c r="A64" s="21"/>
      <c r="B64" s="37"/>
      <c r="C64" s="22"/>
      <c r="D64" s="23"/>
      <c r="E64" s="24"/>
      <c r="F64" s="24"/>
      <c r="G64" s="27"/>
      <c r="H64" s="25"/>
      <c r="I64" s="26"/>
      <c r="J64" s="27"/>
      <c r="K64" s="24"/>
    </row>
    <row r="65" spans="1:19" ht="138" x14ac:dyDescent="0.3">
      <c r="A65" s="42">
        <v>9</v>
      </c>
      <c r="B65" s="43" t="s">
        <v>53</v>
      </c>
      <c r="C65" s="44"/>
      <c r="D65" s="44"/>
      <c r="E65" s="44"/>
      <c r="F65" s="44"/>
      <c r="G65" s="44"/>
      <c r="H65" s="44"/>
      <c r="I65" s="44"/>
      <c r="J65" s="44"/>
      <c r="K65" s="44"/>
      <c r="N65" t="s">
        <v>54</v>
      </c>
      <c r="O65" t="s">
        <v>55</v>
      </c>
    </row>
    <row r="66" spans="1:19" ht="15" customHeight="1" x14ac:dyDescent="0.3">
      <c r="A66" s="21"/>
      <c r="B66" s="45" t="s">
        <v>56</v>
      </c>
      <c r="C66" s="44">
        <v>0.5</v>
      </c>
      <c r="D66" s="46">
        <f>D82</f>
        <v>6.3721576999999998</v>
      </c>
      <c r="E66" s="46">
        <f>F82/2</f>
        <v>1.25</v>
      </c>
      <c r="F66" s="46">
        <v>2</v>
      </c>
      <c r="G66" s="47">
        <f>PRODUCT(C66:F66)</f>
        <v>7.9651971249999995</v>
      </c>
      <c r="H66" s="48"/>
      <c r="I66" s="48"/>
      <c r="J66" s="48"/>
      <c r="K66" s="24"/>
      <c r="M66" s="49"/>
      <c r="N66" s="1"/>
      <c r="O66" s="1"/>
      <c r="P66" s="1"/>
      <c r="Q66" s="1"/>
      <c r="R66" s="49"/>
      <c r="S66" s="49"/>
    </row>
    <row r="67" spans="1:19" ht="15" customHeight="1" x14ac:dyDescent="0.3">
      <c r="A67" s="21"/>
      <c r="B67" s="45" t="s">
        <v>57</v>
      </c>
      <c r="C67" s="22"/>
      <c r="D67" s="23"/>
      <c r="E67" s="24"/>
      <c r="F67" s="24"/>
      <c r="G67" s="26">
        <f>SUM(G66:G66)</f>
        <v>7.9651971249999995</v>
      </c>
      <c r="H67" s="25" t="s">
        <v>58</v>
      </c>
      <c r="I67" s="26">
        <v>64.63</v>
      </c>
      <c r="J67" s="50">
        <f>G67*I67</f>
        <v>514.79069018874998</v>
      </c>
      <c r="K67" s="24"/>
      <c r="M67" s="49"/>
      <c r="N67" s="1"/>
      <c r="O67" s="1"/>
      <c r="P67" s="1"/>
      <c r="Q67" s="1"/>
      <c r="R67" s="49"/>
      <c r="S67" s="49"/>
    </row>
    <row r="68" spans="1:19" ht="15" customHeight="1" x14ac:dyDescent="0.3">
      <c r="A68" s="21"/>
      <c r="B68" s="45" t="s">
        <v>59</v>
      </c>
      <c r="C68" s="22"/>
      <c r="D68" s="23"/>
      <c r="E68" s="24"/>
      <c r="F68" s="24"/>
      <c r="G68" s="26"/>
      <c r="H68" s="25"/>
      <c r="I68" s="26"/>
      <c r="J68" s="50">
        <f>0.13*G67*19284/360</f>
        <v>55.466977712791667</v>
      </c>
      <c r="K68" s="24"/>
      <c r="M68" s="49"/>
      <c r="N68" s="1"/>
      <c r="O68" s="1"/>
      <c r="P68" s="1"/>
      <c r="Q68" s="1"/>
      <c r="R68" s="49"/>
      <c r="S68" s="49"/>
    </row>
    <row r="69" spans="1:19" ht="15" customHeight="1" x14ac:dyDescent="0.3">
      <c r="A69" s="21"/>
      <c r="B69" s="45"/>
      <c r="C69" s="22"/>
      <c r="D69" s="23"/>
      <c r="E69" s="24"/>
      <c r="F69" s="24"/>
      <c r="G69" s="26"/>
      <c r="H69" s="25"/>
      <c r="I69" s="26"/>
      <c r="J69" s="50"/>
      <c r="K69" s="24"/>
      <c r="M69" s="49"/>
      <c r="N69" s="1"/>
      <c r="O69" s="1"/>
      <c r="P69" s="1"/>
      <c r="Q69" s="1"/>
      <c r="R69" s="49"/>
      <c r="S69" s="49"/>
    </row>
    <row r="70" spans="1:19" ht="82.8" x14ac:dyDescent="0.3">
      <c r="A70" s="21">
        <v>10</v>
      </c>
      <c r="B70" s="43" t="s">
        <v>63</v>
      </c>
      <c r="C70" s="22"/>
      <c r="D70" s="23"/>
      <c r="E70" s="24"/>
      <c r="F70" s="24"/>
      <c r="G70" s="26"/>
      <c r="H70" s="25"/>
      <c r="I70" s="26"/>
      <c r="J70" s="50"/>
      <c r="K70" s="24"/>
      <c r="M70" s="49"/>
      <c r="N70" s="1"/>
      <c r="O70" s="1"/>
      <c r="P70" s="1"/>
      <c r="Q70" s="1"/>
      <c r="R70" s="49"/>
      <c r="S70" s="49"/>
    </row>
    <row r="71" spans="1:19" ht="15" customHeight="1" x14ac:dyDescent="0.3">
      <c r="A71" s="21"/>
      <c r="B71" s="45" t="s">
        <v>60</v>
      </c>
      <c r="C71" s="44">
        <v>1</v>
      </c>
      <c r="D71" s="46">
        <f>D76</f>
        <v>6.3721576999999998</v>
      </c>
      <c r="E71" s="46">
        <f>E76</f>
        <v>1.25</v>
      </c>
      <c r="F71" s="46">
        <v>0.15</v>
      </c>
      <c r="G71" s="47">
        <f>PRODUCT(C71:F71)</f>
        <v>1.1947795687499998</v>
      </c>
      <c r="H71" s="48"/>
      <c r="I71" s="48"/>
      <c r="J71" s="48"/>
      <c r="K71" s="24"/>
      <c r="M71" s="49"/>
      <c r="N71" s="1"/>
      <c r="O71" s="1"/>
      <c r="P71" s="1"/>
      <c r="Q71" s="1"/>
      <c r="R71" s="49"/>
      <c r="S71" s="49"/>
    </row>
    <row r="72" spans="1:19" ht="15" customHeight="1" x14ac:dyDescent="0.3">
      <c r="A72" s="48"/>
      <c r="B72" s="45" t="s">
        <v>57</v>
      </c>
      <c r="C72" s="51"/>
      <c r="D72" s="52"/>
      <c r="E72" s="52"/>
      <c r="F72" s="52"/>
      <c r="G72" s="53">
        <f>SUM(G71:G71)</f>
        <v>1.1947795687499998</v>
      </c>
      <c r="H72" s="53" t="s">
        <v>58</v>
      </c>
      <c r="I72" s="53">
        <v>4434.5200000000004</v>
      </c>
      <c r="J72" s="54">
        <f>G72*I72</f>
        <v>5298.2738932132497</v>
      </c>
      <c r="K72" s="44"/>
    </row>
    <row r="73" spans="1:19" x14ac:dyDescent="0.3">
      <c r="A73" s="48"/>
      <c r="B73" s="45" t="s">
        <v>59</v>
      </c>
      <c r="C73" s="51"/>
      <c r="D73" s="52"/>
      <c r="E73" s="52"/>
      <c r="F73" s="52"/>
      <c r="G73" s="52"/>
      <c r="H73" s="52"/>
      <c r="I73" s="52"/>
      <c r="J73" s="55">
        <f>0.13*G72*(14817.6/5)</f>
        <v>460.29790918565988</v>
      </c>
      <c r="K73" s="44"/>
    </row>
    <row r="74" spans="1:19" x14ac:dyDescent="0.3">
      <c r="A74" s="48"/>
      <c r="B74" s="45"/>
      <c r="C74" s="51"/>
      <c r="D74" s="52"/>
      <c r="E74" s="52"/>
      <c r="F74" s="52"/>
      <c r="G74" s="52"/>
      <c r="H74" s="52"/>
      <c r="I74" s="52"/>
      <c r="J74" s="55"/>
      <c r="K74" s="44"/>
    </row>
    <row r="75" spans="1:19" ht="69" x14ac:dyDescent="0.3">
      <c r="A75" s="21">
        <v>11</v>
      </c>
      <c r="B75" s="43" t="s">
        <v>61</v>
      </c>
      <c r="C75" s="22"/>
      <c r="D75" s="23"/>
      <c r="E75" s="24"/>
      <c r="F75" s="24"/>
      <c r="G75" s="26"/>
      <c r="H75" s="25"/>
      <c r="I75" s="26"/>
      <c r="J75" s="50"/>
      <c r="K75" s="24"/>
      <c r="M75" s="49"/>
      <c r="N75" s="1"/>
      <c r="O75" s="1"/>
      <c r="P75" s="1"/>
      <c r="Q75" s="1"/>
      <c r="R75" s="49"/>
      <c r="S75" s="49"/>
    </row>
    <row r="76" spans="1:19" ht="15" customHeight="1" x14ac:dyDescent="0.3">
      <c r="A76" s="21"/>
      <c r="B76" s="45" t="s">
        <v>56</v>
      </c>
      <c r="C76" s="44">
        <v>1</v>
      </c>
      <c r="D76" s="46">
        <f>D82</f>
        <v>6.3721576999999998</v>
      </c>
      <c r="E76" s="46">
        <f>F82/2</f>
        <v>1.25</v>
      </c>
      <c r="F76" s="46">
        <v>7.4999999999999997E-2</v>
      </c>
      <c r="G76" s="47">
        <f>PRODUCT(C76:F76)</f>
        <v>0.5973897843749999</v>
      </c>
      <c r="H76" s="48"/>
      <c r="I76" s="48"/>
      <c r="J76" s="48"/>
      <c r="K76" s="24"/>
      <c r="M76" s="49"/>
      <c r="N76" s="1"/>
      <c r="O76" s="1"/>
      <c r="P76" s="1"/>
      <c r="Q76" s="1"/>
      <c r="R76" s="49"/>
      <c r="S76" s="49"/>
    </row>
    <row r="77" spans="1:19" ht="15" customHeight="1" x14ac:dyDescent="0.3">
      <c r="A77" s="21"/>
      <c r="B77" s="45"/>
      <c r="C77" s="44">
        <v>1</v>
      </c>
      <c r="D77" s="46">
        <f>D76</f>
        <v>6.3721576999999998</v>
      </c>
      <c r="E77" s="46">
        <v>0.5</v>
      </c>
      <c r="F77" s="46">
        <v>0.05</v>
      </c>
      <c r="G77" s="47">
        <f>PRODUCT(C77:F77)</f>
        <v>0.15930394250000002</v>
      </c>
      <c r="H77" s="48"/>
      <c r="I77" s="48"/>
      <c r="J77" s="48"/>
      <c r="K77" s="24"/>
      <c r="M77" s="49"/>
      <c r="N77" s="1"/>
      <c r="O77" s="1"/>
      <c r="P77" s="1"/>
      <c r="Q77" s="1"/>
      <c r="R77" s="49"/>
      <c r="S77" s="49"/>
    </row>
    <row r="78" spans="1:19" ht="15" customHeight="1" x14ac:dyDescent="0.3">
      <c r="A78" s="48"/>
      <c r="B78" s="45" t="s">
        <v>57</v>
      </c>
      <c r="C78" s="51"/>
      <c r="D78" s="52"/>
      <c r="E78" s="52"/>
      <c r="F78" s="52"/>
      <c r="G78" s="53">
        <f>SUM(G76:G77)</f>
        <v>0.75669372687499992</v>
      </c>
      <c r="H78" s="53" t="s">
        <v>58</v>
      </c>
      <c r="I78" s="53">
        <v>10634.5</v>
      </c>
      <c r="J78" s="54">
        <f>G78*I78</f>
        <v>8047.0594384521864</v>
      </c>
      <c r="K78" s="44"/>
    </row>
    <row r="79" spans="1:19" ht="15" customHeight="1" x14ac:dyDescent="0.3">
      <c r="A79" s="48"/>
      <c r="B79" s="45" t="s">
        <v>59</v>
      </c>
      <c r="C79" s="51"/>
      <c r="D79" s="52"/>
      <c r="E79" s="52"/>
      <c r="F79" s="52"/>
      <c r="G79" s="52"/>
      <c r="H79" s="52"/>
      <c r="I79" s="52"/>
      <c r="J79" s="55">
        <f>0.13*G78*((114907.3+6135.3)/15)</f>
        <v>793.79885957354566</v>
      </c>
      <c r="K79" s="44"/>
    </row>
    <row r="80" spans="1:19" ht="15" customHeight="1" x14ac:dyDescent="0.3">
      <c r="A80" s="48"/>
      <c r="B80" s="45"/>
      <c r="C80" s="51"/>
      <c r="D80" s="52"/>
      <c r="E80" s="52"/>
      <c r="F80" s="52"/>
      <c r="G80" s="52"/>
      <c r="H80" s="52"/>
      <c r="I80" s="52"/>
      <c r="J80" s="55"/>
      <c r="K80" s="44"/>
    </row>
    <row r="81" spans="1:31" s="1" customFormat="1" ht="82.8" x14ac:dyDescent="0.3">
      <c r="A81" s="56">
        <v>12</v>
      </c>
      <c r="B81" s="43" t="s">
        <v>62</v>
      </c>
      <c r="C81" s="57"/>
      <c r="D81" s="47"/>
      <c r="E81" s="47"/>
      <c r="F81" s="47"/>
      <c r="G81" s="47"/>
      <c r="H81" s="47"/>
      <c r="I81" s="47"/>
      <c r="J81" s="55"/>
      <c r="K81" s="42"/>
    </row>
    <row r="82" spans="1:31" ht="15" customHeight="1" x14ac:dyDescent="0.3">
      <c r="A82" s="21"/>
      <c r="B82" s="45" t="s">
        <v>56</v>
      </c>
      <c r="C82" s="44">
        <v>1</v>
      </c>
      <c r="D82" s="46">
        <v>6.3721576999999998</v>
      </c>
      <c r="E82" s="46">
        <f>((F82/2+0.5)/2)</f>
        <v>0.875</v>
      </c>
      <c r="F82" s="46">
        <v>2.5</v>
      </c>
      <c r="G82" s="47">
        <f>PRODUCT(C82:F82)</f>
        <v>13.939094968749998</v>
      </c>
      <c r="H82" s="48"/>
      <c r="I82" s="48"/>
      <c r="J82" s="48"/>
      <c r="K82" s="24"/>
      <c r="M82" s="49"/>
      <c r="N82" s="1"/>
      <c r="O82" s="1"/>
      <c r="P82" s="1"/>
      <c r="Q82" s="1"/>
      <c r="R82" s="49"/>
      <c r="S82" s="49"/>
    </row>
    <row r="83" spans="1:31" ht="15" customHeight="1" x14ac:dyDescent="0.3">
      <c r="A83" s="48"/>
      <c r="B83" s="45" t="s">
        <v>57</v>
      </c>
      <c r="C83" s="51"/>
      <c r="D83" s="52"/>
      <c r="E83" s="52"/>
      <c r="F83" s="52"/>
      <c r="G83" s="53">
        <f>SUM(G82:G82)</f>
        <v>13.939094968749998</v>
      </c>
      <c r="H83" s="53" t="s">
        <v>58</v>
      </c>
      <c r="I83" s="53">
        <v>9709.43</v>
      </c>
      <c r="J83" s="54">
        <f>G83*I83</f>
        <v>135340.66686243031</v>
      </c>
      <c r="K83" s="44"/>
    </row>
    <row r="84" spans="1:31" ht="15" customHeight="1" x14ac:dyDescent="0.3">
      <c r="A84" s="48"/>
      <c r="B84" s="45" t="s">
        <v>59</v>
      </c>
      <c r="C84" s="51"/>
      <c r="D84" s="52"/>
      <c r="E84" s="52"/>
      <c r="F84" s="52"/>
      <c r="G84" s="52"/>
      <c r="H84" s="52"/>
      <c r="I84" s="52"/>
      <c r="J84" s="55">
        <f>0.13*G83*((27092.1)/5)</f>
        <v>9818.6232248746692</v>
      </c>
      <c r="K84" s="44"/>
    </row>
    <row r="85" spans="1:31" ht="15" customHeight="1" x14ac:dyDescent="0.3">
      <c r="A85" s="48"/>
      <c r="B85" s="45"/>
      <c r="C85" s="51"/>
      <c r="D85" s="52"/>
      <c r="E85" s="52"/>
      <c r="F85" s="52"/>
      <c r="G85" s="53"/>
      <c r="H85" s="53"/>
      <c r="I85" s="53"/>
      <c r="J85" s="54"/>
      <c r="K85" s="44"/>
    </row>
    <row r="86" spans="1:31" s="1" customFormat="1" x14ac:dyDescent="0.3">
      <c r="A86" s="21">
        <v>13</v>
      </c>
      <c r="B86" s="41" t="s">
        <v>33</v>
      </c>
      <c r="C86" s="22">
        <v>1</v>
      </c>
      <c r="D86" s="23"/>
      <c r="E86" s="24"/>
      <c r="F86" s="24"/>
      <c r="G86" s="36">
        <f>PRODUCT(C86:F86)</f>
        <v>1</v>
      </c>
      <c r="H86" s="25" t="s">
        <v>48</v>
      </c>
      <c r="I86" s="26">
        <v>500</v>
      </c>
      <c r="J86" s="27">
        <f>G86*I86</f>
        <v>500</v>
      </c>
      <c r="K86" s="24"/>
    </row>
    <row r="87" spans="1:31" s="1" customFormat="1" x14ac:dyDescent="0.3">
      <c r="A87" s="21"/>
      <c r="B87" s="39"/>
      <c r="C87" s="22"/>
      <c r="D87" s="23"/>
      <c r="E87" s="24"/>
      <c r="F87" s="24"/>
      <c r="G87" s="27"/>
      <c r="H87" s="25"/>
      <c r="I87" s="26"/>
      <c r="J87" s="27"/>
      <c r="K87" s="24"/>
    </row>
    <row r="88" spans="1:31" x14ac:dyDescent="0.3">
      <c r="A88" s="9"/>
      <c r="B88" s="20" t="s">
        <v>16</v>
      </c>
      <c r="C88" s="8"/>
      <c r="D88" s="6"/>
      <c r="E88" s="6"/>
      <c r="F88" s="6"/>
      <c r="G88" s="33"/>
      <c r="H88" s="7"/>
      <c r="I88" s="7"/>
      <c r="J88" s="7">
        <f>SUM(J10:J87)</f>
        <v>469525.84411021339</v>
      </c>
      <c r="K88" s="4"/>
      <c r="M88" s="29"/>
      <c r="P88" s="32"/>
      <c r="Q88" s="32"/>
    </row>
    <row r="89" spans="1:31" x14ac:dyDescent="0.3">
      <c r="M89" s="29"/>
      <c r="N89" s="30"/>
      <c r="O89" s="30"/>
      <c r="P89" s="31"/>
      <c r="R89" s="30"/>
      <c r="S89" s="30"/>
      <c r="T89" s="30"/>
      <c r="U89" s="29"/>
      <c r="V89" s="29"/>
      <c r="W89" s="29"/>
      <c r="X89" s="29"/>
      <c r="Y89" s="29"/>
      <c r="Z89" s="29"/>
      <c r="AA89" s="29"/>
      <c r="AB89" s="29"/>
      <c r="AC89" s="29"/>
      <c r="AD89" s="29"/>
      <c r="AE89" s="29"/>
    </row>
    <row r="90" spans="1:31" s="1" customFormat="1" x14ac:dyDescent="0.3">
      <c r="B90" s="11" t="s">
        <v>22</v>
      </c>
      <c r="C90" s="79">
        <f>J88</f>
        <v>469525.84411021339</v>
      </c>
      <c r="D90" s="80"/>
      <c r="E90" s="10">
        <v>100</v>
      </c>
      <c r="F90" s="12"/>
      <c r="G90" s="13"/>
      <c r="H90" s="12"/>
      <c r="I90" s="14"/>
      <c r="J90" s="15"/>
      <c r="K90" s="16"/>
      <c r="M90" s="12"/>
      <c r="N90" s="30"/>
      <c r="O90" s="30"/>
      <c r="P90" s="30"/>
      <c r="Q90" s="30"/>
      <c r="R90" s="30"/>
      <c r="S90" s="30"/>
      <c r="T90" s="30"/>
      <c r="U90" s="12"/>
      <c r="V90" s="12"/>
      <c r="W90" s="12"/>
      <c r="X90" s="12"/>
      <c r="Y90" s="12"/>
      <c r="Z90" s="12"/>
      <c r="AA90" s="12"/>
      <c r="AB90" s="12"/>
      <c r="AC90" s="12"/>
      <c r="AD90" s="12"/>
      <c r="AE90" s="12"/>
    </row>
    <row r="91" spans="1:31" x14ac:dyDescent="0.3">
      <c r="B91" s="11" t="s">
        <v>17</v>
      </c>
      <c r="C91" s="82">
        <v>400000</v>
      </c>
      <c r="D91" s="83"/>
      <c r="E91" s="10"/>
      <c r="M91" s="29"/>
      <c r="N91" s="30"/>
      <c r="O91" s="30"/>
      <c r="P91" s="30"/>
      <c r="Q91" s="30"/>
      <c r="R91" s="30"/>
      <c r="S91" s="30"/>
      <c r="T91" s="30"/>
      <c r="U91" s="29"/>
      <c r="V91" s="29"/>
      <c r="W91" s="29"/>
      <c r="X91" s="29"/>
      <c r="Y91" s="29"/>
      <c r="Z91" s="29"/>
      <c r="AA91" s="29"/>
      <c r="AB91" s="29"/>
      <c r="AC91" s="29"/>
      <c r="AD91" s="29"/>
      <c r="AE91" s="29"/>
    </row>
    <row r="92" spans="1:31" x14ac:dyDescent="0.3">
      <c r="B92" s="11" t="s">
        <v>18</v>
      </c>
      <c r="C92" s="82">
        <f>C91-C94-C95</f>
        <v>380000</v>
      </c>
      <c r="D92" s="83"/>
      <c r="E92" s="10">
        <f>C92/C90*100</f>
        <v>80.932712174795924</v>
      </c>
      <c r="M92" s="29"/>
      <c r="N92" s="29"/>
      <c r="O92" s="29"/>
      <c r="P92" s="29"/>
      <c r="Q92" s="29"/>
      <c r="R92" s="29"/>
      <c r="S92" s="29"/>
      <c r="T92" s="29"/>
      <c r="U92" s="29"/>
      <c r="V92" s="29"/>
      <c r="W92" s="29"/>
      <c r="X92" s="29"/>
      <c r="Y92" s="29"/>
      <c r="Z92" s="29"/>
      <c r="AA92" s="29"/>
      <c r="AB92" s="29"/>
      <c r="AC92" s="29"/>
      <c r="AD92" s="29"/>
      <c r="AE92" s="29"/>
    </row>
    <row r="93" spans="1:31" x14ac:dyDescent="0.3">
      <c r="B93" s="11" t="s">
        <v>19</v>
      </c>
      <c r="C93" s="84">
        <f>C90-C92</f>
        <v>89525.844110213395</v>
      </c>
      <c r="D93" s="84"/>
      <c r="E93" s="10">
        <f>100-E92</f>
        <v>19.067287825204076</v>
      </c>
      <c r="M93" s="29"/>
      <c r="N93" s="29"/>
      <c r="O93" s="29"/>
      <c r="P93" s="29"/>
      <c r="Q93" s="29"/>
      <c r="R93" s="29"/>
      <c r="S93" s="29"/>
      <c r="T93" s="29"/>
      <c r="U93" s="29"/>
      <c r="V93" s="29"/>
      <c r="W93" s="29"/>
      <c r="X93" s="29"/>
      <c r="Y93" s="29"/>
      <c r="Z93" s="29"/>
      <c r="AA93" s="29"/>
      <c r="AB93" s="29"/>
      <c r="AC93" s="29"/>
      <c r="AD93" s="29"/>
      <c r="AE93" s="29"/>
    </row>
    <row r="94" spans="1:31" x14ac:dyDescent="0.3">
      <c r="B94" s="11" t="s">
        <v>20</v>
      </c>
      <c r="C94" s="79">
        <f>C91*0.03</f>
        <v>12000</v>
      </c>
      <c r="D94" s="80"/>
      <c r="E94" s="10">
        <v>3</v>
      </c>
      <c r="M94" s="29"/>
      <c r="N94" s="29"/>
      <c r="O94" s="29"/>
      <c r="P94" s="29"/>
      <c r="Q94" s="29"/>
      <c r="R94" s="29"/>
      <c r="S94" s="29"/>
      <c r="T94" s="29"/>
      <c r="U94" s="29"/>
      <c r="V94" s="29"/>
      <c r="W94" s="29"/>
      <c r="X94" s="29"/>
      <c r="Y94" s="29"/>
      <c r="Z94" s="29"/>
      <c r="AA94" s="29"/>
      <c r="AB94" s="29"/>
      <c r="AC94" s="29"/>
      <c r="AD94" s="29"/>
      <c r="AE94" s="29"/>
    </row>
    <row r="95" spans="1:31" x14ac:dyDescent="0.3">
      <c r="B95" s="11" t="s">
        <v>21</v>
      </c>
      <c r="C95" s="79">
        <f>C91*0.02</f>
        <v>8000</v>
      </c>
      <c r="D95" s="80"/>
      <c r="E95" s="10">
        <v>2</v>
      </c>
      <c r="M95" s="29"/>
      <c r="N95" s="29"/>
      <c r="O95" s="29"/>
      <c r="P95" s="29"/>
      <c r="Q95" s="29"/>
      <c r="R95" s="29"/>
      <c r="S95" s="29"/>
      <c r="T95" s="29"/>
      <c r="U95" s="29"/>
      <c r="V95" s="29"/>
      <c r="W95" s="29"/>
      <c r="X95" s="29"/>
      <c r="Y95" s="29"/>
      <c r="Z95" s="29"/>
      <c r="AA95" s="29"/>
      <c r="AB95" s="29"/>
      <c r="AC95" s="29"/>
      <c r="AD95" s="29"/>
      <c r="AE95" s="29"/>
    </row>
  </sheetData>
  <mergeCells count="15">
    <mergeCell ref="C94:D94"/>
    <mergeCell ref="C95:D95"/>
    <mergeCell ref="A7:F7"/>
    <mergeCell ref="H7:K7"/>
    <mergeCell ref="C90:D90"/>
    <mergeCell ref="C91:D91"/>
    <mergeCell ref="C92:D92"/>
    <mergeCell ref="C93:D93"/>
    <mergeCell ref="A6:G6"/>
    <mergeCell ref="H6:K6"/>
    <mergeCell ref="A1:K1"/>
    <mergeCell ref="A2:K2"/>
    <mergeCell ref="A3:K3"/>
    <mergeCell ref="A4:K4"/>
    <mergeCell ref="A5:K5"/>
  </mergeCells>
  <hyperlinks>
    <hyperlink ref="B59" r:id="rId1"/>
  </hyperlinks>
  <printOptions horizontalCentered="1"/>
  <pageMargins left="0.70866141732283472" right="0.70866141732283472" top="0.74803149606299213" bottom="0.74803149606299213" header="0.31496062992125984" footer="0.31496062992125984"/>
  <pageSetup paperSize="9" scale="80" orientation="portrait" horizontalDpi="300" verticalDpi="300" r:id="rId2"/>
  <headerFooter>
    <oddFooter xml:space="preserve">&amp;LPrepared By:&amp;CChecked By:&amp;RApproved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A13" zoomScaleNormal="100" workbookViewId="0">
      <selection activeCell="B39" sqref="B39"/>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3" x14ac:dyDescent="0.3">
      <c r="A1" s="87" t="s">
        <v>0</v>
      </c>
      <c r="B1" s="87"/>
      <c r="C1" s="87"/>
      <c r="D1" s="87"/>
      <c r="E1" s="87"/>
      <c r="F1" s="87"/>
      <c r="G1" s="87"/>
      <c r="H1" s="87"/>
      <c r="I1" s="87"/>
      <c r="J1" s="87"/>
      <c r="K1" s="87"/>
    </row>
    <row r="2" spans="1:13" ht="24.6" x14ac:dyDescent="0.4">
      <c r="A2" s="88" t="s">
        <v>1</v>
      </c>
      <c r="B2" s="88"/>
      <c r="C2" s="88"/>
      <c r="D2" s="88"/>
      <c r="E2" s="88"/>
      <c r="F2" s="88"/>
      <c r="G2" s="88"/>
      <c r="H2" s="88"/>
      <c r="I2" s="88"/>
      <c r="J2" s="88"/>
      <c r="K2" s="88"/>
    </row>
    <row r="3" spans="1:13" s="1" customFormat="1" x14ac:dyDescent="0.3">
      <c r="A3" s="77" t="s">
        <v>2</v>
      </c>
      <c r="B3" s="77"/>
      <c r="C3" s="77"/>
      <c r="D3" s="77"/>
      <c r="E3" s="77"/>
      <c r="F3" s="77"/>
      <c r="G3" s="77"/>
      <c r="H3" s="77"/>
      <c r="I3" s="77"/>
      <c r="J3" s="77"/>
      <c r="K3" s="77"/>
    </row>
    <row r="4" spans="1:13" s="1" customFormat="1" x14ac:dyDescent="0.3">
      <c r="A4" s="77" t="s">
        <v>3</v>
      </c>
      <c r="B4" s="77"/>
      <c r="C4" s="77"/>
      <c r="D4" s="77"/>
      <c r="E4" s="77"/>
      <c r="F4" s="77"/>
      <c r="G4" s="77"/>
      <c r="H4" s="77"/>
      <c r="I4" s="77"/>
      <c r="J4" s="77"/>
      <c r="K4" s="77"/>
    </row>
    <row r="5" spans="1:13" ht="18" x14ac:dyDescent="0.35">
      <c r="A5" s="89" t="s">
        <v>66</v>
      </c>
      <c r="B5" s="89"/>
      <c r="C5" s="89"/>
      <c r="D5" s="89"/>
      <c r="E5" s="89"/>
      <c r="F5" s="89"/>
      <c r="G5" s="89"/>
      <c r="H5" s="89"/>
      <c r="I5" s="89"/>
      <c r="J5" s="89"/>
      <c r="K5" s="89"/>
    </row>
    <row r="6" spans="1:13" ht="18" x14ac:dyDescent="0.35">
      <c r="A6" s="58" t="s">
        <v>67</v>
      </c>
      <c r="B6" s="58"/>
      <c r="C6" s="85">
        <f>F50</f>
        <v>469525.84411021339</v>
      </c>
      <c r="D6" s="86"/>
      <c r="E6" s="59"/>
      <c r="F6" s="58"/>
      <c r="G6" s="58"/>
      <c r="H6" s="58" t="s">
        <v>68</v>
      </c>
      <c r="I6" s="58"/>
      <c r="J6" s="85">
        <f>I50</f>
        <v>469988.02996661171</v>
      </c>
      <c r="K6" s="86"/>
    </row>
    <row r="7" spans="1:13" x14ac:dyDescent="0.3">
      <c r="A7" s="60" t="s">
        <v>69</v>
      </c>
      <c r="B7" s="60"/>
      <c r="C7" s="60"/>
      <c r="D7" s="60"/>
      <c r="F7" s="90"/>
      <c r="G7" s="90"/>
      <c r="I7" s="91" t="s">
        <v>70</v>
      </c>
      <c r="J7" s="91"/>
      <c r="K7" s="91"/>
    </row>
    <row r="8" spans="1:13" ht="15.6" x14ac:dyDescent="0.3">
      <c r="A8" s="92" t="str">
        <f>'[9]Sheet4 (2)'!A6:F6</f>
        <v>Project:- ૐ शान्ति भवन निर्माण तथा मर्मत</v>
      </c>
      <c r="B8" s="92"/>
      <c r="C8" s="92"/>
      <c r="D8" s="92"/>
      <c r="E8" s="92"/>
      <c r="F8" s="92"/>
      <c r="I8" s="93" t="s">
        <v>71</v>
      </c>
      <c r="J8" s="93"/>
      <c r="K8" s="93"/>
    </row>
    <row r="9" spans="1:13" x14ac:dyDescent="0.3">
      <c r="A9" s="94" t="str">
        <f>'[9]Sheet4 (2)'!A7:F7</f>
        <v>Location:- Shankharapur Municipality 9</v>
      </c>
      <c r="B9" s="94"/>
      <c r="C9" s="94"/>
      <c r="D9" s="94"/>
      <c r="E9" s="94"/>
      <c r="F9" s="94"/>
      <c r="I9" s="93" t="s">
        <v>72</v>
      </c>
      <c r="J9" s="93"/>
      <c r="K9" s="93"/>
    </row>
    <row r="11" spans="1:13" x14ac:dyDescent="0.3">
      <c r="A11" s="96" t="s">
        <v>73</v>
      </c>
      <c r="B11" s="96" t="s">
        <v>74</v>
      </c>
      <c r="C11" s="96" t="s">
        <v>12</v>
      </c>
      <c r="D11" s="97" t="s">
        <v>75</v>
      </c>
      <c r="E11" s="97"/>
      <c r="F11" s="97"/>
      <c r="G11" s="97" t="s">
        <v>76</v>
      </c>
      <c r="H11" s="97"/>
      <c r="I11" s="97"/>
      <c r="J11" s="96" t="s">
        <v>77</v>
      </c>
      <c r="K11" s="95" t="s">
        <v>15</v>
      </c>
    </row>
    <row r="12" spans="1:13" x14ac:dyDescent="0.3">
      <c r="A12" s="96"/>
      <c r="B12" s="96"/>
      <c r="C12" s="96"/>
      <c r="D12" s="61" t="s">
        <v>78</v>
      </c>
      <c r="E12" s="61" t="s">
        <v>13</v>
      </c>
      <c r="F12" s="61" t="s">
        <v>14</v>
      </c>
      <c r="G12" s="61" t="s">
        <v>78</v>
      </c>
      <c r="H12" s="61" t="s">
        <v>13</v>
      </c>
      <c r="I12" s="61" t="s">
        <v>14</v>
      </c>
      <c r="J12" s="96"/>
      <c r="K12" s="95"/>
    </row>
    <row r="13" spans="1:13" s="1" customFormat="1" x14ac:dyDescent="0.3">
      <c r="A13" s="62">
        <f>'as per mistry'!A9</f>
        <v>1</v>
      </c>
      <c r="B13" s="63" t="str">
        <f>'as per mistry'!B9</f>
        <v>sfnf] kmnfd] kfO{ksf] 6«; agfO{ h8fg ug]{ sfd</v>
      </c>
      <c r="C13" s="10" t="str">
        <f>'as per mistry'!H21</f>
        <v>Kg</v>
      </c>
      <c r="D13" s="10">
        <f>'as per mistry'!G21</f>
        <v>420.25305089911609</v>
      </c>
      <c r="E13" s="10">
        <f>'as per mistry'!I21</f>
        <v>181.17</v>
      </c>
      <c r="F13" s="10">
        <f>D13*E13</f>
        <v>76137.245231392852</v>
      </c>
      <c r="G13" s="10">
        <f>V!G20</f>
        <v>402.53033331301435</v>
      </c>
      <c r="H13" s="10">
        <f>V!I20</f>
        <v>181.17</v>
      </c>
      <c r="I13" s="10">
        <f>G13*H13</f>
        <v>72926.420486318806</v>
      </c>
      <c r="J13" s="64">
        <f>I13-F13</f>
        <v>-3210.8247450740455</v>
      </c>
      <c r="K13" s="65"/>
      <c r="M13" s="1">
        <f>1.25*F13</f>
        <v>95171.556539241064</v>
      </c>
    </row>
    <row r="14" spans="1:13" s="1" customFormat="1" ht="15.6" x14ac:dyDescent="0.3">
      <c r="A14" s="62"/>
      <c r="B14" s="66" t="str">
        <f>'as per mistry'!B22</f>
        <v>-VAT 13% for materials</v>
      </c>
      <c r="C14" s="10"/>
      <c r="D14" s="10"/>
      <c r="E14" s="10"/>
      <c r="F14" s="10">
        <f>'as per mistry'!J22</f>
        <v>5398.1570953944611</v>
      </c>
      <c r="G14" s="10"/>
      <c r="H14" s="10"/>
      <c r="I14" s="10">
        <f>V!J21</f>
        <v>5170.5085072821221</v>
      </c>
      <c r="J14" s="64">
        <f>I14-F14</f>
        <v>-227.64858811233898</v>
      </c>
      <c r="K14" s="65"/>
      <c r="M14" s="1">
        <f>1.25*F14</f>
        <v>6747.6963692430763</v>
      </c>
    </row>
    <row r="15" spans="1:13" s="1" customFormat="1" ht="15.6" x14ac:dyDescent="0.3">
      <c r="A15" s="62"/>
      <c r="B15" s="67"/>
      <c r="C15" s="10"/>
      <c r="D15" s="10"/>
      <c r="E15" s="10"/>
      <c r="F15" s="10"/>
      <c r="G15" s="10"/>
      <c r="H15" s="10"/>
      <c r="I15" s="10"/>
      <c r="J15" s="64"/>
      <c r="K15" s="65"/>
    </row>
    <row r="16" spans="1:13" s="1" customFormat="1" ht="27.6" x14ac:dyDescent="0.3">
      <c r="A16" s="62">
        <f>'as per mistry'!A24</f>
        <v>2</v>
      </c>
      <c r="B16" s="63" t="str">
        <f>'as per mistry'!B24</f>
        <v xml:space="preserve">).#^ lblv ).$ dL.dL.afSnf] sf]?u]6]8 /+lug ss{6 kftfsf] 5fgf 5fpg] sfd </v>
      </c>
      <c r="C16" s="10" t="str">
        <f>'as per mistry'!H26</f>
        <v>sqm</v>
      </c>
      <c r="D16" s="10">
        <f>'as per mistry'!G26</f>
        <v>49.048017916646423</v>
      </c>
      <c r="E16" s="10">
        <f>'as per mistry'!I26</f>
        <v>1070.9000000000001</v>
      </c>
      <c r="F16" s="10">
        <f>D16*E16</f>
        <v>52525.52238693666</v>
      </c>
      <c r="G16" s="10">
        <f>V!G25</f>
        <v>37.667999999999999</v>
      </c>
      <c r="H16" s="10">
        <f>V!I25</f>
        <v>1070.9000000000001</v>
      </c>
      <c r="I16" s="10">
        <f>G16*H16</f>
        <v>40338.661200000002</v>
      </c>
      <c r="J16" s="64">
        <f>I16-F16</f>
        <v>-12186.861186936658</v>
      </c>
      <c r="K16" s="65"/>
      <c r="M16" s="1">
        <f t="shared" ref="M16:M48" si="0">1.25*F16</f>
        <v>65656.902983670821</v>
      </c>
    </row>
    <row r="17" spans="1:13" s="1" customFormat="1" ht="15.6" x14ac:dyDescent="0.3">
      <c r="A17" s="62"/>
      <c r="B17" s="66" t="str">
        <f>'as per mistry'!B27</f>
        <v>-VAT 13% for materials</v>
      </c>
      <c r="C17" s="10"/>
      <c r="D17" s="10"/>
      <c r="E17" s="10"/>
      <c r="F17" s="10">
        <f>'as per mistry'!J27</f>
        <v>5235.9279035009986</v>
      </c>
      <c r="G17" s="10"/>
      <c r="H17" s="10"/>
      <c r="I17" s="10">
        <f>V!J26</f>
        <v>4021.0989280800009</v>
      </c>
      <c r="J17" s="64">
        <f>I17-F17</f>
        <v>-1214.8289754209977</v>
      </c>
      <c r="K17" s="65"/>
      <c r="M17" s="1">
        <f t="shared" si="0"/>
        <v>6544.9098793762478</v>
      </c>
    </row>
    <row r="18" spans="1:13" s="1" customFormat="1" ht="15.6" x14ac:dyDescent="0.3">
      <c r="A18" s="62"/>
      <c r="B18" s="67"/>
      <c r="C18" s="10"/>
      <c r="D18" s="10"/>
      <c r="E18" s="10"/>
      <c r="F18" s="10"/>
      <c r="G18" s="10"/>
      <c r="H18" s="10"/>
      <c r="I18" s="10"/>
      <c r="J18" s="64"/>
      <c r="K18" s="65"/>
    </row>
    <row r="19" spans="1:13" s="1" customFormat="1" ht="27.6" x14ac:dyDescent="0.3">
      <c r="A19" s="62">
        <f>'as per mistry'!A29</f>
        <v>3</v>
      </c>
      <c r="B19" s="63" t="str">
        <f>'as per mistry'!B29</f>
        <v xml:space="preserve">g/d k|sf/sf] Sn] / l;N6L df6f]df ;j} lsl;dsf] vGg] sfd </v>
      </c>
      <c r="C19" s="10" t="str">
        <f>'as per mistry'!H31</f>
        <v>cum</v>
      </c>
      <c r="D19" s="10">
        <f>'as per mistry'!G31</f>
        <v>1.0813166717464189</v>
      </c>
      <c r="E19" s="10">
        <f>'as per mistry'!I31</f>
        <v>663.31</v>
      </c>
      <c r="F19" s="10">
        <f>D19*E19</f>
        <v>717.2481615361171</v>
      </c>
      <c r="G19" s="10">
        <f>V!G30</f>
        <v>1.0813166717464189</v>
      </c>
      <c r="H19" s="10">
        <f>V!I30</f>
        <v>663.31</v>
      </c>
      <c r="I19" s="10">
        <f>G19*H19</f>
        <v>717.2481615361171</v>
      </c>
      <c r="J19" s="64">
        <f>I19-F19</f>
        <v>0</v>
      </c>
      <c r="K19" s="65"/>
      <c r="M19" s="1">
        <f t="shared" ref="M19" si="1">1.25*F19</f>
        <v>896.56020192014637</v>
      </c>
    </row>
    <row r="20" spans="1:13" s="1" customFormat="1" ht="15.6" x14ac:dyDescent="0.3">
      <c r="A20" s="62"/>
      <c r="B20" s="67"/>
      <c r="C20" s="10"/>
      <c r="D20" s="10"/>
      <c r="E20" s="10"/>
      <c r="F20" s="10"/>
      <c r="G20" s="10"/>
      <c r="H20" s="10"/>
      <c r="I20" s="10"/>
      <c r="J20" s="64"/>
      <c r="K20" s="65"/>
    </row>
    <row r="21" spans="1:13" s="1" customFormat="1" x14ac:dyDescent="0.3">
      <c r="A21" s="62">
        <f>'as per mistry'!A33</f>
        <v>4</v>
      </c>
      <c r="B21" s="63" t="str">
        <f>'as per mistry'!B33</f>
        <v>;'Vvf O{6f RofK6f] 5fKg] sfd</v>
      </c>
      <c r="C21" s="10" t="str">
        <f>'as per mistry'!H36</f>
        <v>sqm</v>
      </c>
      <c r="D21" s="10">
        <f>'as per mistry'!G36</f>
        <v>20.266717883604034</v>
      </c>
      <c r="E21" s="10">
        <f>'as per mistry'!I36</f>
        <v>1014.97</v>
      </c>
      <c r="F21" s="10">
        <f>D21*E21</f>
        <v>20570.110650321589</v>
      </c>
      <c r="G21" s="10">
        <f>V!G35</f>
        <v>21.572875</v>
      </c>
      <c r="H21" s="10">
        <f>V!I35</f>
        <v>1014.97</v>
      </c>
      <c r="I21" s="10">
        <f>G21*H21</f>
        <v>21895.820938749999</v>
      </c>
      <c r="J21" s="64">
        <f>I21-F21</f>
        <v>1325.7102884284104</v>
      </c>
      <c r="K21" s="65"/>
      <c r="M21" s="1">
        <f t="shared" si="0"/>
        <v>25712.638312901985</v>
      </c>
    </row>
    <row r="22" spans="1:13" s="1" customFormat="1" ht="15.6" x14ac:dyDescent="0.3">
      <c r="A22" s="62"/>
      <c r="B22" s="66" t="str">
        <f>'as per mistry'!B37</f>
        <v>-VAT 13% for materials</v>
      </c>
      <c r="C22" s="10"/>
      <c r="D22" s="10"/>
      <c r="E22" s="10"/>
      <c r="F22" s="10">
        <f>'as per mistry'!J37</f>
        <v>2270.3506975057053</v>
      </c>
      <c r="G22" s="10"/>
      <c r="H22" s="10"/>
      <c r="I22" s="10">
        <f>V!J36</f>
        <v>2416.6711198500007</v>
      </c>
      <c r="J22" s="64">
        <f>I22-F22</f>
        <v>146.32042234429537</v>
      </c>
      <c r="K22" s="65"/>
      <c r="M22" s="1">
        <f t="shared" si="0"/>
        <v>2837.9383718821318</v>
      </c>
    </row>
    <row r="23" spans="1:13" s="1" customFormat="1" ht="15.6" x14ac:dyDescent="0.3">
      <c r="A23" s="62"/>
      <c r="B23" s="67"/>
      <c r="C23" s="10"/>
      <c r="D23" s="10"/>
      <c r="E23" s="10"/>
      <c r="F23" s="10"/>
      <c r="G23" s="10"/>
      <c r="H23" s="10"/>
      <c r="I23" s="10"/>
      <c r="J23" s="64"/>
      <c r="K23" s="65"/>
    </row>
    <row r="24" spans="1:13" s="1" customFormat="1" ht="27.6" x14ac:dyDescent="0.3">
      <c r="A24" s="62">
        <f>'as per mistry'!A39</f>
        <v>5</v>
      </c>
      <c r="B24" s="63" t="str">
        <f>'as per mistry'!B39</f>
        <v xml:space="preserve">hu leQf kvf{ndf l;d]G6 s+lqm6 ug]{ sfd -lk=;L=;L= !M@M$_  </v>
      </c>
      <c r="C24" s="10" t="str">
        <f>'as per mistry'!H41</f>
        <v>cum</v>
      </c>
      <c r="D24" s="10">
        <f>'as per mistry'!G41</f>
        <v>9.1124999999999998E-2</v>
      </c>
      <c r="E24" s="10">
        <f>'as per mistry'!I41</f>
        <v>12983.1</v>
      </c>
      <c r="F24" s="10">
        <f>D24*E24</f>
        <v>1183.0849874999999</v>
      </c>
      <c r="G24" s="10">
        <f>V!G40</f>
        <v>9.1124999999999998E-2</v>
      </c>
      <c r="H24" s="10">
        <f>V!I40</f>
        <v>12983.1</v>
      </c>
      <c r="I24" s="10">
        <f>G24*H24</f>
        <v>1183.0849874999999</v>
      </c>
      <c r="J24" s="64">
        <f>I24-F24</f>
        <v>0</v>
      </c>
      <c r="K24" s="65"/>
      <c r="M24" s="1">
        <f t="shared" si="0"/>
        <v>1478.856234375</v>
      </c>
    </row>
    <row r="25" spans="1:13" s="1" customFormat="1" ht="15.6" x14ac:dyDescent="0.3">
      <c r="A25" s="62"/>
      <c r="B25" s="66" t="str">
        <f>'as per mistry'!B42</f>
        <v>-VAT 13% for materials</v>
      </c>
      <c r="C25" s="10"/>
      <c r="D25" s="10"/>
      <c r="E25" s="10"/>
      <c r="F25" s="10">
        <f>'as per mistry'!J42</f>
        <v>95.695310587500003</v>
      </c>
      <c r="G25" s="10"/>
      <c r="H25" s="10"/>
      <c r="I25" s="10">
        <f>V!J41</f>
        <v>95.695310587500003</v>
      </c>
      <c r="J25" s="64">
        <f>I25-F25</f>
        <v>0</v>
      </c>
      <c r="K25" s="65"/>
      <c r="M25" s="1">
        <f t="shared" si="0"/>
        <v>119.619138234375</v>
      </c>
    </row>
    <row r="26" spans="1:13" s="1" customFormat="1" ht="15.6" x14ac:dyDescent="0.3">
      <c r="A26" s="62"/>
      <c r="B26" s="67"/>
      <c r="C26" s="10"/>
      <c r="D26" s="10"/>
      <c r="E26" s="10"/>
      <c r="F26" s="10"/>
      <c r="G26" s="10"/>
      <c r="H26" s="10"/>
      <c r="I26" s="10"/>
      <c r="J26" s="64"/>
      <c r="K26" s="65"/>
    </row>
    <row r="27" spans="1:13" s="1" customFormat="1" ht="27.6" x14ac:dyDescent="0.3">
      <c r="A27" s="62">
        <f>'as per mistry'!A44</f>
        <v>6</v>
      </c>
      <c r="B27" s="63" t="str">
        <f>'as per mistry'!B44</f>
        <v xml:space="preserve">d]lzgsf] k|of]u u/L ;'k/ :6«Sr/df l;d]G6 s+lqm6 ug]{ sfd -!M!=%M#_ </v>
      </c>
      <c r="C27" s="10" t="str">
        <f>'as per mistry'!H48</f>
        <v>cum</v>
      </c>
      <c r="D27" s="10">
        <f>'as per mistry'!G48</f>
        <v>2.5831288412703026</v>
      </c>
      <c r="E27" s="10">
        <f>'as per mistry'!I48</f>
        <v>13568.9</v>
      </c>
      <c r="F27" s="10">
        <f>D27*E27</f>
        <v>35050.216934312608</v>
      </c>
      <c r="G27" s="10">
        <f>V!G47</f>
        <v>2.6438831250000003</v>
      </c>
      <c r="H27" s="10">
        <f>V!I47</f>
        <v>13568.9</v>
      </c>
      <c r="I27" s="10">
        <f>G27*H27</f>
        <v>35874.585734812506</v>
      </c>
      <c r="J27" s="64">
        <f>I27-F27</f>
        <v>824.3688004998985</v>
      </c>
      <c r="K27" s="65"/>
      <c r="M27" s="1">
        <f t="shared" si="0"/>
        <v>43812.771167890758</v>
      </c>
    </row>
    <row r="28" spans="1:13" s="1" customFormat="1" ht="15.6" x14ac:dyDescent="0.3">
      <c r="A28" s="62"/>
      <c r="B28" s="66" t="str">
        <f>'as per mistry'!B49</f>
        <v>-VAT 13% for materials</v>
      </c>
      <c r="C28" s="10"/>
      <c r="D28" s="10"/>
      <c r="E28" s="10"/>
      <c r="F28" s="10">
        <f>'as per mistry'!J49</f>
        <v>3198.2906423034606</v>
      </c>
      <c r="G28" s="10"/>
      <c r="H28" s="10"/>
      <c r="I28" s="10">
        <f>V!J48</f>
        <v>3273.5133156862507</v>
      </c>
      <c r="J28" s="64">
        <f>I28-F28</f>
        <v>75.222673382790163</v>
      </c>
      <c r="K28" s="65"/>
      <c r="M28" s="1">
        <f t="shared" si="0"/>
        <v>3997.8633028793256</v>
      </c>
    </row>
    <row r="29" spans="1:13" s="1" customFormat="1" ht="15.6" x14ac:dyDescent="0.3">
      <c r="A29" s="62"/>
      <c r="B29" s="67"/>
      <c r="C29" s="10"/>
      <c r="D29" s="10"/>
      <c r="E29" s="10"/>
      <c r="F29" s="10"/>
      <c r="G29" s="10"/>
      <c r="H29" s="10"/>
      <c r="I29" s="10"/>
      <c r="J29" s="64"/>
      <c r="K29" s="65"/>
    </row>
    <row r="30" spans="1:13" s="1" customFormat="1" ht="27.6" x14ac:dyDescent="0.3">
      <c r="A30" s="62">
        <f>'as per mistry'!A51</f>
        <v>7</v>
      </c>
      <c r="B30" s="63" t="str">
        <f>'as per mistry'!B51</f>
        <v>e'O{+tNnfdf lrDgL e§fsf] O{+6fsf] uf/f] l;d]G6 d;nf -!M^_ df</v>
      </c>
      <c r="C30" s="10" t="str">
        <f>'as per mistry'!H56</f>
        <v>cum</v>
      </c>
      <c r="D30" s="10">
        <f>'as per mistry'!G56</f>
        <v>5.8450003047851267</v>
      </c>
      <c r="E30" s="10">
        <f>'as per mistry'!I56</f>
        <v>14362.76</v>
      </c>
      <c r="F30" s="10">
        <f>D30*E30</f>
        <v>83950.33657755563</v>
      </c>
      <c r="G30" s="10">
        <f>V!G56</f>
        <v>5.8524646144468164</v>
      </c>
      <c r="H30" s="10">
        <f>V!I56</f>
        <v>14362.76</v>
      </c>
      <c r="I30" s="10">
        <f>G30*H30</f>
        <v>84057.544665792157</v>
      </c>
      <c r="J30" s="64">
        <f>I30-F30</f>
        <v>107.20808823652624</v>
      </c>
      <c r="K30" s="65"/>
      <c r="M30" s="1">
        <f t="shared" si="0"/>
        <v>104937.92072194454</v>
      </c>
    </row>
    <row r="31" spans="1:13" s="1" customFormat="1" ht="15.6" x14ac:dyDescent="0.3">
      <c r="A31" s="62"/>
      <c r="B31" s="66" t="str">
        <f>'as per mistry'!B57</f>
        <v>-VAT 13% for materials</v>
      </c>
      <c r="C31" s="10"/>
      <c r="D31" s="10"/>
      <c r="E31" s="10"/>
      <c r="F31" s="10">
        <f>'as per mistry'!J57</f>
        <v>7835.3760475724484</v>
      </c>
      <c r="G31" s="10"/>
      <c r="H31" s="10"/>
      <c r="I31" s="10">
        <f>V!J57</f>
        <v>7845.3821502388555</v>
      </c>
      <c r="J31" s="64">
        <f>I31-F31</f>
        <v>10.00610266640706</v>
      </c>
      <c r="K31" s="65"/>
      <c r="M31" s="1">
        <f t="shared" si="0"/>
        <v>9794.2200594655606</v>
      </c>
    </row>
    <row r="32" spans="1:13" s="1" customFormat="1" ht="15.6" x14ac:dyDescent="0.3">
      <c r="A32" s="62"/>
      <c r="B32" s="67"/>
      <c r="C32" s="10"/>
      <c r="D32" s="10"/>
      <c r="E32" s="10"/>
      <c r="F32" s="10"/>
      <c r="G32" s="10"/>
      <c r="H32" s="10"/>
      <c r="I32" s="10"/>
      <c r="J32" s="64"/>
      <c r="K32" s="65"/>
    </row>
    <row r="33" spans="1:13" s="1" customFormat="1" x14ac:dyDescent="0.3">
      <c r="A33" s="62">
        <f>'as per mistry'!A59</f>
        <v>8</v>
      </c>
      <c r="B33" s="63" t="str">
        <f>'as per mistry'!B59</f>
        <v>!@=% dL=dL= l;d]G6 afn'jf -!M$_ Knfi6/</v>
      </c>
      <c r="C33" s="10" t="str">
        <f>'as per mistry'!H62</f>
        <v>sqm</v>
      </c>
      <c r="D33" s="10">
        <f>'as per mistry'!G62</f>
        <v>34.562633343492834</v>
      </c>
      <c r="E33" s="10">
        <f>'as per mistry'!I62</f>
        <v>405.86</v>
      </c>
      <c r="F33" s="10">
        <f>D33*E33</f>
        <v>14027.590368790003</v>
      </c>
      <c r="G33" s="10">
        <f>V!G62</f>
        <v>39.710999999999999</v>
      </c>
      <c r="H33" s="10">
        <f>V!I62</f>
        <v>405.86</v>
      </c>
      <c r="I33" s="10">
        <f>G33*H33</f>
        <v>16117.106459999999</v>
      </c>
      <c r="J33" s="64">
        <f>I33-F33</f>
        <v>2089.5160912099964</v>
      </c>
      <c r="K33" s="65"/>
      <c r="M33" s="1">
        <f t="shared" si="0"/>
        <v>17534.487960987502</v>
      </c>
    </row>
    <row r="34" spans="1:13" s="1" customFormat="1" ht="15.6" x14ac:dyDescent="0.3">
      <c r="A34" s="62"/>
      <c r="B34" s="66" t="str">
        <f>'as per mistry'!B63</f>
        <v>-VAT 13% for materials</v>
      </c>
      <c r="C34" s="10"/>
      <c r="D34" s="10"/>
      <c r="E34" s="10"/>
      <c r="F34" s="10">
        <f>'as per mistry'!J63</f>
        <v>501.71325937214266</v>
      </c>
      <c r="G34" s="10"/>
      <c r="H34" s="10"/>
      <c r="I34" s="10">
        <f>V!J63</f>
        <v>576.44725865999999</v>
      </c>
      <c r="J34" s="64">
        <f>I34-F34</f>
        <v>74.73399928785733</v>
      </c>
      <c r="K34" s="65"/>
      <c r="M34" s="1">
        <f t="shared" si="0"/>
        <v>627.14157421517837</v>
      </c>
    </row>
    <row r="35" spans="1:13" s="1" customFormat="1" ht="15.6" x14ac:dyDescent="0.3">
      <c r="A35" s="62"/>
      <c r="B35" s="67"/>
      <c r="C35" s="10"/>
      <c r="D35" s="10"/>
      <c r="E35" s="10"/>
      <c r="F35" s="10"/>
      <c r="G35" s="10"/>
      <c r="H35" s="10"/>
      <c r="I35" s="10"/>
      <c r="J35" s="64"/>
      <c r="K35" s="65"/>
    </row>
    <row r="36" spans="1:13" s="1" customFormat="1" ht="156" x14ac:dyDescent="0.3">
      <c r="A36" s="62">
        <f>'as per mistry'!A65</f>
        <v>9</v>
      </c>
      <c r="B36" s="68" t="str">
        <f>'as per mistry'!B65</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v>
      </c>
      <c r="C36" s="10" t="str">
        <f>'as per mistry'!H67</f>
        <v>m3</v>
      </c>
      <c r="D36" s="10">
        <f>'as per mistry'!G67</f>
        <v>7.9651971249999995</v>
      </c>
      <c r="E36" s="10">
        <f>'as per mistry'!I67</f>
        <v>64.63</v>
      </c>
      <c r="F36" s="10">
        <f>D36*E36</f>
        <v>514.79069018874998</v>
      </c>
      <c r="G36" s="10">
        <f>V!G68</f>
        <v>6.7615917403230732</v>
      </c>
      <c r="H36" s="10">
        <f>V!I68</f>
        <v>64.63</v>
      </c>
      <c r="I36" s="10">
        <f>G36*H36</f>
        <v>437.00167417708019</v>
      </c>
      <c r="J36" s="64">
        <f>I36-F36</f>
        <v>-77.789016011669787</v>
      </c>
      <c r="K36" s="65"/>
      <c r="M36" s="1">
        <f t="shared" si="0"/>
        <v>643.48836273593747</v>
      </c>
    </row>
    <row r="37" spans="1:13" s="1" customFormat="1" ht="15.6" x14ac:dyDescent="0.3">
      <c r="A37" s="62"/>
      <c r="B37" s="66" t="str">
        <f>'[9]Sheet4 (2)'!B56</f>
        <v>VAT calculation</v>
      </c>
      <c r="C37" s="10"/>
      <c r="D37" s="10"/>
      <c r="E37" s="10"/>
      <c r="F37" s="10">
        <f>'as per mistry'!J68</f>
        <v>55.466977712791667</v>
      </c>
      <c r="G37" s="10"/>
      <c r="H37" s="10"/>
      <c r="I37" s="10">
        <f>V!J69</f>
        <v>47.085471015696434</v>
      </c>
      <c r="J37" s="64">
        <f>I37-F37</f>
        <v>-8.381506697095233</v>
      </c>
      <c r="K37" s="65"/>
      <c r="M37" s="1">
        <f t="shared" si="0"/>
        <v>69.333722140989579</v>
      </c>
    </row>
    <row r="38" spans="1:13" s="1" customFormat="1" ht="15.6" x14ac:dyDescent="0.3">
      <c r="A38" s="62"/>
      <c r="B38" s="67"/>
      <c r="C38" s="10"/>
      <c r="D38" s="10"/>
      <c r="E38" s="10"/>
      <c r="F38" s="10"/>
      <c r="G38" s="10"/>
      <c r="H38" s="10"/>
      <c r="I38" s="10"/>
      <c r="J38" s="64"/>
      <c r="K38" s="65"/>
    </row>
    <row r="39" spans="1:13" s="1" customFormat="1" ht="93.6" x14ac:dyDescent="0.3">
      <c r="A39" s="62">
        <f>'as per mistry'!A70</f>
        <v>10</v>
      </c>
      <c r="B39" s="67" t="str">
        <f>'as per mistry'!B70</f>
        <v>Providing and laying of hand pack locally available Stone soling with 150 to 200 mm thick stones and packing with smaller stone on prepared surface as per Drawing and Technical Specifications.</v>
      </c>
      <c r="C39" s="10" t="str">
        <f>'as per mistry'!H72</f>
        <v>m3</v>
      </c>
      <c r="D39" s="10">
        <f>'as per mistry'!G72</f>
        <v>1.1947795687499998</v>
      </c>
      <c r="E39" s="10">
        <f>'as per mistry'!I72</f>
        <v>4434.5200000000004</v>
      </c>
      <c r="F39" s="10">
        <f>D39*E39</f>
        <v>5298.2738932132497</v>
      </c>
      <c r="G39" s="10">
        <f>V!G74</f>
        <v>1.3661498018896676</v>
      </c>
      <c r="H39" s="10">
        <f>V!I74</f>
        <v>4434.5200000000004</v>
      </c>
      <c r="I39" s="72">
        <f>G39*H39</f>
        <v>6058.2186194757696</v>
      </c>
      <c r="J39" s="64">
        <f>I39-F39</f>
        <v>759.94472626251991</v>
      </c>
      <c r="K39" s="65"/>
      <c r="M39" s="1">
        <f t="shared" si="0"/>
        <v>6622.8423665165619</v>
      </c>
    </row>
    <row r="40" spans="1:13" s="1" customFormat="1" ht="15.6" x14ac:dyDescent="0.3">
      <c r="A40" s="62"/>
      <c r="B40" s="66" t="str">
        <f>'as per mistry'!B73</f>
        <v>VAT calculation</v>
      </c>
      <c r="C40" s="10"/>
      <c r="D40" s="10"/>
      <c r="E40" s="10"/>
      <c r="F40" s="10">
        <f>'as per mistry'!J73</f>
        <v>460.29790918565988</v>
      </c>
      <c r="G40" s="10"/>
      <c r="H40" s="10"/>
      <c r="I40" s="72">
        <f>V!J75</f>
        <v>526.31959391648888</v>
      </c>
      <c r="J40" s="64">
        <f>I40-F40</f>
        <v>66.021684730829008</v>
      </c>
      <c r="K40" s="65"/>
      <c r="M40" s="1">
        <f t="shared" si="0"/>
        <v>575.37238648207483</v>
      </c>
    </row>
    <row r="41" spans="1:13" s="1" customFormat="1" ht="15.6" x14ac:dyDescent="0.3">
      <c r="A41" s="62"/>
      <c r="B41" s="67"/>
      <c r="C41" s="10"/>
      <c r="D41" s="10"/>
      <c r="E41" s="10"/>
      <c r="F41" s="10"/>
      <c r="G41" s="10"/>
      <c r="H41" s="10"/>
      <c r="I41" s="10"/>
      <c r="J41" s="64"/>
      <c r="K41" s="65"/>
    </row>
    <row r="42" spans="1:13" s="1" customFormat="1" ht="78" x14ac:dyDescent="0.3">
      <c r="A42" s="62">
        <f>'as per mistry'!A75</f>
        <v>11</v>
      </c>
      <c r="B42" s="67" t="str">
        <f>'as per mistry'!B75</f>
        <v>Providing and laying of Plain/Reinforced Cement Concrete in Foundation complete as per Drawing and Technical Specifications, PCC Grade M 15</v>
      </c>
      <c r="C42" s="10" t="str">
        <f>'as per mistry'!H78</f>
        <v>m3</v>
      </c>
      <c r="D42" s="10">
        <f>'as per mistry'!G78</f>
        <v>0.75669372687499992</v>
      </c>
      <c r="E42" s="10">
        <f>'as per mistry'!I78</f>
        <v>10634.5</v>
      </c>
      <c r="F42" s="10">
        <f>D42*E42</f>
        <v>8047.0594384521864</v>
      </c>
      <c r="G42" s="10">
        <f>V!G82</f>
        <v>0.76288326729655598</v>
      </c>
      <c r="H42" s="10">
        <f>V!I82</f>
        <v>10634.5</v>
      </c>
      <c r="I42" s="10">
        <f>G42*H42</f>
        <v>8112.8821060652244</v>
      </c>
      <c r="J42" s="64">
        <f>I42-F42</f>
        <v>65.822667613037993</v>
      </c>
      <c r="K42" s="65"/>
      <c r="M42" s="1">
        <f t="shared" si="0"/>
        <v>10058.824298065232</v>
      </c>
    </row>
    <row r="43" spans="1:13" s="1" customFormat="1" ht="15.6" x14ac:dyDescent="0.3">
      <c r="A43" s="62"/>
      <c r="B43" s="66" t="str">
        <f>'as per mistry'!B79</f>
        <v>VAT calculation</v>
      </c>
      <c r="C43" s="10"/>
      <c r="D43" s="10"/>
      <c r="E43" s="10"/>
      <c r="F43" s="10">
        <f>'as per mistry'!J79</f>
        <v>793.79885957354566</v>
      </c>
      <c r="G43" s="10"/>
      <c r="H43" s="10"/>
      <c r="I43" s="10">
        <f>V!J83</f>
        <v>800.29190947394102</v>
      </c>
      <c r="J43" s="64">
        <f>I43-F43</f>
        <v>6.4930499003953628</v>
      </c>
      <c r="K43" s="65"/>
      <c r="M43" s="1">
        <f t="shared" si="0"/>
        <v>992.24857446693204</v>
      </c>
    </row>
    <row r="44" spans="1:13" s="1" customFormat="1" x14ac:dyDescent="0.3">
      <c r="A44" s="42"/>
      <c r="B44" s="42"/>
      <c r="C44" s="10"/>
      <c r="D44" s="10"/>
      <c r="E44" s="10"/>
      <c r="F44" s="10"/>
      <c r="G44" s="10"/>
      <c r="H44" s="10"/>
      <c r="I44" s="10"/>
      <c r="J44" s="64"/>
      <c r="K44" s="65"/>
    </row>
    <row r="45" spans="1:13" s="1" customFormat="1" ht="78" x14ac:dyDescent="0.3">
      <c r="A45" s="62">
        <f>'as per mistry'!A81</f>
        <v>12</v>
      </c>
      <c r="B45" s="67" t="str">
        <f>'as per mistry'!B81</f>
        <v>Random Rubble Masonry, Providing and laying of Stone Masonry Work in Cement Mortar 1:6 in Foundation complete as per Drawing and Technical Specifications.</v>
      </c>
      <c r="C45" s="10" t="str">
        <f>'as per mistry'!H83</f>
        <v>m3</v>
      </c>
      <c r="D45" s="10">
        <f>'as per mistry'!G83</f>
        <v>13.939094968749998</v>
      </c>
      <c r="E45" s="10">
        <f>'as per mistry'!I83</f>
        <v>9709.43</v>
      </c>
      <c r="F45" s="10">
        <f>D45*E45</f>
        <v>135340.66686243031</v>
      </c>
      <c r="G45" s="10">
        <f>V!G89</f>
        <v>15.075771620677493</v>
      </c>
      <c r="H45" s="10">
        <f>V!I89</f>
        <v>9709.43</v>
      </c>
      <c r="I45" s="10">
        <f>G45*H45</f>
        <v>146377.14924695468</v>
      </c>
      <c r="J45" s="64">
        <f>I45-F45</f>
        <v>11036.482384524366</v>
      </c>
      <c r="K45" s="65"/>
      <c r="M45" s="1">
        <f t="shared" si="0"/>
        <v>169175.83357803788</v>
      </c>
    </row>
    <row r="46" spans="1:13" s="1" customFormat="1" ht="15.6" x14ac:dyDescent="0.3">
      <c r="A46" s="62"/>
      <c r="B46" s="66" t="str">
        <f>'as per mistry'!B84</f>
        <v>VAT calculation</v>
      </c>
      <c r="C46" s="10"/>
      <c r="D46" s="10"/>
      <c r="E46" s="10"/>
      <c r="F46" s="10">
        <f>'as per mistry'!J84</f>
        <v>9818.6232248746692</v>
      </c>
      <c r="G46" s="10"/>
      <c r="H46" s="10"/>
      <c r="I46" s="10">
        <f>V!J90</f>
        <v>10619.292120438475</v>
      </c>
      <c r="J46" s="64">
        <f>I46-F46</f>
        <v>800.66889556380556</v>
      </c>
      <c r="K46" s="65"/>
      <c r="M46" s="1">
        <f t="shared" si="0"/>
        <v>12273.279031093336</v>
      </c>
    </row>
    <row r="47" spans="1:13" s="1" customFormat="1" x14ac:dyDescent="0.3">
      <c r="A47" s="42"/>
      <c r="B47" s="42"/>
      <c r="C47" s="10"/>
      <c r="D47" s="10"/>
      <c r="E47" s="10"/>
      <c r="F47" s="10"/>
      <c r="G47" s="10"/>
      <c r="H47" s="10"/>
      <c r="I47" s="10"/>
      <c r="J47" s="64"/>
      <c r="K47" s="65"/>
    </row>
    <row r="48" spans="1:13" s="1" customFormat="1" x14ac:dyDescent="0.3">
      <c r="A48" s="62">
        <f>'as per mistry'!A86</f>
        <v>13</v>
      </c>
      <c r="B48" s="69" t="str">
        <f>'as per mistry'!B86</f>
        <v>Information board</v>
      </c>
      <c r="C48" s="10" t="str">
        <f>'as per mistry'!H86</f>
        <v>no.</v>
      </c>
      <c r="D48" s="10">
        <f>'as per mistry'!G86</f>
        <v>1</v>
      </c>
      <c r="E48" s="10">
        <f>'as per mistry'!I86</f>
        <v>500</v>
      </c>
      <c r="F48" s="10">
        <f>D48*E48</f>
        <v>500</v>
      </c>
      <c r="G48" s="10">
        <f>V!G92</f>
        <v>1</v>
      </c>
      <c r="H48" s="10">
        <f>V!I92</f>
        <v>500</v>
      </c>
      <c r="I48" s="10">
        <f>G48*H48</f>
        <v>500</v>
      </c>
      <c r="J48" s="64">
        <f>I48-F48</f>
        <v>0</v>
      </c>
      <c r="K48" s="65"/>
      <c r="M48" s="1">
        <f t="shared" si="0"/>
        <v>625</v>
      </c>
    </row>
    <row r="49" spans="1:11" s="1" customFormat="1" x14ac:dyDescent="0.3">
      <c r="A49" s="42"/>
      <c r="B49" s="42"/>
      <c r="C49" s="10"/>
      <c r="D49" s="10"/>
      <c r="E49" s="10"/>
      <c r="F49" s="10"/>
      <c r="G49" s="10"/>
      <c r="H49" s="10"/>
      <c r="I49" s="10"/>
      <c r="J49" s="64"/>
      <c r="K49" s="65"/>
    </row>
    <row r="50" spans="1:11" x14ac:dyDescent="0.3">
      <c r="A50" s="4"/>
      <c r="B50" s="70" t="s">
        <v>79</v>
      </c>
      <c r="C50" s="70"/>
      <c r="D50" s="7"/>
      <c r="E50" s="7"/>
      <c r="F50" s="7">
        <f>SUM(F13:F48)</f>
        <v>469525.84411021339</v>
      </c>
      <c r="G50" s="7"/>
      <c r="H50" s="7"/>
      <c r="I50" s="7">
        <f>SUM(I13:I48)</f>
        <v>469988.02996661171</v>
      </c>
      <c r="J50" s="71">
        <f>I50-F50</f>
        <v>462.18585639831144</v>
      </c>
      <c r="K50" s="4"/>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0"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
  <sheetViews>
    <sheetView tabSelected="1" topLeftCell="A83" zoomScaleNormal="100" zoomScaleSheetLayoutView="80" workbookViewId="0">
      <selection activeCell="J90" sqref="J90"/>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9.33203125" style="5" bestFit="1" customWidth="1"/>
    <col min="10" max="10" width="10.5546875" style="5" bestFit="1" customWidth="1"/>
    <col min="11" max="11" width="9.88671875" bestFit="1" customWidth="1"/>
    <col min="13" max="13" width="12.109375" customWidth="1"/>
    <col min="14" max="14" width="14.44140625" customWidth="1"/>
  </cols>
  <sheetData>
    <row r="1" spans="1:11" s="1" customFormat="1" x14ac:dyDescent="0.3">
      <c r="A1" s="75" t="s">
        <v>0</v>
      </c>
      <c r="B1" s="75"/>
      <c r="C1" s="75"/>
      <c r="D1" s="75"/>
      <c r="E1" s="75"/>
      <c r="F1" s="75"/>
      <c r="G1" s="75"/>
      <c r="H1" s="75"/>
      <c r="I1" s="75"/>
      <c r="J1" s="75"/>
      <c r="K1" s="75"/>
    </row>
    <row r="2" spans="1:11" s="1" customFormat="1" ht="22.8" x14ac:dyDescent="0.3">
      <c r="A2" s="76" t="s">
        <v>1</v>
      </c>
      <c r="B2" s="76"/>
      <c r="C2" s="76"/>
      <c r="D2" s="76"/>
      <c r="E2" s="76"/>
      <c r="F2" s="76"/>
      <c r="G2" s="76"/>
      <c r="H2" s="76"/>
      <c r="I2" s="76"/>
      <c r="J2" s="76"/>
      <c r="K2" s="76"/>
    </row>
    <row r="3" spans="1:11" s="1" customFormat="1" x14ac:dyDescent="0.3">
      <c r="A3" s="77" t="s">
        <v>2</v>
      </c>
      <c r="B3" s="77"/>
      <c r="C3" s="77"/>
      <c r="D3" s="77"/>
      <c r="E3" s="77"/>
      <c r="F3" s="77"/>
      <c r="G3" s="77"/>
      <c r="H3" s="77"/>
      <c r="I3" s="77"/>
      <c r="J3" s="77"/>
      <c r="K3" s="77"/>
    </row>
    <row r="4" spans="1:11" s="1" customFormat="1" x14ac:dyDescent="0.3">
      <c r="A4" s="77" t="s">
        <v>3</v>
      </c>
      <c r="B4" s="77"/>
      <c r="C4" s="77"/>
      <c r="D4" s="77"/>
      <c r="E4" s="77"/>
      <c r="F4" s="77"/>
      <c r="G4" s="77"/>
      <c r="H4" s="77"/>
      <c r="I4" s="77"/>
      <c r="J4" s="77"/>
      <c r="K4" s="77"/>
    </row>
    <row r="5" spans="1:11" ht="17.399999999999999" x14ac:dyDescent="0.3">
      <c r="A5" s="78" t="s">
        <v>4</v>
      </c>
      <c r="B5" s="78"/>
      <c r="C5" s="78"/>
      <c r="D5" s="78"/>
      <c r="E5" s="78"/>
      <c r="F5" s="78"/>
      <c r="G5" s="78"/>
      <c r="H5" s="78"/>
      <c r="I5" s="78"/>
      <c r="J5" s="78"/>
      <c r="K5" s="78"/>
    </row>
    <row r="6" spans="1:11" ht="18" x14ac:dyDescent="0.35">
      <c r="A6" s="73" t="s">
        <v>64</v>
      </c>
      <c r="B6" s="73"/>
      <c r="C6" s="73"/>
      <c r="D6" s="73"/>
      <c r="E6" s="73"/>
      <c r="F6" s="73"/>
      <c r="G6" s="73"/>
      <c r="H6" s="74" t="s">
        <v>24</v>
      </c>
      <c r="I6" s="74"/>
      <c r="J6" s="74"/>
      <c r="K6" s="74"/>
    </row>
    <row r="7" spans="1:11" ht="15.6" x14ac:dyDescent="0.3">
      <c r="A7" s="81" t="s">
        <v>23</v>
      </c>
      <c r="B7" s="81"/>
      <c r="C7" s="81"/>
      <c r="D7" s="81"/>
      <c r="E7" s="81"/>
      <c r="F7" s="81"/>
      <c r="G7" s="2"/>
      <c r="H7" s="74" t="s">
        <v>65</v>
      </c>
      <c r="I7" s="74"/>
      <c r="J7" s="74"/>
      <c r="K7" s="74"/>
    </row>
    <row r="8" spans="1:11" ht="15" customHeight="1" x14ac:dyDescent="0.3">
      <c r="A8" s="3" t="s">
        <v>5</v>
      </c>
      <c r="B8" s="17" t="s">
        <v>6</v>
      </c>
      <c r="C8" s="3" t="s">
        <v>7</v>
      </c>
      <c r="D8" s="18" t="s">
        <v>8</v>
      </c>
      <c r="E8" s="18" t="s">
        <v>9</v>
      </c>
      <c r="F8" s="18" t="s">
        <v>10</v>
      </c>
      <c r="G8" s="18" t="s">
        <v>11</v>
      </c>
      <c r="H8" s="3" t="s">
        <v>12</v>
      </c>
      <c r="I8" s="18" t="s">
        <v>13</v>
      </c>
      <c r="J8" s="18" t="s">
        <v>14</v>
      </c>
      <c r="K8" s="19" t="s">
        <v>15</v>
      </c>
    </row>
    <row r="9" spans="1:11" s="1" customFormat="1" ht="41.4" x14ac:dyDescent="0.3">
      <c r="A9" s="21">
        <v>1</v>
      </c>
      <c r="B9" s="37" t="s">
        <v>29</v>
      </c>
      <c r="C9" s="22" t="s">
        <v>7</v>
      </c>
      <c r="D9" s="34" t="s">
        <v>26</v>
      </c>
      <c r="E9" s="35" t="s">
        <v>28</v>
      </c>
      <c r="F9" s="35" t="s">
        <v>27</v>
      </c>
      <c r="G9" s="35"/>
      <c r="H9" s="25"/>
      <c r="I9" s="26"/>
      <c r="J9" s="27"/>
      <c r="K9" s="24"/>
    </row>
    <row r="10" spans="1:11" s="1" customFormat="1" ht="27.6" x14ac:dyDescent="0.3">
      <c r="A10" s="38"/>
      <c r="B10" s="39" t="s">
        <v>40</v>
      </c>
      <c r="C10" s="40">
        <v>3</v>
      </c>
      <c r="D10" s="10">
        <f>14/3.281</f>
        <v>4.2669917708015843</v>
      </c>
      <c r="E10" s="10">
        <v>3.97</v>
      </c>
      <c r="F10" s="10">
        <f>PRODUCT(C10:E10)</f>
        <v>50.819871990246867</v>
      </c>
      <c r="G10" s="36">
        <f>F10</f>
        <v>50.819871990246867</v>
      </c>
      <c r="H10" s="27"/>
      <c r="I10" s="27"/>
      <c r="J10" s="27"/>
      <c r="K10" s="11"/>
    </row>
    <row r="11" spans="1:11" s="1" customFormat="1" x14ac:dyDescent="0.3">
      <c r="A11" s="38"/>
      <c r="B11" s="39"/>
      <c r="C11" s="40">
        <v>3</v>
      </c>
      <c r="D11" s="10">
        <f>18/3.281</f>
        <v>5.486132276744895</v>
      </c>
      <c r="E11" s="10">
        <v>3.97</v>
      </c>
      <c r="F11" s="10">
        <f>PRODUCT(C11:E11)</f>
        <v>65.33983541603169</v>
      </c>
      <c r="G11" s="36">
        <f>F11</f>
        <v>65.33983541603169</v>
      </c>
      <c r="H11" s="27"/>
      <c r="I11" s="27"/>
      <c r="J11" s="27"/>
      <c r="K11" s="11"/>
    </row>
    <row r="12" spans="1:11" s="1" customFormat="1" ht="41.4" x14ac:dyDescent="0.3">
      <c r="A12" s="38"/>
      <c r="B12" s="39" t="s">
        <v>41</v>
      </c>
      <c r="C12" s="40">
        <v>3</v>
      </c>
      <c r="D12" s="10">
        <f>(1+20+1)/3.281</f>
        <v>6.7052727826882048</v>
      </c>
      <c r="E12" s="10">
        <v>2.72</v>
      </c>
      <c r="F12" s="10">
        <f t="shared" ref="F12:F19" si="0">PRODUCT(C12:E12)</f>
        <v>54.715025906735754</v>
      </c>
      <c r="G12" s="36">
        <f t="shared" ref="G12:G19" si="1">F12</f>
        <v>54.715025906735754</v>
      </c>
      <c r="H12" s="27"/>
      <c r="I12" s="27"/>
      <c r="J12" s="27"/>
      <c r="K12" s="11"/>
    </row>
    <row r="13" spans="1:11" s="1" customFormat="1" ht="41.4" x14ac:dyDescent="0.3">
      <c r="A13" s="38"/>
      <c r="B13" s="39" t="s">
        <v>44</v>
      </c>
      <c r="C13" s="40">
        <f>2*3</f>
        <v>6</v>
      </c>
      <c r="D13" s="10">
        <v>2.58</v>
      </c>
      <c r="E13" s="10">
        <v>2.72</v>
      </c>
      <c r="F13" s="10">
        <f t="shared" si="0"/>
        <v>42.105600000000003</v>
      </c>
      <c r="G13" s="36">
        <f t="shared" si="1"/>
        <v>42.105600000000003</v>
      </c>
      <c r="H13" s="27"/>
      <c r="I13" s="27"/>
      <c r="J13" s="27"/>
      <c r="K13" s="11"/>
    </row>
    <row r="14" spans="1:11" s="1" customFormat="1" ht="41.4" x14ac:dyDescent="0.3">
      <c r="A14" s="38"/>
      <c r="B14" s="39" t="s">
        <v>81</v>
      </c>
      <c r="C14" s="40">
        <v>3</v>
      </c>
      <c r="D14" s="10">
        <v>0.56000000000000005</v>
      </c>
      <c r="E14" s="10">
        <v>2.72</v>
      </c>
      <c r="F14" s="10">
        <f t="shared" si="0"/>
        <v>4.5696000000000003</v>
      </c>
      <c r="G14" s="36">
        <f t="shared" si="1"/>
        <v>4.5696000000000003</v>
      </c>
      <c r="H14" s="27"/>
      <c r="I14" s="27"/>
      <c r="J14" s="27"/>
      <c r="K14" s="11"/>
    </row>
    <row r="15" spans="1:11" s="1" customFormat="1" ht="41.4" x14ac:dyDescent="0.3">
      <c r="A15" s="38"/>
      <c r="B15" s="39" t="s">
        <v>43</v>
      </c>
      <c r="C15" s="40">
        <f t="shared" ref="C15:C18" si="2">2*3</f>
        <v>6</v>
      </c>
      <c r="D15" s="10">
        <v>0.95</v>
      </c>
      <c r="E15" s="10">
        <v>1.83</v>
      </c>
      <c r="F15" s="10">
        <f t="shared" si="0"/>
        <v>10.430999999999999</v>
      </c>
      <c r="G15" s="36">
        <f t="shared" si="1"/>
        <v>10.430999999999999</v>
      </c>
      <c r="H15" s="27"/>
      <c r="I15" s="27"/>
      <c r="J15" s="27"/>
      <c r="K15" s="11"/>
    </row>
    <row r="16" spans="1:11" s="1" customFormat="1" x14ac:dyDescent="0.3">
      <c r="A16" s="38"/>
      <c r="B16" s="39"/>
      <c r="C16" s="40">
        <f t="shared" si="2"/>
        <v>6</v>
      </c>
      <c r="D16" s="10">
        <v>0.86</v>
      </c>
      <c r="E16" s="10">
        <v>1.83</v>
      </c>
      <c r="F16" s="10">
        <f t="shared" si="0"/>
        <v>9.4428000000000001</v>
      </c>
      <c r="G16" s="36">
        <f t="shared" si="1"/>
        <v>9.4428000000000001</v>
      </c>
      <c r="H16" s="27"/>
      <c r="I16" s="27"/>
      <c r="J16" s="27"/>
      <c r="K16" s="11"/>
    </row>
    <row r="17" spans="1:11" s="1" customFormat="1" ht="41.4" x14ac:dyDescent="0.3">
      <c r="A17" s="38"/>
      <c r="B17" s="39" t="s">
        <v>42</v>
      </c>
      <c r="C17" s="40">
        <f t="shared" si="2"/>
        <v>6</v>
      </c>
      <c r="D17" s="10">
        <v>0.38</v>
      </c>
      <c r="E17" s="10">
        <v>1.83</v>
      </c>
      <c r="F17" s="10">
        <f t="shared" si="0"/>
        <v>4.1724000000000006</v>
      </c>
      <c r="G17" s="36">
        <f t="shared" si="1"/>
        <v>4.1724000000000006</v>
      </c>
      <c r="H17" s="27"/>
      <c r="I17" s="27"/>
      <c r="J17" s="27"/>
      <c r="K17" s="11"/>
    </row>
    <row r="18" spans="1:11" s="1" customFormat="1" x14ac:dyDescent="0.3">
      <c r="A18" s="38"/>
      <c r="B18" s="39"/>
      <c r="C18" s="40">
        <f t="shared" si="2"/>
        <v>6</v>
      </c>
      <c r="D18" s="10">
        <v>0.19</v>
      </c>
      <c r="E18" s="10">
        <v>1.83</v>
      </c>
      <c r="F18" s="10">
        <f t="shared" si="0"/>
        <v>2.0862000000000003</v>
      </c>
      <c r="G18" s="36">
        <f t="shared" si="1"/>
        <v>2.0862000000000003</v>
      </c>
      <c r="H18" s="27"/>
      <c r="I18" s="27"/>
      <c r="J18" s="27"/>
      <c r="K18" s="11"/>
    </row>
    <row r="19" spans="1:11" s="1" customFormat="1" ht="27.6" x14ac:dyDescent="0.3">
      <c r="A19" s="38"/>
      <c r="B19" s="39" t="s">
        <v>45</v>
      </c>
      <c r="C19" s="40">
        <v>8</v>
      </c>
      <c r="D19" s="10">
        <v>7.3</v>
      </c>
      <c r="E19" s="10">
        <v>2.72</v>
      </c>
      <c r="F19" s="10">
        <f t="shared" si="0"/>
        <v>158.84800000000001</v>
      </c>
      <c r="G19" s="36">
        <f t="shared" si="1"/>
        <v>158.84800000000001</v>
      </c>
      <c r="H19" s="27"/>
      <c r="I19" s="27"/>
      <c r="J19" s="27"/>
      <c r="K19" s="11"/>
    </row>
    <row r="20" spans="1:11" s="1" customFormat="1" x14ac:dyDescent="0.3">
      <c r="A20" s="21"/>
      <c r="B20" s="39" t="s">
        <v>25</v>
      </c>
      <c r="C20" s="22"/>
      <c r="D20" s="23"/>
      <c r="E20" s="24"/>
      <c r="F20" s="24"/>
      <c r="G20" s="27">
        <f>SUM(G10:G19)</f>
        <v>402.53033331301435</v>
      </c>
      <c r="H20" s="25" t="s">
        <v>30</v>
      </c>
      <c r="I20" s="26">
        <v>181.17</v>
      </c>
      <c r="J20" s="27">
        <f>G20*I20</f>
        <v>72926.420486318806</v>
      </c>
      <c r="K20" s="24"/>
    </row>
    <row r="21" spans="1:11" s="1" customFormat="1" x14ac:dyDescent="0.3">
      <c r="A21" s="21"/>
      <c r="B21" s="39" t="s">
        <v>34</v>
      </c>
      <c r="C21" s="22"/>
      <c r="D21" s="23"/>
      <c r="E21" s="24"/>
      <c r="F21" s="24"/>
      <c r="G21" s="27"/>
      <c r="H21" s="25"/>
      <c r="I21" s="26"/>
      <c r="J21" s="27">
        <f>0.13*G20*(1871.42/18.94)</f>
        <v>5170.5085072821221</v>
      </c>
      <c r="K21" s="24"/>
    </row>
    <row r="22" spans="1:11" s="1" customFormat="1" ht="15" x14ac:dyDescent="0.3">
      <c r="A22" s="21"/>
      <c r="B22" s="37"/>
      <c r="C22" s="22"/>
      <c r="D22" s="23"/>
      <c r="E22" s="24"/>
      <c r="F22" s="24"/>
      <c r="G22" s="28"/>
      <c r="H22" s="25"/>
      <c r="I22" s="26"/>
      <c r="J22" s="27"/>
      <c r="K22" s="24"/>
    </row>
    <row r="23" spans="1:11" s="1" customFormat="1" ht="45" x14ac:dyDescent="0.3">
      <c r="A23" s="38">
        <v>2</v>
      </c>
      <c r="B23" s="37" t="s">
        <v>31</v>
      </c>
      <c r="C23" s="40"/>
      <c r="D23" s="10"/>
      <c r="E23" s="10"/>
      <c r="F23" s="10"/>
      <c r="G23" s="36"/>
      <c r="H23" s="27"/>
      <c r="I23" s="27"/>
      <c r="J23" s="27"/>
      <c r="K23" s="11"/>
    </row>
    <row r="24" spans="1:11" s="1" customFormat="1" x14ac:dyDescent="0.3">
      <c r="A24" s="38"/>
      <c r="B24" s="39"/>
      <c r="C24" s="40">
        <v>2</v>
      </c>
      <c r="D24" s="10">
        <f>D19</f>
        <v>7.3</v>
      </c>
      <c r="E24" s="10">
        <f>D13</f>
        <v>2.58</v>
      </c>
      <c r="F24" s="10"/>
      <c r="G24" s="36">
        <f>PRODUCT(C24:F24)</f>
        <v>37.667999999999999</v>
      </c>
      <c r="H24" s="27"/>
      <c r="I24" s="27"/>
      <c r="J24" s="27"/>
      <c r="K24" s="11"/>
    </row>
    <row r="25" spans="1:11" s="1" customFormat="1" x14ac:dyDescent="0.3">
      <c r="A25" s="21"/>
      <c r="B25" s="39" t="s">
        <v>25</v>
      </c>
      <c r="C25" s="22"/>
      <c r="D25" s="23"/>
      <c r="E25" s="24"/>
      <c r="F25" s="24"/>
      <c r="G25" s="27">
        <f>SUM(G24:G24)</f>
        <v>37.667999999999999</v>
      </c>
      <c r="H25" s="25" t="s">
        <v>32</v>
      </c>
      <c r="I25" s="26">
        <v>1070.9000000000001</v>
      </c>
      <c r="J25" s="27">
        <f>G25*I25</f>
        <v>40338.661200000002</v>
      </c>
      <c r="K25" s="24"/>
    </row>
    <row r="26" spans="1:11" s="1" customFormat="1" x14ac:dyDescent="0.3">
      <c r="A26" s="21"/>
      <c r="B26" s="39" t="s">
        <v>34</v>
      </c>
      <c r="C26" s="22"/>
      <c r="D26" s="23"/>
      <c r="E26" s="24"/>
      <c r="F26" s="24"/>
      <c r="G26" s="27"/>
      <c r="H26" s="25"/>
      <c r="I26" s="26"/>
      <c r="J26" s="27">
        <f>0.13*G25*8211.62/10</f>
        <v>4021.0989280800009</v>
      </c>
      <c r="K26" s="24"/>
    </row>
    <row r="27" spans="1:11" s="1" customFormat="1" x14ac:dyDescent="0.3">
      <c r="A27" s="21"/>
      <c r="B27" s="39"/>
      <c r="C27" s="22"/>
      <c r="D27" s="23"/>
      <c r="E27" s="24"/>
      <c r="F27" s="24"/>
      <c r="G27" s="27"/>
      <c r="H27" s="25"/>
      <c r="I27" s="26"/>
      <c r="J27" s="27"/>
      <c r="K27" s="24"/>
    </row>
    <row r="28" spans="1:11" s="1" customFormat="1" ht="30" x14ac:dyDescent="0.3">
      <c r="A28" s="21">
        <v>3</v>
      </c>
      <c r="B28" s="37" t="s">
        <v>35</v>
      </c>
      <c r="C28" s="22"/>
      <c r="D28" s="23"/>
      <c r="E28" s="24"/>
      <c r="F28" s="24"/>
      <c r="G28" s="27"/>
      <c r="H28" s="25"/>
      <c r="I28" s="26"/>
      <c r="J28" s="27"/>
      <c r="K28" s="24"/>
    </row>
    <row r="29" spans="1:11" s="1" customFormat="1" x14ac:dyDescent="0.3">
      <c r="A29" s="21"/>
      <c r="B29" s="39" t="s">
        <v>36</v>
      </c>
      <c r="C29" s="22">
        <v>6</v>
      </c>
      <c r="D29" s="23">
        <v>0.45</v>
      </c>
      <c r="E29" s="24">
        <v>0.45</v>
      </c>
      <c r="F29" s="24">
        <f>(2.5+0.25+0.17)/3.281</f>
        <v>0.88997256933861624</v>
      </c>
      <c r="G29" s="36">
        <f>PRODUCT(C29:F29)</f>
        <v>1.0813166717464189</v>
      </c>
      <c r="H29" s="25"/>
      <c r="I29" s="26"/>
      <c r="J29" s="27"/>
      <c r="K29" s="24"/>
    </row>
    <row r="30" spans="1:11" s="1" customFormat="1" x14ac:dyDescent="0.3">
      <c r="A30" s="21"/>
      <c r="B30" s="39" t="s">
        <v>25</v>
      </c>
      <c r="C30" s="22"/>
      <c r="D30" s="23"/>
      <c r="E30" s="24"/>
      <c r="F30" s="24"/>
      <c r="G30" s="27">
        <f>SUM(G29:G29)</f>
        <v>1.0813166717464189</v>
      </c>
      <c r="H30" s="25" t="s">
        <v>37</v>
      </c>
      <c r="I30" s="26">
        <v>663.31</v>
      </c>
      <c r="J30" s="27">
        <f>G30*I30</f>
        <v>717.2481615361171</v>
      </c>
      <c r="K30" s="24"/>
    </row>
    <row r="31" spans="1:11" s="1" customFormat="1" x14ac:dyDescent="0.3">
      <c r="A31" s="21"/>
      <c r="B31" s="39"/>
      <c r="C31" s="22"/>
      <c r="D31" s="23"/>
      <c r="E31" s="24"/>
      <c r="F31" s="24"/>
      <c r="G31" s="27"/>
      <c r="H31" s="25"/>
      <c r="I31" s="26"/>
      <c r="J31" s="27"/>
      <c r="K31" s="24"/>
    </row>
    <row r="32" spans="1:11" s="1" customFormat="1" ht="15" x14ac:dyDescent="0.3">
      <c r="A32" s="21">
        <v>4</v>
      </c>
      <c r="B32" s="37" t="s">
        <v>47</v>
      </c>
      <c r="C32" s="22"/>
      <c r="D32" s="23"/>
      <c r="E32" s="24"/>
      <c r="F32" s="24"/>
      <c r="G32" s="27"/>
      <c r="H32" s="25"/>
      <c r="I32" s="26"/>
      <c r="J32" s="27"/>
      <c r="K32" s="24"/>
    </row>
    <row r="33" spans="1:15" s="1" customFormat="1" x14ac:dyDescent="0.3">
      <c r="A33" s="21"/>
      <c r="B33" s="39" t="s">
        <v>36</v>
      </c>
      <c r="C33" s="22">
        <f>C29</f>
        <v>6</v>
      </c>
      <c r="D33" s="23">
        <f>D29</f>
        <v>0.45</v>
      </c>
      <c r="E33" s="24">
        <f>E29</f>
        <v>0.45</v>
      </c>
      <c r="F33" s="24"/>
      <c r="G33" s="36">
        <f>PRODUCT(C33:F33)</f>
        <v>1.2150000000000001</v>
      </c>
      <c r="H33" s="25"/>
      <c r="I33" s="26"/>
      <c r="J33" s="27"/>
      <c r="K33" s="24"/>
    </row>
    <row r="34" spans="1:15" s="1" customFormat="1" x14ac:dyDescent="0.3">
      <c r="A34" s="21"/>
      <c r="B34" s="39" t="s">
        <v>49</v>
      </c>
      <c r="C34" s="22">
        <v>1</v>
      </c>
      <c r="D34" s="23">
        <f>((5.83+5.785)/2)-0.23</f>
        <v>5.5774999999999997</v>
      </c>
      <c r="E34" s="24">
        <f>3.65</f>
        <v>3.65</v>
      </c>
      <c r="F34" s="24"/>
      <c r="G34" s="36">
        <f>PRODUCT(C34:F34)</f>
        <v>20.357875</v>
      </c>
      <c r="H34" s="25"/>
      <c r="I34" s="26"/>
      <c r="J34" s="27"/>
      <c r="K34" s="24"/>
      <c r="N34" s="1">
        <f>G34*I35</f>
        <v>20662.63238875</v>
      </c>
      <c r="O34" s="1">
        <f>5.83*3.6*0.15*I74</f>
        <v>13960.755864000001</v>
      </c>
    </row>
    <row r="35" spans="1:15" s="1" customFormat="1" x14ac:dyDescent="0.3">
      <c r="A35" s="21"/>
      <c r="B35" s="39" t="s">
        <v>25</v>
      </c>
      <c r="C35" s="22"/>
      <c r="D35" s="23"/>
      <c r="E35" s="24"/>
      <c r="F35" s="24"/>
      <c r="G35" s="27">
        <f>SUM(G33:G34)</f>
        <v>21.572875</v>
      </c>
      <c r="H35" s="25" t="s">
        <v>32</v>
      </c>
      <c r="I35" s="26">
        <v>1014.97</v>
      </c>
      <c r="J35" s="27">
        <f>G35*I35</f>
        <v>21895.820938749999</v>
      </c>
      <c r="K35" s="24"/>
    </row>
    <row r="36" spans="1:15" s="1" customFormat="1" x14ac:dyDescent="0.3">
      <c r="A36" s="21"/>
      <c r="B36" s="39" t="s">
        <v>34</v>
      </c>
      <c r="C36" s="22"/>
      <c r="D36" s="23"/>
      <c r="E36" s="24"/>
      <c r="F36" s="24"/>
      <c r="G36" s="27"/>
      <c r="H36" s="25"/>
      <c r="I36" s="26"/>
      <c r="J36" s="27">
        <f>0.13*G35*8617.2/10</f>
        <v>2416.6711198500007</v>
      </c>
      <c r="K36" s="24"/>
    </row>
    <row r="37" spans="1:15" s="1" customFormat="1" x14ac:dyDescent="0.3">
      <c r="A37" s="21"/>
      <c r="B37" s="39"/>
      <c r="C37" s="22"/>
      <c r="D37" s="23"/>
      <c r="E37" s="24"/>
      <c r="F37" s="24"/>
      <c r="G37" s="27"/>
      <c r="H37" s="25"/>
      <c r="I37" s="26"/>
      <c r="J37" s="27"/>
      <c r="K37" s="24"/>
    </row>
    <row r="38" spans="1:15" s="1" customFormat="1" ht="30" x14ac:dyDescent="0.3">
      <c r="A38" s="21">
        <v>5</v>
      </c>
      <c r="B38" s="37" t="s">
        <v>38</v>
      </c>
      <c r="C38" s="22"/>
      <c r="D38" s="23"/>
      <c r="E38" s="24"/>
      <c r="F38" s="24"/>
      <c r="G38" s="27"/>
      <c r="H38" s="25"/>
      <c r="I38" s="26"/>
      <c r="J38" s="27"/>
      <c r="K38" s="24"/>
    </row>
    <row r="39" spans="1:15" s="1" customFormat="1" x14ac:dyDescent="0.3">
      <c r="A39" s="21"/>
      <c r="B39" s="39" t="s">
        <v>36</v>
      </c>
      <c r="C39" s="22">
        <f>C33</f>
        <v>6</v>
      </c>
      <c r="D39" s="23">
        <f>D33</f>
        <v>0.45</v>
      </c>
      <c r="E39" s="24">
        <f>E33</f>
        <v>0.45</v>
      </c>
      <c r="F39" s="24">
        <v>7.4999999999999997E-2</v>
      </c>
      <c r="G39" s="36">
        <f>PRODUCT(C39:F39)</f>
        <v>9.1124999999999998E-2</v>
      </c>
      <c r="H39" s="25"/>
      <c r="I39" s="26"/>
      <c r="J39" s="27"/>
      <c r="K39" s="24"/>
    </row>
    <row r="40" spans="1:15" s="1" customFormat="1" x14ac:dyDescent="0.3">
      <c r="A40" s="21"/>
      <c r="B40" s="39" t="s">
        <v>25</v>
      </c>
      <c r="C40" s="22"/>
      <c r="D40" s="23"/>
      <c r="E40" s="24"/>
      <c r="F40" s="24"/>
      <c r="G40" s="27">
        <f>SUM(G39:G39)</f>
        <v>9.1124999999999998E-2</v>
      </c>
      <c r="H40" s="25" t="s">
        <v>37</v>
      </c>
      <c r="I40" s="26">
        <v>12983.1</v>
      </c>
      <c r="J40" s="27">
        <f>G40*I40</f>
        <v>1183.0849874999999</v>
      </c>
      <c r="K40" s="24"/>
    </row>
    <row r="41" spans="1:15" s="1" customFormat="1" x14ac:dyDescent="0.3">
      <c r="A41" s="21"/>
      <c r="B41" s="39" t="s">
        <v>34</v>
      </c>
      <c r="C41" s="22"/>
      <c r="D41" s="23"/>
      <c r="E41" s="24"/>
      <c r="F41" s="24"/>
      <c r="G41" s="27"/>
      <c r="H41" s="25"/>
      <c r="I41" s="26"/>
      <c r="J41" s="27">
        <f>0.13*G40*8078.11</f>
        <v>95.695310587500003</v>
      </c>
      <c r="K41" s="24"/>
    </row>
    <row r="42" spans="1:15" s="1" customFormat="1" x14ac:dyDescent="0.3">
      <c r="A42" s="21"/>
      <c r="B42" s="39"/>
      <c r="C42" s="22"/>
      <c r="D42" s="23"/>
      <c r="E42" s="24"/>
      <c r="F42" s="24"/>
      <c r="G42" s="27"/>
      <c r="H42" s="25"/>
      <c r="I42" s="26"/>
      <c r="J42" s="27"/>
      <c r="K42" s="24"/>
    </row>
    <row r="43" spans="1:15" s="1" customFormat="1" ht="30" x14ac:dyDescent="0.3">
      <c r="A43" s="21">
        <v>6</v>
      </c>
      <c r="B43" s="37" t="s">
        <v>39</v>
      </c>
      <c r="C43" s="22"/>
      <c r="D43" s="23"/>
      <c r="E43" s="24"/>
      <c r="F43" s="24"/>
      <c r="G43" s="27"/>
      <c r="H43" s="25"/>
      <c r="I43" s="26"/>
      <c r="J43" s="27"/>
      <c r="K43" s="24"/>
    </row>
    <row r="44" spans="1:15" s="1" customFormat="1" x14ac:dyDescent="0.3">
      <c r="A44" s="21"/>
      <c r="B44" s="39" t="s">
        <v>50</v>
      </c>
      <c r="C44" s="22">
        <f>C39</f>
        <v>6</v>
      </c>
      <c r="D44" s="23">
        <f>D39</f>
        <v>0.45</v>
      </c>
      <c r="E44" s="24">
        <f>E39</f>
        <v>0.45</v>
      </c>
      <c r="F44" s="24">
        <v>0.75</v>
      </c>
      <c r="G44" s="36">
        <f>PRODUCT(C44:F44)</f>
        <v>0.91125000000000012</v>
      </c>
      <c r="H44" s="25"/>
      <c r="I44" s="26"/>
      <c r="J44" s="27"/>
      <c r="K44" s="24"/>
    </row>
    <row r="45" spans="1:15" s="1" customFormat="1" x14ac:dyDescent="0.3">
      <c r="A45" s="21"/>
      <c r="B45" s="39"/>
      <c r="C45" s="22">
        <f>C44</f>
        <v>6</v>
      </c>
      <c r="D45" s="23">
        <v>0.23</v>
      </c>
      <c r="E45" s="24">
        <v>0.23</v>
      </c>
      <c r="F45" s="24">
        <v>0.45</v>
      </c>
      <c r="G45" s="36">
        <f>PRODUCT(C45:F45)</f>
        <v>0.14283000000000001</v>
      </c>
      <c r="H45" s="25"/>
      <c r="I45" s="26"/>
      <c r="J45" s="27"/>
      <c r="K45" s="24"/>
    </row>
    <row r="46" spans="1:15" s="1" customFormat="1" x14ac:dyDescent="0.3">
      <c r="A46" s="21"/>
      <c r="B46" s="39" t="s">
        <v>49</v>
      </c>
      <c r="C46" s="22">
        <v>1</v>
      </c>
      <c r="D46" s="23">
        <f>D34+0.23</f>
        <v>5.8075000000000001</v>
      </c>
      <c r="E46" s="24">
        <f>E34</f>
        <v>3.65</v>
      </c>
      <c r="F46" s="24">
        <v>7.4999999999999997E-2</v>
      </c>
      <c r="G46" s="36">
        <f>PRODUCT(C46:F46)</f>
        <v>1.589803125</v>
      </c>
      <c r="H46" s="25"/>
      <c r="I46" s="26"/>
      <c r="J46" s="27"/>
      <c r="K46" s="24"/>
    </row>
    <row r="47" spans="1:15" s="1" customFormat="1" x14ac:dyDescent="0.3">
      <c r="A47" s="21"/>
      <c r="B47" s="39" t="s">
        <v>25</v>
      </c>
      <c r="C47" s="22"/>
      <c r="D47" s="23"/>
      <c r="E47" s="24"/>
      <c r="F47" s="24"/>
      <c r="G47" s="27">
        <f>SUM(G44:G46)</f>
        <v>2.6438831250000003</v>
      </c>
      <c r="H47" s="25" t="s">
        <v>37</v>
      </c>
      <c r="I47" s="26">
        <v>13568.9</v>
      </c>
      <c r="J47" s="27">
        <f>G47*I47</f>
        <v>35874.585734812506</v>
      </c>
      <c r="K47" s="24"/>
    </row>
    <row r="48" spans="1:15" s="1" customFormat="1" x14ac:dyDescent="0.3">
      <c r="A48" s="21"/>
      <c r="B48" s="39" t="s">
        <v>34</v>
      </c>
      <c r="C48" s="22"/>
      <c r="D48" s="23"/>
      <c r="E48" s="24"/>
      <c r="F48" s="24"/>
      <c r="G48" s="27"/>
      <c r="H48" s="25"/>
      <c r="I48" s="26"/>
      <c r="J48" s="27">
        <f>0.13*G47*9524.2</f>
        <v>3273.5133156862507</v>
      </c>
      <c r="K48" s="24"/>
    </row>
    <row r="49" spans="1:11" s="1" customFormat="1" x14ac:dyDescent="0.3">
      <c r="A49" s="21"/>
      <c r="B49" s="39"/>
      <c r="C49" s="22"/>
      <c r="D49" s="23"/>
      <c r="E49" s="24"/>
      <c r="F49" s="24"/>
      <c r="G49" s="27"/>
      <c r="H49" s="25"/>
      <c r="I49" s="26"/>
      <c r="J49" s="27"/>
      <c r="K49" s="24"/>
    </row>
    <row r="50" spans="1:11" s="1" customFormat="1" ht="30" x14ac:dyDescent="0.3">
      <c r="A50" s="21">
        <v>7</v>
      </c>
      <c r="B50" s="37" t="s">
        <v>46</v>
      </c>
      <c r="C50" s="22"/>
      <c r="D50" s="23"/>
      <c r="E50" s="24"/>
      <c r="F50" s="24"/>
      <c r="G50" s="27"/>
      <c r="H50" s="25"/>
      <c r="I50" s="26"/>
      <c r="J50" s="27"/>
      <c r="K50" s="24"/>
    </row>
    <row r="51" spans="1:11" s="1" customFormat="1" x14ac:dyDescent="0.3">
      <c r="A51" s="21"/>
      <c r="B51" s="39" t="s">
        <v>50</v>
      </c>
      <c r="C51" s="22">
        <f>2*2</f>
        <v>4</v>
      </c>
      <c r="D51" s="23">
        <f>8.42/3.281</f>
        <v>2.5662907650106672</v>
      </c>
      <c r="E51" s="24">
        <v>0.23</v>
      </c>
      <c r="F51" s="24">
        <v>0.3</v>
      </c>
      <c r="G51" s="36">
        <f>PRODUCT(C51:F51)</f>
        <v>0.70829625114294414</v>
      </c>
      <c r="H51" s="25"/>
      <c r="I51" s="26"/>
      <c r="J51" s="27"/>
      <c r="K51" s="24"/>
    </row>
    <row r="52" spans="1:11" s="1" customFormat="1" x14ac:dyDescent="0.3">
      <c r="A52" s="21"/>
      <c r="B52" s="39"/>
      <c r="C52" s="22">
        <v>3</v>
      </c>
      <c r="D52" s="23">
        <f>11.25/3.281</f>
        <v>3.4288326729655592</v>
      </c>
      <c r="E52" s="24">
        <v>0.23</v>
      </c>
      <c r="F52" s="24">
        <v>0.3</v>
      </c>
      <c r="G52" s="36">
        <f>PRODUCT(C52:F52)</f>
        <v>0.70976836330387083</v>
      </c>
      <c r="H52" s="25"/>
      <c r="I52" s="26"/>
      <c r="J52" s="27"/>
      <c r="K52" s="24"/>
    </row>
    <row r="53" spans="1:11" s="1" customFormat="1" x14ac:dyDescent="0.3">
      <c r="A53" s="21"/>
      <c r="B53" s="39" t="s">
        <v>51</v>
      </c>
      <c r="C53" s="22">
        <v>1</v>
      </c>
      <c r="D53" s="23">
        <f>3.67+0.9+0.94+3.14+3.24+3.14+3.17</f>
        <v>18.200000000000003</v>
      </c>
      <c r="E53" s="24">
        <v>0.23</v>
      </c>
      <c r="F53" s="24">
        <v>1</v>
      </c>
      <c r="G53" s="36">
        <f t="shared" ref="G53:G55" si="3">PRODUCT(C53:F53)</f>
        <v>4.1860000000000008</v>
      </c>
      <c r="H53" s="25"/>
      <c r="I53" s="26"/>
      <c r="J53" s="27"/>
      <c r="K53" s="24"/>
    </row>
    <row r="54" spans="1:11" s="1" customFormat="1" x14ac:dyDescent="0.3">
      <c r="A54" s="21"/>
      <c r="B54" s="39" t="s">
        <v>80</v>
      </c>
      <c r="C54" s="22">
        <v>1</v>
      </c>
      <c r="D54" s="23">
        <v>1.8</v>
      </c>
      <c r="E54" s="24">
        <v>0.3</v>
      </c>
      <c r="F54" s="24">
        <v>0.23</v>
      </c>
      <c r="G54" s="36">
        <f t="shared" si="3"/>
        <v>0.12420000000000002</v>
      </c>
      <c r="H54" s="25"/>
      <c r="I54" s="26"/>
      <c r="J54" s="27"/>
      <c r="K54" s="24"/>
    </row>
    <row r="55" spans="1:11" s="1" customFormat="1" x14ac:dyDescent="0.3">
      <c r="A55" s="21"/>
      <c r="B55" s="39"/>
      <c r="C55" s="22">
        <v>1</v>
      </c>
      <c r="D55" s="23">
        <v>1.8</v>
      </c>
      <c r="E55" s="24">
        <v>0.3</v>
      </c>
      <c r="F55" s="24">
        <v>0.23</v>
      </c>
      <c r="G55" s="36">
        <f t="shared" si="3"/>
        <v>0.12420000000000002</v>
      </c>
      <c r="H55" s="25"/>
      <c r="I55" s="26"/>
      <c r="J55" s="27"/>
      <c r="K55" s="24"/>
    </row>
    <row r="56" spans="1:11" s="1" customFormat="1" x14ac:dyDescent="0.3">
      <c r="A56" s="21"/>
      <c r="B56" s="39" t="s">
        <v>25</v>
      </c>
      <c r="C56" s="22"/>
      <c r="D56" s="23"/>
      <c r="E56" s="24"/>
      <c r="F56" s="24"/>
      <c r="G56" s="27">
        <f>SUM(G51:G55)</f>
        <v>5.8524646144468164</v>
      </c>
      <c r="H56" s="25" t="s">
        <v>37</v>
      </c>
      <c r="I56" s="26">
        <v>14362.76</v>
      </c>
      <c r="J56" s="27">
        <f>G56*I56</f>
        <v>84057.544665792157</v>
      </c>
      <c r="K56" s="24"/>
    </row>
    <row r="57" spans="1:11" s="1" customFormat="1" x14ac:dyDescent="0.3">
      <c r="A57" s="21"/>
      <c r="B57" s="39" t="s">
        <v>34</v>
      </c>
      <c r="C57" s="22"/>
      <c r="D57" s="23"/>
      <c r="E57" s="24"/>
      <c r="F57" s="24"/>
      <c r="G57" s="27"/>
      <c r="H57" s="25"/>
      <c r="I57" s="26"/>
      <c r="J57" s="27">
        <f>0.13*G56*10311.74</f>
        <v>7845.3821502388555</v>
      </c>
      <c r="K57" s="24"/>
    </row>
    <row r="58" spans="1:11" s="1" customFormat="1" x14ac:dyDescent="0.3">
      <c r="A58" s="21"/>
      <c r="B58" s="39"/>
      <c r="C58" s="22"/>
      <c r="D58" s="23"/>
      <c r="E58" s="24"/>
      <c r="F58" s="24"/>
      <c r="G58" s="27"/>
      <c r="H58" s="25"/>
      <c r="I58" s="26"/>
      <c r="J58" s="27"/>
      <c r="K58" s="24"/>
    </row>
    <row r="59" spans="1:11" s="1" customFormat="1" ht="30" x14ac:dyDescent="0.3">
      <c r="A59" s="21">
        <v>8</v>
      </c>
      <c r="B59" s="37" t="s">
        <v>52</v>
      </c>
      <c r="C59" s="22"/>
      <c r="D59" s="23"/>
      <c r="E59" s="24"/>
      <c r="F59" s="24"/>
      <c r="G59" s="27"/>
      <c r="H59" s="25"/>
      <c r="I59" s="26"/>
      <c r="J59" s="27"/>
      <c r="K59" s="24"/>
    </row>
    <row r="60" spans="1:11" s="1" customFormat="1" x14ac:dyDescent="0.3">
      <c r="A60" s="21"/>
      <c r="B60" s="39" t="s">
        <v>51</v>
      </c>
      <c r="C60" s="22">
        <v>1</v>
      </c>
      <c r="D60" s="23">
        <f>5.83+5.785+3.67+0.94+0.9+0.23*2</f>
        <v>17.585000000000001</v>
      </c>
      <c r="E60" s="24"/>
      <c r="F60" s="24">
        <v>1</v>
      </c>
      <c r="G60" s="36">
        <f t="shared" ref="G60:G61" si="4">PRODUCT(C60:F60)</f>
        <v>17.585000000000001</v>
      </c>
      <c r="H60" s="25"/>
      <c r="I60" s="26"/>
      <c r="J60" s="27"/>
      <c r="K60" s="24"/>
    </row>
    <row r="61" spans="1:11" s="1" customFormat="1" x14ac:dyDescent="0.3">
      <c r="A61" s="21"/>
      <c r="B61" s="39"/>
      <c r="C61" s="22">
        <v>1</v>
      </c>
      <c r="D61" s="23">
        <f>3.17+3.14+4.18+3.14+3.24+1.2+1.17</f>
        <v>19.240000000000002</v>
      </c>
      <c r="E61" s="24"/>
      <c r="F61" s="24">
        <v>1.1499999999999999</v>
      </c>
      <c r="G61" s="36">
        <f t="shared" si="4"/>
        <v>22.126000000000001</v>
      </c>
      <c r="H61" s="25"/>
      <c r="I61" s="26"/>
      <c r="J61" s="27"/>
      <c r="K61" s="24"/>
    </row>
    <row r="62" spans="1:11" s="1" customFormat="1" x14ac:dyDescent="0.3">
      <c r="A62" s="21"/>
      <c r="B62" s="39" t="s">
        <v>25</v>
      </c>
      <c r="C62" s="22"/>
      <c r="D62" s="23"/>
      <c r="E62" s="24"/>
      <c r="F62" s="24"/>
      <c r="G62" s="27">
        <f>SUM(G60:G61)</f>
        <v>39.710999999999999</v>
      </c>
      <c r="H62" s="25" t="s">
        <v>32</v>
      </c>
      <c r="I62" s="26">
        <v>405.86</v>
      </c>
      <c r="J62" s="27">
        <f>G62*I62</f>
        <v>16117.106459999999</v>
      </c>
      <c r="K62" s="24"/>
    </row>
    <row r="63" spans="1:11" s="1" customFormat="1" x14ac:dyDescent="0.3">
      <c r="A63" s="21"/>
      <c r="B63" s="39" t="s">
        <v>34</v>
      </c>
      <c r="C63" s="22"/>
      <c r="D63" s="23"/>
      <c r="E63" s="24"/>
      <c r="F63" s="24"/>
      <c r="G63" s="27"/>
      <c r="H63" s="25"/>
      <c r="I63" s="26"/>
      <c r="J63" s="27">
        <f>0.13*G62*11166.2/100</f>
        <v>576.44725865999999</v>
      </c>
      <c r="K63" s="24"/>
    </row>
    <row r="64" spans="1:11" s="1" customFormat="1" ht="15" x14ac:dyDescent="0.3">
      <c r="A64" s="21"/>
      <c r="B64" s="37"/>
      <c r="C64" s="22"/>
      <c r="D64" s="23"/>
      <c r="E64" s="24"/>
      <c r="F64" s="24"/>
      <c r="G64" s="27"/>
      <c r="H64" s="25"/>
      <c r="I64" s="26"/>
      <c r="J64" s="27"/>
      <c r="K64" s="24"/>
    </row>
    <row r="65" spans="1:14" ht="138" x14ac:dyDescent="0.3">
      <c r="A65" s="42">
        <v>9</v>
      </c>
      <c r="B65" s="43" t="s">
        <v>53</v>
      </c>
      <c r="C65" s="44"/>
      <c r="D65" s="44"/>
      <c r="E65" s="44"/>
      <c r="F65" s="44"/>
      <c r="G65" s="44"/>
      <c r="H65" s="44"/>
      <c r="I65" s="44"/>
      <c r="J65" s="44"/>
      <c r="K65" s="44"/>
    </row>
    <row r="66" spans="1:14" ht="15" customHeight="1" x14ac:dyDescent="0.3">
      <c r="A66" s="21"/>
      <c r="B66" s="45" t="s">
        <v>56</v>
      </c>
      <c r="C66" s="44">
        <v>0.5</v>
      </c>
      <c r="D66" s="46">
        <f>D86</f>
        <v>6</v>
      </c>
      <c r="E66" s="46">
        <f>F86/2</f>
        <v>1.1746926749974602</v>
      </c>
      <c r="F66" s="46">
        <v>1.5</v>
      </c>
      <c r="G66" s="47">
        <f>PRODUCT(C66:F66)</f>
        <v>5.2861170374885713</v>
      </c>
      <c r="H66" s="48"/>
      <c r="I66" s="48"/>
      <c r="J66" s="48"/>
      <c r="K66" s="24"/>
      <c r="M66" s="1"/>
      <c r="N66" s="1"/>
    </row>
    <row r="67" spans="1:14" ht="15" customHeight="1" x14ac:dyDescent="0.3">
      <c r="A67" s="21"/>
      <c r="B67" s="45"/>
      <c r="C67" s="44">
        <v>0.5</v>
      </c>
      <c r="D67" s="46">
        <f>D87</f>
        <v>5.4</v>
      </c>
      <c r="E67" s="46">
        <f>E73</f>
        <v>0.5</v>
      </c>
      <c r="F67" s="46">
        <f>F87</f>
        <v>1.092944224321853</v>
      </c>
      <c r="G67" s="47">
        <f>PRODUCT(C67:F67)</f>
        <v>1.4754747028345017</v>
      </c>
      <c r="H67" s="48"/>
      <c r="I67" s="48"/>
      <c r="J67" s="48"/>
      <c r="K67" s="24"/>
      <c r="M67" s="1"/>
      <c r="N67" s="1"/>
    </row>
    <row r="68" spans="1:14" ht="15" customHeight="1" x14ac:dyDescent="0.3">
      <c r="A68" s="21"/>
      <c r="B68" s="45" t="s">
        <v>57</v>
      </c>
      <c r="C68" s="22"/>
      <c r="D68" s="23"/>
      <c r="E68" s="24"/>
      <c r="F68" s="24"/>
      <c r="G68" s="26">
        <f>SUM(G66:G67)</f>
        <v>6.7615917403230732</v>
      </c>
      <c r="H68" s="25" t="s">
        <v>58</v>
      </c>
      <c r="I68" s="26">
        <v>64.63</v>
      </c>
      <c r="J68" s="50">
        <f>G68*I68</f>
        <v>437.00167417708019</v>
      </c>
      <c r="K68" s="24"/>
      <c r="M68" s="1"/>
      <c r="N68" s="1"/>
    </row>
    <row r="69" spans="1:14" ht="15" customHeight="1" x14ac:dyDescent="0.3">
      <c r="A69" s="21"/>
      <c r="B69" s="45" t="s">
        <v>59</v>
      </c>
      <c r="C69" s="22"/>
      <c r="D69" s="23"/>
      <c r="E69" s="24"/>
      <c r="F69" s="24"/>
      <c r="G69" s="26"/>
      <c r="H69" s="25"/>
      <c r="I69" s="26"/>
      <c r="J69" s="50">
        <f>0.13*G68*19284/360</f>
        <v>47.085471015696434</v>
      </c>
      <c r="K69" s="24"/>
      <c r="M69" s="1"/>
      <c r="N69" s="1"/>
    </row>
    <row r="70" spans="1:14" ht="15" customHeight="1" x14ac:dyDescent="0.3">
      <c r="A70" s="21"/>
      <c r="B70" s="45"/>
      <c r="C70" s="22"/>
      <c r="D70" s="23"/>
      <c r="E70" s="24"/>
      <c r="F70" s="24"/>
      <c r="G70" s="26"/>
      <c r="H70" s="25"/>
      <c r="I70" s="26"/>
      <c r="J70" s="50"/>
      <c r="K70" s="24"/>
      <c r="M70" s="1"/>
      <c r="N70" s="1"/>
    </row>
    <row r="71" spans="1:14" ht="82.8" x14ac:dyDescent="0.3">
      <c r="A71" s="21">
        <v>10</v>
      </c>
      <c r="B71" s="43" t="s">
        <v>63</v>
      </c>
      <c r="C71" s="22"/>
      <c r="D71" s="23"/>
      <c r="E71" s="24"/>
      <c r="F71" s="24"/>
      <c r="G71" s="26"/>
      <c r="H71" s="25"/>
      <c r="I71" s="26"/>
      <c r="J71" s="50"/>
      <c r="K71" s="24"/>
      <c r="M71" s="1"/>
      <c r="N71" s="1"/>
    </row>
    <row r="72" spans="1:14" ht="15" customHeight="1" x14ac:dyDescent="0.3">
      <c r="A72" s="21"/>
      <c r="B72" s="45" t="s">
        <v>60</v>
      </c>
      <c r="C72" s="44">
        <v>1</v>
      </c>
      <c r="D72" s="46">
        <f>D78</f>
        <v>6</v>
      </c>
      <c r="E72" s="46">
        <f>E78</f>
        <v>1.1429442243218531</v>
      </c>
      <c r="F72" s="46">
        <v>0.15</v>
      </c>
      <c r="G72" s="47">
        <f>PRODUCT(C72:F72)</f>
        <v>1.0286498018896677</v>
      </c>
      <c r="H72" s="48"/>
      <c r="I72" s="48"/>
      <c r="J72" s="48"/>
      <c r="K72" s="24"/>
      <c r="M72" s="1"/>
      <c r="N72" s="1"/>
    </row>
    <row r="73" spans="1:14" ht="15" customHeight="1" x14ac:dyDescent="0.3">
      <c r="A73" s="21"/>
      <c r="B73" s="45"/>
      <c r="C73" s="44">
        <f>C80</f>
        <v>1</v>
      </c>
      <c r="D73" s="46">
        <f>D80</f>
        <v>5.4</v>
      </c>
      <c r="E73" s="46">
        <v>0.5</v>
      </c>
      <c r="F73" s="46">
        <v>0.125</v>
      </c>
      <c r="G73" s="47">
        <f>PRODUCT(C73:F73)</f>
        <v>0.33750000000000002</v>
      </c>
      <c r="H73" s="48"/>
      <c r="I73" s="48"/>
      <c r="J73" s="48"/>
      <c r="K73" s="24"/>
      <c r="M73" s="1"/>
      <c r="N73" s="1"/>
    </row>
    <row r="74" spans="1:14" ht="15" customHeight="1" x14ac:dyDescent="0.3">
      <c r="A74" s="48"/>
      <c r="B74" s="45" t="s">
        <v>57</v>
      </c>
      <c r="C74" s="51"/>
      <c r="D74" s="52"/>
      <c r="E74" s="52"/>
      <c r="F74" s="52"/>
      <c r="G74" s="53">
        <f>SUM(G72:G73)</f>
        <v>1.3661498018896676</v>
      </c>
      <c r="H74" s="53" t="s">
        <v>58</v>
      </c>
      <c r="I74" s="53">
        <v>4434.5200000000004</v>
      </c>
      <c r="J74" s="54">
        <f>G74*I74</f>
        <v>6058.2186194757696</v>
      </c>
      <c r="K74" s="44"/>
    </row>
    <row r="75" spans="1:14" x14ac:dyDescent="0.3">
      <c r="A75" s="48"/>
      <c r="B75" s="45" t="s">
        <v>59</v>
      </c>
      <c r="C75" s="51"/>
      <c r="D75" s="52"/>
      <c r="E75" s="52"/>
      <c r="F75" s="52"/>
      <c r="G75" s="52"/>
      <c r="H75" s="52"/>
      <c r="I75" s="52"/>
      <c r="J75" s="55">
        <f>0.13*G74*(14817.6/5)</f>
        <v>526.31959391648888</v>
      </c>
      <c r="K75" s="44"/>
    </row>
    <row r="76" spans="1:14" x14ac:dyDescent="0.3">
      <c r="A76" s="48"/>
      <c r="B76" s="45"/>
      <c r="C76" s="51"/>
      <c r="D76" s="52"/>
      <c r="E76" s="52"/>
      <c r="F76" s="52"/>
      <c r="G76" s="52"/>
      <c r="H76" s="52"/>
      <c r="I76" s="52"/>
      <c r="J76" s="55"/>
      <c r="K76" s="44"/>
    </row>
    <row r="77" spans="1:14" ht="69" x14ac:dyDescent="0.3">
      <c r="A77" s="21">
        <v>11</v>
      </c>
      <c r="B77" s="43" t="s">
        <v>61</v>
      </c>
      <c r="C77" s="22"/>
      <c r="D77" s="23"/>
      <c r="E77" s="24"/>
      <c r="F77" s="24"/>
      <c r="G77" s="26"/>
      <c r="H77" s="25"/>
      <c r="I77" s="26"/>
      <c r="J77" s="50"/>
      <c r="K77" s="24"/>
      <c r="M77" s="1"/>
      <c r="N77" s="1"/>
    </row>
    <row r="78" spans="1:14" ht="15" customHeight="1" x14ac:dyDescent="0.3">
      <c r="A78" s="21"/>
      <c r="B78" s="45" t="s">
        <v>56</v>
      </c>
      <c r="C78" s="44">
        <v>1</v>
      </c>
      <c r="D78" s="46">
        <f>D86</f>
        <v>6</v>
      </c>
      <c r="E78" s="46">
        <f>((3.5+4)/2/3.281)</f>
        <v>1.1429442243218531</v>
      </c>
      <c r="F78" s="46">
        <v>0.05</v>
      </c>
      <c r="G78" s="47">
        <f>PRODUCT(C78:F78)</f>
        <v>0.34288326729655594</v>
      </c>
      <c r="H78" s="48"/>
      <c r="I78" s="48"/>
      <c r="J78" s="48"/>
      <c r="K78" s="24"/>
      <c r="M78" s="1"/>
      <c r="N78" s="1"/>
    </row>
    <row r="79" spans="1:14" ht="15" customHeight="1" x14ac:dyDescent="0.3">
      <c r="A79" s="21"/>
      <c r="B79" s="45"/>
      <c r="C79" s="44">
        <v>1</v>
      </c>
      <c r="D79" s="46">
        <f>D78</f>
        <v>6</v>
      </c>
      <c r="E79" s="46">
        <v>0.5</v>
      </c>
      <c r="F79" s="46">
        <v>0.05</v>
      </c>
      <c r="G79" s="47">
        <f>PRODUCT(C79:F79)</f>
        <v>0.15000000000000002</v>
      </c>
      <c r="H79" s="48"/>
      <c r="I79" s="48"/>
      <c r="J79" s="48"/>
      <c r="K79" s="24"/>
      <c r="M79" s="1"/>
      <c r="N79" s="1"/>
    </row>
    <row r="80" spans="1:14" ht="15" customHeight="1" x14ac:dyDescent="0.3">
      <c r="A80" s="21"/>
      <c r="B80" s="45"/>
      <c r="C80" s="44">
        <v>1</v>
      </c>
      <c r="D80" s="46">
        <f>D87</f>
        <v>5.4</v>
      </c>
      <c r="E80" s="46">
        <v>0.5</v>
      </c>
      <c r="F80" s="46">
        <v>0.05</v>
      </c>
      <c r="G80" s="47">
        <f>PRODUCT(C80:F80)</f>
        <v>0.13500000000000001</v>
      </c>
      <c r="H80" s="48"/>
      <c r="I80" s="48"/>
      <c r="J80" s="48"/>
      <c r="K80" s="24"/>
      <c r="M80" s="1"/>
      <c r="N80" s="1"/>
    </row>
    <row r="81" spans="1:22" ht="15" customHeight="1" x14ac:dyDescent="0.3">
      <c r="A81" s="21"/>
      <c r="B81" s="45"/>
      <c r="C81" s="44">
        <v>1</v>
      </c>
      <c r="D81" s="46">
        <f>D80</f>
        <v>5.4</v>
      </c>
      <c r="E81" s="46">
        <v>0.5</v>
      </c>
      <c r="F81" s="46">
        <v>0.05</v>
      </c>
      <c r="G81" s="47">
        <f>PRODUCT(C81:F81)</f>
        <v>0.13500000000000001</v>
      </c>
      <c r="H81" s="48"/>
      <c r="I81" s="48"/>
      <c r="J81" s="48"/>
      <c r="K81" s="24"/>
      <c r="M81" s="1"/>
      <c r="N81" s="1"/>
    </row>
    <row r="82" spans="1:22" ht="15" customHeight="1" x14ac:dyDescent="0.3">
      <c r="A82" s="48"/>
      <c r="B82" s="45" t="s">
        <v>57</v>
      </c>
      <c r="C82" s="51"/>
      <c r="D82" s="52"/>
      <c r="E82" s="52"/>
      <c r="F82" s="52"/>
      <c r="G82" s="53">
        <f>SUM(G78:G81)</f>
        <v>0.76288326729655598</v>
      </c>
      <c r="H82" s="53" t="s">
        <v>58</v>
      </c>
      <c r="I82" s="53">
        <v>10634.5</v>
      </c>
      <c r="J82" s="54">
        <f>G82*I82</f>
        <v>8112.8821060652244</v>
      </c>
      <c r="K82" s="44"/>
    </row>
    <row r="83" spans="1:22" ht="15" customHeight="1" x14ac:dyDescent="0.3">
      <c r="A83" s="48"/>
      <c r="B83" s="45" t="s">
        <v>59</v>
      </c>
      <c r="C83" s="51"/>
      <c r="D83" s="52"/>
      <c r="E83" s="52"/>
      <c r="F83" s="52"/>
      <c r="G83" s="52"/>
      <c r="H83" s="52"/>
      <c r="I83" s="52"/>
      <c r="J83" s="55">
        <f>0.13*G82*((114907.3+6135.3)/15)</f>
        <v>800.29190947394102</v>
      </c>
      <c r="K83" s="44"/>
    </row>
    <row r="84" spans="1:22" ht="15" customHeight="1" x14ac:dyDescent="0.3">
      <c r="A84" s="48"/>
      <c r="B84" s="45"/>
      <c r="C84" s="51"/>
      <c r="D84" s="52"/>
      <c r="E84" s="52"/>
      <c r="F84" s="52"/>
      <c r="G84" s="52"/>
      <c r="H84" s="52"/>
      <c r="I84" s="52"/>
      <c r="J84" s="55"/>
      <c r="K84" s="44"/>
    </row>
    <row r="85" spans="1:22" s="1" customFormat="1" ht="82.8" x14ac:dyDescent="0.3">
      <c r="A85" s="56">
        <v>12</v>
      </c>
      <c r="B85" s="43" t="s">
        <v>62</v>
      </c>
      <c r="C85" s="57"/>
      <c r="D85" s="47"/>
      <c r="E85" s="47"/>
      <c r="F85" s="47"/>
      <c r="G85" s="47"/>
      <c r="H85" s="47"/>
      <c r="I85" s="47"/>
      <c r="J85" s="55"/>
      <c r="K85" s="42"/>
    </row>
    <row r="86" spans="1:22" ht="15" customHeight="1" x14ac:dyDescent="0.3">
      <c r="A86" s="21"/>
      <c r="B86" s="45" t="s">
        <v>56</v>
      </c>
      <c r="C86" s="44">
        <v>1</v>
      </c>
      <c r="D86" s="46">
        <v>6</v>
      </c>
      <c r="E86" s="46">
        <f>((((3.5+4)/2)/3.281)+0.5)/2</f>
        <v>0.82147211216092653</v>
      </c>
      <c r="F86" s="46">
        <f>(((89/12)+8)/2)/3.281</f>
        <v>2.3493853499949204</v>
      </c>
      <c r="G86" s="47">
        <f>PRODUCT(C86:F86)</f>
        <v>11.579727274441588</v>
      </c>
      <c r="H86" s="48"/>
      <c r="I86" s="48"/>
      <c r="J86" s="48"/>
      <c r="K86" s="24"/>
      <c r="M86" s="1">
        <f>89/12</f>
        <v>7.416666666666667</v>
      </c>
      <c r="N86" s="1">
        <f>7.5/2</f>
        <v>3.75</v>
      </c>
      <c r="O86">
        <f>N86/3.281</f>
        <v>1.1429442243218531</v>
      </c>
      <c r="P86">
        <f>(O86+0.5)/2</f>
        <v>0.82147211216092653</v>
      </c>
    </row>
    <row r="87" spans="1:22" ht="15" customHeight="1" x14ac:dyDescent="0.3">
      <c r="A87" s="21"/>
      <c r="B87" s="45"/>
      <c r="C87" s="44">
        <v>1</v>
      </c>
      <c r="D87" s="46">
        <v>5.4</v>
      </c>
      <c r="E87" s="46">
        <f>(0.6+0.5)/2</f>
        <v>0.55000000000000004</v>
      </c>
      <c r="F87" s="46">
        <f>((3.5+4)/2/3.281)-0.05</f>
        <v>1.092944224321853</v>
      </c>
      <c r="G87" s="47">
        <f>PRODUCT(C87:F87)</f>
        <v>3.2460443462359043</v>
      </c>
      <c r="H87" s="48"/>
      <c r="I87" s="48"/>
      <c r="J87" s="48"/>
      <c r="K87" s="24"/>
      <c r="M87" s="1"/>
      <c r="N87" s="1"/>
    </row>
    <row r="88" spans="1:22" ht="15" customHeight="1" x14ac:dyDescent="0.3">
      <c r="A88" s="21"/>
      <c r="B88" s="45"/>
      <c r="C88" s="44">
        <v>1</v>
      </c>
      <c r="D88" s="46">
        <v>1</v>
      </c>
      <c r="E88" s="46">
        <v>0.5</v>
      </c>
      <c r="F88" s="46">
        <v>0.5</v>
      </c>
      <c r="G88" s="47">
        <f>PRODUCT(C88:F88)</f>
        <v>0.25</v>
      </c>
      <c r="H88" s="48"/>
      <c r="I88" s="48"/>
      <c r="J88" s="48"/>
      <c r="K88" s="24"/>
      <c r="M88" s="1"/>
      <c r="N88" s="1"/>
    </row>
    <row r="89" spans="1:22" ht="15" customHeight="1" x14ac:dyDescent="0.3">
      <c r="A89" s="48"/>
      <c r="B89" s="45" t="s">
        <v>57</v>
      </c>
      <c r="C89" s="51"/>
      <c r="D89" s="52"/>
      <c r="E89" s="52"/>
      <c r="F89" s="52"/>
      <c r="G89" s="53">
        <f>SUM(G86:G88)</f>
        <v>15.075771620677493</v>
      </c>
      <c r="H89" s="53" t="s">
        <v>58</v>
      </c>
      <c r="I89" s="53">
        <v>9709.43</v>
      </c>
      <c r="J89" s="54">
        <f>G89*I89</f>
        <v>146377.14924695468</v>
      </c>
      <c r="K89" s="44"/>
    </row>
    <row r="90" spans="1:22" ht="15" customHeight="1" x14ac:dyDescent="0.3">
      <c r="A90" s="48"/>
      <c r="B90" s="45" t="s">
        <v>59</v>
      </c>
      <c r="C90" s="51"/>
      <c r="D90" s="52"/>
      <c r="E90" s="52"/>
      <c r="F90" s="52"/>
      <c r="G90" s="52"/>
      <c r="H90" s="52"/>
      <c r="I90" s="52"/>
      <c r="J90" s="55">
        <f>0.13*G89*((27092.1)/5)</f>
        <v>10619.292120438475</v>
      </c>
      <c r="K90" s="44"/>
    </row>
    <row r="91" spans="1:22" ht="15" customHeight="1" x14ac:dyDescent="0.3">
      <c r="A91" s="48"/>
      <c r="B91" s="45"/>
      <c r="C91" s="51"/>
      <c r="D91" s="52"/>
      <c r="E91" s="52"/>
      <c r="F91" s="52"/>
      <c r="G91" s="53"/>
      <c r="H91" s="53"/>
      <c r="I91" s="53"/>
      <c r="J91" s="54"/>
      <c r="K91" s="44"/>
    </row>
    <row r="92" spans="1:22" s="1" customFormat="1" x14ac:dyDescent="0.3">
      <c r="A92" s="21">
        <v>13</v>
      </c>
      <c r="B92" s="41" t="s">
        <v>33</v>
      </c>
      <c r="C92" s="22">
        <v>1</v>
      </c>
      <c r="D92" s="23"/>
      <c r="E92" s="24"/>
      <c r="F92" s="24"/>
      <c r="G92" s="36">
        <f>PRODUCT(C92:F92)</f>
        <v>1</v>
      </c>
      <c r="H92" s="25" t="s">
        <v>48</v>
      </c>
      <c r="I92" s="26">
        <v>500</v>
      </c>
      <c r="J92" s="27">
        <f>G92*I92</f>
        <v>500</v>
      </c>
      <c r="K92" s="24"/>
    </row>
    <row r="93" spans="1:22" s="1" customFormat="1" x14ac:dyDescent="0.3">
      <c r="A93" s="21"/>
      <c r="B93" s="39"/>
      <c r="C93" s="22"/>
      <c r="D93" s="23"/>
      <c r="E93" s="24"/>
      <c r="F93" s="24"/>
      <c r="G93" s="27"/>
      <c r="H93" s="25"/>
      <c r="I93" s="26"/>
      <c r="J93" s="27"/>
      <c r="K93" s="24"/>
    </row>
    <row r="94" spans="1:22" x14ac:dyDescent="0.3">
      <c r="A94" s="9"/>
      <c r="B94" s="20" t="s">
        <v>16</v>
      </c>
      <c r="C94" s="8"/>
      <c r="D94" s="6"/>
      <c r="E94" s="6"/>
      <c r="F94" s="6"/>
      <c r="G94" s="33"/>
      <c r="H94" s="7"/>
      <c r="I94" s="7"/>
      <c r="J94" s="7">
        <f>SUM(J10:J93)</f>
        <v>469988.02996661171</v>
      </c>
      <c r="K94" s="4"/>
      <c r="M94" s="32"/>
      <c r="N94" s="32"/>
    </row>
    <row r="95" spans="1:22" x14ac:dyDescent="0.3">
      <c r="M95" s="31"/>
      <c r="O95" s="29"/>
      <c r="P95" s="29"/>
      <c r="Q95" s="29"/>
      <c r="R95" s="29"/>
      <c r="S95" s="29"/>
      <c r="T95" s="29"/>
      <c r="U95" s="29"/>
      <c r="V95" s="29"/>
    </row>
    <row r="96" spans="1:22" s="1" customFormat="1" x14ac:dyDescent="0.3">
      <c r="B96" s="11" t="s">
        <v>22</v>
      </c>
      <c r="C96" s="79">
        <f>J94</f>
        <v>469988.02996661171</v>
      </c>
      <c r="D96" s="80"/>
      <c r="E96" s="10">
        <v>100</v>
      </c>
      <c r="F96" s="12"/>
      <c r="G96" s="13"/>
      <c r="H96" s="12"/>
      <c r="I96" s="14"/>
      <c r="J96" s="15"/>
      <c r="K96" s="16"/>
      <c r="M96" s="30"/>
      <c r="N96" s="30"/>
      <c r="O96" s="12"/>
      <c r="P96" s="12"/>
      <c r="Q96" s="12"/>
      <c r="R96" s="12"/>
      <c r="S96" s="12"/>
      <c r="T96" s="12"/>
      <c r="U96" s="12"/>
      <c r="V96" s="12"/>
    </row>
    <row r="97" spans="2:22" x14ac:dyDescent="0.3">
      <c r="B97" s="11" t="s">
        <v>17</v>
      </c>
      <c r="C97" s="82">
        <v>400000</v>
      </c>
      <c r="D97" s="83"/>
      <c r="E97" s="10"/>
      <c r="M97" s="30"/>
      <c r="N97" s="30"/>
      <c r="O97" s="29"/>
      <c r="P97" s="29"/>
      <c r="Q97" s="29"/>
      <c r="R97" s="29"/>
      <c r="S97" s="29"/>
      <c r="T97" s="29"/>
      <c r="U97" s="29"/>
      <c r="V97" s="29"/>
    </row>
    <row r="98" spans="2:22" x14ac:dyDescent="0.3">
      <c r="B98" s="11" t="s">
        <v>18</v>
      </c>
      <c r="C98" s="82">
        <f>C97-C100-C101</f>
        <v>380000</v>
      </c>
      <c r="D98" s="83"/>
      <c r="E98" s="10">
        <f>C98/C96*100</f>
        <v>80.853123009748884</v>
      </c>
      <c r="M98" s="29"/>
      <c r="N98" s="29"/>
      <c r="O98" s="29"/>
      <c r="P98" s="29"/>
      <c r="Q98" s="29"/>
      <c r="R98" s="29"/>
      <c r="S98" s="29"/>
      <c r="T98" s="29"/>
      <c r="U98" s="29"/>
      <c r="V98" s="29"/>
    </row>
    <row r="99" spans="2:22" x14ac:dyDescent="0.3">
      <c r="B99" s="11" t="s">
        <v>19</v>
      </c>
      <c r="C99" s="84">
        <f>C96-C98</f>
        <v>89988.029966611706</v>
      </c>
      <c r="D99" s="84"/>
      <c r="E99" s="10">
        <f>100-E98</f>
        <v>19.146876990251116</v>
      </c>
      <c r="M99" s="29"/>
      <c r="N99" s="29"/>
      <c r="O99" s="29"/>
      <c r="P99" s="29"/>
      <c r="Q99" s="29"/>
      <c r="R99" s="29"/>
      <c r="S99" s="29"/>
      <c r="T99" s="29"/>
      <c r="U99" s="29"/>
      <c r="V99" s="29"/>
    </row>
    <row r="100" spans="2:22" x14ac:dyDescent="0.3">
      <c r="B100" s="11" t="s">
        <v>20</v>
      </c>
      <c r="C100" s="79">
        <f>C97*0.03</f>
        <v>12000</v>
      </c>
      <c r="D100" s="80"/>
      <c r="E100" s="10">
        <v>3</v>
      </c>
      <c r="M100" s="29"/>
      <c r="N100" s="29"/>
      <c r="O100" s="29"/>
      <c r="P100" s="29"/>
      <c r="Q100" s="29"/>
      <c r="R100" s="29"/>
      <c r="S100" s="29"/>
      <c r="T100" s="29"/>
      <c r="U100" s="29"/>
      <c r="V100" s="29"/>
    </row>
    <row r="101" spans="2:22" x14ac:dyDescent="0.3">
      <c r="B101" s="11" t="s">
        <v>21</v>
      </c>
      <c r="C101" s="79">
        <f>C97*0.02</f>
        <v>8000</v>
      </c>
      <c r="D101" s="80"/>
      <c r="E101" s="10">
        <v>2</v>
      </c>
      <c r="M101" s="29"/>
      <c r="N101" s="29"/>
      <c r="O101" s="29"/>
      <c r="P101" s="29"/>
      <c r="Q101" s="29"/>
      <c r="R101" s="29"/>
      <c r="S101" s="29"/>
      <c r="T101" s="29"/>
      <c r="U101" s="29"/>
      <c r="V101" s="29"/>
    </row>
  </sheetData>
  <mergeCells count="15">
    <mergeCell ref="C100:D100"/>
    <mergeCell ref="C101:D101"/>
    <mergeCell ref="A7:F7"/>
    <mergeCell ref="H7:K7"/>
    <mergeCell ref="C96:D96"/>
    <mergeCell ref="C97:D97"/>
    <mergeCell ref="C98:D98"/>
    <mergeCell ref="C99:D99"/>
    <mergeCell ref="A6:G6"/>
    <mergeCell ref="H6:K6"/>
    <mergeCell ref="A1:K1"/>
    <mergeCell ref="A2:K2"/>
    <mergeCell ref="A3:K3"/>
    <mergeCell ref="A4:K4"/>
    <mergeCell ref="A5:K5"/>
  </mergeCells>
  <hyperlinks>
    <hyperlink ref="B59" r:id="rId1"/>
  </hyperlinks>
  <printOptions horizontalCentered="1"/>
  <pageMargins left="0.70866141732283472" right="0.70866141732283472" top="0.74803149606299213" bottom="0.74803149606299213" header="0.31496062992125984" footer="0.31496062992125984"/>
  <pageSetup paperSize="9" scale="80" orientation="portrait" horizontalDpi="300" verticalDpi="300" r:id="rId2"/>
  <headerFooter>
    <oddFooter xml:space="preserve">&amp;LPrepared By:&amp;CChecked By:&amp;RApproved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5"/>
  <sheetViews>
    <sheetView topLeftCell="A80" zoomScaleNormal="100" zoomScaleSheetLayoutView="80" workbookViewId="0">
      <selection activeCell="D82" sqref="D82"/>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9.332031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x14ac:dyDescent="0.3">
      <c r="A1" s="75" t="s">
        <v>0</v>
      </c>
      <c r="B1" s="75"/>
      <c r="C1" s="75"/>
      <c r="D1" s="75"/>
      <c r="E1" s="75"/>
      <c r="F1" s="75"/>
      <c r="G1" s="75"/>
      <c r="H1" s="75"/>
      <c r="I1" s="75"/>
      <c r="J1" s="75"/>
      <c r="K1" s="75"/>
    </row>
    <row r="2" spans="1:13" s="1" customFormat="1" ht="22.8" x14ac:dyDescent="0.3">
      <c r="A2" s="76" t="s">
        <v>1</v>
      </c>
      <c r="B2" s="76"/>
      <c r="C2" s="76"/>
      <c r="D2" s="76"/>
      <c r="E2" s="76"/>
      <c r="F2" s="76"/>
      <c r="G2" s="76"/>
      <c r="H2" s="76"/>
      <c r="I2" s="76"/>
      <c r="J2" s="76"/>
      <c r="K2" s="76"/>
    </row>
    <row r="3" spans="1:13" s="1" customFormat="1" x14ac:dyDescent="0.3">
      <c r="A3" s="77" t="s">
        <v>2</v>
      </c>
      <c r="B3" s="77"/>
      <c r="C3" s="77"/>
      <c r="D3" s="77"/>
      <c r="E3" s="77"/>
      <c r="F3" s="77"/>
      <c r="G3" s="77"/>
      <c r="H3" s="77"/>
      <c r="I3" s="77"/>
      <c r="J3" s="77"/>
      <c r="K3" s="77"/>
    </row>
    <row r="4" spans="1:13" s="1" customFormat="1" x14ac:dyDescent="0.3">
      <c r="A4" s="77" t="s">
        <v>3</v>
      </c>
      <c r="B4" s="77"/>
      <c r="C4" s="77"/>
      <c r="D4" s="77"/>
      <c r="E4" s="77"/>
      <c r="F4" s="77"/>
      <c r="G4" s="77"/>
      <c r="H4" s="77"/>
      <c r="I4" s="77"/>
      <c r="J4" s="77"/>
      <c r="K4" s="77"/>
    </row>
    <row r="5" spans="1:13" ht="17.399999999999999" x14ac:dyDescent="0.3">
      <c r="A5" s="78" t="s">
        <v>4</v>
      </c>
      <c r="B5" s="78"/>
      <c r="C5" s="78"/>
      <c r="D5" s="78"/>
      <c r="E5" s="78"/>
      <c r="F5" s="78"/>
      <c r="G5" s="78"/>
      <c r="H5" s="78"/>
      <c r="I5" s="78"/>
      <c r="J5" s="78"/>
      <c r="K5" s="78"/>
    </row>
    <row r="6" spans="1:13" ht="18" x14ac:dyDescent="0.35">
      <c r="A6" s="73" t="s">
        <v>64</v>
      </c>
      <c r="B6" s="73"/>
      <c r="C6" s="73"/>
      <c r="D6" s="73"/>
      <c r="E6" s="73"/>
      <c r="F6" s="73"/>
      <c r="G6" s="73"/>
      <c r="H6" s="74" t="s">
        <v>24</v>
      </c>
      <c r="I6" s="74"/>
      <c r="J6" s="74"/>
      <c r="K6" s="74"/>
    </row>
    <row r="7" spans="1:13" ht="15.6" x14ac:dyDescent="0.3">
      <c r="A7" s="81" t="s">
        <v>23</v>
      </c>
      <c r="B7" s="81"/>
      <c r="C7" s="81"/>
      <c r="D7" s="81"/>
      <c r="E7" s="81"/>
      <c r="F7" s="81"/>
      <c r="G7" s="2"/>
      <c r="H7" s="74" t="s">
        <v>65</v>
      </c>
      <c r="I7" s="74"/>
      <c r="J7" s="74"/>
      <c r="K7" s="74"/>
    </row>
    <row r="8" spans="1:13" ht="15" customHeight="1" x14ac:dyDescent="0.3">
      <c r="A8" s="3" t="s">
        <v>5</v>
      </c>
      <c r="B8" s="17" t="s">
        <v>6</v>
      </c>
      <c r="C8" s="3" t="s">
        <v>7</v>
      </c>
      <c r="D8" s="18" t="s">
        <v>8</v>
      </c>
      <c r="E8" s="18" t="s">
        <v>9</v>
      </c>
      <c r="F8" s="18" t="s">
        <v>10</v>
      </c>
      <c r="G8" s="18" t="s">
        <v>11</v>
      </c>
      <c r="H8" s="3" t="s">
        <v>12</v>
      </c>
      <c r="I8" s="18" t="s">
        <v>13</v>
      </c>
      <c r="J8" s="18" t="s">
        <v>14</v>
      </c>
      <c r="K8" s="19" t="s">
        <v>15</v>
      </c>
    </row>
    <row r="9" spans="1:13" s="1" customFormat="1" ht="41.4" x14ac:dyDescent="0.3">
      <c r="A9" s="21">
        <v>1</v>
      </c>
      <c r="B9" s="37" t="s">
        <v>29</v>
      </c>
      <c r="C9" s="22" t="s">
        <v>7</v>
      </c>
      <c r="D9" s="34" t="s">
        <v>26</v>
      </c>
      <c r="E9" s="35" t="s">
        <v>28</v>
      </c>
      <c r="F9" s="35" t="s">
        <v>27</v>
      </c>
      <c r="G9" s="35"/>
      <c r="H9" s="25"/>
      <c r="I9" s="26"/>
      <c r="J9" s="27"/>
      <c r="K9" s="24"/>
    </row>
    <row r="10" spans="1:13" s="1" customFormat="1" ht="27.6" x14ac:dyDescent="0.3">
      <c r="A10" s="38"/>
      <c r="B10" s="39" t="s">
        <v>40</v>
      </c>
      <c r="C10" s="40">
        <v>6</v>
      </c>
      <c r="D10" s="10">
        <f>(2.5+1.5+11)/3.281</f>
        <v>4.5717768972874122</v>
      </c>
      <c r="E10" s="10">
        <v>3.97</v>
      </c>
      <c r="F10" s="10">
        <f>PRODUCT(C10:E10)</f>
        <v>108.89972569338616</v>
      </c>
      <c r="G10" s="36">
        <f>F10</f>
        <v>108.89972569338616</v>
      </c>
      <c r="H10" s="27"/>
      <c r="I10" s="27"/>
      <c r="J10" s="27"/>
      <c r="K10" s="11"/>
      <c r="M10" s="12"/>
    </row>
    <row r="11" spans="1:13" s="1" customFormat="1" ht="41.4" x14ac:dyDescent="0.3">
      <c r="A11" s="38"/>
      <c r="B11" s="39" t="s">
        <v>41</v>
      </c>
      <c r="C11" s="40">
        <v>3</v>
      </c>
      <c r="D11" s="10">
        <f>(1+20+1)/3.281</f>
        <v>6.7052727826882048</v>
      </c>
      <c r="E11" s="10">
        <v>2.72</v>
      </c>
      <c r="F11" s="10">
        <f t="shared" ref="F11:F20" si="0">PRODUCT(C11:E11)</f>
        <v>54.715025906735754</v>
      </c>
      <c r="G11" s="36">
        <f t="shared" ref="G11:G20" si="1">F11</f>
        <v>54.715025906735754</v>
      </c>
      <c r="H11" s="27"/>
      <c r="I11" s="27"/>
      <c r="J11" s="27"/>
      <c r="K11" s="11"/>
      <c r="M11" s="12"/>
    </row>
    <row r="12" spans="1:13" s="1" customFormat="1" ht="41.4" x14ac:dyDescent="0.3">
      <c r="A12" s="38"/>
      <c r="B12" s="39" t="s">
        <v>44</v>
      </c>
      <c r="C12" s="40">
        <f>2*3</f>
        <v>6</v>
      </c>
      <c r="D12" s="10">
        <f>12/3.281</f>
        <v>3.6574215178299299</v>
      </c>
      <c r="E12" s="10">
        <v>2.72</v>
      </c>
      <c r="F12" s="10">
        <f t="shared" si="0"/>
        <v>59.689119170984462</v>
      </c>
      <c r="G12" s="36">
        <f t="shared" si="1"/>
        <v>59.689119170984462</v>
      </c>
      <c r="H12" s="27"/>
      <c r="I12" s="27"/>
      <c r="J12" s="27"/>
      <c r="K12" s="11"/>
      <c r="M12" s="12"/>
    </row>
    <row r="13" spans="1:13" s="1" customFormat="1" ht="41.4" x14ac:dyDescent="0.3">
      <c r="A13" s="38"/>
      <c r="B13" s="39" t="s">
        <v>81</v>
      </c>
      <c r="C13" s="40">
        <v>3</v>
      </c>
      <c r="D13" s="10">
        <f>3.25/3.281</f>
        <v>0.99055166107893933</v>
      </c>
      <c r="E13" s="10">
        <v>2.72</v>
      </c>
      <c r="F13" s="10">
        <f t="shared" si="0"/>
        <v>8.0829015544041454</v>
      </c>
      <c r="G13" s="36">
        <f t="shared" si="1"/>
        <v>8.0829015544041454</v>
      </c>
      <c r="H13" s="27"/>
      <c r="I13" s="27"/>
      <c r="J13" s="27"/>
      <c r="K13" s="11"/>
      <c r="M13" s="12"/>
    </row>
    <row r="14" spans="1:13" s="1" customFormat="1" ht="41.4" x14ac:dyDescent="0.3">
      <c r="A14" s="38"/>
      <c r="B14" s="39" t="s">
        <v>43</v>
      </c>
      <c r="C14" s="40">
        <f t="shared" ref="C14:C20" si="2">2*3</f>
        <v>6</v>
      </c>
      <c r="D14" s="10">
        <f>3.25/3.281</f>
        <v>0.99055166107893933</v>
      </c>
      <c r="E14" s="10">
        <v>1.83</v>
      </c>
      <c r="F14" s="10">
        <f t="shared" si="0"/>
        <v>10.876257238646755</v>
      </c>
      <c r="G14" s="36">
        <f t="shared" si="1"/>
        <v>10.876257238646755</v>
      </c>
      <c r="H14" s="27"/>
      <c r="I14" s="27"/>
      <c r="J14" s="27"/>
      <c r="K14" s="11"/>
      <c r="M14" s="12"/>
    </row>
    <row r="15" spans="1:13" s="1" customFormat="1" x14ac:dyDescent="0.3">
      <c r="A15" s="38"/>
      <c r="B15" s="39"/>
      <c r="C15" s="40">
        <f t="shared" si="2"/>
        <v>6</v>
      </c>
      <c r="D15" s="10">
        <f>2.75/3.281</f>
        <v>0.8381590978360256</v>
      </c>
      <c r="E15" s="10">
        <v>1.83</v>
      </c>
      <c r="F15" s="10">
        <f t="shared" si="0"/>
        <v>9.2029868942395616</v>
      </c>
      <c r="G15" s="36">
        <f t="shared" si="1"/>
        <v>9.2029868942395616</v>
      </c>
      <c r="H15" s="27"/>
      <c r="I15" s="27"/>
      <c r="J15" s="27"/>
      <c r="K15" s="11"/>
      <c r="M15" s="12"/>
    </row>
    <row r="16" spans="1:13" s="1" customFormat="1" x14ac:dyDescent="0.3">
      <c r="A16" s="38"/>
      <c r="B16" s="39"/>
      <c r="C16" s="40">
        <f t="shared" si="2"/>
        <v>6</v>
      </c>
      <c r="D16" s="10">
        <f>2.42/3.281</f>
        <v>0.73758000609570251</v>
      </c>
      <c r="E16" s="10">
        <v>1.83</v>
      </c>
      <c r="F16" s="10">
        <f t="shared" si="0"/>
        <v>8.0986284669308137</v>
      </c>
      <c r="G16" s="36">
        <f t="shared" si="1"/>
        <v>8.0986284669308137</v>
      </c>
      <c r="H16" s="27"/>
      <c r="I16" s="27"/>
      <c r="J16" s="27"/>
      <c r="K16" s="11"/>
      <c r="M16" s="12"/>
    </row>
    <row r="17" spans="1:13" s="1" customFormat="1" ht="41.4" x14ac:dyDescent="0.3">
      <c r="A17" s="38"/>
      <c r="B17" s="39" t="s">
        <v>42</v>
      </c>
      <c r="C17" s="40">
        <f t="shared" si="2"/>
        <v>6</v>
      </c>
      <c r="D17" s="10">
        <f>2.25/3.281</f>
        <v>0.68576653459311188</v>
      </c>
      <c r="E17" s="10">
        <v>1.83</v>
      </c>
      <c r="F17" s="10">
        <f t="shared" si="0"/>
        <v>7.5297165498323677</v>
      </c>
      <c r="G17" s="36">
        <f t="shared" si="1"/>
        <v>7.5297165498323677</v>
      </c>
      <c r="H17" s="27"/>
      <c r="I17" s="27"/>
      <c r="J17" s="27"/>
      <c r="K17" s="11"/>
      <c r="M17" s="12"/>
    </row>
    <row r="18" spans="1:13" s="1" customFormat="1" x14ac:dyDescent="0.3">
      <c r="A18" s="38"/>
      <c r="B18" s="39"/>
      <c r="C18" s="40">
        <f t="shared" si="2"/>
        <v>6</v>
      </c>
      <c r="D18" s="10">
        <f>1.5/3.281</f>
        <v>0.45717768972874123</v>
      </c>
      <c r="E18" s="10">
        <v>1.83</v>
      </c>
      <c r="F18" s="10">
        <f t="shared" si="0"/>
        <v>5.0198110332215791</v>
      </c>
      <c r="G18" s="36">
        <f t="shared" si="1"/>
        <v>5.0198110332215791</v>
      </c>
      <c r="H18" s="27"/>
      <c r="I18" s="27"/>
      <c r="J18" s="27"/>
      <c r="K18" s="11"/>
      <c r="M18" s="12"/>
    </row>
    <row r="19" spans="1:13" s="1" customFormat="1" x14ac:dyDescent="0.3">
      <c r="A19" s="38"/>
      <c r="B19" s="39"/>
      <c r="C19" s="40">
        <f t="shared" si="2"/>
        <v>6</v>
      </c>
      <c r="D19" s="10">
        <f>0.667/3.281</f>
        <v>0.20329167936604695</v>
      </c>
      <c r="E19" s="10">
        <v>1.83</v>
      </c>
      <c r="F19" s="10">
        <f t="shared" si="0"/>
        <v>2.2321426394391954</v>
      </c>
      <c r="G19" s="36">
        <f t="shared" si="1"/>
        <v>2.2321426394391954</v>
      </c>
      <c r="H19" s="27"/>
      <c r="I19" s="27"/>
      <c r="J19" s="27"/>
      <c r="K19" s="11"/>
      <c r="M19" s="12"/>
    </row>
    <row r="20" spans="1:13" s="1" customFormat="1" ht="27.6" x14ac:dyDescent="0.3">
      <c r="A20" s="38"/>
      <c r="B20" s="39" t="s">
        <v>45</v>
      </c>
      <c r="C20" s="40">
        <v>8</v>
      </c>
      <c r="D20" s="10">
        <f>D11</f>
        <v>6.7052727826882048</v>
      </c>
      <c r="E20" s="10">
        <v>2.72</v>
      </c>
      <c r="F20" s="10">
        <f t="shared" si="0"/>
        <v>145.90673575129534</v>
      </c>
      <c r="G20" s="36">
        <f t="shared" si="1"/>
        <v>145.90673575129534</v>
      </c>
      <c r="H20" s="27"/>
      <c r="I20" s="27"/>
      <c r="J20" s="27"/>
      <c r="K20" s="11"/>
      <c r="M20" s="12"/>
    </row>
    <row r="21" spans="1:13" s="1" customFormat="1" x14ac:dyDescent="0.3">
      <c r="A21" s="21"/>
      <c r="B21" s="39" t="s">
        <v>25</v>
      </c>
      <c r="C21" s="22"/>
      <c r="D21" s="23"/>
      <c r="E21" s="24"/>
      <c r="F21" s="24"/>
      <c r="G21" s="27">
        <f>SUM(G10:G20)</f>
        <v>420.25305089911609</v>
      </c>
      <c r="H21" s="25" t="s">
        <v>30</v>
      </c>
      <c r="I21" s="26">
        <v>181.17</v>
      </c>
      <c r="J21" s="27">
        <f>G21*I21</f>
        <v>76137.245231392852</v>
      </c>
      <c r="K21" s="24"/>
    </row>
    <row r="22" spans="1:13" s="1" customFormat="1" x14ac:dyDescent="0.3">
      <c r="A22" s="21"/>
      <c r="B22" s="39" t="s">
        <v>34</v>
      </c>
      <c r="C22" s="22"/>
      <c r="D22" s="23"/>
      <c r="E22" s="24"/>
      <c r="F22" s="24"/>
      <c r="G22" s="27"/>
      <c r="H22" s="25"/>
      <c r="I22" s="26"/>
      <c r="J22" s="27">
        <f>0.13*G21*(1871.42/18.94)</f>
        <v>5398.1570953944611</v>
      </c>
      <c r="K22" s="24"/>
    </row>
    <row r="23" spans="1:13" s="1" customFormat="1" ht="15" x14ac:dyDescent="0.3">
      <c r="A23" s="21"/>
      <c r="B23" s="37"/>
      <c r="C23" s="22"/>
      <c r="D23" s="23"/>
      <c r="E23" s="24"/>
      <c r="F23" s="24"/>
      <c r="G23" s="28"/>
      <c r="H23" s="25"/>
      <c r="I23" s="26"/>
      <c r="J23" s="27"/>
      <c r="K23" s="24"/>
    </row>
    <row r="24" spans="1:13" s="1" customFormat="1" ht="45" x14ac:dyDescent="0.3">
      <c r="A24" s="38">
        <v>2</v>
      </c>
      <c r="B24" s="37" t="s">
        <v>31</v>
      </c>
      <c r="C24" s="40"/>
      <c r="D24" s="10"/>
      <c r="E24" s="10"/>
      <c r="F24" s="10"/>
      <c r="G24" s="36"/>
      <c r="H24" s="27"/>
      <c r="I24" s="27"/>
      <c r="J24" s="27"/>
      <c r="K24" s="11"/>
      <c r="M24" s="12"/>
    </row>
    <row r="25" spans="1:13" s="1" customFormat="1" x14ac:dyDescent="0.3">
      <c r="A25" s="38"/>
      <c r="B25" s="39"/>
      <c r="C25" s="40">
        <v>2</v>
      </c>
      <c r="D25" s="10">
        <f>22/3.281</f>
        <v>6.7052727826882048</v>
      </c>
      <c r="E25" s="10">
        <f>12/3.281</f>
        <v>3.6574215178299299</v>
      </c>
      <c r="F25" s="10"/>
      <c r="G25" s="36">
        <f>PRODUCT(C25:F25)</f>
        <v>49.048017916646423</v>
      </c>
      <c r="H25" s="27"/>
      <c r="I25" s="27"/>
      <c r="J25" s="27"/>
      <c r="K25" s="11"/>
      <c r="M25" s="12"/>
    </row>
    <row r="26" spans="1:13" s="1" customFormat="1" x14ac:dyDescent="0.3">
      <c r="A26" s="21"/>
      <c r="B26" s="39" t="s">
        <v>25</v>
      </c>
      <c r="C26" s="22"/>
      <c r="D26" s="23"/>
      <c r="E26" s="24"/>
      <c r="F26" s="24"/>
      <c r="G26" s="27">
        <f>SUM(G25:G25)</f>
        <v>49.048017916646423</v>
      </c>
      <c r="H26" s="25" t="s">
        <v>32</v>
      </c>
      <c r="I26" s="26">
        <v>1070.9000000000001</v>
      </c>
      <c r="J26" s="27">
        <f>G26*I26</f>
        <v>52525.52238693666</v>
      </c>
      <c r="K26" s="24"/>
    </row>
    <row r="27" spans="1:13" s="1" customFormat="1" x14ac:dyDescent="0.3">
      <c r="A27" s="21"/>
      <c r="B27" s="39" t="s">
        <v>34</v>
      </c>
      <c r="C27" s="22"/>
      <c r="D27" s="23"/>
      <c r="E27" s="24"/>
      <c r="F27" s="24"/>
      <c r="G27" s="27"/>
      <c r="H27" s="25"/>
      <c r="I27" s="26"/>
      <c r="J27" s="27">
        <f>0.13*G26*8587.63/10</f>
        <v>5475.680991319894</v>
      </c>
      <c r="K27" s="24"/>
    </row>
    <row r="28" spans="1:13" s="1" customFormat="1" x14ac:dyDescent="0.3">
      <c r="A28" s="21"/>
      <c r="B28" s="39"/>
      <c r="C28" s="22"/>
      <c r="D28" s="23"/>
      <c r="E28" s="24"/>
      <c r="F28" s="24"/>
      <c r="G28" s="27"/>
      <c r="H28" s="25"/>
      <c r="I28" s="26"/>
      <c r="J28" s="27"/>
      <c r="K28" s="24"/>
    </row>
    <row r="29" spans="1:13" s="1" customFormat="1" ht="30" x14ac:dyDescent="0.3">
      <c r="A29" s="21">
        <v>3</v>
      </c>
      <c r="B29" s="37" t="s">
        <v>35</v>
      </c>
      <c r="C29" s="22"/>
      <c r="D29" s="23"/>
      <c r="E29" s="24"/>
      <c r="F29" s="24"/>
      <c r="G29" s="27"/>
      <c r="H29" s="25"/>
      <c r="I29" s="26"/>
      <c r="J29" s="27"/>
      <c r="K29" s="24"/>
    </row>
    <row r="30" spans="1:13" s="1" customFormat="1" x14ac:dyDescent="0.3">
      <c r="A30" s="21"/>
      <c r="B30" s="39" t="s">
        <v>36</v>
      </c>
      <c r="C30" s="22">
        <v>6</v>
      </c>
      <c r="D30" s="23">
        <v>0.45</v>
      </c>
      <c r="E30" s="24">
        <v>0.45</v>
      </c>
      <c r="F30" s="24">
        <f>(2.5+0.25+0.17)/3.281</f>
        <v>0.88997256933861624</v>
      </c>
      <c r="G30" s="36">
        <f>PRODUCT(C30:F30)</f>
        <v>1.0813166717464189</v>
      </c>
      <c r="H30" s="25"/>
      <c r="I30" s="26"/>
      <c r="J30" s="27"/>
      <c r="K30" s="24"/>
    </row>
    <row r="31" spans="1:13" s="1" customFormat="1" x14ac:dyDescent="0.3">
      <c r="A31" s="21"/>
      <c r="B31" s="39" t="s">
        <v>25</v>
      </c>
      <c r="C31" s="22"/>
      <c r="D31" s="23"/>
      <c r="E31" s="24"/>
      <c r="F31" s="24"/>
      <c r="G31" s="27">
        <f>SUM(G30:G30)</f>
        <v>1.0813166717464189</v>
      </c>
      <c r="H31" s="25" t="s">
        <v>37</v>
      </c>
      <c r="I31" s="26">
        <v>663.31</v>
      </c>
      <c r="J31" s="27">
        <f>G31*I31</f>
        <v>717.2481615361171</v>
      </c>
      <c r="K31" s="24"/>
    </row>
    <row r="32" spans="1:13" s="1" customFormat="1" x14ac:dyDescent="0.3">
      <c r="A32" s="21"/>
      <c r="B32" s="39"/>
      <c r="C32" s="22"/>
      <c r="D32" s="23"/>
      <c r="E32" s="24"/>
      <c r="F32" s="24"/>
      <c r="G32" s="27"/>
      <c r="H32" s="25"/>
      <c r="I32" s="26"/>
      <c r="J32" s="27"/>
      <c r="K32" s="24"/>
    </row>
    <row r="33" spans="1:11" s="1" customFormat="1" ht="15" x14ac:dyDescent="0.3">
      <c r="A33" s="21">
        <v>4</v>
      </c>
      <c r="B33" s="37" t="s">
        <v>47</v>
      </c>
      <c r="C33" s="22"/>
      <c r="D33" s="23"/>
      <c r="E33" s="24"/>
      <c r="F33" s="24"/>
      <c r="G33" s="27"/>
      <c r="H33" s="25"/>
      <c r="I33" s="26"/>
      <c r="J33" s="27"/>
      <c r="K33" s="24"/>
    </row>
    <row r="34" spans="1:11" s="1" customFormat="1" x14ac:dyDescent="0.3">
      <c r="A34" s="21"/>
      <c r="B34" s="39" t="s">
        <v>36</v>
      </c>
      <c r="C34" s="22">
        <f>C30</f>
        <v>6</v>
      </c>
      <c r="D34" s="23">
        <f>D30</f>
        <v>0.45</v>
      </c>
      <c r="E34" s="24">
        <f>E30</f>
        <v>0.45</v>
      </c>
      <c r="F34" s="24"/>
      <c r="G34" s="36">
        <f>PRODUCT(C34:F34)</f>
        <v>1.2150000000000001</v>
      </c>
      <c r="H34" s="25"/>
      <c r="I34" s="26"/>
      <c r="J34" s="27"/>
      <c r="K34" s="24"/>
    </row>
    <row r="35" spans="1:11" s="1" customFormat="1" x14ac:dyDescent="0.3">
      <c r="A35" s="21"/>
      <c r="B35" s="39" t="s">
        <v>49</v>
      </c>
      <c r="C35" s="22">
        <v>2</v>
      </c>
      <c r="D35" s="23">
        <f>(11.5)/3.281</f>
        <v>3.5050289545870159</v>
      </c>
      <c r="E35" s="24">
        <f>(8.917)/3.281</f>
        <v>2.7177689728741234</v>
      </c>
      <c r="F35" s="24"/>
      <c r="G35" s="36">
        <f>PRODUCT(C35:F35)</f>
        <v>19.051717883604034</v>
      </c>
      <c r="H35" s="25"/>
      <c r="I35" s="26"/>
      <c r="J35" s="27"/>
      <c r="K35" s="24"/>
    </row>
    <row r="36" spans="1:11" s="1" customFormat="1" x14ac:dyDescent="0.3">
      <c r="A36" s="21"/>
      <c r="B36" s="39" t="s">
        <v>25</v>
      </c>
      <c r="C36" s="22"/>
      <c r="D36" s="23"/>
      <c r="E36" s="24"/>
      <c r="F36" s="24"/>
      <c r="G36" s="27">
        <f>SUM(G34:G35)</f>
        <v>20.266717883604034</v>
      </c>
      <c r="H36" s="25" t="s">
        <v>32</v>
      </c>
      <c r="I36" s="26">
        <v>1014.97</v>
      </c>
      <c r="J36" s="27">
        <f>G36*I36</f>
        <v>20570.110650321589</v>
      </c>
      <c r="K36" s="24"/>
    </row>
    <row r="37" spans="1:11" s="1" customFormat="1" x14ac:dyDescent="0.3">
      <c r="A37" s="21"/>
      <c r="B37" s="39" t="s">
        <v>34</v>
      </c>
      <c r="C37" s="22"/>
      <c r="D37" s="23"/>
      <c r="E37" s="24"/>
      <c r="F37" s="24"/>
      <c r="G37" s="27"/>
      <c r="H37" s="25"/>
      <c r="I37" s="26"/>
      <c r="J37" s="27">
        <f>0.13*G36*8617.2/10</f>
        <v>2270.3506975057053</v>
      </c>
      <c r="K37" s="24"/>
    </row>
    <row r="38" spans="1:11" s="1" customFormat="1" x14ac:dyDescent="0.3">
      <c r="A38" s="21"/>
      <c r="B38" s="39"/>
      <c r="C38" s="22"/>
      <c r="D38" s="23"/>
      <c r="E38" s="24"/>
      <c r="F38" s="24"/>
      <c r="G38" s="27"/>
      <c r="H38" s="25"/>
      <c r="I38" s="26"/>
      <c r="J38" s="27"/>
      <c r="K38" s="24"/>
    </row>
    <row r="39" spans="1:11" s="1" customFormat="1" ht="30" x14ac:dyDescent="0.3">
      <c r="A39" s="21">
        <v>5</v>
      </c>
      <c r="B39" s="37" t="s">
        <v>38</v>
      </c>
      <c r="C39" s="22"/>
      <c r="D39" s="23"/>
      <c r="E39" s="24"/>
      <c r="F39" s="24"/>
      <c r="G39" s="27"/>
      <c r="H39" s="25"/>
      <c r="I39" s="26"/>
      <c r="J39" s="27"/>
      <c r="K39" s="24"/>
    </row>
    <row r="40" spans="1:11" s="1" customFormat="1" x14ac:dyDescent="0.3">
      <c r="A40" s="21"/>
      <c r="B40" s="39" t="s">
        <v>36</v>
      </c>
      <c r="C40" s="22">
        <f>C34</f>
        <v>6</v>
      </c>
      <c r="D40" s="23">
        <f>D34</f>
        <v>0.45</v>
      </c>
      <c r="E40" s="24">
        <f>E34</f>
        <v>0.45</v>
      </c>
      <c r="F40" s="24">
        <v>7.4999999999999997E-2</v>
      </c>
      <c r="G40" s="36">
        <f>PRODUCT(C40:F40)</f>
        <v>9.1124999999999998E-2</v>
      </c>
      <c r="H40" s="25"/>
      <c r="I40" s="26"/>
      <c r="J40" s="27"/>
      <c r="K40" s="24"/>
    </row>
    <row r="41" spans="1:11" s="1" customFormat="1" x14ac:dyDescent="0.3">
      <c r="A41" s="21"/>
      <c r="B41" s="39" t="s">
        <v>25</v>
      </c>
      <c r="C41" s="22"/>
      <c r="D41" s="23"/>
      <c r="E41" s="24"/>
      <c r="F41" s="24"/>
      <c r="G41" s="27">
        <f>SUM(G40:G40)</f>
        <v>9.1124999999999998E-2</v>
      </c>
      <c r="H41" s="25" t="s">
        <v>37</v>
      </c>
      <c r="I41" s="26">
        <v>12983.1</v>
      </c>
      <c r="J41" s="27">
        <f>G41*I41</f>
        <v>1183.0849874999999</v>
      </c>
      <c r="K41" s="24"/>
    </row>
    <row r="42" spans="1:11" s="1" customFormat="1" x14ac:dyDescent="0.3">
      <c r="A42" s="21"/>
      <c r="B42" s="39" t="s">
        <v>34</v>
      </c>
      <c r="C42" s="22"/>
      <c r="D42" s="23"/>
      <c r="E42" s="24"/>
      <c r="F42" s="24"/>
      <c r="G42" s="27"/>
      <c r="H42" s="25"/>
      <c r="I42" s="26"/>
      <c r="J42" s="27">
        <f>0.13*G41*8078.11</f>
        <v>95.695310587500003</v>
      </c>
      <c r="K42" s="24"/>
    </row>
    <row r="43" spans="1:11" s="1" customFormat="1" x14ac:dyDescent="0.3">
      <c r="A43" s="21"/>
      <c r="B43" s="39"/>
      <c r="C43" s="22"/>
      <c r="D43" s="23"/>
      <c r="E43" s="24"/>
      <c r="F43" s="24"/>
      <c r="G43" s="27"/>
      <c r="H43" s="25"/>
      <c r="I43" s="26"/>
      <c r="J43" s="27"/>
      <c r="K43" s="24"/>
    </row>
    <row r="44" spans="1:11" s="1" customFormat="1" ht="30" x14ac:dyDescent="0.3">
      <c r="A44" s="21">
        <v>6</v>
      </c>
      <c r="B44" s="37" t="s">
        <v>39</v>
      </c>
      <c r="C44" s="22"/>
      <c r="D44" s="23"/>
      <c r="E44" s="24"/>
      <c r="F44" s="24"/>
      <c r="G44" s="27"/>
      <c r="H44" s="25"/>
      <c r="I44" s="26"/>
      <c r="J44" s="27"/>
      <c r="K44" s="24"/>
    </row>
    <row r="45" spans="1:11" s="1" customFormat="1" x14ac:dyDescent="0.3">
      <c r="A45" s="21"/>
      <c r="B45" s="39" t="s">
        <v>50</v>
      </c>
      <c r="C45" s="22">
        <f>C40</f>
        <v>6</v>
      </c>
      <c r="D45" s="23">
        <f>D40</f>
        <v>0.45</v>
      </c>
      <c r="E45" s="24">
        <f>E40</f>
        <v>0.45</v>
      </c>
      <c r="F45" s="24">
        <v>0.75</v>
      </c>
      <c r="G45" s="36">
        <f>PRODUCT(C45:F45)</f>
        <v>0.91125000000000012</v>
      </c>
      <c r="H45" s="25"/>
      <c r="I45" s="26"/>
      <c r="J45" s="27"/>
      <c r="K45" s="24"/>
    </row>
    <row r="46" spans="1:11" s="1" customFormat="1" x14ac:dyDescent="0.3">
      <c r="A46" s="21"/>
      <c r="B46" s="39"/>
      <c r="C46" s="22">
        <f>C45</f>
        <v>6</v>
      </c>
      <c r="D46" s="23">
        <v>0.3</v>
      </c>
      <c r="E46" s="24">
        <v>0.3</v>
      </c>
      <c r="F46" s="24">
        <v>0.45</v>
      </c>
      <c r="G46" s="36">
        <f>PRODUCT(C46:F46)</f>
        <v>0.24299999999999997</v>
      </c>
      <c r="H46" s="25"/>
      <c r="I46" s="26"/>
      <c r="J46" s="27"/>
      <c r="K46" s="24"/>
    </row>
    <row r="47" spans="1:11" s="1" customFormat="1" x14ac:dyDescent="0.3">
      <c r="A47" s="21"/>
      <c r="B47" s="39" t="s">
        <v>49</v>
      </c>
      <c r="C47" s="22">
        <v>2</v>
      </c>
      <c r="D47" s="23">
        <f>D35</f>
        <v>3.5050289545870159</v>
      </c>
      <c r="E47" s="24">
        <f>E35</f>
        <v>2.7177689728741234</v>
      </c>
      <c r="F47" s="24">
        <v>7.4999999999999997E-2</v>
      </c>
      <c r="G47" s="36">
        <f>PRODUCT(C47:F47)</f>
        <v>1.4288788412703026</v>
      </c>
      <c r="H47" s="25"/>
      <c r="I47" s="26"/>
      <c r="J47" s="27"/>
      <c r="K47" s="24"/>
    </row>
    <row r="48" spans="1:11" s="1" customFormat="1" x14ac:dyDescent="0.3">
      <c r="A48" s="21"/>
      <c r="B48" s="39" t="s">
        <v>25</v>
      </c>
      <c r="C48" s="22"/>
      <c r="D48" s="23"/>
      <c r="E48" s="24"/>
      <c r="F48" s="24"/>
      <c r="G48" s="27">
        <f>SUM(G45:G47)</f>
        <v>2.5831288412703026</v>
      </c>
      <c r="H48" s="25" t="s">
        <v>37</v>
      </c>
      <c r="I48" s="26">
        <v>13568.9</v>
      </c>
      <c r="J48" s="27">
        <f>G48*I48</f>
        <v>35050.216934312608</v>
      </c>
      <c r="K48" s="24"/>
    </row>
    <row r="49" spans="1:11" s="1" customFormat="1" x14ac:dyDescent="0.3">
      <c r="A49" s="21"/>
      <c r="B49" s="39" t="s">
        <v>34</v>
      </c>
      <c r="C49" s="22"/>
      <c r="D49" s="23"/>
      <c r="E49" s="24"/>
      <c r="F49" s="24"/>
      <c r="G49" s="27"/>
      <c r="H49" s="25"/>
      <c r="I49" s="26"/>
      <c r="J49" s="27">
        <f>0.13*G48*9524.2</f>
        <v>3198.2906423034606</v>
      </c>
      <c r="K49" s="24"/>
    </row>
    <row r="50" spans="1:11" s="1" customFormat="1" x14ac:dyDescent="0.3">
      <c r="A50" s="21"/>
      <c r="B50" s="39"/>
      <c r="C50" s="22"/>
      <c r="D50" s="23"/>
      <c r="E50" s="24"/>
      <c r="F50" s="24"/>
      <c r="G50" s="27"/>
      <c r="H50" s="25"/>
      <c r="I50" s="26"/>
      <c r="J50" s="27"/>
      <c r="K50" s="24"/>
    </row>
    <row r="51" spans="1:11" s="1" customFormat="1" ht="30" x14ac:dyDescent="0.3">
      <c r="A51" s="21">
        <v>7</v>
      </c>
      <c r="B51" s="37" t="s">
        <v>46</v>
      </c>
      <c r="C51" s="22"/>
      <c r="D51" s="23"/>
      <c r="E51" s="24"/>
      <c r="F51" s="24"/>
      <c r="G51" s="27"/>
      <c r="H51" s="25"/>
      <c r="I51" s="26"/>
      <c r="J51" s="27"/>
      <c r="K51" s="24"/>
    </row>
    <row r="52" spans="1:11" s="1" customFormat="1" x14ac:dyDescent="0.3">
      <c r="A52" s="21"/>
      <c r="B52" s="39" t="s">
        <v>50</v>
      </c>
      <c r="C52" s="22">
        <f>2*2</f>
        <v>4</v>
      </c>
      <c r="D52" s="23">
        <f>8.42/3.281</f>
        <v>2.5662907650106672</v>
      </c>
      <c r="E52" s="24">
        <v>0.23</v>
      </c>
      <c r="F52" s="24">
        <v>0.3</v>
      </c>
      <c r="G52" s="36">
        <f>PRODUCT(C52:F52)</f>
        <v>0.70829625114294414</v>
      </c>
      <c r="H52" s="25"/>
      <c r="I52" s="26"/>
      <c r="J52" s="27"/>
      <c r="K52" s="24"/>
    </row>
    <row r="53" spans="1:11" s="1" customFormat="1" x14ac:dyDescent="0.3">
      <c r="A53" s="21"/>
      <c r="B53" s="39"/>
      <c r="C53" s="22">
        <v>3</v>
      </c>
      <c r="D53" s="23">
        <f>11.25/3.281</f>
        <v>3.4288326729655592</v>
      </c>
      <c r="E53" s="24">
        <v>0.23</v>
      </c>
      <c r="F53" s="24">
        <v>0.3</v>
      </c>
      <c r="G53" s="36">
        <f>PRODUCT(C53:F53)</f>
        <v>0.70976836330387083</v>
      </c>
      <c r="H53" s="25"/>
      <c r="I53" s="26"/>
      <c r="J53" s="27"/>
      <c r="K53" s="24"/>
    </row>
    <row r="54" spans="1:11" s="1" customFormat="1" x14ac:dyDescent="0.3">
      <c r="A54" s="21"/>
      <c r="B54" s="39" t="s">
        <v>51</v>
      </c>
      <c r="C54" s="22">
        <v>4</v>
      </c>
      <c r="D54" s="23">
        <f>8.917/3.281</f>
        <v>2.7177689728741234</v>
      </c>
      <c r="E54" s="24">
        <v>0.23</v>
      </c>
      <c r="F54" s="24">
        <v>0.9</v>
      </c>
      <c r="G54" s="36">
        <f t="shared" ref="G54:G55" si="3">PRODUCT(C54:F54)</f>
        <v>2.2503127095397741</v>
      </c>
      <c r="H54" s="25"/>
      <c r="I54" s="26"/>
      <c r="J54" s="27"/>
      <c r="K54" s="24"/>
    </row>
    <row r="55" spans="1:11" s="1" customFormat="1" x14ac:dyDescent="0.3">
      <c r="A55" s="21"/>
      <c r="B55" s="39"/>
      <c r="C55" s="22">
        <v>3</v>
      </c>
      <c r="D55" s="23">
        <f>(11.5)/3.281</f>
        <v>3.5050289545870159</v>
      </c>
      <c r="E55" s="24">
        <v>0.23</v>
      </c>
      <c r="F55" s="24">
        <v>0.9</v>
      </c>
      <c r="G55" s="36">
        <f t="shared" si="3"/>
        <v>2.1766229807985376</v>
      </c>
      <c r="H55" s="25"/>
      <c r="I55" s="26"/>
      <c r="J55" s="27"/>
      <c r="K55" s="24"/>
    </row>
    <row r="56" spans="1:11" s="1" customFormat="1" x14ac:dyDescent="0.3">
      <c r="A56" s="21"/>
      <c r="B56" s="39" t="s">
        <v>25</v>
      </c>
      <c r="C56" s="22"/>
      <c r="D56" s="23"/>
      <c r="E56" s="24"/>
      <c r="F56" s="24"/>
      <c r="G56" s="27">
        <f>SUM(G52:G55)</f>
        <v>5.8450003047851267</v>
      </c>
      <c r="H56" s="25" t="s">
        <v>37</v>
      </c>
      <c r="I56" s="26">
        <v>14362.76</v>
      </c>
      <c r="J56" s="27">
        <f>G56*I56</f>
        <v>83950.33657755563</v>
      </c>
      <c r="K56" s="24"/>
    </row>
    <row r="57" spans="1:11" s="1" customFormat="1" x14ac:dyDescent="0.3">
      <c r="A57" s="21"/>
      <c r="B57" s="39" t="s">
        <v>34</v>
      </c>
      <c r="C57" s="22"/>
      <c r="D57" s="23"/>
      <c r="E57" s="24"/>
      <c r="F57" s="24"/>
      <c r="G57" s="27"/>
      <c r="H57" s="25"/>
      <c r="I57" s="26"/>
      <c r="J57" s="27">
        <f>0.13*G56*10311.74</f>
        <v>7835.3760475724484</v>
      </c>
      <c r="K57" s="24"/>
    </row>
    <row r="58" spans="1:11" s="1" customFormat="1" x14ac:dyDescent="0.3">
      <c r="A58" s="21"/>
      <c r="B58" s="39"/>
      <c r="C58" s="22"/>
      <c r="D58" s="23"/>
      <c r="E58" s="24"/>
      <c r="F58" s="24"/>
      <c r="G58" s="27"/>
      <c r="H58" s="25"/>
      <c r="I58" s="26"/>
      <c r="J58" s="27"/>
      <c r="K58" s="24"/>
    </row>
    <row r="59" spans="1:11" s="1" customFormat="1" ht="30" x14ac:dyDescent="0.3">
      <c r="A59" s="21">
        <v>8</v>
      </c>
      <c r="B59" s="37" t="s">
        <v>52</v>
      </c>
      <c r="C59" s="22"/>
      <c r="D59" s="23"/>
      <c r="E59" s="24"/>
      <c r="F59" s="24"/>
      <c r="G59" s="27"/>
      <c r="H59" s="25"/>
      <c r="I59" s="26"/>
      <c r="J59" s="27"/>
      <c r="K59" s="24"/>
    </row>
    <row r="60" spans="1:11" s="1" customFormat="1" x14ac:dyDescent="0.3">
      <c r="A60" s="21"/>
      <c r="B60" s="39" t="s">
        <v>51</v>
      </c>
      <c r="C60" s="22">
        <f>2*2</f>
        <v>4</v>
      </c>
      <c r="D60" s="23">
        <f>20/3.281</f>
        <v>6.0957025297165499</v>
      </c>
      <c r="E60" s="24"/>
      <c r="F60" s="24">
        <v>0.9</v>
      </c>
      <c r="G60" s="36">
        <f t="shared" ref="G60:G61" si="4">PRODUCT(C60:F60)</f>
        <v>21.94452910697958</v>
      </c>
      <c r="H60" s="25"/>
      <c r="I60" s="26"/>
      <c r="J60" s="27"/>
      <c r="K60" s="24"/>
    </row>
    <row r="61" spans="1:11" s="1" customFormat="1" x14ac:dyDescent="0.3">
      <c r="A61" s="21"/>
      <c r="B61" s="39"/>
      <c r="C61" s="22">
        <f>2*2</f>
        <v>4</v>
      </c>
      <c r="D61" s="23">
        <f>(13-1.5)/3.281</f>
        <v>3.5050289545870159</v>
      </c>
      <c r="E61" s="24"/>
      <c r="F61" s="24">
        <v>0.9</v>
      </c>
      <c r="G61" s="36">
        <f t="shared" si="4"/>
        <v>12.618104236513258</v>
      </c>
      <c r="H61" s="25"/>
      <c r="I61" s="26"/>
      <c r="J61" s="27"/>
      <c r="K61" s="24"/>
    </row>
    <row r="62" spans="1:11" s="1" customFormat="1" x14ac:dyDescent="0.3">
      <c r="A62" s="21"/>
      <c r="B62" s="39" t="s">
        <v>25</v>
      </c>
      <c r="C62" s="22"/>
      <c r="D62" s="23"/>
      <c r="E62" s="24"/>
      <c r="F62" s="24"/>
      <c r="G62" s="27">
        <f>SUM(G58:G61)</f>
        <v>34.562633343492834</v>
      </c>
      <c r="H62" s="25" t="s">
        <v>32</v>
      </c>
      <c r="I62" s="26">
        <v>405.86</v>
      </c>
      <c r="J62" s="27">
        <f>G62*I62</f>
        <v>14027.590368790003</v>
      </c>
      <c r="K62" s="24"/>
    </row>
    <row r="63" spans="1:11" s="1" customFormat="1" x14ac:dyDescent="0.3">
      <c r="A63" s="21"/>
      <c r="B63" s="39" t="s">
        <v>34</v>
      </c>
      <c r="C63" s="22"/>
      <c r="D63" s="23"/>
      <c r="E63" s="24"/>
      <c r="F63" s="24"/>
      <c r="G63" s="27"/>
      <c r="H63" s="25"/>
      <c r="I63" s="26"/>
      <c r="J63" s="27">
        <f>0.13*G62*11166.2/100</f>
        <v>501.71325937214266</v>
      </c>
      <c r="K63" s="24"/>
    </row>
    <row r="64" spans="1:11" s="1" customFormat="1" ht="15" x14ac:dyDescent="0.3">
      <c r="A64" s="21"/>
      <c r="B64" s="37"/>
      <c r="C64" s="22"/>
      <c r="D64" s="23"/>
      <c r="E64" s="24"/>
      <c r="F64" s="24"/>
      <c r="G64" s="27"/>
      <c r="H64" s="25"/>
      <c r="I64" s="26"/>
      <c r="J64" s="27"/>
      <c r="K64" s="24"/>
    </row>
    <row r="65" spans="1:19" ht="138" x14ac:dyDescent="0.3">
      <c r="A65" s="42">
        <v>9</v>
      </c>
      <c r="B65" s="43" t="s">
        <v>53</v>
      </c>
      <c r="C65" s="44"/>
      <c r="D65" s="44"/>
      <c r="E65" s="44"/>
      <c r="F65" s="44"/>
      <c r="G65" s="44"/>
      <c r="H65" s="44"/>
      <c r="I65" s="44"/>
      <c r="J65" s="44"/>
      <c r="K65" s="44"/>
      <c r="N65" t="s">
        <v>54</v>
      </c>
      <c r="O65" t="s">
        <v>55</v>
      </c>
    </row>
    <row r="66" spans="1:19" ht="15" customHeight="1" x14ac:dyDescent="0.3">
      <c r="A66" s="21"/>
      <c r="B66" s="45" t="s">
        <v>56</v>
      </c>
      <c r="C66" s="44">
        <v>0.5</v>
      </c>
      <c r="D66" s="46">
        <f>D82</f>
        <v>6.3626288999999998</v>
      </c>
      <c r="E66" s="46">
        <f>F82/2</f>
        <v>1.25</v>
      </c>
      <c r="F66" s="46">
        <v>2</v>
      </c>
      <c r="G66" s="47">
        <f>PRODUCT(C66:F66)</f>
        <v>7.953286125</v>
      </c>
      <c r="H66" s="48"/>
      <c r="I66" s="48"/>
      <c r="J66" s="48"/>
      <c r="K66" s="24"/>
      <c r="M66" s="49"/>
      <c r="N66" s="1"/>
      <c r="O66" s="1"/>
      <c r="P66" s="1"/>
      <c r="Q66" s="1"/>
      <c r="R66" s="49"/>
      <c r="S66" s="49"/>
    </row>
    <row r="67" spans="1:19" ht="15" customHeight="1" x14ac:dyDescent="0.3">
      <c r="A67" s="21"/>
      <c r="B67" s="45" t="s">
        <v>57</v>
      </c>
      <c r="C67" s="22"/>
      <c r="D67" s="23"/>
      <c r="E67" s="24"/>
      <c r="F67" s="24"/>
      <c r="G67" s="26">
        <f>SUM(G66:G66)</f>
        <v>7.953286125</v>
      </c>
      <c r="H67" s="25" t="s">
        <v>58</v>
      </c>
      <c r="I67" s="26">
        <v>64.63</v>
      </c>
      <c r="J67" s="50">
        <f>G67*I67</f>
        <v>514.02088225874991</v>
      </c>
      <c r="K67" s="24"/>
      <c r="M67" s="49"/>
      <c r="N67" s="1"/>
      <c r="O67" s="1"/>
      <c r="P67" s="1"/>
      <c r="Q67" s="1"/>
      <c r="R67" s="49"/>
      <c r="S67" s="49"/>
    </row>
    <row r="68" spans="1:19" ht="15" customHeight="1" x14ac:dyDescent="0.3">
      <c r="A68" s="21"/>
      <c r="B68" s="45" t="s">
        <v>59</v>
      </c>
      <c r="C68" s="22"/>
      <c r="D68" s="23"/>
      <c r="E68" s="24"/>
      <c r="F68" s="24"/>
      <c r="G68" s="26"/>
      <c r="H68" s="25"/>
      <c r="I68" s="26"/>
      <c r="J68" s="50">
        <f>0.13*G67*19284/360</f>
        <v>55.384033479125002</v>
      </c>
      <c r="K68" s="24"/>
      <c r="M68" s="49"/>
      <c r="N68" s="1"/>
      <c r="O68" s="1"/>
      <c r="P68" s="1"/>
      <c r="Q68" s="1"/>
      <c r="R68" s="49"/>
      <c r="S68" s="49"/>
    </row>
    <row r="69" spans="1:19" ht="15" customHeight="1" x14ac:dyDescent="0.3">
      <c r="A69" s="21"/>
      <c r="B69" s="45"/>
      <c r="C69" s="22"/>
      <c r="D69" s="23"/>
      <c r="E69" s="24"/>
      <c r="F69" s="24"/>
      <c r="G69" s="26"/>
      <c r="H69" s="25"/>
      <c r="I69" s="26"/>
      <c r="J69" s="50"/>
      <c r="K69" s="24"/>
      <c r="M69" s="49"/>
      <c r="N69" s="1"/>
      <c r="O69" s="1"/>
      <c r="P69" s="1"/>
      <c r="Q69" s="1"/>
      <c r="R69" s="49"/>
      <c r="S69" s="49"/>
    </row>
    <row r="70" spans="1:19" ht="82.8" x14ac:dyDescent="0.3">
      <c r="A70" s="21">
        <v>10</v>
      </c>
      <c r="B70" s="43" t="s">
        <v>63</v>
      </c>
      <c r="C70" s="22"/>
      <c r="D70" s="23"/>
      <c r="E70" s="24"/>
      <c r="F70" s="24"/>
      <c r="G70" s="26"/>
      <c r="H70" s="25"/>
      <c r="I70" s="26"/>
      <c r="J70" s="50"/>
      <c r="K70" s="24"/>
      <c r="M70" s="49"/>
      <c r="N70" s="1"/>
      <c r="O70" s="1"/>
      <c r="P70" s="1"/>
      <c r="Q70" s="1"/>
      <c r="R70" s="49"/>
      <c r="S70" s="49"/>
    </row>
    <row r="71" spans="1:19" ht="15" customHeight="1" x14ac:dyDescent="0.3">
      <c r="A71" s="21"/>
      <c r="B71" s="45" t="s">
        <v>60</v>
      </c>
      <c r="C71" s="44">
        <v>1</v>
      </c>
      <c r="D71" s="46">
        <f>D76</f>
        <v>6.3626288999999998</v>
      </c>
      <c r="E71" s="46">
        <f>E76</f>
        <v>1.25</v>
      </c>
      <c r="F71" s="46">
        <v>0.15</v>
      </c>
      <c r="G71" s="47">
        <f>PRODUCT(C71:F71)</f>
        <v>1.1929929187499999</v>
      </c>
      <c r="H71" s="48"/>
      <c r="I71" s="48"/>
      <c r="J71" s="48"/>
      <c r="K71" s="24"/>
      <c r="M71" s="49"/>
      <c r="N71" s="1"/>
      <c r="O71" s="1"/>
      <c r="P71" s="1"/>
      <c r="Q71" s="1"/>
      <c r="R71" s="49"/>
      <c r="S71" s="49"/>
    </row>
    <row r="72" spans="1:19" ht="15" customHeight="1" x14ac:dyDescent="0.3">
      <c r="A72" s="48"/>
      <c r="B72" s="45" t="s">
        <v>57</v>
      </c>
      <c r="C72" s="51"/>
      <c r="D72" s="52"/>
      <c r="E72" s="52"/>
      <c r="F72" s="52"/>
      <c r="G72" s="53">
        <f>SUM(G71:G71)</f>
        <v>1.1929929187499999</v>
      </c>
      <c r="H72" s="53" t="s">
        <v>58</v>
      </c>
      <c r="I72" s="53">
        <v>4434.5200000000004</v>
      </c>
      <c r="J72" s="54">
        <f>G72*I72</f>
        <v>5290.35095805525</v>
      </c>
      <c r="K72" s="44"/>
    </row>
    <row r="73" spans="1:19" x14ac:dyDescent="0.3">
      <c r="A73" s="48"/>
      <c r="B73" s="45" t="s">
        <v>59</v>
      </c>
      <c r="C73" s="51"/>
      <c r="D73" s="52"/>
      <c r="E73" s="52"/>
      <c r="F73" s="52"/>
      <c r="G73" s="52"/>
      <c r="H73" s="52"/>
      <c r="I73" s="52"/>
      <c r="J73" s="55">
        <f>0.13*G72*(14817.6/5)</f>
        <v>459.60958869462002</v>
      </c>
      <c r="K73" s="44"/>
    </row>
    <row r="74" spans="1:19" x14ac:dyDescent="0.3">
      <c r="A74" s="48"/>
      <c r="B74" s="45"/>
      <c r="C74" s="51"/>
      <c r="D74" s="52"/>
      <c r="E74" s="52"/>
      <c r="F74" s="52"/>
      <c r="G74" s="52"/>
      <c r="H74" s="52"/>
      <c r="I74" s="52"/>
      <c r="J74" s="55"/>
      <c r="K74" s="44"/>
    </row>
    <row r="75" spans="1:19" ht="69" x14ac:dyDescent="0.3">
      <c r="A75" s="21">
        <v>11</v>
      </c>
      <c r="B75" s="43" t="s">
        <v>61</v>
      </c>
      <c r="C75" s="22"/>
      <c r="D75" s="23"/>
      <c r="E75" s="24"/>
      <c r="F75" s="24"/>
      <c r="G75" s="26"/>
      <c r="H75" s="25"/>
      <c r="I75" s="26"/>
      <c r="J75" s="50"/>
      <c r="K75" s="24"/>
      <c r="M75" s="49"/>
      <c r="N75" s="1"/>
      <c r="O75" s="1"/>
      <c r="P75" s="1"/>
      <c r="Q75" s="1"/>
      <c r="R75" s="49"/>
      <c r="S75" s="49"/>
    </row>
    <row r="76" spans="1:19" ht="15" customHeight="1" x14ac:dyDescent="0.3">
      <c r="A76" s="21"/>
      <c r="B76" s="45" t="s">
        <v>56</v>
      </c>
      <c r="C76" s="44">
        <v>1</v>
      </c>
      <c r="D76" s="46">
        <f>D82</f>
        <v>6.3626288999999998</v>
      </c>
      <c r="E76" s="46">
        <f>F82/2</f>
        <v>1.25</v>
      </c>
      <c r="F76" s="46">
        <v>7.4999999999999997E-2</v>
      </c>
      <c r="G76" s="47">
        <f>PRODUCT(C76:F76)</f>
        <v>0.59649645937499995</v>
      </c>
      <c r="H76" s="48"/>
      <c r="I76" s="48"/>
      <c r="J76" s="48"/>
      <c r="K76" s="24"/>
      <c r="M76" s="49"/>
      <c r="N76" s="1"/>
      <c r="O76" s="1"/>
      <c r="P76" s="1"/>
      <c r="Q76" s="1"/>
      <c r="R76" s="49"/>
      <c r="S76" s="49"/>
    </row>
    <row r="77" spans="1:19" ht="15" customHeight="1" x14ac:dyDescent="0.3">
      <c r="A77" s="21"/>
      <c r="B77" s="45"/>
      <c r="C77" s="44">
        <v>1</v>
      </c>
      <c r="D77" s="46">
        <f>D76</f>
        <v>6.3626288999999998</v>
      </c>
      <c r="E77" s="46">
        <v>0.5</v>
      </c>
      <c r="F77" s="46">
        <v>0.05</v>
      </c>
      <c r="G77" s="47">
        <f>PRODUCT(C77:F77)</f>
        <v>0.15906572250000001</v>
      </c>
      <c r="H77" s="48"/>
      <c r="I77" s="48"/>
      <c r="J77" s="48"/>
      <c r="K77" s="24"/>
      <c r="M77" s="49"/>
      <c r="N77" s="1"/>
      <c r="O77" s="1"/>
      <c r="P77" s="1"/>
      <c r="Q77" s="1"/>
      <c r="R77" s="49"/>
      <c r="S77" s="49"/>
    </row>
    <row r="78" spans="1:19" ht="15" customHeight="1" x14ac:dyDescent="0.3">
      <c r="A78" s="48"/>
      <c r="B78" s="45" t="s">
        <v>57</v>
      </c>
      <c r="C78" s="51"/>
      <c r="D78" s="52"/>
      <c r="E78" s="52"/>
      <c r="F78" s="52"/>
      <c r="G78" s="53">
        <f>SUM(G76:G77)</f>
        <v>0.75556218187500002</v>
      </c>
      <c r="H78" s="53" t="s">
        <v>58</v>
      </c>
      <c r="I78" s="53">
        <v>10634.5</v>
      </c>
      <c r="J78" s="54">
        <f>G78*I78</f>
        <v>8035.0260231496877</v>
      </c>
      <c r="K78" s="44"/>
    </row>
    <row r="79" spans="1:19" ht="15" customHeight="1" x14ac:dyDescent="0.3">
      <c r="A79" s="48"/>
      <c r="B79" s="45" t="s">
        <v>59</v>
      </c>
      <c r="C79" s="51"/>
      <c r="D79" s="52"/>
      <c r="E79" s="52"/>
      <c r="F79" s="52"/>
      <c r="G79" s="52"/>
      <c r="H79" s="52"/>
      <c r="I79" s="52"/>
      <c r="J79" s="55">
        <f>0.13*G78*((114907.3+6135.3)/15)</f>
        <v>792.61182828379833</v>
      </c>
      <c r="K79" s="44"/>
    </row>
    <row r="80" spans="1:19" ht="15" customHeight="1" x14ac:dyDescent="0.3">
      <c r="A80" s="48"/>
      <c r="B80" s="45"/>
      <c r="C80" s="51"/>
      <c r="D80" s="52"/>
      <c r="E80" s="52"/>
      <c r="F80" s="52"/>
      <c r="G80" s="52"/>
      <c r="H80" s="52"/>
      <c r="I80" s="52"/>
      <c r="J80" s="55"/>
      <c r="K80" s="44"/>
    </row>
    <row r="81" spans="1:31" s="1" customFormat="1" ht="82.8" x14ac:dyDescent="0.3">
      <c r="A81" s="56">
        <v>12</v>
      </c>
      <c r="B81" s="43" t="s">
        <v>62</v>
      </c>
      <c r="C81" s="57"/>
      <c r="D81" s="47"/>
      <c r="E81" s="47"/>
      <c r="F81" s="47"/>
      <c r="G81" s="47"/>
      <c r="H81" s="47"/>
      <c r="I81" s="47"/>
      <c r="J81" s="55"/>
      <c r="K81" s="42"/>
    </row>
    <row r="82" spans="1:31" ht="15" customHeight="1" x14ac:dyDescent="0.3">
      <c r="A82" s="21"/>
      <c r="B82" s="45" t="s">
        <v>56</v>
      </c>
      <c r="C82" s="44">
        <v>1</v>
      </c>
      <c r="D82" s="46">
        <v>6.3626288999999998</v>
      </c>
      <c r="E82" s="46">
        <f>((F82/2+0.5)/2)</f>
        <v>0.875</v>
      </c>
      <c r="F82" s="46">
        <v>2.5</v>
      </c>
      <c r="G82" s="47">
        <f>PRODUCT(C82:F82)</f>
        <v>13.91825071875</v>
      </c>
      <c r="H82" s="48"/>
      <c r="I82" s="48"/>
      <c r="J82" s="48"/>
      <c r="K82" s="24"/>
      <c r="M82" s="49"/>
      <c r="N82" s="1"/>
      <c r="O82" s="1"/>
      <c r="P82" s="1"/>
      <c r="Q82" s="1"/>
      <c r="R82" s="49"/>
      <c r="S82" s="49"/>
    </row>
    <row r="83" spans="1:31" ht="15" customHeight="1" x14ac:dyDescent="0.3">
      <c r="A83" s="48"/>
      <c r="B83" s="45" t="s">
        <v>57</v>
      </c>
      <c r="C83" s="51"/>
      <c r="D83" s="52"/>
      <c r="E83" s="52"/>
      <c r="F83" s="52"/>
      <c r="G83" s="53">
        <f>SUM(G82:G82)</f>
        <v>13.91825071875</v>
      </c>
      <c r="H83" s="53" t="s">
        <v>58</v>
      </c>
      <c r="I83" s="53">
        <v>9709.43</v>
      </c>
      <c r="J83" s="54">
        <f>G83*I83</f>
        <v>135138.28107615281</v>
      </c>
      <c r="K83" s="44"/>
    </row>
    <row r="84" spans="1:31" ht="15" customHeight="1" x14ac:dyDescent="0.3">
      <c r="A84" s="48"/>
      <c r="B84" s="45" t="s">
        <v>59</v>
      </c>
      <c r="C84" s="51"/>
      <c r="D84" s="52"/>
      <c r="E84" s="52"/>
      <c r="F84" s="52"/>
      <c r="G84" s="52"/>
      <c r="H84" s="52"/>
      <c r="I84" s="52"/>
      <c r="J84" s="55">
        <f>0.13*G83*((27092.1)/5)</f>
        <v>9803.9406477336197</v>
      </c>
      <c r="K84" s="44"/>
    </row>
    <row r="85" spans="1:31" ht="15" customHeight="1" x14ac:dyDescent="0.3">
      <c r="A85" s="48"/>
      <c r="B85" s="45"/>
      <c r="C85" s="51"/>
      <c r="D85" s="52"/>
      <c r="E85" s="52"/>
      <c r="F85" s="52"/>
      <c r="G85" s="53"/>
      <c r="H85" s="53"/>
      <c r="I85" s="53"/>
      <c r="J85" s="54"/>
      <c r="K85" s="44"/>
    </row>
    <row r="86" spans="1:31" s="1" customFormat="1" x14ac:dyDescent="0.3">
      <c r="A86" s="21">
        <v>13</v>
      </c>
      <c r="B86" s="41" t="s">
        <v>33</v>
      </c>
      <c r="C86" s="22">
        <v>1</v>
      </c>
      <c r="D86" s="23"/>
      <c r="E86" s="24"/>
      <c r="F86" s="24"/>
      <c r="G86" s="36">
        <f>PRODUCT(C86:F86)</f>
        <v>1</v>
      </c>
      <c r="H86" s="25" t="s">
        <v>48</v>
      </c>
      <c r="I86" s="26">
        <v>500</v>
      </c>
      <c r="J86" s="27">
        <f>G86*I86</f>
        <v>500</v>
      </c>
      <c r="K86" s="24"/>
    </row>
    <row r="87" spans="1:31" s="1" customFormat="1" x14ac:dyDescent="0.3">
      <c r="A87" s="21"/>
      <c r="B87" s="39"/>
      <c r="C87" s="22"/>
      <c r="D87" s="23"/>
      <c r="E87" s="24"/>
      <c r="F87" s="24"/>
      <c r="G87" s="27"/>
      <c r="H87" s="25"/>
      <c r="I87" s="26"/>
      <c r="J87" s="27"/>
      <c r="K87" s="24"/>
    </row>
    <row r="88" spans="1:31" x14ac:dyDescent="0.3">
      <c r="A88" s="9"/>
      <c r="B88" s="20" t="s">
        <v>16</v>
      </c>
      <c r="C88" s="8"/>
      <c r="D88" s="6"/>
      <c r="E88" s="6"/>
      <c r="F88" s="6"/>
      <c r="G88" s="33"/>
      <c r="H88" s="7"/>
      <c r="I88" s="7"/>
      <c r="J88" s="7">
        <f>SUM(J10:J87)</f>
        <v>469525.84438020881</v>
      </c>
      <c r="K88" s="4"/>
      <c r="M88" s="29"/>
      <c r="P88" s="32"/>
      <c r="Q88" s="32"/>
    </row>
    <row r="89" spans="1:31" x14ac:dyDescent="0.3">
      <c r="M89" s="29"/>
      <c r="N89" s="30"/>
      <c r="O89" s="30"/>
      <c r="P89" s="31"/>
      <c r="R89" s="30"/>
      <c r="S89" s="30"/>
      <c r="T89" s="30"/>
      <c r="U89" s="29"/>
      <c r="V89" s="29"/>
      <c r="W89" s="29"/>
      <c r="X89" s="29"/>
      <c r="Y89" s="29"/>
      <c r="Z89" s="29"/>
      <c r="AA89" s="29"/>
      <c r="AB89" s="29"/>
      <c r="AC89" s="29"/>
      <c r="AD89" s="29"/>
      <c r="AE89" s="29"/>
    </row>
    <row r="90" spans="1:31" s="1" customFormat="1" x14ac:dyDescent="0.3">
      <c r="B90" s="11" t="s">
        <v>22</v>
      </c>
      <c r="C90" s="79">
        <f>J88</f>
        <v>469525.84438020881</v>
      </c>
      <c r="D90" s="80"/>
      <c r="E90" s="10">
        <v>100</v>
      </c>
      <c r="F90" s="12"/>
      <c r="G90" s="13"/>
      <c r="H90" s="12"/>
      <c r="I90" s="14"/>
      <c r="J90" s="15"/>
      <c r="K90" s="16"/>
      <c r="M90" s="12"/>
      <c r="N90" s="30"/>
      <c r="O90" s="30"/>
      <c r="P90" s="30"/>
      <c r="Q90" s="30"/>
      <c r="R90" s="30"/>
      <c r="S90" s="30"/>
      <c r="T90" s="30"/>
      <c r="U90" s="12"/>
      <c r="V90" s="12"/>
      <c r="W90" s="12"/>
      <c r="X90" s="12"/>
      <c r="Y90" s="12"/>
      <c r="Z90" s="12"/>
      <c r="AA90" s="12"/>
      <c r="AB90" s="12"/>
      <c r="AC90" s="12"/>
      <c r="AD90" s="12"/>
      <c r="AE90" s="12"/>
    </row>
    <row r="91" spans="1:31" x14ac:dyDescent="0.3">
      <c r="B91" s="11" t="s">
        <v>17</v>
      </c>
      <c r="C91" s="82">
        <v>400000</v>
      </c>
      <c r="D91" s="83"/>
      <c r="E91" s="10"/>
      <c r="M91" s="29"/>
      <c r="N91" s="30"/>
      <c r="O91" s="30"/>
      <c r="P91" s="30"/>
      <c r="Q91" s="30"/>
      <c r="R91" s="30"/>
      <c r="S91" s="30"/>
      <c r="T91" s="30"/>
      <c r="U91" s="29"/>
      <c r="V91" s="29"/>
      <c r="W91" s="29"/>
      <c r="X91" s="29"/>
      <c r="Y91" s="29"/>
      <c r="Z91" s="29"/>
      <c r="AA91" s="29"/>
      <c r="AB91" s="29"/>
      <c r="AC91" s="29"/>
      <c r="AD91" s="29"/>
      <c r="AE91" s="29"/>
    </row>
    <row r="92" spans="1:31" x14ac:dyDescent="0.3">
      <c r="B92" s="11" t="s">
        <v>18</v>
      </c>
      <c r="C92" s="82">
        <f>C91-C94-C95</f>
        <v>380000</v>
      </c>
      <c r="D92" s="83"/>
      <c r="E92" s="10">
        <f>C92/C90*100</f>
        <v>80.932712128256497</v>
      </c>
      <c r="M92" s="29"/>
      <c r="N92" s="29"/>
      <c r="O92" s="29"/>
      <c r="P92" s="29"/>
      <c r="Q92" s="29"/>
      <c r="R92" s="29"/>
      <c r="S92" s="29"/>
      <c r="T92" s="29"/>
      <c r="U92" s="29"/>
      <c r="V92" s="29"/>
      <c r="W92" s="29"/>
      <c r="X92" s="29"/>
      <c r="Y92" s="29"/>
      <c r="Z92" s="29"/>
      <c r="AA92" s="29"/>
      <c r="AB92" s="29"/>
      <c r="AC92" s="29"/>
      <c r="AD92" s="29"/>
      <c r="AE92" s="29"/>
    </row>
    <row r="93" spans="1:31" x14ac:dyDescent="0.3">
      <c r="B93" s="11" t="s">
        <v>19</v>
      </c>
      <c r="C93" s="84">
        <f>C90-C92</f>
        <v>89525.844380208815</v>
      </c>
      <c r="D93" s="84"/>
      <c r="E93" s="10">
        <f>100-E92</f>
        <v>19.067287871743503</v>
      </c>
      <c r="M93" s="29"/>
      <c r="N93" s="29"/>
      <c r="O93" s="29"/>
      <c r="P93" s="29"/>
      <c r="Q93" s="29"/>
      <c r="R93" s="29"/>
      <c r="S93" s="29"/>
      <c r="T93" s="29"/>
      <c r="U93" s="29"/>
      <c r="V93" s="29"/>
      <c r="W93" s="29"/>
      <c r="X93" s="29"/>
      <c r="Y93" s="29"/>
      <c r="Z93" s="29"/>
      <c r="AA93" s="29"/>
      <c r="AB93" s="29"/>
      <c r="AC93" s="29"/>
      <c r="AD93" s="29"/>
      <c r="AE93" s="29"/>
    </row>
    <row r="94" spans="1:31" x14ac:dyDescent="0.3">
      <c r="B94" s="11" t="s">
        <v>20</v>
      </c>
      <c r="C94" s="79">
        <f>C91*0.03</f>
        <v>12000</v>
      </c>
      <c r="D94" s="80"/>
      <c r="E94" s="10">
        <v>3</v>
      </c>
      <c r="M94" s="29"/>
      <c r="N94" s="29"/>
      <c r="O94" s="29"/>
      <c r="P94" s="29"/>
      <c r="Q94" s="29"/>
      <c r="R94" s="29"/>
      <c r="S94" s="29"/>
      <c r="T94" s="29"/>
      <c r="U94" s="29"/>
      <c r="V94" s="29"/>
      <c r="W94" s="29"/>
      <c r="X94" s="29"/>
      <c r="Y94" s="29"/>
      <c r="Z94" s="29"/>
      <c r="AA94" s="29"/>
      <c r="AB94" s="29"/>
      <c r="AC94" s="29"/>
      <c r="AD94" s="29"/>
      <c r="AE94" s="29"/>
    </row>
    <row r="95" spans="1:31" x14ac:dyDescent="0.3">
      <c r="B95" s="11" t="s">
        <v>21</v>
      </c>
      <c r="C95" s="79">
        <f>C91*0.02</f>
        <v>8000</v>
      </c>
      <c r="D95" s="80"/>
      <c r="E95" s="10">
        <v>2</v>
      </c>
      <c r="M95" s="29"/>
      <c r="N95" s="29"/>
      <c r="O95" s="29"/>
      <c r="P95" s="29"/>
      <c r="Q95" s="29"/>
      <c r="R95" s="29"/>
      <c r="S95" s="29"/>
      <c r="T95" s="29"/>
      <c r="U95" s="29"/>
      <c r="V95" s="29"/>
      <c r="W95" s="29"/>
      <c r="X95" s="29"/>
      <c r="Y95" s="29"/>
      <c r="Z95" s="29"/>
      <c r="AA95" s="29"/>
      <c r="AB95" s="29"/>
      <c r="AC95" s="29"/>
      <c r="AD95" s="29"/>
      <c r="AE95" s="29"/>
    </row>
  </sheetData>
  <mergeCells count="15">
    <mergeCell ref="C94:D94"/>
    <mergeCell ref="C95:D95"/>
    <mergeCell ref="A7:F7"/>
    <mergeCell ref="H7:K7"/>
    <mergeCell ref="C90:D90"/>
    <mergeCell ref="C91:D91"/>
    <mergeCell ref="C92:D92"/>
    <mergeCell ref="C93:D93"/>
    <mergeCell ref="A1:K1"/>
    <mergeCell ref="A2:K2"/>
    <mergeCell ref="A3:K3"/>
    <mergeCell ref="A4:K4"/>
    <mergeCell ref="A5:K5"/>
    <mergeCell ref="A6:G6"/>
    <mergeCell ref="H6:K6"/>
  </mergeCells>
  <hyperlinks>
    <hyperlink ref="B59" r:id="rId1"/>
  </hyperlinks>
  <printOptions horizontalCentered="1"/>
  <pageMargins left="0.70866141732283472" right="0.70866141732283472" top="0.74803149606299213" bottom="0.74803149606299213" header="0.31496062992125984" footer="0.31496062992125984"/>
  <pageSetup paperSize="9" scale="80" orientation="portrait" horizontalDpi="300" verticalDpi="300" r:id="rId2"/>
  <headerFooter>
    <oddFooter xml:space="preserve">&amp;LPrepared By:&amp;CChecked By:&amp;RApproved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as per mistry</vt:lpstr>
      <vt:lpstr>WCR</vt:lpstr>
      <vt:lpstr>V</vt:lpstr>
      <vt:lpstr>as per mistry (2)</vt:lpstr>
      <vt:lpstr>'as per mistry'!Print_Area</vt:lpstr>
      <vt:lpstr>'as per mistry (2)'!Print_Area</vt:lpstr>
      <vt:lpstr>V!Print_Area</vt:lpstr>
      <vt:lpstr>'as per mistry'!Print_Titles</vt:lpstr>
      <vt:lpstr>'as per mistry (2)'!Print_Titles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2025-01-13T05:40:48Z</cp:lastPrinted>
  <dcterms:created xsi:type="dcterms:W3CDTF">2015-06-05T18:17:20Z</dcterms:created>
  <dcterms:modified xsi:type="dcterms:W3CDTF">2025-05-02T02:46:14Z</dcterms:modified>
</cp:coreProperties>
</file>