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पशु शाखा इस्तिमेट\"/>
    </mc:Choice>
  </mc:AlternateContent>
  <bookViews>
    <workbookView xWindow="-120" yWindow="-120" windowWidth="20736" windowHeight="11160"/>
  </bookViews>
  <sheets>
    <sheet name="as per mistry" sheetId="19" r:id="rId1"/>
    <sheet name="Sheet1" sheetId="20" r:id="rId2"/>
  </sheets>
  <externalReferences>
    <externalReference r:id="rId3"/>
    <externalReference r:id="rId4"/>
    <externalReference r:id="rId5"/>
    <externalReference r:id="rId6"/>
    <externalReference r:id="rId7"/>
    <externalReference r:id="rId8"/>
  </externalReferences>
  <definedNames>
    <definedName name="_cgi24">'[1]update Rate'!$N$95</definedName>
    <definedName name="adopted_rate_aggregate_10_20_mm">[2]District_Rate!$L$6</definedName>
    <definedName name="adopted_rate_aggregate_10_mm">[2]District_Rate!$L$7</definedName>
    <definedName name="adopted_rate_aggregate_20_40_mm">[2]District_Rate!$L$9</definedName>
    <definedName name="adopted_rate_binding_wire">[2]District_Rate!$L$17</definedName>
    <definedName name="adopted_rate_cement">[2]District_Rate!$L$25</definedName>
    <definedName name="adopted_rate_HYSD_bar">[2]District_Rate!$L$73</definedName>
    <definedName name="adopted_rate_sand">[2]District_Rate!$L$111</definedName>
    <definedName name="adopted_rate_water">[2]District_Rate!$L$129</definedName>
    <definedName name="concrete_mixer">[2]Equipment_Rate!$J$10</definedName>
    <definedName name="description_1">[3]Abstract!$B$167</definedName>
    <definedName name="description_124">[4]Abstract!$B$18</definedName>
    <definedName name="description_2">[3]Abstract!$B$168</definedName>
    <definedName name="description_261">[5]Abstract!$B$33</definedName>
    <definedName name="description_262">[6]Abstract!$B$34</definedName>
    <definedName name="description_6">[3]Abstract!$B$172</definedName>
    <definedName name="description_784">[3]Abstract!$B$300</definedName>
    <definedName name="excavator">[2]Equipment_Rate!$J$19</definedName>
    <definedName name="generator">[2]Equipment_Rate!$J$20</definedName>
    <definedName name="_xlnm.Print_Area" localSheetId="0">'as per mistry'!$A$1:$K$46</definedName>
    <definedName name="_xlnm.Print_Titles" localSheetId="0">'as per mistry'!$1:$8</definedName>
    <definedName name="skilled">[2]District_Rate!$D$148</definedName>
    <definedName name="skilled_blacksmith">[2]District_Rate!$D$149</definedName>
    <definedName name="unskilled">[2]District_Rate!$D$156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9" l="1"/>
  <c r="D32" i="19"/>
  <c r="E26" i="19"/>
  <c r="I18" i="19"/>
  <c r="H9" i="20"/>
  <c r="E31" i="19" l="1"/>
  <c r="D31" i="19"/>
  <c r="M28" i="19"/>
  <c r="C26" i="19"/>
  <c r="D26" i="19"/>
  <c r="D33" i="19" s="1"/>
  <c r="G22" i="19"/>
  <c r="E22" i="19"/>
  <c r="E33" i="19" s="1"/>
  <c r="D12" i="19"/>
  <c r="C12" i="19"/>
  <c r="D11" i="19"/>
  <c r="E17" i="19"/>
  <c r="D17" i="19"/>
  <c r="G32" i="19" l="1"/>
  <c r="G26" i="19"/>
  <c r="G23" i="19"/>
  <c r="C33" i="19"/>
  <c r="G33" i="19" s="1"/>
  <c r="B26" i="19"/>
  <c r="F6" i="20"/>
  <c r="G6" i="20" s="1"/>
  <c r="F9" i="20"/>
  <c r="G9" i="20" s="1"/>
  <c r="F8" i="20"/>
  <c r="G8" i="20" s="1"/>
  <c r="G7" i="20"/>
  <c r="G5" i="20"/>
  <c r="G4" i="20"/>
  <c r="A1" i="20"/>
  <c r="G27" i="19" l="1"/>
  <c r="J28" i="19" s="1"/>
  <c r="H5" i="20"/>
  <c r="H10" i="20" s="1"/>
  <c r="H11" i="20" l="1"/>
  <c r="H12" i="20" s="1"/>
  <c r="B12" i="20" s="1"/>
  <c r="D12" i="20" s="1"/>
  <c r="N28" i="19" l="1"/>
  <c r="O28" i="19" s="1"/>
  <c r="C46" i="19"/>
  <c r="C45" i="19"/>
  <c r="G37" i="19"/>
  <c r="J37" i="19" s="1"/>
  <c r="G31" i="19"/>
  <c r="G34" i="19" s="1"/>
  <c r="G17" i="19"/>
  <c r="G18" i="19" s="1"/>
  <c r="J19" i="19" s="1"/>
  <c r="F12" i="19"/>
  <c r="G12" i="19" s="1"/>
  <c r="F11" i="19"/>
  <c r="G11" i="19" s="1"/>
  <c r="F10" i="19"/>
  <c r="G10" i="19" s="1"/>
  <c r="G13" i="19" l="1"/>
  <c r="J14" i="19" s="1"/>
  <c r="J23" i="19"/>
  <c r="J35" i="19"/>
  <c r="J34" i="19"/>
  <c r="J18" i="19"/>
  <c r="J27" i="19" l="1"/>
  <c r="J13" i="19"/>
  <c r="J39" i="19" l="1"/>
  <c r="C41" i="19" s="1"/>
  <c r="C44" i="19" s="1"/>
  <c r="E43" i="19" l="1"/>
  <c r="E44" i="19" s="1"/>
</calcChain>
</file>

<file path=xl/sharedStrings.xml><?xml version="1.0" encoding="utf-8"?>
<sst xmlns="http://schemas.openxmlformats.org/spreadsheetml/2006/main" count="86" uniqueCount="73">
  <si>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</si>
  <si>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</si>
  <si>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</si>
  <si>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</si>
  <si>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</si>
  <si>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</si>
  <si>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</si>
  <si>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</si>
  <si>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</si>
  <si>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</si>
  <si>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</si>
  <si>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</si>
  <si>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</si>
  <si>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</si>
  <si>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</si>
  <si>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</si>
  <si>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</si>
  <si>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</si>
  <si>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</si>
  <si>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</si>
  <si>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</si>
  <si>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</si>
  <si>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</si>
  <si>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</si>
  <si>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</si>
  <si>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sub-total</t>
  </si>
  <si>
    <t>Length (m)</t>
  </si>
  <si>
    <t>Total Weight (kg)</t>
  </si>
  <si>
    <t>Unit length (Kg/m)</t>
  </si>
  <si>
    <t>sfnf] kmnfd] kfO{ksf] 6«; agfO{ h8fg ug]{ sfd</t>
  </si>
  <si>
    <t>Kg</t>
  </si>
  <si>
    <t>sqm</t>
  </si>
  <si>
    <t>Information board</t>
  </si>
  <si>
    <t>-VAT 13% for materials</t>
  </si>
  <si>
    <t xml:space="preserve">g/d k|sf/sf] Sn] / l;N6L df6f]df ;j} lsl;dsf] vGg] sfd </t>
  </si>
  <si>
    <t>;-for footing</t>
  </si>
  <si>
    <t>cum</t>
  </si>
  <si>
    <t xml:space="preserve">hu leQf kvf{ndf l;d]G6 s+lqm6 ug]{ sfd -lk=;L=;L= !M@M$_  </t>
  </si>
  <si>
    <t>no.</t>
  </si>
  <si>
    <t>F1</t>
  </si>
  <si>
    <t>b/ ljZn]if0fsf] nflu !) j=ld= lnOPsf]</t>
  </si>
  <si>
    <t>;|f]t ;fwg</t>
  </si>
  <si>
    <t>tx÷lsl;d</t>
  </si>
  <si>
    <t>kl/df0f</t>
  </si>
  <si>
    <t>PsfO{</t>
  </si>
  <si>
    <t>b/ k|lt PsfO{</t>
  </si>
  <si>
    <t>/sd</t>
  </si>
  <si>
    <t>k|To]s ;|f]t ;fwgsf] hDdf</t>
  </si>
  <si>
    <t>&gt;lds</t>
  </si>
  <si>
    <t>s_ l;kfn'</t>
  </si>
  <si>
    <t>hjfg</t>
  </si>
  <si>
    <t>v_ HofdL</t>
  </si>
  <si>
    <t>lgdf{0f ;fdu|L</t>
  </si>
  <si>
    <t>j=dL=</t>
  </si>
  <si>
    <t>* dL=dL= jf]N6 g6</t>
  </si>
  <si>
    <t>uf]6f</t>
  </si>
  <si>
    <t>h] x's</t>
  </si>
  <si>
    <t>lj6'ldg jfz/</t>
  </si>
  <si>
    <t>jf:tljs b//]6</t>
  </si>
  <si>
    <t>b/ k|lt j=dL=sf]</t>
  </si>
  <si>
    <t>!%Ü 7]s]bf/ cf]e/x]8</t>
  </si>
  <si>
    <t>?=</t>
  </si>
  <si>
    <t>k}=</t>
  </si>
  <si>
    <t>hDdf b/ /]6</t>
  </si>
  <si>
    <r>
      <t xml:space="preserve">gf]6 M !=)) j08n h:tf nDafO{{ &amp;@Ú–)Æ / rf}8fO{ @Ú–&amp;=%Æ dfg]sf] . -&amp;@Ú </t>
    </r>
    <r>
      <rPr>
        <sz val="10"/>
        <rFont val="Arial"/>
        <family val="2"/>
      </rPr>
      <t>x</t>
    </r>
    <r>
      <rPr>
        <sz val="10"/>
        <rFont val="Preeti"/>
      </rPr>
      <t xml:space="preserve"> @Ú–&amp;=%</t>
    </r>
    <r>
      <rPr>
        <sz val="10"/>
        <rFont val="Arial"/>
        <family val="2"/>
      </rPr>
      <t>=</t>
    </r>
    <r>
      <rPr>
        <sz val="10"/>
        <rFont val="Preeti"/>
      </rPr>
      <t>+ !&amp;=%^ j=dL=_</t>
    </r>
  </si>
  <si>
    <r>
      <t>CGI</t>
    </r>
    <r>
      <rPr>
        <sz val="13"/>
        <rFont val="Preeti"/>
      </rPr>
      <t xml:space="preserve"> </t>
    </r>
    <r>
      <rPr>
        <sz val="10"/>
        <rFont val="Preeti"/>
      </rPr>
      <t xml:space="preserve">kftf #) u]h </t>
    </r>
    <r>
      <rPr>
        <sz val="8"/>
        <rFont val="Arial"/>
        <family val="2"/>
      </rPr>
      <t>(0.24mm)</t>
    </r>
  </si>
  <si>
    <t xml:space="preserve">)=@$ dL=dL= afSnf] ;L=hL=cfO{= 5fgf 5fpg] sfd </t>
  </si>
  <si>
    <t>-for passage flooring</t>
  </si>
  <si>
    <t>Project:- फ्रेंश कृषि तथा पशुपालन</t>
  </si>
  <si>
    <t xml:space="preserve">Date: 2082/02/05  </t>
  </si>
  <si>
    <t>husf] vf8ndf 9'+uf eg]{ / n]en ug]{ sfddf</t>
  </si>
  <si>
    <t>dfn;fdfg pknAw u/L )=@$ dL=dL= afSnf] ;L=hL=cfO{= zL6 -h:tf kftfsf]_ 5fgf 5fpg] sfd k'/f .</t>
  </si>
  <si>
    <t>-MS square pipe of 1.5"*1.5" of 1.6mm thickness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</si>
</sst>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6">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0"/>
      <name val="FONTASY_ HIMALI_ TT"/>
      <family val="5"/>
    </font>
    <font>
      <b/>
      <sz val="13"/>
      <name val="Preeti"/>
    </font>
    <font>
      <sz val="12"/>
      <name val="Preeti"/>
    </font>
    <font>
      <sz val="11"/>
      <name val="Preeti"/>
    </font>
    <font>
      <sz val="10"/>
      <name val="Fontasy Himali"/>
      <family val="5"/>
    </font>
    <font>
      <sz val="9"/>
      <name val="FONTASY_ HIMALI_ TT"/>
      <family val="5"/>
    </font>
    <font>
      <sz val="12"/>
      <name val="Arial"/>
      <family val="2"/>
    </font>
    <font>
      <sz val="8"/>
      <name val="Arial"/>
      <family val="2"/>
    </font>
    <font>
      <sz val="13"/>
      <name val="Preeti"/>
    </font>
    <font>
      <sz val="10"/>
      <name val="Preeti"/>
    </font>
    <font>
      <sz val="9"/>
      <name val="Preeti"/>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96">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3" fillId="0" borderId="1" xfId="0" quotePrefix="1" applyFont="1" applyBorder="1" applyAlignment="1">
      <alignment vertical="center" wrapText="1"/>
    </xf>
    <xf numFmtId="1" fontId="15" fillId="2" borderId="1" xfId="0" applyNumberFormat="1" applyFont="1" applyFill="1" applyBorder="1" applyAlignment="1">
      <alignment horizontal="center"/>
    </xf>
    <xf numFmtId="0" fontId="17" fillId="0" borderId="0" xfId="0" applyFont="1"/>
    <xf numFmtId="0" fontId="11" fillId="0" borderId="5" xfId="0" applyFont="1" applyBorder="1" applyAlignment="1">
      <alignment horizontal="center"/>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2" fontId="19" fillId="0" borderId="8" xfId="0" applyNumberFormat="1" applyFont="1" applyBorder="1" applyAlignment="1">
      <alignment horizontal="center"/>
    </xf>
    <xf numFmtId="0" fontId="17" fillId="0" borderId="8" xfId="0" applyFont="1" applyBorder="1" applyAlignment="1">
      <alignment horizontal="center"/>
    </xf>
    <xf numFmtId="2" fontId="20" fillId="0" borderId="8" xfId="0" applyNumberFormat="1" applyFont="1" applyBorder="1" applyAlignment="1">
      <alignment horizontal="center" vertical="center" wrapText="1"/>
    </xf>
    <xf numFmtId="2" fontId="15" fillId="0" borderId="8" xfId="0" applyNumberFormat="1" applyFont="1" applyBorder="1" applyAlignment="1">
      <alignment horizontal="center" vertical="center"/>
    </xf>
    <xf numFmtId="0" fontId="17" fillId="0" borderId="5" xfId="0" applyFont="1" applyBorder="1" applyAlignment="1">
      <alignment horizontal="center"/>
    </xf>
    <xf numFmtId="0" fontId="19" fillId="0" borderId="5" xfId="0" quotePrefix="1" applyFont="1" applyBorder="1" applyAlignment="1">
      <alignment horizontal="center"/>
    </xf>
    <xf numFmtId="2" fontId="20" fillId="0" borderId="5" xfId="0" applyNumberFormat="1" applyFont="1" applyBorder="1" applyAlignment="1">
      <alignment horizontal="center"/>
    </xf>
    <xf numFmtId="2" fontId="20" fillId="0" borderId="5" xfId="0" applyNumberFormat="1" applyFont="1" applyBorder="1" applyAlignment="1">
      <alignment horizontal="center" vertical="center"/>
    </xf>
    <xf numFmtId="0" fontId="22" fillId="0" borderId="9" xfId="0" applyFont="1" applyBorder="1" applyAlignment="1">
      <alignment horizontal="center" vertical="top" wrapText="1"/>
    </xf>
    <xf numFmtId="2" fontId="19" fillId="0" borderId="9" xfId="0" applyNumberFormat="1" applyFont="1" applyBorder="1" applyAlignment="1">
      <alignment horizontal="center"/>
    </xf>
    <xf numFmtId="0" fontId="17" fillId="0" borderId="9" xfId="0" applyFont="1" applyBorder="1" applyAlignment="1">
      <alignment horizontal="center"/>
    </xf>
    <xf numFmtId="2" fontId="20" fillId="0" borderId="9" xfId="0" applyNumberFormat="1" applyFont="1" applyBorder="1" applyAlignment="1">
      <alignment horizontal="center"/>
    </xf>
    <xf numFmtId="2" fontId="20" fillId="0" borderId="9" xfId="0" applyNumberFormat="1" applyFont="1" applyBorder="1" applyAlignment="1">
      <alignment horizontal="center" vertical="center"/>
    </xf>
    <xf numFmtId="0" fontId="25" fillId="0" borderId="9" xfId="0" applyFont="1" applyBorder="1"/>
    <xf numFmtId="0" fontId="17" fillId="0" borderId="0" xfId="0" applyFont="1" applyFill="1"/>
    <xf numFmtId="0" fontId="17" fillId="0" borderId="5" xfId="0" applyFont="1" applyFill="1" applyBorder="1" applyAlignment="1">
      <alignment horizontal="center"/>
    </xf>
    <xf numFmtId="2" fontId="19" fillId="0" borderId="5" xfId="0" applyNumberFormat="1" applyFont="1" applyFill="1" applyBorder="1" applyAlignment="1">
      <alignment horizontal="center"/>
    </xf>
    <xf numFmtId="2" fontId="20" fillId="0" borderId="5" xfId="0" applyNumberFormat="1" applyFont="1" applyFill="1" applyBorder="1" applyAlignment="1">
      <alignment horizontal="center"/>
    </xf>
    <xf numFmtId="2" fontId="20" fillId="0" borderId="5" xfId="0" applyNumberFormat="1" applyFont="1" applyFill="1" applyBorder="1" applyAlignment="1">
      <alignment horizontal="center" vertical="center"/>
    </xf>
    <xf numFmtId="0" fontId="23" fillId="0" borderId="0" xfId="0" applyFont="1"/>
    <xf numFmtId="0" fontId="17" fillId="0" borderId="0" xfId="0" applyFont="1" applyAlignment="1">
      <alignment horizontal="center"/>
    </xf>
    <xf numFmtId="2" fontId="15" fillId="0" borderId="1" xfId="0" applyNumberFormat="1" applyFont="1" applyBorder="1" applyAlignment="1">
      <alignment horizontal="center"/>
    </xf>
    <xf numFmtId="0" fontId="17" fillId="0" borderId="0" xfId="0" applyFont="1" applyAlignment="1">
      <alignment horizontal="right"/>
    </xf>
    <xf numFmtId="2" fontId="20" fillId="0" borderId="7" xfId="0" applyNumberFormat="1" applyFont="1" applyBorder="1" applyAlignment="1">
      <alignment horizontal="center"/>
    </xf>
    <xf numFmtId="2" fontId="20" fillId="0" borderId="1" xfId="0" applyNumberFormat="1" applyFont="1" applyBorder="1" applyAlignment="1">
      <alignment horizontal="center"/>
    </xf>
    <xf numFmtId="0" fontId="20" fillId="0" borderId="0" xfId="0" applyFont="1" applyAlignment="1">
      <alignment horizontal="center"/>
    </xf>
    <xf numFmtId="0" fontId="24" fillId="0" borderId="0" xfId="0" applyFont="1"/>
    <xf numFmtId="0" fontId="13" fillId="2" borderId="1" xfId="0" applyFont="1" applyFill="1" applyBorder="1" applyAlignment="1">
      <alignment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16" fillId="0" borderId="4" xfId="0" applyFont="1" applyBorder="1" applyAlignment="1">
      <alignment horizontal="center"/>
    </xf>
    <xf numFmtId="0" fontId="16" fillId="0" borderId="0" xfId="0" applyFont="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7" fillId="0" borderId="8" xfId="0" applyFont="1" applyBorder="1" applyAlignment="1">
      <alignment horizontal="center" vertical="center" wrapText="1"/>
    </xf>
    <xf numFmtId="0" fontId="21" fillId="0" borderId="5" xfId="0" applyFont="1" applyBorder="1" applyAlignment="1">
      <alignment horizontal="center" vertical="center"/>
    </xf>
    <xf numFmtId="0" fontId="17" fillId="0" borderId="8"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171344</xdr:colOff>
      <xdr:row>10</xdr:row>
      <xdr:rowOff>76307</xdr:rowOff>
    </xdr:from>
    <xdr:to>
      <xdr:col>2</xdr:col>
      <xdr:colOff>481602</xdr:colOff>
      <xdr:row>11</xdr:row>
      <xdr:rowOff>107023</xdr:rowOff>
    </xdr:to>
    <xdr:sp macro="" textlink="">
      <xdr:nvSpPr>
        <xdr:cNvPr id="4" name="Text Box 218"/>
        <xdr:cNvSpPr txBox="1">
          <a:spLocks noChangeArrowheads="1"/>
        </xdr:cNvSpPr>
      </xdr:nvSpPr>
      <xdr:spPr bwMode="auto">
        <a:xfrm>
          <a:off x="1523894" y="254355707"/>
          <a:ext cx="310258" cy="278366"/>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ew%20folder\081-082\ofc\ofc\Rate%20analysis\for-all-Civil-rate-analysis-81-82-shankharapur-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95">
          <cell r="N95">
            <v>584.80941704035877</v>
          </cell>
        </row>
        <row r="131">
          <cell r="N131">
            <v>13.928571428571429</v>
          </cell>
        </row>
        <row r="132">
          <cell r="N132">
            <v>3</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6"/>
  <sheetViews>
    <sheetView tabSelected="1" topLeftCell="A25" zoomScaleNormal="100" zoomScaleSheetLayoutView="80" workbookViewId="0">
      <selection activeCell="I30" sqref="I30"/>
    </sheetView>
  </sheetViews>
  <sheetFormatPr defaultRowHeight="14.4"/>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9.332031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c r="A1" s="83" t="s">
        <v>0</v>
      </c>
      <c r="B1" s="83"/>
      <c r="C1" s="83"/>
      <c r="D1" s="83"/>
      <c r="E1" s="83"/>
      <c r="F1" s="83"/>
      <c r="G1" s="83"/>
      <c r="H1" s="83"/>
      <c r="I1" s="83"/>
      <c r="J1" s="83"/>
      <c r="K1" s="83"/>
    </row>
    <row r="2" spans="1:13" s="1" customFormat="1" ht="22.8">
      <c r="A2" s="84" t="s">
        <v>1</v>
      </c>
      <c r="B2" s="84"/>
      <c r="C2" s="84"/>
      <c r="D2" s="84"/>
      <c r="E2" s="84"/>
      <c r="F2" s="84"/>
      <c r="G2" s="84"/>
      <c r="H2" s="84"/>
      <c r="I2" s="84"/>
      <c r="J2" s="84"/>
      <c r="K2" s="84"/>
    </row>
    <row r="3" spans="1:13" s="1" customFormat="1">
      <c r="A3" s="85" t="s">
        <v>2</v>
      </c>
      <c r="B3" s="85"/>
      <c r="C3" s="85"/>
      <c r="D3" s="85"/>
      <c r="E3" s="85"/>
      <c r="F3" s="85"/>
      <c r="G3" s="85"/>
      <c r="H3" s="85"/>
      <c r="I3" s="85"/>
      <c r="J3" s="85"/>
      <c r="K3" s="85"/>
    </row>
    <row r="4" spans="1:13" s="1" customFormat="1">
      <c r="A4" s="85" t="s">
        <v>3</v>
      </c>
      <c r="B4" s="85"/>
      <c r="C4" s="85"/>
      <c r="D4" s="85"/>
      <c r="E4" s="85"/>
      <c r="F4" s="85"/>
      <c r="G4" s="85"/>
      <c r="H4" s="85"/>
      <c r="I4" s="85"/>
      <c r="J4" s="85"/>
      <c r="K4" s="85"/>
    </row>
    <row r="5" spans="1:13" ht="17.399999999999999">
      <c r="A5" s="86" t="s">
        <v>4</v>
      </c>
      <c r="B5" s="86"/>
      <c r="C5" s="86"/>
      <c r="D5" s="86"/>
      <c r="E5" s="86"/>
      <c r="F5" s="86"/>
      <c r="G5" s="86"/>
      <c r="H5" s="86"/>
      <c r="I5" s="86"/>
      <c r="J5" s="86"/>
      <c r="K5" s="86"/>
    </row>
    <row r="6" spans="1:13" ht="18">
      <c r="A6" s="82" t="s">
        <v>68</v>
      </c>
      <c r="B6" s="82"/>
      <c r="C6" s="82"/>
      <c r="D6" s="82"/>
      <c r="E6" s="82"/>
      <c r="F6" s="82"/>
      <c r="G6" s="82"/>
      <c r="H6" s="78" t="s">
        <v>24</v>
      </c>
      <c r="I6" s="78"/>
      <c r="J6" s="78"/>
      <c r="K6" s="78"/>
    </row>
    <row r="7" spans="1:13" ht="15.6">
      <c r="A7" s="77" t="s">
        <v>23</v>
      </c>
      <c r="B7" s="77"/>
      <c r="C7" s="77"/>
      <c r="D7" s="77"/>
      <c r="E7" s="77"/>
      <c r="F7" s="77"/>
      <c r="G7" s="2"/>
      <c r="H7" s="78" t="s">
        <v>69</v>
      </c>
      <c r="I7" s="78"/>
      <c r="J7" s="78"/>
      <c r="K7" s="78"/>
    </row>
    <row r="8" spans="1:13" ht="15" customHeight="1">
      <c r="A8" s="3" t="s">
        <v>5</v>
      </c>
      <c r="B8" s="17" t="s">
        <v>6</v>
      </c>
      <c r="C8" s="3" t="s">
        <v>7</v>
      </c>
      <c r="D8" s="18" t="s">
        <v>8</v>
      </c>
      <c r="E8" s="18" t="s">
        <v>9</v>
      </c>
      <c r="F8" s="18" t="s">
        <v>10</v>
      </c>
      <c r="G8" s="18" t="s">
        <v>11</v>
      </c>
      <c r="H8" s="3" t="s">
        <v>12</v>
      </c>
      <c r="I8" s="18" t="s">
        <v>13</v>
      </c>
      <c r="J8" s="18" t="s">
        <v>14</v>
      </c>
      <c r="K8" s="19" t="s">
        <v>15</v>
      </c>
    </row>
    <row r="9" spans="1:13" s="1" customFormat="1" ht="41.4">
      <c r="A9" s="21">
        <v>1</v>
      </c>
      <c r="B9" s="37" t="s">
        <v>29</v>
      </c>
      <c r="C9" s="22" t="s">
        <v>7</v>
      </c>
      <c r="D9" s="34" t="s">
        <v>26</v>
      </c>
      <c r="E9" s="35" t="s">
        <v>28</v>
      </c>
      <c r="F9" s="35" t="s">
        <v>27</v>
      </c>
      <c r="G9" s="35"/>
      <c r="H9" s="25"/>
      <c r="I9" s="26"/>
      <c r="J9" s="27"/>
      <c r="K9" s="24"/>
    </row>
    <row r="10" spans="1:13" s="1" customFormat="1" ht="27.6">
      <c r="A10" s="38"/>
      <c r="B10" s="39" t="s">
        <v>72</v>
      </c>
      <c r="C10" s="40">
        <v>3</v>
      </c>
      <c r="D10" s="10">
        <v>2.5299999999999998</v>
      </c>
      <c r="E10" s="10">
        <v>1.83</v>
      </c>
      <c r="F10" s="10">
        <f t="shared" ref="F10:F12" si="0">PRODUCT(C10:E10)</f>
        <v>13.889699999999999</v>
      </c>
      <c r="G10" s="36">
        <f t="shared" ref="G10:G12" si="1">F10</f>
        <v>13.889699999999999</v>
      </c>
      <c r="H10" s="27"/>
      <c r="I10" s="27"/>
      <c r="J10" s="27"/>
      <c r="K10" s="11"/>
      <c r="M10" s="12"/>
    </row>
    <row r="11" spans="1:13" s="1" customFormat="1">
      <c r="A11" s="38"/>
      <c r="B11" s="39"/>
      <c r="C11" s="40">
        <v>1</v>
      </c>
      <c r="D11" s="10">
        <f>22/12/3.281</f>
        <v>0.55877273189068366</v>
      </c>
      <c r="E11" s="10">
        <v>1.83</v>
      </c>
      <c r="F11" s="10">
        <f t="shared" si="0"/>
        <v>1.0225540993599511</v>
      </c>
      <c r="G11" s="36">
        <f t="shared" si="1"/>
        <v>1.0225540993599511</v>
      </c>
      <c r="H11" s="27"/>
      <c r="I11" s="27"/>
      <c r="J11" s="27"/>
      <c r="K11" s="11"/>
      <c r="M11" s="12"/>
    </row>
    <row r="12" spans="1:13" s="1" customFormat="1">
      <c r="A12" s="38"/>
      <c r="B12" s="39"/>
      <c r="C12" s="40">
        <f>3</f>
        <v>3</v>
      </c>
      <c r="D12" s="10">
        <f>0.7-1.5/12/3.281</f>
        <v>0.66190185918927158</v>
      </c>
      <c r="E12" s="10">
        <v>1.83</v>
      </c>
      <c r="F12" s="10">
        <f t="shared" si="0"/>
        <v>3.6338412069491013</v>
      </c>
      <c r="G12" s="36">
        <f t="shared" si="1"/>
        <v>3.6338412069491013</v>
      </c>
      <c r="H12" s="27"/>
      <c r="I12" s="27"/>
      <c r="J12" s="27"/>
      <c r="K12" s="11"/>
      <c r="M12" s="12"/>
    </row>
    <row r="13" spans="1:13" s="1" customFormat="1">
      <c r="A13" s="21"/>
      <c r="B13" s="39" t="s">
        <v>25</v>
      </c>
      <c r="C13" s="22"/>
      <c r="D13" s="23"/>
      <c r="E13" s="24"/>
      <c r="F13" s="24"/>
      <c r="G13" s="27">
        <f>SUM(G10:G12)</f>
        <v>18.546095306309052</v>
      </c>
      <c r="H13" s="25" t="s">
        <v>30</v>
      </c>
      <c r="I13" s="26">
        <v>181.17</v>
      </c>
      <c r="J13" s="27">
        <f>G13*I13</f>
        <v>3359.9960866440106</v>
      </c>
      <c r="K13" s="24"/>
    </row>
    <row r="14" spans="1:13" s="1" customFormat="1">
      <c r="A14" s="21"/>
      <c r="B14" s="39" t="s">
        <v>33</v>
      </c>
      <c r="C14" s="22"/>
      <c r="D14" s="23"/>
      <c r="E14" s="24"/>
      <c r="F14" s="24"/>
      <c r="G14" s="27"/>
      <c r="H14" s="25"/>
      <c r="I14" s="26"/>
      <c r="J14" s="27">
        <f>0.13*G13*(1871.42/18.94)</f>
        <v>238.2248879702891</v>
      </c>
      <c r="K14" s="24"/>
    </row>
    <row r="15" spans="1:13" s="1" customFormat="1" ht="15">
      <c r="A15" s="21"/>
      <c r="B15" s="37"/>
      <c r="C15" s="22"/>
      <c r="D15" s="23"/>
      <c r="E15" s="24"/>
      <c r="F15" s="24"/>
      <c r="G15" s="28"/>
      <c r="H15" s="25"/>
      <c r="I15" s="26"/>
      <c r="J15" s="27"/>
      <c r="K15" s="24"/>
    </row>
    <row r="16" spans="1:13" s="1" customFormat="1" ht="30">
      <c r="A16" s="38">
        <v>2</v>
      </c>
      <c r="B16" s="74" t="s">
        <v>66</v>
      </c>
      <c r="C16" s="40"/>
      <c r="D16" s="10"/>
      <c r="E16" s="10"/>
      <c r="F16" s="10"/>
      <c r="G16" s="36"/>
      <c r="H16" s="27"/>
      <c r="I16" s="27"/>
      <c r="J16" s="27"/>
      <c r="K16" s="11"/>
      <c r="M16" s="12"/>
    </row>
    <row r="17" spans="1:15" s="1" customFormat="1">
      <c r="A17" s="38"/>
      <c r="B17" s="39"/>
      <c r="C17" s="40">
        <v>5</v>
      </c>
      <c r="D17" s="10">
        <f>8/3.281</f>
        <v>2.4382810118866196</v>
      </c>
      <c r="E17" s="10">
        <f>2.17/3.281</f>
        <v>0.66138372447424565</v>
      </c>
      <c r="F17" s="10"/>
      <c r="G17" s="36">
        <f>PRODUCT(C17:F17)</f>
        <v>8.063196884782025</v>
      </c>
      <c r="H17" s="27"/>
      <c r="I17" s="27"/>
      <c r="J17" s="27"/>
      <c r="K17" s="11"/>
      <c r="M17" s="12"/>
    </row>
    <row r="18" spans="1:15" s="1" customFormat="1">
      <c r="A18" s="21"/>
      <c r="B18" s="39" t="s">
        <v>25</v>
      </c>
      <c r="C18" s="22"/>
      <c r="D18" s="23"/>
      <c r="E18" s="24"/>
      <c r="F18" s="24"/>
      <c r="G18" s="27">
        <f>SUM(G17:G17)</f>
        <v>8.063196884782025</v>
      </c>
      <c r="H18" s="25" t="s">
        <v>31</v>
      </c>
      <c r="I18" s="26">
        <f>Sheet1!H10/10</f>
        <v>249.75</v>
      </c>
      <c r="J18" s="27">
        <f>G18*I18</f>
        <v>2013.7834219743108</v>
      </c>
      <c r="K18" s="24"/>
    </row>
    <row r="19" spans="1:15" s="1" customFormat="1">
      <c r="A19" s="21"/>
      <c r="B19" s="39" t="s">
        <v>33</v>
      </c>
      <c r="C19" s="22"/>
      <c r="D19" s="23"/>
      <c r="E19" s="24"/>
      <c r="F19" s="24"/>
      <c r="G19" s="27"/>
      <c r="H19" s="25"/>
      <c r="I19" s="26"/>
      <c r="J19" s="27">
        <f>0.13*G18*5298.54/10</f>
        <v>555.40122588460849</v>
      </c>
      <c r="K19" s="24"/>
    </row>
    <row r="20" spans="1:15" s="1" customFormat="1">
      <c r="A20" s="21"/>
      <c r="B20" s="39"/>
      <c r="C20" s="22"/>
      <c r="D20" s="23"/>
      <c r="E20" s="24"/>
      <c r="F20" s="24"/>
      <c r="G20" s="27"/>
      <c r="H20" s="25"/>
      <c r="I20" s="26"/>
      <c r="J20" s="27"/>
      <c r="K20" s="24"/>
    </row>
    <row r="21" spans="1:15" s="1" customFormat="1" ht="30">
      <c r="A21" s="21">
        <v>3</v>
      </c>
      <c r="B21" s="37" t="s">
        <v>34</v>
      </c>
      <c r="C21" s="22"/>
      <c r="D21" s="23"/>
      <c r="E21" s="24"/>
      <c r="F21" s="24"/>
      <c r="G21" s="27"/>
      <c r="H21" s="25"/>
      <c r="I21" s="26"/>
      <c r="J21" s="27"/>
      <c r="K21" s="24"/>
    </row>
    <row r="22" spans="1:15" s="1" customFormat="1">
      <c r="A22" s="21"/>
      <c r="B22" s="39" t="s">
        <v>67</v>
      </c>
      <c r="C22" s="22">
        <v>1</v>
      </c>
      <c r="D22" s="23">
        <v>4.5</v>
      </c>
      <c r="E22" s="24">
        <f>10/3.281</f>
        <v>3.047851264858275</v>
      </c>
      <c r="F22" s="24">
        <v>0.15</v>
      </c>
      <c r="G22" s="36">
        <f t="shared" ref="G22" si="2">PRODUCT(C22:F22)</f>
        <v>2.0572996037793354</v>
      </c>
      <c r="H22" s="25"/>
      <c r="I22" s="26"/>
      <c r="J22" s="27"/>
      <c r="K22" s="24"/>
    </row>
    <row r="23" spans="1:15" s="1" customFormat="1">
      <c r="A23" s="21"/>
      <c r="B23" s="39" t="s">
        <v>25</v>
      </c>
      <c r="C23" s="22"/>
      <c r="D23" s="23"/>
      <c r="E23" s="24"/>
      <c r="F23" s="24"/>
      <c r="G23" s="27">
        <f>SUM(G22:G22)</f>
        <v>2.0572996037793354</v>
      </c>
      <c r="H23" s="25" t="s">
        <v>36</v>
      </c>
      <c r="I23" s="26">
        <v>663.31</v>
      </c>
      <c r="J23" s="27">
        <f>G23*I23</f>
        <v>1364.6274001828708</v>
      </c>
      <c r="K23" s="24"/>
    </row>
    <row r="24" spans="1:15" s="1" customFormat="1">
      <c r="A24" s="21"/>
      <c r="B24" s="39"/>
      <c r="C24" s="22"/>
      <c r="D24" s="23"/>
      <c r="E24" s="24"/>
      <c r="F24" s="24"/>
      <c r="G24" s="27"/>
      <c r="H24" s="25"/>
      <c r="I24" s="26"/>
      <c r="J24" s="27"/>
      <c r="K24" s="24"/>
    </row>
    <row r="25" spans="1:15" s="1" customFormat="1" ht="30">
      <c r="A25" s="21">
        <v>4</v>
      </c>
      <c r="B25" s="74" t="s">
        <v>70</v>
      </c>
      <c r="C25" s="22"/>
      <c r="D25" s="23"/>
      <c r="E25" s="24"/>
      <c r="F25" s="24"/>
      <c r="G25" s="27"/>
      <c r="H25" s="25"/>
      <c r="I25" s="26"/>
      <c r="J25" s="27"/>
      <c r="K25" s="24"/>
    </row>
    <row r="26" spans="1:15" s="1" customFormat="1">
      <c r="A26" s="21"/>
      <c r="B26" s="39" t="str">
        <f>B22</f>
        <v>-for passage flooring</v>
      </c>
      <c r="C26" s="22">
        <f>C22</f>
        <v>1</v>
      </c>
      <c r="D26" s="23">
        <f>D22</f>
        <v>4.5</v>
      </c>
      <c r="E26" s="24">
        <f>10/3.281</f>
        <v>3.047851264858275</v>
      </c>
      <c r="F26" s="24">
        <v>0.15</v>
      </c>
      <c r="G26" s="36">
        <f t="shared" ref="G26" si="3">PRODUCT(C26:F26)</f>
        <v>2.0572996037793354</v>
      </c>
      <c r="H26" s="25"/>
      <c r="I26" s="26"/>
      <c r="J26" s="27"/>
      <c r="K26" s="24"/>
    </row>
    <row r="27" spans="1:15" s="1" customFormat="1">
      <c r="A27" s="21"/>
      <c r="B27" s="39" t="s">
        <v>25</v>
      </c>
      <c r="C27" s="22"/>
      <c r="D27" s="23"/>
      <c r="E27" s="24"/>
      <c r="F27" s="24"/>
      <c r="G27" s="27">
        <f>SUM(G26:G26)</f>
        <v>2.0572996037793354</v>
      </c>
      <c r="H27" s="25" t="s">
        <v>31</v>
      </c>
      <c r="I27" s="26">
        <v>4473.1499999999996</v>
      </c>
      <c r="J27" s="27">
        <f>G27*I27</f>
        <v>9202.6097226455331</v>
      </c>
      <c r="K27" s="24"/>
    </row>
    <row r="28" spans="1:15" s="1" customFormat="1">
      <c r="A28" s="21"/>
      <c r="B28" s="39" t="s">
        <v>33</v>
      </c>
      <c r="C28" s="22"/>
      <c r="D28" s="23"/>
      <c r="E28" s="24"/>
      <c r="F28" s="24"/>
      <c r="G28" s="27"/>
      <c r="H28" s="25"/>
      <c r="I28" s="26"/>
      <c r="J28" s="27">
        <f>0.13*G27*3093.15</f>
        <v>827.25971502590676</v>
      </c>
      <c r="K28" s="24"/>
      <c r="M28" s="1">
        <f>4434</f>
        <v>4434</v>
      </c>
      <c r="N28" s="1" t="e">
        <f>(PRODUCT(#REF!))*0.15+(PRODUCT(#REF!))*0.15+(PRODUCT(C26:E26))*0.15</f>
        <v>#REF!</v>
      </c>
      <c r="O28" s="1" t="e">
        <f>N28*M28</f>
        <v>#REF!</v>
      </c>
    </row>
    <row r="29" spans="1:15" s="1" customFormat="1">
      <c r="A29" s="21"/>
      <c r="B29" s="39"/>
      <c r="C29" s="22"/>
      <c r="D29" s="23"/>
      <c r="E29" s="24"/>
      <c r="F29" s="24"/>
      <c r="G29" s="27"/>
      <c r="H29" s="25"/>
      <c r="I29" s="26"/>
      <c r="J29" s="27"/>
      <c r="K29" s="24"/>
    </row>
    <row r="30" spans="1:15" s="1" customFormat="1" ht="30">
      <c r="A30" s="21">
        <v>5</v>
      </c>
      <c r="B30" s="37" t="s">
        <v>37</v>
      </c>
      <c r="C30" s="22"/>
      <c r="D30" s="23"/>
      <c r="E30" s="24"/>
      <c r="F30" s="24"/>
      <c r="G30" s="27"/>
      <c r="H30" s="25"/>
      <c r="I30" s="26"/>
      <c r="J30" s="27"/>
      <c r="K30" s="24"/>
    </row>
    <row r="31" spans="1:15" s="1" customFormat="1">
      <c r="A31" s="21"/>
      <c r="B31" s="39" t="s">
        <v>35</v>
      </c>
      <c r="C31" s="22">
        <v>1</v>
      </c>
      <c r="D31" s="23">
        <f>11/3.281</f>
        <v>3.3526363913441024</v>
      </c>
      <c r="E31" s="24">
        <f>8.25/3.281</f>
        <v>2.5144772935080768</v>
      </c>
      <c r="F31" s="24">
        <v>5.5E-2</v>
      </c>
      <c r="G31" s="36">
        <f>PRODUCT(C31:F31)</f>
        <v>0.46365704436829819</v>
      </c>
      <c r="H31" s="25"/>
      <c r="I31" s="26"/>
      <c r="J31" s="27"/>
      <c r="K31" s="24"/>
    </row>
    <row r="32" spans="1:15" s="1" customFormat="1">
      <c r="A32" s="21"/>
      <c r="B32" s="39"/>
      <c r="C32" s="22">
        <v>1</v>
      </c>
      <c r="D32" s="23">
        <f>14.5/3.281</f>
        <v>4.4193843340444987</v>
      </c>
      <c r="E32" s="24">
        <f>10.25/3.281</f>
        <v>3.1240475464797317</v>
      </c>
      <c r="F32" s="24">
        <v>7.4999999999999997E-2</v>
      </c>
      <c r="G32" s="36">
        <f t="shared" ref="G32:G33" si="4">PRODUCT(C32:F32)</f>
        <v>1.0354775089292008</v>
      </c>
      <c r="H32" s="25"/>
      <c r="I32" s="26"/>
      <c r="J32" s="27"/>
      <c r="K32" s="24"/>
    </row>
    <row r="33" spans="1:31" s="1" customFormat="1">
      <c r="A33" s="21"/>
      <c r="B33" s="39"/>
      <c r="C33" s="22">
        <f t="shared" ref="C33:E33" si="5">C26</f>
        <v>1</v>
      </c>
      <c r="D33" s="23">
        <f t="shared" si="5"/>
        <v>4.5</v>
      </c>
      <c r="E33" s="24">
        <f t="shared" si="5"/>
        <v>3.047851264858275</v>
      </c>
      <c r="F33" s="24">
        <v>7.4999999999999997E-2</v>
      </c>
      <c r="G33" s="36">
        <f t="shared" si="4"/>
        <v>1.0286498018896677</v>
      </c>
      <c r="H33" s="25"/>
      <c r="I33" s="26"/>
      <c r="J33" s="27"/>
      <c r="K33" s="24"/>
    </row>
    <row r="34" spans="1:31" s="1" customFormat="1">
      <c r="A34" s="21"/>
      <c r="B34" s="39" t="s">
        <v>25</v>
      </c>
      <c r="C34" s="22"/>
      <c r="D34" s="23"/>
      <c r="E34" s="24"/>
      <c r="F34" s="24"/>
      <c r="G34" s="27">
        <f>SUM(G31:G33)</f>
        <v>2.5277843551871664</v>
      </c>
      <c r="H34" s="25" t="s">
        <v>36</v>
      </c>
      <c r="I34" s="26">
        <v>12983.1</v>
      </c>
      <c r="J34" s="27">
        <f>G34*I34</f>
        <v>32818.477061830497</v>
      </c>
      <c r="K34" s="24"/>
    </row>
    <row r="35" spans="1:31" s="1" customFormat="1">
      <c r="A35" s="21"/>
      <c r="B35" s="39" t="s">
        <v>33</v>
      </c>
      <c r="C35" s="22"/>
      <c r="D35" s="23"/>
      <c r="E35" s="24"/>
      <c r="F35" s="24"/>
      <c r="G35" s="27"/>
      <c r="H35" s="25"/>
      <c r="I35" s="26"/>
      <c r="J35" s="27">
        <f>0.13*G34*8078.11</f>
        <v>2654.5636100725301</v>
      </c>
      <c r="K35" s="24"/>
    </row>
    <row r="36" spans="1:31" s="1" customFormat="1">
      <c r="A36" s="21"/>
      <c r="B36" s="39"/>
      <c r="C36" s="22"/>
      <c r="D36" s="23"/>
      <c r="E36" s="24"/>
      <c r="F36" s="24"/>
      <c r="G36" s="27"/>
      <c r="H36" s="25"/>
      <c r="I36" s="26"/>
      <c r="J36" s="27"/>
      <c r="K36" s="24"/>
    </row>
    <row r="37" spans="1:31" s="1" customFormat="1">
      <c r="A37" s="21">
        <v>6</v>
      </c>
      <c r="B37" s="41" t="s">
        <v>32</v>
      </c>
      <c r="C37" s="22">
        <v>1</v>
      </c>
      <c r="D37" s="23"/>
      <c r="E37" s="24"/>
      <c r="F37" s="24"/>
      <c r="G37" s="36">
        <f>PRODUCT(C37:F37)</f>
        <v>1</v>
      </c>
      <c r="H37" s="25" t="s">
        <v>38</v>
      </c>
      <c r="I37" s="26">
        <v>500</v>
      </c>
      <c r="J37" s="27">
        <f>G37*I37</f>
        <v>500</v>
      </c>
      <c r="K37" s="24"/>
    </row>
    <row r="38" spans="1:31" s="1" customFormat="1">
      <c r="A38" s="21"/>
      <c r="B38" s="39"/>
      <c r="C38" s="22"/>
      <c r="D38" s="23"/>
      <c r="E38" s="24"/>
      <c r="F38" s="24"/>
      <c r="G38" s="27"/>
      <c r="H38" s="25"/>
      <c r="I38" s="26"/>
      <c r="J38" s="27"/>
      <c r="K38" s="24"/>
    </row>
    <row r="39" spans="1:31">
      <c r="A39" s="9"/>
      <c r="B39" s="20" t="s">
        <v>16</v>
      </c>
      <c r="C39" s="8"/>
      <c r="D39" s="6"/>
      <c r="E39" s="6"/>
      <c r="F39" s="6"/>
      <c r="G39" s="33"/>
      <c r="H39" s="7"/>
      <c r="I39" s="7"/>
      <c r="J39" s="7">
        <f>SUM(J10:J38)</f>
        <v>53534.943132230554</v>
      </c>
      <c r="K39" s="4"/>
      <c r="M39" s="29"/>
      <c r="P39" s="32"/>
      <c r="Q39" s="32"/>
    </row>
    <row r="40" spans="1:31">
      <c r="M40" s="29"/>
      <c r="N40" s="30"/>
      <c r="O40" s="30"/>
      <c r="P40" s="31"/>
      <c r="R40" s="30"/>
      <c r="S40" s="30"/>
      <c r="T40" s="30"/>
      <c r="U40" s="29"/>
      <c r="V40" s="29"/>
      <c r="W40" s="29"/>
      <c r="X40" s="29"/>
      <c r="Y40" s="29"/>
      <c r="Z40" s="29"/>
      <c r="AA40" s="29"/>
      <c r="AB40" s="29"/>
      <c r="AC40" s="29"/>
      <c r="AD40" s="29"/>
      <c r="AE40" s="29"/>
    </row>
    <row r="41" spans="1:31" s="1" customFormat="1">
      <c r="B41" s="11" t="s">
        <v>22</v>
      </c>
      <c r="C41" s="75">
        <f>J39</f>
        <v>53534.943132230554</v>
      </c>
      <c r="D41" s="76"/>
      <c r="E41" s="10">
        <v>100</v>
      </c>
      <c r="F41" s="12"/>
      <c r="G41" s="13"/>
      <c r="H41" s="12"/>
      <c r="I41" s="14"/>
      <c r="J41" s="15"/>
      <c r="K41" s="16"/>
      <c r="M41" s="12"/>
      <c r="N41" s="30"/>
      <c r="O41" s="30"/>
      <c r="P41" s="30"/>
      <c r="Q41" s="30"/>
      <c r="R41" s="30"/>
      <c r="S41" s="30"/>
      <c r="T41" s="30"/>
      <c r="U41" s="12"/>
      <c r="V41" s="12"/>
      <c r="W41" s="12"/>
      <c r="X41" s="12"/>
      <c r="Y41" s="12"/>
      <c r="Z41" s="12"/>
      <c r="AA41" s="12"/>
      <c r="AB41" s="12"/>
      <c r="AC41" s="12"/>
      <c r="AD41" s="12"/>
      <c r="AE41" s="12"/>
    </row>
    <row r="42" spans="1:31">
      <c r="B42" s="11" t="s">
        <v>17</v>
      </c>
      <c r="C42" s="79">
        <v>60000</v>
      </c>
      <c r="D42" s="80"/>
      <c r="E42" s="10"/>
      <c r="M42" s="29"/>
      <c r="N42" s="30"/>
      <c r="O42" s="30"/>
      <c r="P42" s="30"/>
      <c r="Q42" s="30"/>
      <c r="R42" s="30"/>
      <c r="S42" s="30"/>
      <c r="T42" s="30"/>
      <c r="U42" s="29"/>
      <c r="V42" s="29"/>
      <c r="W42" s="29"/>
      <c r="X42" s="29"/>
      <c r="Y42" s="29"/>
      <c r="Z42" s="29"/>
      <c r="AA42" s="29"/>
      <c r="AB42" s="29"/>
      <c r="AC42" s="29"/>
      <c r="AD42" s="29"/>
      <c r="AE42" s="29"/>
    </row>
    <row r="43" spans="1:31">
      <c r="B43" s="11" t="s">
        <v>18</v>
      </c>
      <c r="C43" s="79">
        <v>30000</v>
      </c>
      <c r="D43" s="80"/>
      <c r="E43" s="10">
        <f>C43/C41*100</f>
        <v>56.038165438787189</v>
      </c>
      <c r="M43" s="29"/>
      <c r="N43" s="29"/>
      <c r="O43" s="29"/>
      <c r="P43" s="29"/>
      <c r="Q43" s="29"/>
      <c r="R43" s="29"/>
      <c r="S43" s="29"/>
      <c r="T43" s="29"/>
      <c r="U43" s="29"/>
      <c r="V43" s="29"/>
      <c r="W43" s="29"/>
      <c r="X43" s="29"/>
      <c r="Y43" s="29"/>
      <c r="Z43" s="29"/>
      <c r="AA43" s="29"/>
      <c r="AB43" s="29"/>
      <c r="AC43" s="29"/>
      <c r="AD43" s="29"/>
      <c r="AE43" s="29"/>
    </row>
    <row r="44" spans="1:31">
      <c r="B44" s="11" t="s">
        <v>19</v>
      </c>
      <c r="C44" s="81">
        <f>C41-C43</f>
        <v>23534.943132230554</v>
      </c>
      <c r="D44" s="81"/>
      <c r="E44" s="10">
        <f>100-E43</f>
        <v>43.961834561212811</v>
      </c>
      <c r="M44" s="29"/>
      <c r="N44" s="29"/>
      <c r="O44" s="29"/>
      <c r="P44" s="29"/>
      <c r="Q44" s="29"/>
      <c r="R44" s="29"/>
      <c r="S44" s="29"/>
      <c r="T44" s="29"/>
      <c r="U44" s="29"/>
      <c r="V44" s="29"/>
      <c r="W44" s="29"/>
      <c r="X44" s="29"/>
      <c r="Y44" s="29"/>
      <c r="Z44" s="29"/>
      <c r="AA44" s="29"/>
      <c r="AB44" s="29"/>
      <c r="AC44" s="29"/>
      <c r="AD44" s="29"/>
      <c r="AE44" s="29"/>
    </row>
    <row r="45" spans="1:31">
      <c r="B45" s="11" t="s">
        <v>20</v>
      </c>
      <c r="C45" s="75">
        <f>C42*0.03</f>
        <v>1800</v>
      </c>
      <c r="D45" s="76"/>
      <c r="E45" s="10">
        <v>3</v>
      </c>
      <c r="M45" s="29"/>
      <c r="N45" s="29"/>
      <c r="O45" s="29"/>
      <c r="P45" s="29"/>
      <c r="Q45" s="29"/>
      <c r="R45" s="29"/>
      <c r="S45" s="29"/>
      <c r="T45" s="29"/>
      <c r="U45" s="29"/>
      <c r="V45" s="29"/>
      <c r="W45" s="29"/>
      <c r="X45" s="29"/>
      <c r="Y45" s="29"/>
      <c r="Z45" s="29"/>
      <c r="AA45" s="29"/>
      <c r="AB45" s="29"/>
      <c r="AC45" s="29"/>
      <c r="AD45" s="29"/>
      <c r="AE45" s="29"/>
    </row>
    <row r="46" spans="1:31">
      <c r="B46" s="11" t="s">
        <v>21</v>
      </c>
      <c r="C46" s="75">
        <f>C42*0.02</f>
        <v>1200</v>
      </c>
      <c r="D46" s="76"/>
      <c r="E46" s="10">
        <v>2</v>
      </c>
      <c r="M46" s="29"/>
      <c r="N46" s="29"/>
      <c r="O46" s="29"/>
      <c r="P46" s="29"/>
      <c r="Q46" s="29"/>
      <c r="R46" s="29"/>
      <c r="S46" s="29"/>
      <c r="T46" s="29"/>
      <c r="U46" s="29"/>
      <c r="V46" s="29"/>
      <c r="W46" s="29"/>
      <c r="X46" s="29"/>
      <c r="Y46" s="29"/>
      <c r="Z46" s="29"/>
      <c r="AA46" s="29"/>
      <c r="AB46" s="29"/>
      <c r="AC46" s="29"/>
      <c r="AD46" s="29"/>
      <c r="AE46" s="29"/>
    </row>
  </sheetData>
  <mergeCells count="15">
    <mergeCell ref="A6:G6"/>
    <mergeCell ref="H6:K6"/>
    <mergeCell ref="A1:K1"/>
    <mergeCell ref="A2:K2"/>
    <mergeCell ref="A3:K3"/>
    <mergeCell ref="A4:K4"/>
    <mergeCell ref="A5:K5"/>
    <mergeCell ref="C45:D45"/>
    <mergeCell ref="C46:D46"/>
    <mergeCell ref="A7:F7"/>
    <mergeCell ref="H7:K7"/>
    <mergeCell ref="C41:D41"/>
    <mergeCell ref="C42:D42"/>
    <mergeCell ref="C43:D43"/>
    <mergeCell ref="C44:D44"/>
  </mergeCells>
  <printOptions horizontalCentered="1"/>
  <pageMargins left="0.70866141732283472" right="0.70866141732283472" top="0.74803149606299213" bottom="0.74803149606299213" header="0.31496062992125984" footer="0.31496062992125984"/>
  <pageSetup paperSize="9" scale="80" orientation="portrait" horizontalDpi="300" verticalDpi="300" r:id="rId1"/>
  <headerFooter>
    <oddFooter xml:space="preserve">&amp;LPrepared By:&amp;CChecked By:&amp;RApproved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H8" sqref="H8"/>
    </sheetView>
  </sheetViews>
  <sheetFormatPr defaultColWidth="9.109375" defaultRowHeight="14.4"/>
  <cols>
    <col min="1" max="1" width="7.33203125" customWidth="1"/>
    <col min="2" max="2" width="13" customWidth="1"/>
    <col min="3" max="3" width="20.33203125" customWidth="1"/>
    <col min="4" max="4" width="10.5546875" customWidth="1"/>
    <col min="5" max="5" width="12" customWidth="1"/>
    <col min="6" max="6" width="14.33203125" customWidth="1"/>
    <col min="7" max="7" width="16.33203125" customWidth="1"/>
    <col min="8" max="8" width="15" customWidth="1"/>
    <col min="9" max="9" width="0" hidden="1" customWidth="1"/>
    <col min="12" max="12" width="16.6640625" customWidth="1"/>
  </cols>
  <sheetData>
    <row r="1" spans="1:8" s="43" customFormat="1" ht="20.100000000000001" customHeight="1">
      <c r="A1" s="42" t="e">
        <f>#REF!+1</f>
        <v>#REF!</v>
      </c>
      <c r="B1" s="87" t="s">
        <v>71</v>
      </c>
      <c r="C1" s="88"/>
      <c r="D1" s="88"/>
      <c r="E1" s="88"/>
      <c r="F1" s="88"/>
      <c r="G1" s="88"/>
      <c r="H1" s="88"/>
    </row>
    <row r="2" spans="1:8" s="43" customFormat="1" ht="20.100000000000001" customHeight="1">
      <c r="A2" s="44" t="s">
        <v>39</v>
      </c>
      <c r="B2" s="89" t="s">
        <v>40</v>
      </c>
      <c r="C2" s="90"/>
      <c r="D2" s="90"/>
      <c r="E2" s="90"/>
      <c r="F2" s="90"/>
      <c r="G2" s="90"/>
      <c r="H2" s="90"/>
    </row>
    <row r="3" spans="1:8" s="43" customFormat="1" ht="33" customHeight="1">
      <c r="B3" s="45" t="s">
        <v>41</v>
      </c>
      <c r="C3" s="45" t="s">
        <v>42</v>
      </c>
      <c r="D3" s="45" t="s">
        <v>43</v>
      </c>
      <c r="E3" s="45" t="s">
        <v>44</v>
      </c>
      <c r="F3" s="45" t="s">
        <v>45</v>
      </c>
      <c r="G3" s="45" t="s">
        <v>46</v>
      </c>
      <c r="H3" s="45" t="s">
        <v>47</v>
      </c>
    </row>
    <row r="4" spans="1:8" s="43" customFormat="1" ht="20.100000000000001" customHeight="1">
      <c r="B4" s="91" t="s">
        <v>48</v>
      </c>
      <c r="C4" s="46" t="s">
        <v>49</v>
      </c>
      <c r="D4" s="47">
        <v>1.1000000000000001</v>
      </c>
      <c r="E4" s="48" t="s">
        <v>50</v>
      </c>
      <c r="F4" s="49">
        <v>1225</v>
      </c>
      <c r="G4" s="49">
        <f t="shared" ref="G4:G9" si="0">FLOOR(D4*F4,0.01)</f>
        <v>1347.5</v>
      </c>
      <c r="H4" s="50"/>
    </row>
    <row r="5" spans="1:8" s="43" customFormat="1" ht="20.100000000000001" customHeight="1">
      <c r="B5" s="92"/>
      <c r="C5" s="51" t="s">
        <v>51</v>
      </c>
      <c r="D5" s="52">
        <v>1.25</v>
      </c>
      <c r="E5" s="51" t="s">
        <v>50</v>
      </c>
      <c r="F5" s="53">
        <v>920</v>
      </c>
      <c r="G5" s="53">
        <f t="shared" si="0"/>
        <v>1150</v>
      </c>
      <c r="H5" s="54">
        <f>SUM(G4+G5)</f>
        <v>2497.5</v>
      </c>
    </row>
    <row r="6" spans="1:8" s="43" customFormat="1" ht="16.2">
      <c r="B6" s="93" t="s">
        <v>52</v>
      </c>
      <c r="C6" s="55" t="s">
        <v>65</v>
      </c>
      <c r="D6" s="56">
        <v>12</v>
      </c>
      <c r="E6" s="57" t="s">
        <v>53</v>
      </c>
      <c r="F6" s="58">
        <f>313.4529148</f>
        <v>313.45291479999997</v>
      </c>
      <c r="G6" s="58">
        <f t="shared" si="0"/>
        <v>3761.4300000000003</v>
      </c>
      <c r="H6" s="59"/>
    </row>
    <row r="7" spans="1:8" s="43" customFormat="1" ht="16.2">
      <c r="B7" s="94"/>
      <c r="C7" s="57" t="s">
        <v>54</v>
      </c>
      <c r="D7" s="56">
        <v>30</v>
      </c>
      <c r="E7" s="57" t="s">
        <v>55</v>
      </c>
      <c r="F7" s="58">
        <v>34.130000000000003</v>
      </c>
      <c r="G7" s="58">
        <f t="shared" si="0"/>
        <v>1023.9</v>
      </c>
      <c r="H7" s="60"/>
    </row>
    <row r="8" spans="1:8" s="43" customFormat="1" ht="20.100000000000001" customHeight="1">
      <c r="B8" s="94"/>
      <c r="C8" s="57" t="s">
        <v>56</v>
      </c>
      <c r="D8" s="56">
        <v>25</v>
      </c>
      <c r="E8" s="57" t="s">
        <v>55</v>
      </c>
      <c r="F8" s="58">
        <f>'[1]update Rate'!$N$131</f>
        <v>13.928571428571429</v>
      </c>
      <c r="G8" s="58">
        <f t="shared" si="0"/>
        <v>348.21</v>
      </c>
      <c r="H8" s="60"/>
    </row>
    <row r="9" spans="1:8" s="61" customFormat="1" ht="20.100000000000001" customHeight="1">
      <c r="B9" s="95"/>
      <c r="C9" s="62" t="s">
        <v>57</v>
      </c>
      <c r="D9" s="63">
        <v>55</v>
      </c>
      <c r="E9" s="62" t="s">
        <v>55</v>
      </c>
      <c r="F9" s="64">
        <f>'[1]update Rate'!$N$132</f>
        <v>3</v>
      </c>
      <c r="G9" s="64">
        <f t="shared" si="0"/>
        <v>165</v>
      </c>
      <c r="H9" s="65">
        <f>0*SUM(G6+G7+G8+G9)</f>
        <v>0</v>
      </c>
    </row>
    <row r="10" spans="1:8" s="43" customFormat="1" ht="20.100000000000001" customHeight="1">
      <c r="F10" s="43" t="s">
        <v>58</v>
      </c>
      <c r="G10" s="66"/>
      <c r="H10" s="53">
        <f>SUM(H5:H9)</f>
        <v>2497.5</v>
      </c>
    </row>
    <row r="11" spans="1:8" s="43" customFormat="1" ht="20.100000000000001" customHeight="1">
      <c r="B11" s="67" t="s">
        <v>59</v>
      </c>
      <c r="F11" s="43" t="s">
        <v>60</v>
      </c>
      <c r="G11" s="66"/>
      <c r="H11" s="68">
        <f>FLOOR(H10*0.15,0.01)</f>
        <v>374.62</v>
      </c>
    </row>
    <row r="12" spans="1:8" s="43" customFormat="1" ht="20.100000000000001" customHeight="1">
      <c r="A12" s="69"/>
      <c r="B12" s="70">
        <f>+H12</f>
        <v>2872.12</v>
      </c>
      <c r="C12" s="69" t="s">
        <v>61</v>
      </c>
      <c r="D12" s="71">
        <f>INT(B12/B13*100)/100</f>
        <v>287.20999999999998</v>
      </c>
      <c r="E12" s="43" t="s">
        <v>62</v>
      </c>
      <c r="F12" s="43" t="s">
        <v>63</v>
      </c>
      <c r="G12" s="66"/>
      <c r="H12" s="71">
        <f>SUM(H10:H11)</f>
        <v>2872.12</v>
      </c>
    </row>
    <row r="13" spans="1:8" s="43" customFormat="1" ht="20.100000000000001" customHeight="1">
      <c r="B13" s="72">
        <v>10</v>
      </c>
    </row>
    <row r="14" spans="1:8" s="43" customFormat="1" ht="15">
      <c r="A14" s="73" t="s">
        <v>64</v>
      </c>
    </row>
  </sheetData>
  <mergeCells count="4">
    <mergeCell ref="B1:H1"/>
    <mergeCell ref="B2:H2"/>
    <mergeCell ref="B4:B5"/>
    <mergeCell ref="B6:B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 per mistry</vt:lpstr>
      <vt:lpstr>Sheet1</vt:lpstr>
      <vt:lpstr>'as per mistry'!Print_Area</vt:lpstr>
      <vt:lpstr>'as per mistry'!Print_Titles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2025-01-13T05:40:48Z</cp:lastPrinted>
  <dcterms:created xsi:type="dcterms:W3CDTF">2015-06-05T18:17:20Z</dcterms:created>
  <dcterms:modified xsi:type="dcterms:W3CDTF">2025-05-22T02:29:46Z</dcterms:modified>
</cp:coreProperties>
</file>