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5" activeTab="7"/>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r:id="rId6"/>
    <sheet name="with brick" sheetId="9" state="hidden" r:id="rId7"/>
    <sheet name="V" sheetId="10" r:id="rId8"/>
  </sheets>
  <externalReferences>
    <externalReference r:id="rId9"/>
    <externalReference r:id="rId10"/>
  </externalReferences>
  <definedNames>
    <definedName name="description_103">[1]Abstract!$B$16</definedName>
    <definedName name="description_124" localSheetId="5">#REF!</definedName>
    <definedName name="description_124" localSheetId="0">#REF!</definedName>
    <definedName name="description_124" localSheetId="1">#REF!</definedName>
    <definedName name="description_124" localSheetId="2">#REF!</definedName>
    <definedName name="description_124" localSheetId="7">#REF!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0">final!$A$1:$K$272</definedName>
    <definedName name="_xlnm.Print_Area" localSheetId="1">quotation!$A$6:$K$246</definedName>
    <definedName name="_xlnm.Print_Area" localSheetId="2">'quotation (2)'!$A$6:$K$52</definedName>
    <definedName name="_xlnm.Print_Area" localSheetId="7">V!$A$1:$K$165</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0">final!$1:$8</definedName>
    <definedName name="_xlnm.Print_Titles" localSheetId="7">V!$1:$8</definedName>
    <definedName name="_xlnm.Print_Titles" localSheetId="6">'with brick'!$1:$8</definedName>
  </definedNames>
  <calcPr calcId="162913"/>
</workbook>
</file>

<file path=xl/calcChain.xml><?xml version="1.0" encoding="utf-8"?>
<calcChain xmlns="http://schemas.openxmlformats.org/spreadsheetml/2006/main">
  <c r="D146" i="10" l="1"/>
  <c r="D141" i="10"/>
  <c r="G141" i="10" s="1"/>
  <c r="F119" i="10"/>
  <c r="F113" i="10"/>
  <c r="E116" i="10"/>
  <c r="G116" i="10" s="1"/>
  <c r="E115" i="10"/>
  <c r="F115" i="10"/>
  <c r="F118" i="10"/>
  <c r="D118" i="10"/>
  <c r="F117" i="10"/>
  <c r="D117" i="10"/>
  <c r="F114" i="10"/>
  <c r="E114" i="10"/>
  <c r="E119" i="10" s="1"/>
  <c r="D111" i="10"/>
  <c r="F111" i="10"/>
  <c r="F112" i="10"/>
  <c r="D112" i="10"/>
  <c r="F110" i="10"/>
  <c r="E110" i="10"/>
  <c r="E113" i="10" s="1"/>
  <c r="I107" i="10"/>
  <c r="F106" i="10"/>
  <c r="F102" i="10"/>
  <c r="D102" i="10"/>
  <c r="F96" i="10"/>
  <c r="E96" i="10"/>
  <c r="D96" i="10"/>
  <c r="D95" i="10"/>
  <c r="E95" i="10"/>
  <c r="F95" i="10"/>
  <c r="F94" i="10"/>
  <c r="E94" i="10"/>
  <c r="D94" i="10"/>
  <c r="G94" i="10" s="1"/>
  <c r="F93" i="10"/>
  <c r="E93" i="10"/>
  <c r="D93" i="10"/>
  <c r="D92" i="10"/>
  <c r="D91" i="10"/>
  <c r="D106" i="10" s="1"/>
  <c r="D135" i="10" l="1"/>
  <c r="G135" i="10" s="1"/>
  <c r="G115" i="10"/>
  <c r="G113" i="10"/>
  <c r="G117" i="10"/>
  <c r="G118" i="10"/>
  <c r="G102" i="10"/>
  <c r="G93" i="10"/>
  <c r="G95" i="10"/>
  <c r="G96" i="10"/>
  <c r="G106" i="10"/>
  <c r="G107" i="10" s="1"/>
  <c r="J107" i="10" s="1"/>
  <c r="E71" i="10" l="1"/>
  <c r="E70" i="10"/>
  <c r="C71" i="10"/>
  <c r="C70" i="10"/>
  <c r="B70" i="10"/>
  <c r="I72" i="10"/>
  <c r="D65" i="10"/>
  <c r="D71" i="10" s="1"/>
  <c r="D64" i="10"/>
  <c r="D70" i="10" s="1"/>
  <c r="E65" i="10"/>
  <c r="F65" i="10"/>
  <c r="F64" i="10"/>
  <c r="E64" i="10"/>
  <c r="B63" i="10"/>
  <c r="B59" i="10"/>
  <c r="I77" i="10"/>
  <c r="F81" i="10"/>
  <c r="D81" i="10"/>
  <c r="G76" i="10"/>
  <c r="D63" i="10"/>
  <c r="E62" i="10"/>
  <c r="F62" i="10"/>
  <c r="D42" i="10"/>
  <c r="C42" i="10"/>
  <c r="C41" i="10"/>
  <c r="E36" i="10"/>
  <c r="G36" i="10" s="1"/>
  <c r="N36" i="10" s="1"/>
  <c r="P35" i="10"/>
  <c r="D35" i="10"/>
  <c r="E35" i="10"/>
  <c r="E33" i="10"/>
  <c r="D33" i="10"/>
  <c r="G33" i="10" s="1"/>
  <c r="N33" i="10" s="1"/>
  <c r="G70" i="10" l="1"/>
  <c r="G65" i="10"/>
  <c r="G71" i="10"/>
  <c r="G64" i="10"/>
  <c r="G35" i="10"/>
  <c r="N35" i="10" s="1"/>
  <c r="G42" i="10"/>
  <c r="N42" i="10" s="1"/>
  <c r="D41" i="10"/>
  <c r="G72" i="10" l="1"/>
  <c r="J72" i="10"/>
  <c r="D30" i="10" l="1"/>
  <c r="D29" i="10"/>
  <c r="D28" i="10"/>
  <c r="D27" i="10"/>
  <c r="D59" i="10" s="1"/>
  <c r="D26" i="10"/>
  <c r="G26" i="10" s="1"/>
  <c r="N26" i="10" s="1"/>
  <c r="M32" i="10"/>
  <c r="D25" i="10"/>
  <c r="G34" i="10"/>
  <c r="N34" i="10" s="1"/>
  <c r="D32" i="10"/>
  <c r="G32" i="10" s="1"/>
  <c r="N32" i="10" s="1"/>
  <c r="D31" i="10"/>
  <c r="G31" i="10" s="1"/>
  <c r="N31" i="10" s="1"/>
  <c r="G29" i="10" l="1"/>
  <c r="N29" i="10" s="1"/>
  <c r="D61" i="10"/>
  <c r="G28" i="10"/>
  <c r="N28" i="10" s="1"/>
  <c r="D60" i="10"/>
  <c r="G60" i="10" s="1"/>
  <c r="G30" i="10"/>
  <c r="N30" i="10" s="1"/>
  <c r="D62" i="10"/>
  <c r="G62" i="10" s="1"/>
  <c r="I37" i="10"/>
  <c r="C165" i="10"/>
  <c r="C164" i="10"/>
  <c r="G152" i="10"/>
  <c r="J152" i="10" s="1"/>
  <c r="G150" i="10"/>
  <c r="J150" i="10" s="1"/>
  <c r="I147" i="10"/>
  <c r="C146" i="10"/>
  <c r="I142" i="10"/>
  <c r="C140" i="10"/>
  <c r="I136" i="10"/>
  <c r="C134" i="10"/>
  <c r="I130" i="10"/>
  <c r="C129" i="10"/>
  <c r="I125" i="10"/>
  <c r="I120" i="10"/>
  <c r="G111" i="10"/>
  <c r="I87" i="10"/>
  <c r="I82" i="10"/>
  <c r="G75" i="10"/>
  <c r="I103" i="10"/>
  <c r="M97" i="10"/>
  <c r="I97" i="10"/>
  <c r="G92" i="10"/>
  <c r="E91" i="10"/>
  <c r="I66" i="10"/>
  <c r="F63" i="10"/>
  <c r="E63" i="10"/>
  <c r="F61" i="10"/>
  <c r="E61" i="10"/>
  <c r="E27" i="10"/>
  <c r="G59" i="10"/>
  <c r="I55" i="10"/>
  <c r="E54" i="10"/>
  <c r="D54" i="10"/>
  <c r="I50" i="10"/>
  <c r="G49" i="10"/>
  <c r="I46" i="10"/>
  <c r="G45" i="10"/>
  <c r="G46" i="10" s="1"/>
  <c r="J47" i="10" s="1"/>
  <c r="I43" i="10"/>
  <c r="G41" i="10"/>
  <c r="G25" i="10"/>
  <c r="G20" i="10"/>
  <c r="G21" i="10" s="1"/>
  <c r="J21" i="10" s="1"/>
  <c r="J22" i="10" s="1"/>
  <c r="C15" i="10"/>
  <c r="I11" i="10"/>
  <c r="E10" i="10"/>
  <c r="D10" i="10"/>
  <c r="G10" i="10" l="1"/>
  <c r="G11" i="10" s="1"/>
  <c r="J12" i="10" s="1"/>
  <c r="G101" i="10"/>
  <c r="G43" i="10"/>
  <c r="N43" i="10" s="1"/>
  <c r="G77" i="10"/>
  <c r="J77" i="10" s="1"/>
  <c r="J50" i="10"/>
  <c r="G91" i="10"/>
  <c r="G97" i="10" s="1"/>
  <c r="G63" i="10"/>
  <c r="G61" i="10"/>
  <c r="C162" i="10"/>
  <c r="G112" i="10"/>
  <c r="G86" i="10"/>
  <c r="G87" i="10" s="1"/>
  <c r="J87" i="10" s="1"/>
  <c r="G119" i="10"/>
  <c r="G110" i="10"/>
  <c r="G81" i="10"/>
  <c r="G54" i="10"/>
  <c r="G114" i="10"/>
  <c r="N41" i="10"/>
  <c r="N25" i="10"/>
  <c r="J46" i="10"/>
  <c r="D15" i="10"/>
  <c r="G15" i="10" s="1"/>
  <c r="G16" i="10" s="1"/>
  <c r="G27" i="10"/>
  <c r="N27" i="10" s="1"/>
  <c r="D124" i="10"/>
  <c r="G50" i="10"/>
  <c r="J51"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G120" i="10" l="1"/>
  <c r="J121" i="10" s="1"/>
  <c r="G103" i="10"/>
  <c r="J103" i="10" s="1"/>
  <c r="J98" i="10"/>
  <c r="J11" i="10"/>
  <c r="G66" i="10"/>
  <c r="J43" i="10"/>
  <c r="G55" i="10"/>
  <c r="J56" i="10" s="1"/>
  <c r="J78" i="10"/>
  <c r="G82" i="10"/>
  <c r="J83" i="10" s="1"/>
  <c r="G37" i="10"/>
  <c r="J38" i="10" s="1"/>
  <c r="J88" i="10"/>
  <c r="J16" i="10"/>
  <c r="J17" i="10"/>
  <c r="J67" i="10"/>
  <c r="J66" i="10"/>
  <c r="G124" i="10"/>
  <c r="G125" i="10" s="1"/>
  <c r="D129" i="10"/>
  <c r="D134" i="10" s="1"/>
  <c r="D140" i="10" s="1"/>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J97" i="10" l="1"/>
  <c r="J82" i="10"/>
  <c r="J55" i="10"/>
  <c r="J120" i="10"/>
  <c r="J37" i="10"/>
  <c r="G129" i="10"/>
  <c r="G130" i="10" s="1"/>
  <c r="J126" i="10"/>
  <c r="J125"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31" i="10" l="1"/>
  <c r="J130" i="10"/>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G134" i="10" l="1"/>
  <c r="G136" i="10" s="1"/>
  <c r="J30" i="9"/>
  <c r="J114" i="9"/>
  <c r="J115" i="9"/>
  <c r="D124" i="9"/>
  <c r="G118" i="9"/>
  <c r="G120" i="9" s="1"/>
  <c r="J93" i="8"/>
  <c r="J94" i="8"/>
  <c r="G88" i="8"/>
  <c r="J89" i="8" s="1"/>
  <c r="J56" i="8"/>
  <c r="J80" i="8"/>
  <c r="G62" i="8"/>
  <c r="G63" i="8" s="1"/>
  <c r="J64" i="8" s="1"/>
  <c r="G28" i="8"/>
  <c r="G26" i="8"/>
  <c r="G71" i="8"/>
  <c r="J71" i="8" s="1"/>
  <c r="J17" i="8"/>
  <c r="J16" i="8"/>
  <c r="J137" i="10" l="1"/>
  <c r="J136" i="10"/>
  <c r="G146" i="10"/>
  <c r="G147" i="10" s="1"/>
  <c r="J121" i="9"/>
  <c r="J120" i="9"/>
  <c r="D155" i="9"/>
  <c r="D130" i="9"/>
  <c r="G130" i="9" s="1"/>
  <c r="G131" i="9" s="1"/>
  <c r="G124" i="9"/>
  <c r="J88" i="8"/>
  <c r="G29" i="8"/>
  <c r="J30" i="8" s="1"/>
  <c r="J72" i="8"/>
  <c r="J63" i="8"/>
  <c r="J147" i="10" l="1"/>
  <c r="J148" i="10"/>
  <c r="J127" i="9"/>
  <c r="J126" i="9"/>
  <c r="J132" i="9"/>
  <c r="J131" i="9"/>
  <c r="D135" i="9"/>
  <c r="G155" i="9"/>
  <c r="G156" i="9" s="1"/>
  <c r="J29" i="8"/>
  <c r="D140" i="9" l="1"/>
  <c r="G135" i="9"/>
  <c r="G136" i="9" s="1"/>
  <c r="J157" i="9"/>
  <c r="J156" i="9"/>
  <c r="C102" i="8"/>
  <c r="C103" i="8" s="1"/>
  <c r="C104" i="8" s="1"/>
  <c r="C106" i="8"/>
  <c r="G140" i="10" l="1"/>
  <c r="G142" i="10" s="1"/>
  <c r="J137" i="9"/>
  <c r="J136" i="9"/>
  <c r="D145" i="9"/>
  <c r="G140" i="9"/>
  <c r="G141" i="9" s="1"/>
  <c r="C109" i="8"/>
  <c r="E108" i="8"/>
  <c r="E109" i="8" s="1"/>
  <c r="J143" i="10" l="1"/>
  <c r="J142" i="10"/>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J154" i="10" l="1"/>
  <c r="C156" i="10" s="1"/>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60" i="10" l="1"/>
  <c r="C163" i="10" s="1"/>
  <c r="C157" i="10"/>
  <c r="C158"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E162" i="10" l="1"/>
  <c r="E163" i="10" s="1"/>
  <c r="C166" i="9"/>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<sst xmlns="http://schemas.openxmlformats.org/spreadsheetml/2006/main" count="1189" uniqueCount="163">
  <si>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</si>
  <si>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</si>
  <si>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</si>
  <si>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</si>
  <si>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</si>
  <si>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</si>
  <si>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</si>
  <si>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</si>
  <si>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</si>
  <si>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</si>
  <si>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</si>
  <si>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</si>
  <si>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</si>
  <si>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</si>
  <si>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</si>
  <si>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</si>
  <si>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</si>
  <si>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</si>
  <si>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</si>
  <si>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</si>
  <si>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</si>
  <si>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</si>
  <si>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</si>
  <si>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</si>
  <si>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</si>
  <si>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</si>
  <si>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</si>
  <si>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</si>
  <si>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</si>
  <si>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</si>
  <si>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</si>
  <si>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</si>
  <si>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</si>
  <si>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</si>
  <si>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</si>
  <si>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</si>
  <si>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</si>
  <si>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</si>
  <si>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</si>
  <si>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</si>
  <si>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</si>
  <si>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</si>
  <si>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</si>
  <si>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</si>
  <si>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</si>
  <si>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</si>
  <si>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</si>
  <si>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</si>
  <si>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</si>
  <si>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</si>
  <si>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</si>
  <si>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</si>
  <si>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</si>
  <si>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</si>
  <si>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</si>
  <si>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</si>
  <si>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</si>
  <si>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</si>
  <si>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</si>
  <si>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</si>
  <si>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</si>
  <si>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</si>
  <si>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</si>
  <si>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</si>
  <si>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</si>
  <si>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</si>
  <si>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</si>
  <si>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</si>
  <si>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</si>
  <si>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</si>
  <si>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</si>
  <si>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</si>
  <si>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</si>
  <si>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</si>
  <si>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</si>
  <si>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</si>
  <si>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</si>
  <si>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</si>
  <si>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</si>
  <si>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</si>
  <si>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</si>
  <si>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</si>
  <si>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</si>
  <si>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</si>
  <si>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</si>
  <si>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</si>
  <si>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</si>
  <si>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</si>
  <si>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</si>
  <si>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</si>
  <si>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</si>
  <si>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</si>
  <si>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</si>
  <si>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</si>
  <si>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</si>
  <si>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</si>
  <si>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</si>
  <si>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</si>
  <si>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</si>
  <si>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</si>
  <si>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</si>
  <si>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</si>
  <si>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</si>
  <si>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</si>
  <si>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</si>
  <si>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</si>
  <si>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</si>
  <si>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</si>
  <si>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</si>
  <si>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</si>
  <si>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</si>
  <si>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</si>
  <si>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</si>
  <si>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</si>
  <si>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</si>
  <si>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</si>
  <si>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</si>
  <si>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</si>
  <si>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</si>
  <si>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</si>
  <si>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</si>
  <si>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</si>
  <si>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</si>
  <si>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</si>
  <si>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</si>
  <si>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</si>
  <si>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</si>
  <si>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</si>
  <si>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</si>
  <si>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</si>
  <si>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</si>
  <si>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</si>
  <si>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</si>
  <si>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</si>
  <si>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</si>
  <si>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</si>
  <si>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</si>
  <si>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</si>
  <si>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</si>
  <si>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</si>
  <si>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</si>
  <si>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</si>
  <si>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</si>
  <si>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</si>
  <si>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</si>
  <si>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</si>
  <si>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</si>
  <si>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</si>
  <si>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</si>
  <si>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-Front roof</t>
  </si>
  <si>
    <t>-Back roof</t>
  </si>
  <si>
    <t>-ridge</t>
  </si>
  <si>
    <t>-Ridge part/bhangi</t>
  </si>
  <si>
    <t>-eaves</t>
  </si>
  <si>
    <t>20/22/26 gauge 6"/8" copper/brass sheet Eaves/jhaller &amp; butta making(labour cost only)</t>
  </si>
  <si>
    <t>Window carving (except lattice jali) including wood</t>
  </si>
  <si>
    <t>-deduction for lattice jali</t>
  </si>
  <si>
    <t>-Tundal</t>
  </si>
  <si>
    <t>Carved Tundal work excluding wood</t>
  </si>
  <si>
    <t>-deduction for khapa works</t>
  </si>
  <si>
    <t>-khapa works</t>
  </si>
  <si>
    <t>-deduction for window opening</t>
  </si>
  <si>
    <t>-Deduction for bell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</si>
</sst>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sz val="11"/>
      <color rgb="FFFF0000"/>
      <name val="Times New Roman"/>
      <family val="1"/>
    </font>
    <font>
      <b/>
      <sz val="12"/>
      <color rgb="FF00B05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4">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23" fillId="0" borderId="1" xfId="0" quotePrefix="1" applyFont="1" applyBorder="1" applyAlignment="1">
      <alignment wrapText="1"/>
    </xf>
    <xf numFmtId="165"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5"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xf>
    <xf numFmtId="1" fontId="23" fillId="0" borderId="1" xfId="0" quotePrefix="1" applyNumberFormat="1" applyFont="1" applyBorder="1" applyAlignment="1">
      <alignment horizontal="right" wrapText="1"/>
    </xf>
    <xf numFmtId="0" fontId="27" fillId="2" borderId="1" xfId="0" applyFont="1" applyFill="1" applyBorder="1" applyAlignment="1">
      <alignment wrapText="1"/>
    </xf>
    <xf numFmtId="0" fontId="2" fillId="0" borderId="1" xfId="0" quotePrefix="1" applyFont="1" applyBorder="1" applyAlignment="1">
      <alignment wrapText="1"/>
    </xf>
    <xf numFmtId="1" fontId="28" fillId="0" borderId="1" xfId="0" quotePrefix="1" applyNumberFormat="1" applyFont="1" applyFill="1" applyBorder="1" applyAlignment="1">
      <alignment horizontal="right" vertical="center" wrapText="1"/>
    </xf>
    <xf numFmtId="1" fontId="26" fillId="0" borderId="1" xfId="0" applyNumberFormat="1" applyFont="1" applyFill="1" applyBorder="1" applyAlignment="1">
      <alignment vertical="center"/>
    </xf>
    <xf numFmtId="0" fontId="29" fillId="2" borderId="1" xfId="0" applyFont="1" applyFill="1" applyBorder="1" applyAlignment="1">
      <alignment wrapText="1"/>
    </xf>
    <xf numFmtId="0" fontId="23" fillId="0" borderId="1" xfId="0" applyFont="1" applyBorder="1"/>
    <xf numFmtId="0" fontId="24" fillId="0" borderId="1" xfId="0" applyFont="1" applyBorder="1"/>
    <xf numFmtId="165" fontId="28" fillId="0" borderId="1" xfId="0" applyNumberFormat="1" applyFont="1" applyFill="1" applyBorder="1" applyAlignment="1">
      <alignment vertical="center"/>
    </xf>
    <xf numFmtId="2" fontId="28" fillId="0" borderId="1" xfId="1" applyNumberFormat="1" applyFont="1" applyFill="1" applyBorder="1" applyAlignment="1">
      <alignment vertical="center"/>
    </xf>
    <xf numFmtId="2" fontId="28" fillId="0" borderId="1" xfId="0" applyNumberFormat="1" applyFont="1" applyFill="1" applyBorder="1" applyAlignment="1">
      <alignment vertical="center"/>
    </xf>
    <xf numFmtId="2" fontId="17" fillId="0" borderId="1" xfId="0" applyNumberFormat="1"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06" t="s">
        <v>0</v>
      </c>
      <c r="B1" s="106"/>
      <c r="C1" s="106"/>
      <c r="D1" s="106"/>
      <c r="E1" s="106"/>
      <c r="F1" s="106"/>
      <c r="G1" s="106"/>
      <c r="H1" s="106"/>
      <c r="I1" s="106"/>
      <c r="J1" s="106"/>
      <c r="K1" s="106"/>
    </row>
    <row r="2" spans="1:14" s="1" customFormat="1" ht="22.8" x14ac:dyDescent="0.3">
      <c r="A2" s="107" t="s">
        <v>1</v>
      </c>
      <c r="B2" s="107"/>
      <c r="C2" s="107"/>
      <c r="D2" s="107"/>
      <c r="E2" s="107"/>
      <c r="F2" s="107"/>
      <c r="G2" s="107"/>
      <c r="H2" s="107"/>
      <c r="I2" s="107"/>
      <c r="J2" s="107"/>
      <c r="K2" s="107"/>
    </row>
    <row r="3" spans="1:14" s="1" customFormat="1" x14ac:dyDescent="0.3">
      <c r="A3" s="108" t="s">
        <v>2</v>
      </c>
      <c r="B3" s="108"/>
      <c r="C3" s="108"/>
      <c r="D3" s="108"/>
      <c r="E3" s="108"/>
      <c r="F3" s="108"/>
      <c r="G3" s="108"/>
      <c r="H3" s="108"/>
      <c r="I3" s="108"/>
      <c r="J3" s="108"/>
      <c r="K3" s="108"/>
    </row>
    <row r="4" spans="1:14" s="1" customFormat="1" x14ac:dyDescent="0.3">
      <c r="A4" s="108" t="s">
        <v>3</v>
      </c>
      <c r="B4" s="108"/>
      <c r="C4" s="108"/>
      <c r="D4" s="108"/>
      <c r="E4" s="108"/>
      <c r="F4" s="108"/>
      <c r="G4" s="108"/>
      <c r="H4" s="108"/>
      <c r="I4" s="108"/>
      <c r="J4" s="108"/>
      <c r="K4" s="108"/>
    </row>
    <row r="5" spans="1:14" ht="17.399999999999999" x14ac:dyDescent="0.3">
      <c r="A5" s="109" t="s">
        <v>4</v>
      </c>
      <c r="B5" s="109"/>
      <c r="C5" s="109"/>
      <c r="D5" s="109"/>
      <c r="E5" s="109"/>
      <c r="F5" s="109"/>
      <c r="G5" s="109"/>
      <c r="H5" s="109"/>
      <c r="I5" s="109"/>
      <c r="J5" s="109"/>
      <c r="K5" s="109"/>
    </row>
    <row r="6" spans="1:14" ht="15.6" x14ac:dyDescent="0.3">
      <c r="A6" s="105" t="s">
        <v>5</v>
      </c>
      <c r="B6" s="105"/>
      <c r="C6" s="105"/>
      <c r="D6" s="105"/>
      <c r="E6" s="105"/>
      <c r="F6" s="105"/>
      <c r="G6" s="2"/>
      <c r="H6" s="101" t="s">
        <v>6</v>
      </c>
      <c r="I6" s="101"/>
      <c r="J6" s="101"/>
      <c r="K6" s="101"/>
    </row>
    <row r="7" spans="1:14" ht="15.6" x14ac:dyDescent="0.3">
      <c r="A7" s="100" t="s">
        <v>7</v>
      </c>
      <c r="B7" s="100"/>
      <c r="C7" s="100"/>
      <c r="D7" s="100"/>
      <c r="E7" s="100"/>
      <c r="F7" s="100"/>
      <c r="G7" s="3"/>
      <c r="H7" s="101" t="s">
        <v>8</v>
      </c>
      <c r="I7" s="101"/>
      <c r="J7" s="101"/>
      <c r="K7" s="101"/>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PRODUCT(C36:E36)</f>
        <v>8.6694435978190914</v>
      </c>
      <c r="G36" s="44">
        <f>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PRODUCT(C37:E37)</f>
        <v>15.351417250838159</v>
      </c>
      <c r="G37" s="44">
        <f>F37/1000</f>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PRODUCT(C38:E38)</f>
        <v>2.1471321977265285</v>
      </c>
      <c r="G38" s="44">
        <f>F38/1000</f>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PRODUCT(C39:E39)</f>
        <v>82.783794461941355</v>
      </c>
      <c r="G39" s="44">
        <f>F39/1000</f>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PRODUCT(C40:E40)</f>
        <v>81.55441919619507</v>
      </c>
      <c r="G40" s="44">
        <f>F40/1000</f>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0">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0"/>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0"/>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0"/>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0"/>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0"/>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1">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1"/>
        <v>-0.16531002759787056</v>
      </c>
      <c r="H71" s="50"/>
      <c r="I71" s="50"/>
      <c r="J71" s="51"/>
      <c r="K71" s="52"/>
    </row>
    <row r="72" spans="1:14" s="53" customFormat="1" ht="15" customHeight="1" x14ac:dyDescent="0.3">
      <c r="A72" s="47"/>
      <c r="B72" s="48" t="s">
        <v>60</v>
      </c>
      <c r="C72" s="49">
        <v>2</v>
      </c>
      <c r="D72" s="50">
        <f>2.6</f>
        <v>2.6</v>
      </c>
      <c r="E72" s="50"/>
      <c r="F72" s="50">
        <f>2.6</f>
        <v>2.6</v>
      </c>
      <c r="G72" s="50">
        <f t="shared" si="1"/>
        <v>13.520000000000001</v>
      </c>
      <c r="H72" s="50"/>
      <c r="I72" s="50"/>
      <c r="J72" s="51"/>
      <c r="K72" s="52"/>
    </row>
    <row r="73" spans="1:14" s="53" customFormat="1" ht="15" customHeight="1" x14ac:dyDescent="0.3">
      <c r="A73" s="47"/>
      <c r="B73" s="48"/>
      <c r="C73" s="49">
        <v>2</v>
      </c>
      <c r="D73" s="50">
        <f>6.2-D72</f>
        <v>3.6</v>
      </c>
      <c r="E73" s="50"/>
      <c r="F73" s="50">
        <f>2.6</f>
        <v>2.6</v>
      </c>
      <c r="G73" s="50">
        <f t="shared" si="1"/>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1"/>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1"/>
        <v>2.948796098750381</v>
      </c>
      <c r="H75" s="50"/>
      <c r="I75" s="50"/>
      <c r="J75" s="51"/>
      <c r="K75" s="52"/>
    </row>
    <row r="76" spans="1:14" s="53" customFormat="1" ht="15" customHeight="1" x14ac:dyDescent="0.3">
      <c r="A76" s="47"/>
      <c r="B76" s="48"/>
      <c r="C76" s="49">
        <f>1</f>
        <v>1</v>
      </c>
      <c r="D76" s="50"/>
      <c r="E76" s="50">
        <f>E66</f>
        <v>1.752514477293508</v>
      </c>
      <c r="F76" s="50">
        <v>0.9</v>
      </c>
      <c r="G76" s="50">
        <f t="shared" si="1"/>
        <v>1.5772630295641572</v>
      </c>
      <c r="H76" s="50"/>
      <c r="I76" s="50"/>
      <c r="J76" s="51"/>
      <c r="K76" s="52"/>
    </row>
    <row r="77" spans="1:14" s="53" customFormat="1" ht="15" customHeight="1" x14ac:dyDescent="0.3">
      <c r="A77" s="47"/>
      <c r="B77" s="48" t="s">
        <v>62</v>
      </c>
      <c r="C77" s="49">
        <v>2</v>
      </c>
      <c r="D77" s="50">
        <f>D72</f>
        <v>2.6</v>
      </c>
      <c r="E77" s="50"/>
      <c r="F77" s="50">
        <v>0.9</v>
      </c>
      <c r="G77" s="50">
        <f t="shared" si="1"/>
        <v>4.6800000000000006</v>
      </c>
      <c r="H77" s="50"/>
      <c r="I77" s="50"/>
      <c r="J77" s="51"/>
      <c r="K77" s="52"/>
    </row>
    <row r="78" spans="1:14" s="53" customFormat="1" ht="15" customHeight="1" x14ac:dyDescent="0.3">
      <c r="A78" s="47"/>
      <c r="B78" s="48"/>
      <c r="C78" s="49">
        <v>2</v>
      </c>
      <c r="D78" s="50"/>
      <c r="E78" s="50">
        <v>6.2</v>
      </c>
      <c r="F78" s="50">
        <v>0.9</v>
      </c>
      <c r="G78" s="50">
        <f t="shared" si="1"/>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1"/>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1"/>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1"/>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1"/>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PRODUCT(C100:F100)</f>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PRODUCT(C101:F101)</f>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PRODUCT(C108:F108)</f>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PRODUCT(C109:F109)</f>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2">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2"/>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2"/>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2"/>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2"/>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2"/>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2"/>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3">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3"/>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3"/>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3"/>
        <v>2.0001523925632425E-2</v>
      </c>
      <c r="H195" s="45"/>
      <c r="I195" s="45"/>
      <c r="J195" s="39"/>
      <c r="K195" s="30"/>
    </row>
    <row r="196" spans="1:14" x14ac:dyDescent="0.3">
      <c r="A196" s="25"/>
      <c r="B196" s="22"/>
      <c r="C196" s="26">
        <v>2</v>
      </c>
      <c r="D196" s="17">
        <f>4.5/3.281</f>
        <v>1.3715330691862238</v>
      </c>
      <c r="E196" s="17">
        <v>7.4999999999999997E-2</v>
      </c>
      <c r="F196" s="17">
        <v>0.125</v>
      </c>
      <c r="G196" s="17">
        <f t="shared" si="3"/>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3"/>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98">
        <f>J265</f>
        <v>1886794.504041455</v>
      </c>
      <c r="D267" s="99"/>
      <c r="E267" s="33">
        <v>100</v>
      </c>
      <c r="F267" s="65"/>
      <c r="G267" s="66"/>
      <c r="H267" s="65"/>
      <c r="I267" s="67"/>
      <c r="J267" s="68"/>
      <c r="K267" s="69"/>
    </row>
    <row r="268" spans="1:14" x14ac:dyDescent="0.3">
      <c r="B268" s="34" t="s">
        <v>111</v>
      </c>
      <c r="C268" s="102">
        <v>2250000</v>
      </c>
      <c r="D268" s="103"/>
      <c r="E268" s="33"/>
    </row>
    <row r="269" spans="1:14" x14ac:dyDescent="0.3">
      <c r="B269" s="34" t="s">
        <v>112</v>
      </c>
      <c r="C269" s="102">
        <f>C268-C271-C272</f>
        <v>2137500</v>
      </c>
      <c r="D269" s="103"/>
      <c r="E269" s="33">
        <f>C269/C267*100</f>
        <v>113.28737684053785</v>
      </c>
    </row>
    <row r="270" spans="1:14" x14ac:dyDescent="0.3">
      <c r="B270" s="34" t="s">
        <v>113</v>
      </c>
      <c r="C270" s="104">
        <f>C267-C269</f>
        <v>-250705.49595854501</v>
      </c>
      <c r="D270" s="104"/>
      <c r="E270" s="33">
        <f>100-E269</f>
        <v>-13.287376840537846</v>
      </c>
    </row>
    <row r="271" spans="1:14" x14ac:dyDescent="0.3">
      <c r="B271" s="34" t="s">
        <v>114</v>
      </c>
      <c r="C271" s="98">
        <f>C268*0.03</f>
        <v>67500</v>
      </c>
      <c r="D271" s="99"/>
      <c r="E271" s="33">
        <v>3</v>
      </c>
    </row>
    <row r="272" spans="1:14" x14ac:dyDescent="0.3">
      <c r="B272" s="34" t="s">
        <v>115</v>
      </c>
      <c r="C272" s="98">
        <f>C268*0.02</f>
        <v>45000</v>
      </c>
      <c r="D272" s="99"/>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106" t="s">
        <v>0</v>
      </c>
      <c r="B1" s="106"/>
      <c r="C1" s="106"/>
      <c r="D1" s="106"/>
      <c r="E1" s="106"/>
      <c r="F1" s="106"/>
      <c r="G1" s="106"/>
      <c r="H1" s="106"/>
      <c r="I1" s="106"/>
      <c r="J1" s="106"/>
      <c r="K1" s="106"/>
    </row>
    <row r="2" spans="1:14" s="1" customFormat="1" ht="22.8" x14ac:dyDescent="0.3">
      <c r="A2" s="107" t="s">
        <v>1</v>
      </c>
      <c r="B2" s="107"/>
      <c r="C2" s="107"/>
      <c r="D2" s="107"/>
      <c r="E2" s="107"/>
      <c r="F2" s="107"/>
      <c r="G2" s="107"/>
      <c r="H2" s="107"/>
      <c r="I2" s="107"/>
      <c r="J2" s="107"/>
      <c r="K2" s="107"/>
    </row>
    <row r="3" spans="1:14" s="1" customFormat="1" x14ac:dyDescent="0.3">
      <c r="A3" s="108" t="s">
        <v>2</v>
      </c>
      <c r="B3" s="108"/>
      <c r="C3" s="108"/>
      <c r="D3" s="108"/>
      <c r="E3" s="108"/>
      <c r="F3" s="108"/>
      <c r="G3" s="108"/>
      <c r="H3" s="108"/>
      <c r="I3" s="108"/>
      <c r="J3" s="108"/>
      <c r="K3" s="108"/>
    </row>
    <row r="4" spans="1:14" s="1" customFormat="1" x14ac:dyDescent="0.3">
      <c r="A4" s="108" t="s">
        <v>3</v>
      </c>
      <c r="B4" s="108"/>
      <c r="C4" s="108"/>
      <c r="D4" s="108"/>
      <c r="E4" s="108"/>
      <c r="F4" s="108"/>
      <c r="G4" s="108"/>
      <c r="H4" s="108"/>
      <c r="I4" s="108"/>
      <c r="J4" s="108"/>
      <c r="K4" s="108"/>
    </row>
    <row r="5" spans="1:14" ht="17.399999999999999" x14ac:dyDescent="0.3">
      <c r="A5" s="109" t="s">
        <v>4</v>
      </c>
      <c r="B5" s="109"/>
      <c r="C5" s="109"/>
      <c r="D5" s="109"/>
      <c r="E5" s="109"/>
      <c r="F5" s="109"/>
      <c r="G5" s="109"/>
      <c r="H5" s="109"/>
      <c r="I5" s="109"/>
      <c r="J5" s="109"/>
      <c r="K5" s="109"/>
    </row>
    <row r="6" spans="1:14" ht="15.6" x14ac:dyDescent="0.3">
      <c r="A6" s="105" t="s">
        <v>5</v>
      </c>
      <c r="B6" s="105"/>
      <c r="C6" s="105"/>
      <c r="D6" s="105"/>
      <c r="E6" s="105"/>
      <c r="F6" s="105"/>
      <c r="G6" s="2"/>
      <c r="H6" s="101" t="s">
        <v>130</v>
      </c>
      <c r="I6" s="101"/>
      <c r="J6" s="101"/>
      <c r="K6" s="101"/>
    </row>
    <row r="7" spans="1:14" ht="15.6" x14ac:dyDescent="0.3">
      <c r="A7" s="100" t="s">
        <v>129</v>
      </c>
      <c r="B7" s="100"/>
      <c r="C7" s="100"/>
      <c r="D7" s="100"/>
      <c r="E7" s="100"/>
      <c r="F7" s="100"/>
      <c r="G7" s="3"/>
      <c r="H7" s="101" t="s">
        <v>8</v>
      </c>
      <c r="I7" s="101"/>
      <c r="J7" s="101"/>
      <c r="K7" s="101"/>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PRODUCT(C34:E34)</f>
        <v>8.6694435978190914</v>
      </c>
      <c r="G34" s="44">
        <f>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PRODUCT(C35:E35)</f>
        <v>15.351417250838159</v>
      </c>
      <c r="G35" s="44">
        <f>F35/1000</f>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PRODUCT(C36:E36)</f>
        <v>2.1471321977265285</v>
      </c>
      <c r="G36" s="44">
        <f>F36/1000</f>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PRODUCT(C37:E37)</f>
        <v>82.783794461941355</v>
      </c>
      <c r="G37" s="44">
        <f>F37/1000</f>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PRODUCT(C38:E38)</f>
        <v>81.55441919619507</v>
      </c>
      <c r="G38" s="44">
        <f>F38/1000</f>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0">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0"/>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0"/>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0"/>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0"/>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0"/>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1">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1"/>
        <v>-0.16531002759787056</v>
      </c>
      <c r="H65" s="50"/>
      <c r="I65" s="50"/>
      <c r="J65" s="51"/>
      <c r="K65" s="52"/>
    </row>
    <row r="66" spans="1:14" s="53" customFormat="1" ht="15" customHeight="1" x14ac:dyDescent="0.3">
      <c r="A66" s="47"/>
      <c r="B66" s="48" t="s">
        <v>60</v>
      </c>
      <c r="C66" s="49">
        <v>2</v>
      </c>
      <c r="D66" s="50">
        <f>2.6</f>
        <v>2.6</v>
      </c>
      <c r="E66" s="50"/>
      <c r="F66" s="50">
        <f>2.6</f>
        <v>2.6</v>
      </c>
      <c r="G66" s="50">
        <f t="shared" si="1"/>
        <v>13.520000000000001</v>
      </c>
      <c r="H66" s="50"/>
      <c r="I66" s="50"/>
      <c r="J66" s="51"/>
      <c r="K66" s="52"/>
    </row>
    <row r="67" spans="1:14" s="53" customFormat="1" ht="15" customHeight="1" x14ac:dyDescent="0.3">
      <c r="A67" s="47"/>
      <c r="B67" s="48"/>
      <c r="C67" s="49">
        <v>2</v>
      </c>
      <c r="D67" s="50">
        <f>6.2-D66</f>
        <v>3.6</v>
      </c>
      <c r="E67" s="50"/>
      <c r="F67" s="50">
        <f>2.6</f>
        <v>2.6</v>
      </c>
      <c r="G67" s="50">
        <f t="shared" si="1"/>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1"/>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1"/>
        <v>2.948796098750381</v>
      </c>
      <c r="H69" s="50"/>
      <c r="I69" s="50"/>
      <c r="J69" s="51"/>
      <c r="K69" s="52"/>
    </row>
    <row r="70" spans="1:14" s="53" customFormat="1" ht="15" customHeight="1" x14ac:dyDescent="0.3">
      <c r="A70" s="47"/>
      <c r="B70" s="48"/>
      <c r="C70" s="49">
        <f>1</f>
        <v>1</v>
      </c>
      <c r="D70" s="50"/>
      <c r="E70" s="50">
        <f>E60</f>
        <v>1.752514477293508</v>
      </c>
      <c r="F70" s="50">
        <v>0.9</v>
      </c>
      <c r="G70" s="50">
        <f t="shared" si="1"/>
        <v>1.5772630295641572</v>
      </c>
      <c r="H70" s="50"/>
      <c r="I70" s="50"/>
      <c r="J70" s="51"/>
      <c r="K70" s="52"/>
    </row>
    <row r="71" spans="1:14" s="53" customFormat="1" ht="15" customHeight="1" x14ac:dyDescent="0.3">
      <c r="A71" s="47"/>
      <c r="B71" s="48" t="s">
        <v>62</v>
      </c>
      <c r="C71" s="49">
        <v>2</v>
      </c>
      <c r="D71" s="50">
        <f>D66</f>
        <v>2.6</v>
      </c>
      <c r="E71" s="50"/>
      <c r="F71" s="50">
        <v>0.9</v>
      </c>
      <c r="G71" s="50">
        <f t="shared" si="1"/>
        <v>4.6800000000000006</v>
      </c>
      <c r="H71" s="50"/>
      <c r="I71" s="50"/>
      <c r="J71" s="51"/>
      <c r="K71" s="52"/>
    </row>
    <row r="72" spans="1:14" s="53" customFormat="1" ht="15" customHeight="1" x14ac:dyDescent="0.3">
      <c r="A72" s="47"/>
      <c r="B72" s="48"/>
      <c r="C72" s="49">
        <v>2</v>
      </c>
      <c r="D72" s="50"/>
      <c r="E72" s="50">
        <v>6.2</v>
      </c>
      <c r="F72" s="50">
        <v>0.9</v>
      </c>
      <c r="G72" s="50">
        <f t="shared" si="1"/>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1"/>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1"/>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1"/>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1"/>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PRODUCT(C91:F91)</f>
        <v>-1.0667479427003961</v>
      </c>
      <c r="H91" s="18"/>
      <c r="I91" s="19"/>
      <c r="J91" s="20"/>
      <c r="K91" s="16"/>
      <c r="M91" s="21"/>
      <c r="N91" s="21"/>
    </row>
    <row r="92" spans="1:14" ht="15" customHeight="1" x14ac:dyDescent="0.3">
      <c r="A92" s="12"/>
      <c r="B92" s="13" t="s">
        <v>23</v>
      </c>
      <c r="C92" s="14">
        <v>-1</v>
      </c>
      <c r="D92" s="15">
        <f>3.833/3.281</f>
        <v>1.1682413898201769</v>
      </c>
      <c r="E92" s="16"/>
      <c r="F92" s="16"/>
      <c r="G92" s="17">
        <f>PRODUCT(C92:F92)</f>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PRODUCT(C98:F98)</f>
        <v>-1.0667479427003961</v>
      </c>
      <c r="H98" s="18"/>
      <c r="I98" s="19"/>
      <c r="J98" s="20"/>
      <c r="K98" s="16"/>
      <c r="M98" s="21"/>
      <c r="N98" s="21"/>
    </row>
    <row r="99" spans="1:14" ht="15" customHeight="1" x14ac:dyDescent="0.3">
      <c r="A99" s="12"/>
      <c r="B99" s="13" t="s">
        <v>23</v>
      </c>
      <c r="C99" s="14">
        <v>-1</v>
      </c>
      <c r="D99" s="15">
        <f>3.833/3.281</f>
        <v>1.1682413898201769</v>
      </c>
      <c r="E99" s="16"/>
      <c r="F99" s="16"/>
      <c r="G99" s="17">
        <f>PRODUCT(C99:F99)</f>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2">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2"/>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2"/>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2"/>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2"/>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2"/>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2"/>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3">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3"/>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3"/>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3"/>
        <v>2.0001523925632425E-2</v>
      </c>
      <c r="H174" s="45"/>
      <c r="I174" s="45"/>
      <c r="J174" s="39"/>
      <c r="K174" s="30"/>
    </row>
    <row r="175" spans="1:19" x14ac:dyDescent="0.3">
      <c r="A175" s="25"/>
      <c r="B175" s="22"/>
      <c r="C175" s="26">
        <v>2</v>
      </c>
      <c r="D175" s="17">
        <f>4.5/3.281</f>
        <v>1.3715330691862238</v>
      </c>
      <c r="E175" s="17">
        <v>7.4999999999999997E-2</v>
      </c>
      <c r="F175" s="17">
        <v>0.125</v>
      </c>
      <c r="G175" s="17">
        <f t="shared" si="3"/>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3"/>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104">
        <f>J237</f>
        <v>2108070.4791162037</v>
      </c>
      <c r="D239" s="104"/>
      <c r="E239" s="104"/>
      <c r="F239" s="65"/>
      <c r="G239" s="66"/>
      <c r="H239" s="65"/>
      <c r="I239" s="67"/>
      <c r="J239" s="68"/>
      <c r="K239" s="69"/>
    </row>
    <row r="240" spans="1:19" hidden="1" x14ac:dyDescent="0.3">
      <c r="B240" s="34" t="s">
        <v>111</v>
      </c>
      <c r="C240" s="110">
        <v>2250000</v>
      </c>
      <c r="D240" s="110"/>
      <c r="E240" s="33"/>
    </row>
    <row r="241" spans="2:5" hidden="1" x14ac:dyDescent="0.3">
      <c r="B241" s="34" t="s">
        <v>112</v>
      </c>
      <c r="C241" s="110">
        <f>C240-C243-C244</f>
        <v>2137500</v>
      </c>
      <c r="D241" s="110"/>
      <c r="E241" s="33">
        <f>C241/C239*100</f>
        <v>101.39604065306843</v>
      </c>
    </row>
    <row r="242" spans="2:5" hidden="1" x14ac:dyDescent="0.3">
      <c r="B242" s="34" t="s">
        <v>113</v>
      </c>
      <c r="C242" s="104">
        <f>C239-C241</f>
        <v>-29429.520883796271</v>
      </c>
      <c r="D242" s="104"/>
      <c r="E242" s="33">
        <f>100-E241</f>
        <v>-1.3960406530684253</v>
      </c>
    </row>
    <row r="243" spans="2:5" hidden="1" x14ac:dyDescent="0.3">
      <c r="B243" s="34" t="s">
        <v>114</v>
      </c>
      <c r="C243" s="104">
        <f>C240*0.03</f>
        <v>67500</v>
      </c>
      <c r="D243" s="104"/>
      <c r="E243" s="33">
        <v>3</v>
      </c>
    </row>
    <row r="244" spans="2:5" hidden="1" x14ac:dyDescent="0.3">
      <c r="B244" s="34" t="s">
        <v>115</v>
      </c>
      <c r="C244" s="104">
        <f>C240*0.02</f>
        <v>45000</v>
      </c>
      <c r="D244" s="104"/>
      <c r="E244" s="33">
        <v>2</v>
      </c>
    </row>
    <row r="245" spans="2:5" x14ac:dyDescent="0.3">
      <c r="B245" s="74" t="s">
        <v>126</v>
      </c>
      <c r="C245" s="111">
        <f>C239*0.13</f>
        <v>274049.16228510649</v>
      </c>
      <c r="D245" s="111"/>
      <c r="E245" s="111"/>
    </row>
    <row r="246" spans="2:5" x14ac:dyDescent="0.3">
      <c r="B246" s="74" t="s">
        <v>127</v>
      </c>
      <c r="C246" s="111">
        <f>C239+C245</f>
        <v>2382119.6414013105</v>
      </c>
      <c r="D246" s="111"/>
      <c r="E246" s="111"/>
    </row>
  </sheetData>
  <mergeCells count="17">
    <mergeCell ref="C243:D243"/>
    <mergeCell ref="C244:D244"/>
    <mergeCell ref="C245:E245"/>
    <mergeCell ref="C246:E246"/>
    <mergeCell ref="C239:E239"/>
    <mergeCell ref="A7:F7"/>
    <mergeCell ref="H7:K7"/>
    <mergeCell ref="C240:D240"/>
    <mergeCell ref="C241:D241"/>
    <mergeCell ref="C242:D24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4" zoomScaleNormal="100" zoomScaleSheetLayoutView="80" workbookViewId="0">
      <selection activeCell="D29" sqref="D2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106" t="s">
        <v>0</v>
      </c>
      <c r="B1" s="106"/>
      <c r="C1" s="106"/>
      <c r="D1" s="106"/>
      <c r="E1" s="106"/>
      <c r="F1" s="106"/>
      <c r="G1" s="106"/>
      <c r="H1" s="106"/>
      <c r="I1" s="106"/>
      <c r="J1" s="106"/>
      <c r="K1" s="106"/>
    </row>
    <row r="2" spans="1:19" s="1" customFormat="1" ht="22.8" x14ac:dyDescent="0.3">
      <c r="A2" s="107" t="s">
        <v>1</v>
      </c>
      <c r="B2" s="107"/>
      <c r="C2" s="107"/>
      <c r="D2" s="107"/>
      <c r="E2" s="107"/>
      <c r="F2" s="107"/>
      <c r="G2" s="107"/>
      <c r="H2" s="107"/>
      <c r="I2" s="107"/>
      <c r="J2" s="107"/>
      <c r="K2" s="107"/>
    </row>
    <row r="3" spans="1:19" s="1" customFormat="1" x14ac:dyDescent="0.3">
      <c r="A3" s="108" t="s">
        <v>2</v>
      </c>
      <c r="B3" s="108"/>
      <c r="C3" s="108"/>
      <c r="D3" s="108"/>
      <c r="E3" s="108"/>
      <c r="F3" s="108"/>
      <c r="G3" s="108"/>
      <c r="H3" s="108"/>
      <c r="I3" s="108"/>
      <c r="J3" s="108"/>
      <c r="K3" s="108"/>
    </row>
    <row r="4" spans="1:19" s="1" customFormat="1" x14ac:dyDescent="0.3">
      <c r="A4" s="108" t="s">
        <v>3</v>
      </c>
      <c r="B4" s="108"/>
      <c r="C4" s="108"/>
      <c r="D4" s="108"/>
      <c r="E4" s="108"/>
      <c r="F4" s="108"/>
      <c r="G4" s="108"/>
      <c r="H4" s="108"/>
      <c r="I4" s="108"/>
      <c r="J4" s="108"/>
      <c r="K4" s="108"/>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129</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104">
        <f>J43</f>
        <v>735603.14628856385</v>
      </c>
      <c r="D45" s="104"/>
      <c r="E45" s="104"/>
      <c r="F45" s="65"/>
      <c r="G45" s="66"/>
      <c r="H45" s="65"/>
      <c r="I45" s="67"/>
      <c r="J45" s="68"/>
      <c r="K45" s="69"/>
    </row>
    <row r="46" spans="1:19" hidden="1" x14ac:dyDescent="0.3">
      <c r="B46" s="34" t="s">
        <v>111</v>
      </c>
      <c r="C46" s="110">
        <v>2250000</v>
      </c>
      <c r="D46" s="110"/>
      <c r="E46" s="33"/>
    </row>
    <row r="47" spans="1:19" hidden="1" x14ac:dyDescent="0.3">
      <c r="B47" s="34" t="s">
        <v>112</v>
      </c>
      <c r="C47" s="110">
        <f>C46-C49-C50</f>
        <v>2137500</v>
      </c>
      <c r="D47" s="110"/>
      <c r="E47" s="33">
        <f>C47/C45*100</f>
        <v>290.57787623457193</v>
      </c>
    </row>
    <row r="48" spans="1:19" hidden="1" x14ac:dyDescent="0.3">
      <c r="B48" s="34" t="s">
        <v>113</v>
      </c>
      <c r="C48" s="104">
        <f>C45-C47</f>
        <v>-1401896.853711436</v>
      </c>
      <c r="D48" s="104"/>
      <c r="E48" s="33">
        <f>100-E47</f>
        <v>-190.57787623457193</v>
      </c>
    </row>
    <row r="49" spans="2:5" hidden="1" x14ac:dyDescent="0.3">
      <c r="B49" s="34" t="s">
        <v>114</v>
      </c>
      <c r="C49" s="104">
        <f>C46*0.03</f>
        <v>67500</v>
      </c>
      <c r="D49" s="104"/>
      <c r="E49" s="33">
        <v>3</v>
      </c>
    </row>
    <row r="50" spans="2:5" hidden="1" x14ac:dyDescent="0.3">
      <c r="B50" s="34" t="s">
        <v>115</v>
      </c>
      <c r="C50" s="104">
        <f>C46*0.02</f>
        <v>45000</v>
      </c>
      <c r="D50" s="104"/>
      <c r="E50" s="33">
        <v>2</v>
      </c>
    </row>
    <row r="51" spans="2:5" x14ac:dyDescent="0.3">
      <c r="B51" s="74" t="s">
        <v>126</v>
      </c>
      <c r="C51" s="111">
        <f>C45*0.13</f>
        <v>95628.409017513302</v>
      </c>
      <c r="D51" s="111"/>
      <c r="E51" s="111"/>
    </row>
    <row r="52" spans="2:5" x14ac:dyDescent="0.3">
      <c r="B52" s="74" t="s">
        <v>127</v>
      </c>
      <c r="C52" s="111">
        <f>C45+C51</f>
        <v>831231.55530607712</v>
      </c>
      <c r="D52" s="111"/>
      <c r="E52" s="111"/>
    </row>
  </sheetData>
  <mergeCells count="17">
    <mergeCell ref="A6:F6"/>
    <mergeCell ref="H6:K6"/>
    <mergeCell ref="A1:K1"/>
    <mergeCell ref="A2:K2"/>
    <mergeCell ref="A3:K3"/>
    <mergeCell ref="A4:K4"/>
    <mergeCell ref="A5:K5"/>
    <mergeCell ref="H7:K7"/>
    <mergeCell ref="C45:E45"/>
    <mergeCell ref="C46:D46"/>
    <mergeCell ref="C47:D47"/>
    <mergeCell ref="C48:D48"/>
    <mergeCell ref="C49:D49"/>
    <mergeCell ref="C50:D50"/>
    <mergeCell ref="C51:E51"/>
    <mergeCell ref="C52:E52"/>
    <mergeCell ref="A7:F7"/>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6" t="s">
        <v>0</v>
      </c>
      <c r="B1" s="106"/>
      <c r="C1" s="106"/>
      <c r="D1" s="106"/>
      <c r="E1" s="106"/>
      <c r="F1" s="106"/>
      <c r="G1" s="106"/>
      <c r="H1" s="106"/>
      <c r="I1" s="106"/>
      <c r="J1" s="106"/>
      <c r="K1" s="106"/>
    </row>
    <row r="2" spans="1:19" s="1" customFormat="1" ht="22.8" x14ac:dyDescent="0.3">
      <c r="A2" s="107" t="s">
        <v>1</v>
      </c>
      <c r="B2" s="107"/>
      <c r="C2" s="107"/>
      <c r="D2" s="107"/>
      <c r="E2" s="107"/>
      <c r="F2" s="107"/>
      <c r="G2" s="107"/>
      <c r="H2" s="107"/>
      <c r="I2" s="107"/>
      <c r="J2" s="107"/>
      <c r="K2" s="107"/>
    </row>
    <row r="3" spans="1:19" s="1" customFormat="1" x14ac:dyDescent="0.3">
      <c r="A3" s="108" t="s">
        <v>2</v>
      </c>
      <c r="B3" s="108"/>
      <c r="C3" s="108"/>
      <c r="D3" s="108"/>
      <c r="E3" s="108"/>
      <c r="F3" s="108"/>
      <c r="G3" s="108"/>
      <c r="H3" s="108"/>
      <c r="I3" s="108"/>
      <c r="J3" s="108"/>
      <c r="K3" s="108"/>
    </row>
    <row r="4" spans="1:19" s="1" customFormat="1" x14ac:dyDescent="0.3">
      <c r="A4" s="108" t="s">
        <v>3</v>
      </c>
      <c r="B4" s="108"/>
      <c r="C4" s="108"/>
      <c r="D4" s="108"/>
      <c r="E4" s="108"/>
      <c r="F4" s="108"/>
      <c r="G4" s="108"/>
      <c r="H4" s="108"/>
      <c r="I4" s="108"/>
      <c r="J4" s="108"/>
      <c r="K4" s="108"/>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129</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104">
        <f>J71</f>
        <v>1103945.3112279128</v>
      </c>
      <c r="D73" s="104"/>
      <c r="E73" s="104"/>
      <c r="F73" s="65"/>
      <c r="G73" s="66"/>
      <c r="H73" s="65"/>
      <c r="I73" s="67"/>
      <c r="J73" s="68"/>
      <c r="K73" s="69"/>
    </row>
    <row r="74" spans="1:14" hidden="1" x14ac:dyDescent="0.3">
      <c r="B74" s="34" t="s">
        <v>111</v>
      </c>
      <c r="C74" s="110">
        <v>2250000</v>
      </c>
      <c r="D74" s="110"/>
      <c r="E74" s="33"/>
    </row>
    <row r="75" spans="1:14" hidden="1" x14ac:dyDescent="0.3">
      <c r="B75" s="34" t="s">
        <v>112</v>
      </c>
      <c r="C75" s="110">
        <f>C74-C77-C78</f>
        <v>2137500</v>
      </c>
      <c r="D75" s="110"/>
      <c r="E75" s="33">
        <f>C75/C73*100</f>
        <v>193.62372195978347</v>
      </c>
    </row>
    <row r="76" spans="1:14" hidden="1" x14ac:dyDescent="0.3">
      <c r="B76" s="34" t="s">
        <v>113</v>
      </c>
      <c r="C76" s="104">
        <f>C73-C75</f>
        <v>-1033554.6887720872</v>
      </c>
      <c r="D76" s="104"/>
      <c r="E76" s="33">
        <f>100-E75</f>
        <v>-93.623721959783467</v>
      </c>
    </row>
    <row r="77" spans="1:14" hidden="1" x14ac:dyDescent="0.3">
      <c r="B77" s="34" t="s">
        <v>114</v>
      </c>
      <c r="C77" s="104">
        <f>C74*0.03</f>
        <v>67500</v>
      </c>
      <c r="D77" s="104"/>
      <c r="E77" s="33">
        <v>3</v>
      </c>
    </row>
    <row r="78" spans="1:14" hidden="1" x14ac:dyDescent="0.3">
      <c r="B78" s="34" t="s">
        <v>115</v>
      </c>
      <c r="C78" s="104">
        <f>C74*0.02</f>
        <v>45000</v>
      </c>
      <c r="D78" s="104"/>
      <c r="E78" s="33">
        <v>2</v>
      </c>
    </row>
    <row r="79" spans="1:14" x14ac:dyDescent="0.3">
      <c r="B79" s="74" t="s">
        <v>126</v>
      </c>
      <c r="C79" s="111">
        <f>C73*0.13</f>
        <v>143512.89045962866</v>
      </c>
      <c r="D79" s="111"/>
      <c r="E79" s="111"/>
    </row>
    <row r="80" spans="1:14" x14ac:dyDescent="0.3">
      <c r="B80" s="74" t="s">
        <v>127</v>
      </c>
      <c r="C80" s="111">
        <f>C73+C79</f>
        <v>1247458.2016875413</v>
      </c>
      <c r="D80" s="111"/>
      <c r="E80" s="111"/>
    </row>
  </sheetData>
  <mergeCells count="17">
    <mergeCell ref="C77:D77"/>
    <mergeCell ref="C78:D78"/>
    <mergeCell ref="C79:E79"/>
    <mergeCell ref="C80:E80"/>
    <mergeCell ref="A7:F7"/>
    <mergeCell ref="H7:K7"/>
    <mergeCell ref="C73:E73"/>
    <mergeCell ref="C74:D74"/>
    <mergeCell ref="C75:D75"/>
    <mergeCell ref="C76:D76"/>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6" t="s">
        <v>0</v>
      </c>
      <c r="B1" s="106"/>
      <c r="C1" s="106"/>
      <c r="D1" s="106"/>
      <c r="E1" s="106"/>
      <c r="F1" s="106"/>
      <c r="G1" s="106"/>
      <c r="H1" s="106"/>
      <c r="I1" s="106"/>
      <c r="J1" s="106"/>
      <c r="K1" s="106"/>
    </row>
    <row r="2" spans="1:19" s="1" customFormat="1" ht="22.8" x14ac:dyDescent="0.3">
      <c r="A2" s="107" t="s">
        <v>1</v>
      </c>
      <c r="B2" s="107"/>
      <c r="C2" s="107"/>
      <c r="D2" s="107"/>
      <c r="E2" s="107"/>
      <c r="F2" s="107"/>
      <c r="G2" s="107"/>
      <c r="H2" s="107"/>
      <c r="I2" s="107"/>
      <c r="J2" s="107"/>
      <c r="K2" s="107"/>
    </row>
    <row r="3" spans="1:19" s="1" customFormat="1" x14ac:dyDescent="0.3">
      <c r="A3" s="108" t="s">
        <v>2</v>
      </c>
      <c r="B3" s="108"/>
      <c r="C3" s="108"/>
      <c r="D3" s="108"/>
      <c r="E3" s="108"/>
      <c r="F3" s="108"/>
      <c r="G3" s="108"/>
      <c r="H3" s="108"/>
      <c r="I3" s="108"/>
      <c r="J3" s="108"/>
      <c r="K3" s="108"/>
    </row>
    <row r="4" spans="1:19" s="1" customFormat="1" x14ac:dyDescent="0.3">
      <c r="A4" s="108" t="s">
        <v>3</v>
      </c>
      <c r="B4" s="108"/>
      <c r="C4" s="108"/>
      <c r="D4" s="108"/>
      <c r="E4" s="108"/>
      <c r="F4" s="108"/>
      <c r="G4" s="108"/>
      <c r="H4" s="108"/>
      <c r="I4" s="108"/>
      <c r="J4" s="108"/>
      <c r="K4" s="108"/>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129</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PRODUCT(C44:F44)</f>
        <v>2.6668698567509905E-2</v>
      </c>
      <c r="H44" s="45"/>
      <c r="I44" s="45"/>
      <c r="J44" s="39"/>
      <c r="K44" s="30"/>
    </row>
    <row r="45" spans="1:19" x14ac:dyDescent="0.3">
      <c r="A45" s="25"/>
      <c r="B45" s="22"/>
      <c r="C45" s="26">
        <v>2</v>
      </c>
      <c r="D45" s="17">
        <f>6.5/3.281</f>
        <v>1.9811033221578787</v>
      </c>
      <c r="E45" s="17">
        <v>0.1</v>
      </c>
      <c r="F45" s="17">
        <v>0.125</v>
      </c>
      <c r="G45" s="17">
        <f>PRODUCT(C45:F45)</f>
        <v>4.9527583053946972E-2</v>
      </c>
      <c r="H45" s="45"/>
      <c r="I45" s="45"/>
      <c r="J45" s="39"/>
      <c r="K45" s="30"/>
    </row>
    <row r="46" spans="1:19" x14ac:dyDescent="0.3">
      <c r="A46" s="25"/>
      <c r="B46" s="22" t="s">
        <v>93</v>
      </c>
      <c r="C46" s="26">
        <v>2</v>
      </c>
      <c r="D46" s="17">
        <f>3/3.281</f>
        <v>0.91435537945748246</v>
      </c>
      <c r="E46" s="17">
        <v>7.4999999999999997E-2</v>
      </c>
      <c r="F46" s="17">
        <v>0.125</v>
      </c>
      <c r="G46" s="17">
        <f>PRODUCT(C46:F46)</f>
        <v>1.7144163364827797E-2</v>
      </c>
      <c r="H46" s="45"/>
      <c r="I46" s="45"/>
      <c r="J46" s="39"/>
      <c r="K46" s="30"/>
    </row>
    <row r="47" spans="1:19" x14ac:dyDescent="0.3">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104">
        <f>J72</f>
        <v>1192250.0184956598</v>
      </c>
      <c r="D74" s="104"/>
      <c r="E74" s="104"/>
      <c r="F74" s="65"/>
      <c r="G74" s="66"/>
      <c r="H74" s="65"/>
      <c r="I74" s="67"/>
      <c r="J74" s="68"/>
      <c r="K74" s="69"/>
    </row>
    <row r="75" spans="1:14" hidden="1" x14ac:dyDescent="0.3">
      <c r="B75" s="34" t="s">
        <v>111</v>
      </c>
      <c r="C75" s="110">
        <v>2250000</v>
      </c>
      <c r="D75" s="110"/>
      <c r="E75" s="33"/>
    </row>
    <row r="76" spans="1:14" hidden="1" x14ac:dyDescent="0.3">
      <c r="B76" s="34" t="s">
        <v>112</v>
      </c>
      <c r="C76" s="110">
        <f>C75-C78-C79</f>
        <v>2137500</v>
      </c>
      <c r="D76" s="110"/>
      <c r="E76" s="33">
        <f>C76/C74*100</f>
        <v>179.2828657446384</v>
      </c>
    </row>
    <row r="77" spans="1:14" hidden="1" x14ac:dyDescent="0.3">
      <c r="B77" s="34" t="s">
        <v>113</v>
      </c>
      <c r="C77" s="104">
        <f>C74-C76</f>
        <v>-945249.98150434019</v>
      </c>
      <c r="D77" s="104"/>
      <c r="E77" s="33">
        <f>100-E76</f>
        <v>-79.2828657446384</v>
      </c>
    </row>
    <row r="78" spans="1:14" hidden="1" x14ac:dyDescent="0.3">
      <c r="B78" s="34" t="s">
        <v>114</v>
      </c>
      <c r="C78" s="104">
        <f>C75*0.03</f>
        <v>67500</v>
      </c>
      <c r="D78" s="104"/>
      <c r="E78" s="33">
        <v>3</v>
      </c>
    </row>
    <row r="79" spans="1:14" hidden="1" x14ac:dyDescent="0.3">
      <c r="B79" s="34" t="s">
        <v>115</v>
      </c>
      <c r="C79" s="104">
        <f>C75*0.02</f>
        <v>45000</v>
      </c>
      <c r="D79" s="104"/>
      <c r="E79" s="33">
        <v>2</v>
      </c>
    </row>
    <row r="80" spans="1:14" x14ac:dyDescent="0.3">
      <c r="B80" s="74" t="s">
        <v>126</v>
      </c>
      <c r="C80" s="111">
        <f>C74*0.13</f>
        <v>154992.50240443577</v>
      </c>
      <c r="D80" s="111"/>
      <c r="E80" s="111"/>
    </row>
    <row r="81" spans="2:5" x14ac:dyDescent="0.3">
      <c r="B81" s="74" t="s">
        <v>127</v>
      </c>
      <c r="C81" s="111">
        <f>C74+C80</f>
        <v>1347242.5209000956</v>
      </c>
      <c r="D81" s="111"/>
      <c r="E81" s="111"/>
    </row>
  </sheetData>
  <mergeCells count="17">
    <mergeCell ref="C78:D78"/>
    <mergeCell ref="C79:D79"/>
    <mergeCell ref="C80:E80"/>
    <mergeCell ref="C81:E81"/>
    <mergeCell ref="A7:F7"/>
    <mergeCell ref="H7:K7"/>
    <mergeCell ref="C74:E74"/>
    <mergeCell ref="C75:D75"/>
    <mergeCell ref="C76:D76"/>
    <mergeCell ref="C77:D77"/>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81" zoomScale="99" zoomScaleNormal="99" zoomScaleSheetLayoutView="80" workbookViewId="0">
      <selection activeCell="B28" sqref="B2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6" t="s">
        <v>0</v>
      </c>
      <c r="B1" s="106"/>
      <c r="C1" s="106"/>
      <c r="D1" s="106"/>
      <c r="E1" s="106"/>
      <c r="F1" s="106"/>
      <c r="G1" s="106"/>
      <c r="H1" s="106"/>
      <c r="I1" s="106"/>
      <c r="J1" s="106"/>
      <c r="K1" s="106"/>
    </row>
    <row r="2" spans="1:19" s="1" customFormat="1" ht="22.8" x14ac:dyDescent="0.3">
      <c r="A2" s="107" t="s">
        <v>1</v>
      </c>
      <c r="B2" s="107"/>
      <c r="C2" s="107"/>
      <c r="D2" s="107"/>
      <c r="E2" s="107"/>
      <c r="F2" s="107"/>
      <c r="G2" s="107"/>
      <c r="H2" s="107"/>
      <c r="I2" s="107"/>
      <c r="J2" s="107"/>
      <c r="K2" s="107"/>
    </row>
    <row r="3" spans="1:19" s="1" customFormat="1" x14ac:dyDescent="0.3">
      <c r="A3" s="108" t="s">
        <v>2</v>
      </c>
      <c r="B3" s="108"/>
      <c r="C3" s="108"/>
      <c r="D3" s="108"/>
      <c r="E3" s="108"/>
      <c r="F3" s="108"/>
      <c r="G3" s="108"/>
      <c r="H3" s="108"/>
      <c r="I3" s="108"/>
      <c r="J3" s="108"/>
      <c r="K3" s="108"/>
    </row>
    <row r="4" spans="1:19" s="1" customFormat="1" x14ac:dyDescent="0.3">
      <c r="A4" s="108" t="s">
        <v>3</v>
      </c>
      <c r="B4" s="108"/>
      <c r="C4" s="108"/>
      <c r="D4" s="108"/>
      <c r="E4" s="108"/>
      <c r="F4" s="108"/>
      <c r="G4" s="108"/>
      <c r="H4" s="108"/>
      <c r="I4" s="108"/>
      <c r="J4" s="108"/>
      <c r="K4" s="108"/>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147</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PRODUCT(C67:F67)</f>
        <v>2.6668698567509905E-2</v>
      </c>
      <c r="H67" s="45"/>
      <c r="I67" s="45"/>
      <c r="J67" s="39"/>
      <c r="K67" s="30"/>
    </row>
    <row r="68" spans="1:11" x14ac:dyDescent="0.3">
      <c r="A68" s="25"/>
      <c r="B68" s="22"/>
      <c r="C68" s="26">
        <v>2</v>
      </c>
      <c r="D68" s="17">
        <f>6.5/3.281</f>
        <v>1.9811033221578787</v>
      </c>
      <c r="E68" s="17">
        <v>0.1</v>
      </c>
      <c r="F68" s="17">
        <v>0.125</v>
      </c>
      <c r="G68" s="17">
        <f>PRODUCT(C68:F68)</f>
        <v>4.9527583053946972E-2</v>
      </c>
      <c r="H68" s="45"/>
      <c r="I68" s="45"/>
      <c r="J68" s="39"/>
      <c r="K68" s="30"/>
    </row>
    <row r="69" spans="1:11" x14ac:dyDescent="0.3">
      <c r="A69" s="25"/>
      <c r="B69" s="22" t="s">
        <v>93</v>
      </c>
      <c r="C69" s="26">
        <v>2</v>
      </c>
      <c r="D69" s="17">
        <f>3/3.281</f>
        <v>0.91435537945748246</v>
      </c>
      <c r="E69" s="17">
        <v>7.4999999999999997E-2</v>
      </c>
      <c r="F69" s="17">
        <v>0.125</v>
      </c>
      <c r="G69" s="17">
        <f>PRODUCT(C69:F69)</f>
        <v>1.7144163364827797E-2</v>
      </c>
      <c r="H69" s="45"/>
      <c r="I69" s="45"/>
      <c r="J69" s="39"/>
      <c r="K69" s="30"/>
    </row>
    <row r="70" spans="1:11" x14ac:dyDescent="0.3">
      <c r="A70" s="25"/>
      <c r="B70" s="22"/>
      <c r="C70" s="26">
        <v>2</v>
      </c>
      <c r="D70" s="17">
        <f>4.5/3.281</f>
        <v>1.3715330691862238</v>
      </c>
      <c r="E70" s="17">
        <v>7.4999999999999997E-2</v>
      </c>
      <c r="F70" s="17">
        <v>0.125</v>
      </c>
      <c r="G70" s="17">
        <f>PRODUCT(C70:F70)</f>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104">
        <f>J100</f>
        <v>1344202.2278966988</v>
      </c>
      <c r="D102" s="104"/>
      <c r="E102" s="104"/>
      <c r="F102" s="65"/>
      <c r="G102" s="66"/>
      <c r="H102" s="65"/>
      <c r="I102" s="67"/>
      <c r="J102" s="68"/>
      <c r="K102" s="69"/>
    </row>
    <row r="103" spans="1:14" hidden="1" x14ac:dyDescent="0.3">
      <c r="B103" s="74" t="s">
        <v>126</v>
      </c>
      <c r="C103" s="111">
        <f>C102*0.13</f>
        <v>174746.28962657086</v>
      </c>
      <c r="D103" s="111"/>
      <c r="E103" s="111"/>
    </row>
    <row r="104" spans="1:14" hidden="1" x14ac:dyDescent="0.3">
      <c r="B104" s="74" t="s">
        <v>127</v>
      </c>
      <c r="C104" s="111">
        <f>C102+C103</f>
        <v>1518948.5175232696</v>
      </c>
      <c r="D104" s="111"/>
      <c r="E104" s="111"/>
    </row>
    <row r="106" spans="1:14" s="1" customFormat="1" x14ac:dyDescent="0.3">
      <c r="B106" s="34" t="s">
        <v>110</v>
      </c>
      <c r="C106" s="98">
        <f>J100</f>
        <v>1344202.2278966988</v>
      </c>
      <c r="D106" s="99"/>
      <c r="E106" s="33">
        <v>100</v>
      </c>
      <c r="F106" s="65"/>
      <c r="G106" s="66"/>
      <c r="H106" s="65"/>
      <c r="I106" s="67"/>
      <c r="J106" s="68"/>
      <c r="K106" s="69"/>
    </row>
    <row r="107" spans="1:14" x14ac:dyDescent="0.3">
      <c r="B107" s="34" t="s">
        <v>111</v>
      </c>
      <c r="C107" s="102">
        <v>1200000</v>
      </c>
      <c r="D107" s="103"/>
      <c r="E107" s="33"/>
    </row>
    <row r="108" spans="1:14" x14ac:dyDescent="0.3">
      <c r="B108" s="34" t="s">
        <v>112</v>
      </c>
      <c r="C108" s="102">
        <f>C107-C110-C111</f>
        <v>1140000</v>
      </c>
      <c r="D108" s="103"/>
      <c r="E108" s="33">
        <f>C108/C106*100</f>
        <v>84.808667649939977</v>
      </c>
    </row>
    <row r="109" spans="1:14" x14ac:dyDescent="0.3">
      <c r="B109" s="34" t="s">
        <v>113</v>
      </c>
      <c r="C109" s="104">
        <f>C106-C108</f>
        <v>204202.22789669875</v>
      </c>
      <c r="D109" s="104"/>
      <c r="E109" s="33">
        <f>100-E108</f>
        <v>15.191332350060023</v>
      </c>
    </row>
    <row r="110" spans="1:14" x14ac:dyDescent="0.3">
      <c r="B110" s="34" t="s">
        <v>114</v>
      </c>
      <c r="C110" s="98">
        <f>C107*0.03</f>
        <v>36000</v>
      </c>
      <c r="D110" s="99"/>
      <c r="E110" s="33">
        <v>3</v>
      </c>
    </row>
    <row r="111" spans="1:14" x14ac:dyDescent="0.3">
      <c r="B111" s="34" t="s">
        <v>115</v>
      </c>
      <c r="C111" s="98">
        <f>C107*0.02</f>
        <v>24000</v>
      </c>
      <c r="D111" s="99"/>
      <c r="E111" s="33">
        <v>2</v>
      </c>
    </row>
  </sheetData>
  <mergeCells count="18">
    <mergeCell ref="C109:D109"/>
    <mergeCell ref="C110:D110"/>
    <mergeCell ref="C103:E103"/>
    <mergeCell ref="C104:E104"/>
    <mergeCell ref="C111:D111"/>
    <mergeCell ref="C108:D108"/>
    <mergeCell ref="A7:F7"/>
    <mergeCell ref="H7:K7"/>
    <mergeCell ref="C102:E102"/>
    <mergeCell ref="C106:D106"/>
    <mergeCell ref="C107:D107"/>
    <mergeCell ref="A6:F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141" zoomScale="99" zoomScaleNormal="99" zoomScaleSheetLayoutView="80" workbookViewId="0">
      <selection activeCell="D87" sqref="D87"/>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106" t="s">
        <v>0</v>
      </c>
      <c r="B1" s="106"/>
      <c r="C1" s="106"/>
      <c r="D1" s="106"/>
      <c r="E1" s="106"/>
      <c r="F1" s="106"/>
      <c r="G1" s="106"/>
      <c r="H1" s="106"/>
      <c r="I1" s="106"/>
      <c r="J1" s="106"/>
      <c r="K1" s="106"/>
    </row>
    <row r="2" spans="1:19" s="1" customFormat="1" ht="22.8" x14ac:dyDescent="0.3">
      <c r="A2" s="107" t="s">
        <v>1</v>
      </c>
      <c r="B2" s="107"/>
      <c r="C2" s="107"/>
      <c r="D2" s="107"/>
      <c r="E2" s="107"/>
      <c r="F2" s="107"/>
      <c r="G2" s="107"/>
      <c r="H2" s="107"/>
      <c r="I2" s="107"/>
      <c r="J2" s="107"/>
      <c r="K2" s="107"/>
    </row>
    <row r="3" spans="1:19" s="1" customFormat="1" x14ac:dyDescent="0.3">
      <c r="A3" s="108" t="s">
        <v>2</v>
      </c>
      <c r="B3" s="108"/>
      <c r="C3" s="108"/>
      <c r="D3" s="108"/>
      <c r="E3" s="108"/>
      <c r="F3" s="108"/>
      <c r="G3" s="108"/>
      <c r="H3" s="108"/>
      <c r="I3" s="108"/>
      <c r="J3" s="108"/>
      <c r="K3" s="108"/>
    </row>
    <row r="4" spans="1:19" s="1" customFormat="1" x14ac:dyDescent="0.3">
      <c r="A4" s="108" t="s">
        <v>3</v>
      </c>
      <c r="B4" s="108"/>
      <c r="C4" s="108"/>
      <c r="D4" s="108"/>
      <c r="E4" s="108"/>
      <c r="F4" s="108"/>
      <c r="G4" s="108"/>
      <c r="H4" s="108"/>
      <c r="I4" s="108"/>
      <c r="J4" s="108"/>
      <c r="K4" s="108"/>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147</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3">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3">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3">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PRODUCT(C67:F67)</f>
        <v>2.9206034745504424E-2</v>
      </c>
      <c r="H67" s="45"/>
      <c r="I67" s="45"/>
      <c r="J67" s="39"/>
      <c r="K67" s="30"/>
    </row>
    <row r="68" spans="1:13" x14ac:dyDescent="0.3">
      <c r="A68" s="25"/>
      <c r="B68" s="22"/>
      <c r="C68" s="26">
        <v>2</v>
      </c>
      <c r="D68" s="17">
        <f>(7.75-0.333*2)/3.281</f>
        <v>2.1590978360256017</v>
      </c>
      <c r="E68" s="17">
        <v>0.1</v>
      </c>
      <c r="F68" s="17">
        <v>0.125</v>
      </c>
      <c r="G68" s="17">
        <f>PRODUCT(C68:F68)</f>
        <v>5.3977445900640048E-2</v>
      </c>
      <c r="H68" s="45"/>
      <c r="I68" s="45"/>
      <c r="J68" s="39"/>
      <c r="K68" s="30"/>
    </row>
    <row r="69" spans="1:13" x14ac:dyDescent="0.3">
      <c r="A69" s="25"/>
      <c r="B69" s="22" t="s">
        <v>93</v>
      </c>
      <c r="C69" s="26">
        <v>2</v>
      </c>
      <c r="D69" s="17">
        <f>3.5/3.281</f>
        <v>1.0667479427003961</v>
      </c>
      <c r="E69" s="17">
        <v>7.4999999999999997E-2</v>
      </c>
      <c r="F69" s="17">
        <v>0.125</v>
      </c>
      <c r="G69" s="17">
        <f>PRODUCT(C69:F69)</f>
        <v>2.0001523925632425E-2</v>
      </c>
      <c r="H69" s="45"/>
      <c r="I69" s="45"/>
      <c r="J69" s="39"/>
      <c r="K69" s="30"/>
    </row>
    <row r="70" spans="1:13" x14ac:dyDescent="0.3">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1443212.753161883</v>
      </c>
      <c r="K163" s="30"/>
    </row>
    <row r="165" spans="1:14" s="1" customFormat="1" hidden="1" x14ac:dyDescent="0.3">
      <c r="B165" s="34" t="s">
        <v>110</v>
      </c>
      <c r="C165" s="104">
        <f>J163</f>
        <v>1443212.753161883</v>
      </c>
      <c r="D165" s="104"/>
      <c r="E165" s="104"/>
      <c r="F165" s="65"/>
      <c r="G165" s="66"/>
      <c r="H165" s="65"/>
      <c r="I165" s="67"/>
      <c r="J165" s="68"/>
      <c r="K165" s="69"/>
    </row>
    <row r="166" spans="1:14" hidden="1" x14ac:dyDescent="0.3">
      <c r="B166" s="74" t="s">
        <v>126</v>
      </c>
      <c r="C166" s="111">
        <f>C165*0.13</f>
        <v>187617.65791104481</v>
      </c>
      <c r="D166" s="111"/>
      <c r="E166" s="111"/>
    </row>
    <row r="167" spans="1:14" hidden="1" x14ac:dyDescent="0.3">
      <c r="B167" s="74" t="s">
        <v>127</v>
      </c>
      <c r="C167" s="111">
        <f>C165+C166</f>
        <v>1630830.4110729278</v>
      </c>
      <c r="D167" s="111"/>
      <c r="E167" s="111"/>
    </row>
    <row r="169" spans="1:14" s="1" customFormat="1" x14ac:dyDescent="0.3">
      <c r="B169" s="34" t="s">
        <v>110</v>
      </c>
      <c r="C169" s="98">
        <f>J163</f>
        <v>1443212.753161883</v>
      </c>
      <c r="D169" s="99"/>
      <c r="E169" s="33">
        <v>100</v>
      </c>
      <c r="F169" s="65"/>
      <c r="G169" s="66"/>
      <c r="H169" s="65"/>
      <c r="I169" s="67"/>
      <c r="J169" s="68"/>
      <c r="K169" s="69"/>
    </row>
    <row r="170" spans="1:14" x14ac:dyDescent="0.3">
      <c r="B170" s="34" t="s">
        <v>111</v>
      </c>
      <c r="C170" s="102">
        <v>1275000</v>
      </c>
      <c r="D170" s="103"/>
      <c r="E170" s="33"/>
    </row>
    <row r="171" spans="1:14" x14ac:dyDescent="0.3">
      <c r="B171" s="34" t="s">
        <v>112</v>
      </c>
      <c r="C171" s="102">
        <f>C170-C173-C174</f>
        <v>1211250</v>
      </c>
      <c r="D171" s="103"/>
      <c r="E171" s="33">
        <f>C171/C169*100</f>
        <v>83.927334853874854</v>
      </c>
    </row>
    <row r="172" spans="1:14" x14ac:dyDescent="0.3">
      <c r="B172" s="34" t="s">
        <v>113</v>
      </c>
      <c r="C172" s="104">
        <f>C169-C171</f>
        <v>231962.75316188298</v>
      </c>
      <c r="D172" s="104"/>
      <c r="E172" s="33">
        <f>100-E171</f>
        <v>16.072665146125146</v>
      </c>
    </row>
    <row r="173" spans="1:14" x14ac:dyDescent="0.3">
      <c r="B173" s="34" t="s">
        <v>114</v>
      </c>
      <c r="C173" s="98">
        <f>C170*0.03</f>
        <v>38250</v>
      </c>
      <c r="D173" s="99"/>
      <c r="E173" s="33">
        <v>3</v>
      </c>
    </row>
    <row r="174" spans="1:14" x14ac:dyDescent="0.3">
      <c r="B174" s="34" t="s">
        <v>115</v>
      </c>
      <c r="C174" s="98">
        <f>C170*0.02</f>
        <v>25500</v>
      </c>
      <c r="D174" s="99"/>
      <c r="E174" s="33">
        <v>2</v>
      </c>
    </row>
  </sheetData>
  <mergeCells count="18">
    <mergeCell ref="C170:D170"/>
    <mergeCell ref="C171:D171"/>
    <mergeCell ref="C172:D172"/>
    <mergeCell ref="C173:D173"/>
    <mergeCell ref="C174:D174"/>
    <mergeCell ref="C169:D169"/>
    <mergeCell ref="A1:K1"/>
    <mergeCell ref="A2:K2"/>
    <mergeCell ref="A3:K3"/>
    <mergeCell ref="A4:K4"/>
    <mergeCell ref="A5:K5"/>
    <mergeCell ref="A6:F6"/>
    <mergeCell ref="H6:K6"/>
    <mergeCell ref="A7:F7"/>
    <mergeCell ref="H7:K7"/>
    <mergeCell ref="C165:E165"/>
    <mergeCell ref="C166:E166"/>
    <mergeCell ref="C167:E167"/>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abSelected="1" topLeftCell="A144" zoomScale="99" zoomScaleNormal="99" zoomScaleSheetLayoutView="80" workbookViewId="0">
      <selection activeCell="G159" sqref="G159"/>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3" max="13" width="8.109375" bestFit="1" customWidth="1"/>
    <col min="14" max="14" width="6.6640625" bestFit="1" customWidth="1"/>
  </cols>
  <sheetData>
    <row r="1" spans="1:19" s="1" customFormat="1" x14ac:dyDescent="0.3">
      <c r="A1" s="106" t="s">
        <v>0</v>
      </c>
      <c r="B1" s="106"/>
      <c r="C1" s="106"/>
      <c r="D1" s="106"/>
      <c r="E1" s="106"/>
      <c r="F1" s="106"/>
      <c r="G1" s="106"/>
      <c r="H1" s="106"/>
      <c r="I1" s="106"/>
      <c r="J1" s="106"/>
      <c r="K1" s="106"/>
      <c r="M1"/>
    </row>
    <row r="2" spans="1:19" s="1" customFormat="1" ht="22.8" x14ac:dyDescent="0.3">
      <c r="A2" s="107" t="s">
        <v>1</v>
      </c>
      <c r="B2" s="107"/>
      <c r="C2" s="107"/>
      <c r="D2" s="107"/>
      <c r="E2" s="107"/>
      <c r="F2" s="107"/>
      <c r="G2" s="107"/>
      <c r="H2" s="107"/>
      <c r="I2" s="107"/>
      <c r="J2" s="107"/>
      <c r="K2" s="107"/>
      <c r="M2"/>
    </row>
    <row r="3" spans="1:19" s="1" customFormat="1" x14ac:dyDescent="0.3">
      <c r="A3" s="108" t="s">
        <v>2</v>
      </c>
      <c r="B3" s="108"/>
      <c r="C3" s="108"/>
      <c r="D3" s="108"/>
      <c r="E3" s="108"/>
      <c r="F3" s="108"/>
      <c r="G3" s="108"/>
      <c r="H3" s="108"/>
      <c r="I3" s="108"/>
      <c r="J3" s="108"/>
      <c r="K3" s="108"/>
      <c r="M3"/>
    </row>
    <row r="4" spans="1:19" s="1" customFormat="1" x14ac:dyDescent="0.3">
      <c r="A4" s="108" t="s">
        <v>3</v>
      </c>
      <c r="B4" s="108"/>
      <c r="C4" s="108"/>
      <c r="D4" s="108"/>
      <c r="E4" s="108"/>
      <c r="F4" s="108"/>
      <c r="G4" s="108"/>
      <c r="H4" s="108"/>
      <c r="I4" s="108"/>
      <c r="J4" s="108"/>
      <c r="K4" s="108"/>
      <c r="M4"/>
    </row>
    <row r="5" spans="1:19" ht="17.399999999999999" x14ac:dyDescent="0.3">
      <c r="A5" s="109" t="s">
        <v>4</v>
      </c>
      <c r="B5" s="109"/>
      <c r="C5" s="109"/>
      <c r="D5" s="109"/>
      <c r="E5" s="109"/>
      <c r="F5" s="109"/>
      <c r="G5" s="109"/>
      <c r="H5" s="109"/>
      <c r="I5" s="109"/>
      <c r="J5" s="109"/>
      <c r="K5" s="109"/>
    </row>
    <row r="6" spans="1:19" ht="15.6" x14ac:dyDescent="0.3">
      <c r="A6" s="105" t="s">
        <v>5</v>
      </c>
      <c r="B6" s="105"/>
      <c r="C6" s="105"/>
      <c r="D6" s="105"/>
      <c r="E6" s="105"/>
      <c r="F6" s="105"/>
      <c r="G6" s="2"/>
      <c r="H6" s="101" t="s">
        <v>130</v>
      </c>
      <c r="I6" s="101"/>
      <c r="J6" s="101"/>
      <c r="K6" s="101"/>
    </row>
    <row r="7" spans="1:19" ht="15.6" x14ac:dyDescent="0.3">
      <c r="A7" s="100" t="s">
        <v>147</v>
      </c>
      <c r="B7" s="100"/>
      <c r="C7" s="100"/>
      <c r="D7" s="100"/>
      <c r="E7" s="100"/>
      <c r="F7" s="100"/>
      <c r="G7" s="3"/>
      <c r="H7" s="101" t="s">
        <v>8</v>
      </c>
      <c r="I7" s="101"/>
      <c r="J7" s="101"/>
      <c r="K7" s="101"/>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c r="M8"/>
    </row>
    <row r="9" spans="1:19" ht="28.8" hidden="1" x14ac:dyDescent="0.3">
      <c r="A9" s="12">
        <v>32</v>
      </c>
      <c r="B9" s="72" t="s">
        <v>100</v>
      </c>
      <c r="C9" s="14"/>
      <c r="D9" s="15"/>
      <c r="E9" s="16"/>
      <c r="F9" s="16"/>
      <c r="G9" s="19"/>
      <c r="H9" s="18"/>
      <c r="I9" s="19"/>
      <c r="J9" s="20"/>
      <c r="K9" s="16"/>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91" t="s">
        <v>118</v>
      </c>
      <c r="C24" s="82"/>
      <c r="D24" s="92"/>
      <c r="E24" s="83"/>
      <c r="F24" s="83"/>
      <c r="G24" s="85"/>
      <c r="H24" s="84"/>
      <c r="I24" s="85"/>
      <c r="J24" s="86"/>
      <c r="K24" s="16"/>
      <c r="N24" s="1"/>
      <c r="O24" s="1"/>
      <c r="P24" s="1"/>
      <c r="Q24" s="1"/>
      <c r="R24" s="21"/>
      <c r="S24" s="21"/>
    </row>
    <row r="25" spans="1:19" ht="15" customHeight="1" x14ac:dyDescent="0.3">
      <c r="A25" s="12"/>
      <c r="B25" s="81" t="s">
        <v>149</v>
      </c>
      <c r="C25" s="82">
        <v>1</v>
      </c>
      <c r="D25" s="92">
        <f>5.23+0.025*2</f>
        <v>5.28</v>
      </c>
      <c r="E25" s="83">
        <v>3.31</v>
      </c>
      <c r="F25" s="83"/>
      <c r="G25" s="79">
        <f>PRODUCT(C25:F25)</f>
        <v>17.476800000000001</v>
      </c>
      <c r="H25" s="84"/>
      <c r="I25" s="85"/>
      <c r="J25" s="86"/>
      <c r="K25" s="16"/>
      <c r="N25" s="73">
        <f>CONVERT(G25,"m2","ft2")</f>
        <v>188.11870957075249</v>
      </c>
      <c r="O25" s="1"/>
      <c r="P25" s="1"/>
      <c r="Q25" s="1"/>
      <c r="R25" s="21"/>
      <c r="S25" s="21"/>
    </row>
    <row r="26" spans="1:19" ht="15" customHeight="1" x14ac:dyDescent="0.3">
      <c r="A26" s="12"/>
      <c r="B26" s="81" t="s">
        <v>150</v>
      </c>
      <c r="C26" s="82">
        <v>1</v>
      </c>
      <c r="D26" s="92">
        <f>200/12/3.281</f>
        <v>5.0797521080971251</v>
      </c>
      <c r="E26" s="83">
        <v>3.31</v>
      </c>
      <c r="F26" s="83"/>
      <c r="G26" s="79">
        <f>PRODUCT(C26:F26)</f>
        <v>16.813979477801485</v>
      </c>
      <c r="H26" s="84"/>
      <c r="I26" s="85"/>
      <c r="J26" s="86"/>
      <c r="K26" s="16"/>
      <c r="N26" s="73">
        <f t="shared" ref="N26:N34" si="0">CONVERT(G26,"m2","ft2")</f>
        <v>180.98416884745089</v>
      </c>
      <c r="O26" s="1"/>
      <c r="P26" s="1"/>
      <c r="Q26" s="1"/>
      <c r="R26" s="21"/>
      <c r="S26" s="21"/>
    </row>
    <row r="27" spans="1:19" ht="15" customHeight="1" x14ac:dyDescent="0.3">
      <c r="A27" s="12"/>
      <c r="B27" s="81" t="s">
        <v>141</v>
      </c>
      <c r="C27" s="82">
        <v>4</v>
      </c>
      <c r="D27" s="92">
        <f>204/12/3.281</f>
        <v>5.1813471502590671</v>
      </c>
      <c r="E27" s="83">
        <f>(E59*2+F59)</f>
        <v>0.15000000000000002</v>
      </c>
      <c r="F27" s="83"/>
      <c r="G27" s="79">
        <f>PRODUCT(C27:F27)</f>
        <v>3.1088082901554408</v>
      </c>
      <c r="H27" s="84"/>
      <c r="I27" s="85"/>
      <c r="J27" s="86"/>
      <c r="K27" s="16"/>
      <c r="M27">
        <v>4.5999999999999996</v>
      </c>
      <c r="N27" s="73">
        <f t="shared" si="0"/>
        <v>33.462933937957693</v>
      </c>
      <c r="O27" s="1"/>
      <c r="P27" s="1"/>
      <c r="Q27" s="1"/>
      <c r="R27" s="21"/>
      <c r="S27" s="21"/>
    </row>
    <row r="28" spans="1:19" ht="15" customHeight="1" x14ac:dyDescent="0.3">
      <c r="A28" s="12"/>
      <c r="B28" s="81"/>
      <c r="C28" s="82">
        <v>2</v>
      </c>
      <c r="D28" s="92">
        <f>196/12/3.281</f>
        <v>4.9781570659351821</v>
      </c>
      <c r="E28" s="83">
        <v>0.15</v>
      </c>
      <c r="F28" s="83"/>
      <c r="G28" s="79">
        <f>PRODUCT(C28:F28)</f>
        <v>1.4934471197805546</v>
      </c>
      <c r="H28" s="84"/>
      <c r="I28" s="85"/>
      <c r="J28" s="86"/>
      <c r="K28" s="16"/>
      <c r="N28" s="73">
        <f t="shared" si="0"/>
        <v>16.075331009411045</v>
      </c>
      <c r="O28" s="1"/>
      <c r="P28" s="1"/>
      <c r="Q28" s="1"/>
      <c r="R28" s="21"/>
      <c r="S28" s="21"/>
    </row>
    <row r="29" spans="1:19" ht="15" customHeight="1" x14ac:dyDescent="0.3">
      <c r="A29" s="12"/>
      <c r="B29" s="81"/>
      <c r="C29" s="82">
        <v>4</v>
      </c>
      <c r="D29" s="92">
        <f>196/12/3.281</f>
        <v>4.9781570659351821</v>
      </c>
      <c r="E29" s="83">
        <v>0.15</v>
      </c>
      <c r="F29" s="83"/>
      <c r="G29" s="79">
        <f>PRODUCT(C29:F29)</f>
        <v>2.9868942395611091</v>
      </c>
      <c r="H29" s="84"/>
      <c r="I29" s="85"/>
      <c r="J29" s="86"/>
      <c r="K29" s="16"/>
      <c r="M29">
        <v>4.46</v>
      </c>
      <c r="N29" s="73">
        <f t="shared" si="0"/>
        <v>32.150662018822089</v>
      </c>
      <c r="O29" s="1"/>
      <c r="P29" s="1"/>
      <c r="Q29" s="1"/>
      <c r="R29" s="21"/>
      <c r="S29" s="21"/>
    </row>
    <row r="30" spans="1:19" ht="15" customHeight="1" x14ac:dyDescent="0.3">
      <c r="A30" s="12"/>
      <c r="B30" s="81"/>
      <c r="C30" s="82">
        <v>2</v>
      </c>
      <c r="D30" s="92">
        <f>190/12/3.281</f>
        <v>4.8257645026922686</v>
      </c>
      <c r="E30" s="83">
        <v>0.15</v>
      </c>
      <c r="F30" s="83"/>
      <c r="G30" s="79">
        <f>PRODUCT(C30:F30)</f>
        <v>1.4477293508076805</v>
      </c>
      <c r="H30" s="84"/>
      <c r="I30" s="85"/>
      <c r="J30" s="86"/>
      <c r="K30" s="16"/>
      <c r="N30" s="73">
        <f t="shared" si="0"/>
        <v>15.583229039735196</v>
      </c>
      <c r="O30" s="1"/>
      <c r="P30" s="1"/>
      <c r="Q30" s="1"/>
      <c r="R30" s="21"/>
      <c r="S30" s="21"/>
    </row>
    <row r="31" spans="1:19" ht="15" customHeight="1" x14ac:dyDescent="0.3">
      <c r="A31" s="12"/>
      <c r="B31" s="81" t="s">
        <v>152</v>
      </c>
      <c r="C31" s="82">
        <v>2</v>
      </c>
      <c r="D31" s="92">
        <f>17/12/3.281</f>
        <v>0.43177892918825561</v>
      </c>
      <c r="E31" s="83">
        <v>0.3</v>
      </c>
      <c r="F31" s="83"/>
      <c r="G31" s="79">
        <f t="shared" ref="G31:G35" si="1">PRODUCT(C31:F31)</f>
        <v>0.25906735751295334</v>
      </c>
      <c r="H31" s="84"/>
      <c r="I31" s="85"/>
      <c r="J31" s="86"/>
      <c r="K31" s="16"/>
      <c r="N31" s="73">
        <f t="shared" si="0"/>
        <v>2.7885778281631404</v>
      </c>
      <c r="O31" s="1"/>
      <c r="P31" s="1"/>
      <c r="Q31" s="1"/>
      <c r="R31" s="21"/>
      <c r="S31" s="21"/>
    </row>
    <row r="32" spans="1:19" ht="15" customHeight="1" x14ac:dyDescent="0.3">
      <c r="A32" s="12"/>
      <c r="B32" s="81"/>
      <c r="C32" s="82">
        <v>2</v>
      </c>
      <c r="D32" s="92">
        <f>40/12/3.281</f>
        <v>1.0159504216194251</v>
      </c>
      <c r="E32" s="83">
        <v>0.3</v>
      </c>
      <c r="F32" s="83"/>
      <c r="G32" s="79">
        <f t="shared" si="1"/>
        <v>0.60957025297165501</v>
      </c>
      <c r="H32" s="84"/>
      <c r="I32" s="85"/>
      <c r="J32" s="86"/>
      <c r="K32" s="16"/>
      <c r="M32">
        <f>0.07*10590</f>
        <v>741.30000000000007</v>
      </c>
      <c r="N32" s="73">
        <f t="shared" si="0"/>
        <v>6.5613595956779776</v>
      </c>
      <c r="O32" s="1"/>
      <c r="P32" s="1"/>
      <c r="Q32" s="1"/>
      <c r="R32" s="21"/>
      <c r="S32" s="21"/>
    </row>
    <row r="33" spans="1:19" ht="15" customHeight="1" x14ac:dyDescent="0.3">
      <c r="A33" s="12"/>
      <c r="B33" s="81"/>
      <c r="C33" s="82">
        <v>1</v>
      </c>
      <c r="D33" s="92">
        <f>40/12/3.281</f>
        <v>1.0159504216194251</v>
      </c>
      <c r="E33" s="83">
        <f>17/12/3.281</f>
        <v>0.43177892918825561</v>
      </c>
      <c r="F33" s="83"/>
      <c r="G33" s="79">
        <f t="shared" si="1"/>
        <v>0.43866598515519217</v>
      </c>
      <c r="H33" s="84"/>
      <c r="I33" s="85"/>
      <c r="J33" s="86"/>
      <c r="K33" s="16"/>
      <c r="N33" s="73">
        <f t="shared" si="0"/>
        <v>4.721761367068205</v>
      </c>
      <c r="O33" s="1"/>
      <c r="P33" s="1"/>
      <c r="Q33" s="1"/>
      <c r="R33" s="21"/>
      <c r="S33" s="21"/>
    </row>
    <row r="34" spans="1:19" ht="15" customHeight="1" x14ac:dyDescent="0.3">
      <c r="A34" s="12"/>
      <c r="B34" s="81" t="s">
        <v>151</v>
      </c>
      <c r="C34" s="82">
        <v>2</v>
      </c>
      <c r="D34" s="92">
        <v>1.2</v>
      </c>
      <c r="E34" s="83">
        <v>0.23</v>
      </c>
      <c r="F34" s="83"/>
      <c r="G34" s="79">
        <f t="shared" si="1"/>
        <v>0.55200000000000005</v>
      </c>
      <c r="H34" s="84"/>
      <c r="I34" s="85"/>
      <c r="J34" s="86"/>
      <c r="K34" s="16"/>
      <c r="N34" s="73">
        <f t="shared" si="0"/>
        <v>5.9416785500237674</v>
      </c>
      <c r="O34" s="1"/>
      <c r="P34" s="1"/>
      <c r="Q34" s="1"/>
      <c r="R34" s="21"/>
      <c r="S34" s="21"/>
    </row>
    <row r="35" spans="1:19" ht="15" customHeight="1" x14ac:dyDescent="0.3">
      <c r="A35" s="12"/>
      <c r="B35" s="81" t="s">
        <v>153</v>
      </c>
      <c r="C35" s="82">
        <v>1</v>
      </c>
      <c r="D35" s="92">
        <f>11/3.281</f>
        <v>3.3526363913441024</v>
      </c>
      <c r="E35" s="83">
        <f>8/12/3.281</f>
        <v>0.20319008432388497</v>
      </c>
      <c r="F35" s="83"/>
      <c r="G35" s="79">
        <f t="shared" si="1"/>
        <v>0.6812224710645336</v>
      </c>
      <c r="H35" s="84"/>
      <c r="I35" s="85"/>
      <c r="J35" s="86"/>
      <c r="K35" s="16"/>
      <c r="N35" s="73">
        <f>CONVERT(G35,"m2","ft2")</f>
        <v>7.3326176523882705</v>
      </c>
      <c r="O35" s="1"/>
      <c r="P35" s="1">
        <f>132/12/3.281</f>
        <v>3.3526363913441024</v>
      </c>
      <c r="Q35" s="1"/>
      <c r="R35" s="21"/>
      <c r="S35" s="21"/>
    </row>
    <row r="36" spans="1:19" ht="15" customHeight="1" x14ac:dyDescent="0.3">
      <c r="A36" s="12"/>
      <c r="B36" s="81"/>
      <c r="C36" s="82">
        <v>1</v>
      </c>
      <c r="D36" s="92">
        <v>3.31</v>
      </c>
      <c r="E36" s="83">
        <f>8/12/3.281</f>
        <v>0.20319008432388497</v>
      </c>
      <c r="F36" s="83"/>
      <c r="G36" s="79">
        <f t="shared" ref="G36" si="2">PRODUCT(C36:F36)</f>
        <v>0.6725591791120592</v>
      </c>
      <c r="H36" s="84"/>
      <c r="I36" s="85"/>
      <c r="J36" s="86"/>
      <c r="K36" s="16"/>
      <c r="N36" s="73">
        <f>CONVERT(G36,"m2","ft2")</f>
        <v>7.2393667538980342</v>
      </c>
      <c r="O36" s="1"/>
      <c r="P36" s="1"/>
      <c r="Q36" s="1"/>
      <c r="R36" s="21"/>
      <c r="S36" s="21"/>
    </row>
    <row r="37" spans="1:19" ht="15" customHeight="1" x14ac:dyDescent="0.3">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3">
      <c r="A38" s="25"/>
      <c r="B38" s="87" t="s">
        <v>135</v>
      </c>
      <c r="C38" s="78"/>
      <c r="D38" s="79"/>
      <c r="E38" s="79"/>
      <c r="F38" s="79"/>
      <c r="G38" s="88"/>
      <c r="H38" s="88"/>
      <c r="I38" s="89"/>
      <c r="J38" s="90">
        <f>0.13*G37*(95368.8)/10</f>
        <v>57700.953440754478</v>
      </c>
      <c r="K38" s="30"/>
    </row>
    <row r="39" spans="1:19" ht="15" customHeight="1" x14ac:dyDescent="0.3">
      <c r="A39" s="25"/>
      <c r="B39" s="22"/>
      <c r="C39" s="26"/>
      <c r="D39" s="17"/>
      <c r="E39" s="17"/>
      <c r="F39" s="17"/>
      <c r="G39" s="45"/>
      <c r="H39" s="45"/>
      <c r="I39" s="45"/>
      <c r="J39" s="39"/>
      <c r="K39" s="30"/>
    </row>
    <row r="40" spans="1:19" ht="43.2" x14ac:dyDescent="0.3">
      <c r="A40" s="25">
        <v>2</v>
      </c>
      <c r="B40" s="77" t="s">
        <v>154</v>
      </c>
      <c r="C40" s="78"/>
      <c r="D40" s="79"/>
      <c r="E40" s="79"/>
      <c r="F40" s="79"/>
      <c r="G40" s="79"/>
      <c r="H40" s="79"/>
      <c r="I40" s="79"/>
      <c r="J40" s="80"/>
      <c r="K40" s="30"/>
    </row>
    <row r="41" spans="1:19" ht="15" customHeight="1" x14ac:dyDescent="0.3">
      <c r="A41" s="12"/>
      <c r="B41" s="81" t="s">
        <v>101</v>
      </c>
      <c r="C41" s="82">
        <f>C35</f>
        <v>1</v>
      </c>
      <c r="D41" s="83">
        <f>D35</f>
        <v>3.3526363913441024</v>
      </c>
      <c r="E41" s="83"/>
      <c r="F41" s="83"/>
      <c r="G41" s="79">
        <f>PRODUCT(C41:F41)</f>
        <v>3.3526363913441024</v>
      </c>
      <c r="H41" s="84"/>
      <c r="I41" s="85"/>
      <c r="J41" s="86"/>
      <c r="K41" s="16"/>
      <c r="N41" s="73">
        <f t="shared" ref="N41:N43" si="3">CONVERT(G41,"m2","ft2")</f>
        <v>36.08747777622888</v>
      </c>
      <c r="O41" s="1"/>
      <c r="P41" s="1"/>
      <c r="Q41" s="1"/>
      <c r="R41" s="21"/>
      <c r="S41" s="21"/>
    </row>
    <row r="42" spans="1:19" ht="15" customHeight="1" x14ac:dyDescent="0.3">
      <c r="A42" s="12"/>
      <c r="B42" s="81"/>
      <c r="C42" s="82">
        <f>C36</f>
        <v>1</v>
      </c>
      <c r="D42" s="83">
        <f>D36</f>
        <v>3.31</v>
      </c>
      <c r="E42" s="83"/>
      <c r="F42" s="83"/>
      <c r="G42" s="79">
        <f>PRODUCT(C42:F42)</f>
        <v>3.31</v>
      </c>
      <c r="H42" s="84"/>
      <c r="I42" s="85"/>
      <c r="J42" s="86"/>
      <c r="K42" s="16"/>
      <c r="N42" s="73">
        <f t="shared" si="3"/>
        <v>35.62854347930918</v>
      </c>
      <c r="O42" s="1"/>
      <c r="P42" s="1"/>
      <c r="Q42" s="1"/>
      <c r="R42" s="21"/>
      <c r="S42" s="21"/>
    </row>
    <row r="43" spans="1:19" ht="15" customHeight="1" x14ac:dyDescent="0.3">
      <c r="A43" s="25"/>
      <c r="B43" s="87" t="s">
        <v>25</v>
      </c>
      <c r="C43" s="78"/>
      <c r="D43" s="79"/>
      <c r="E43" s="79"/>
      <c r="F43" s="79"/>
      <c r="G43" s="88">
        <f>SUM(G41:G42)</f>
        <v>6.6626363913441029</v>
      </c>
      <c r="H43" s="88" t="s">
        <v>68</v>
      </c>
      <c r="I43" s="89">
        <f>2563.07/1.15</f>
        <v>2228.7565217391307</v>
      </c>
      <c r="J43" s="90">
        <f>G43*I43</f>
        <v>14849.394309184636</v>
      </c>
      <c r="K43" s="30"/>
      <c r="N43" s="73">
        <f t="shared" si="3"/>
        <v>71.716021255538053</v>
      </c>
    </row>
    <row r="44" spans="1:19" ht="15" customHeight="1" x14ac:dyDescent="0.3">
      <c r="A44" s="25"/>
      <c r="B44" s="22"/>
      <c r="C44" s="26"/>
      <c r="D44" s="17"/>
      <c r="E44" s="17"/>
      <c r="F44" s="17"/>
      <c r="G44" s="45"/>
      <c r="H44" s="45"/>
      <c r="I44" s="45"/>
      <c r="J44" s="39"/>
      <c r="K44" s="30"/>
    </row>
    <row r="45" spans="1:19" s="1" customFormat="1" ht="43.2" x14ac:dyDescent="0.3">
      <c r="A45" s="25">
        <v>5</v>
      </c>
      <c r="B45" s="93" t="s">
        <v>138</v>
      </c>
      <c r="C45" s="94">
        <v>1</v>
      </c>
      <c r="D45" s="95">
        <v>3.5</v>
      </c>
      <c r="E45" s="95"/>
      <c r="F45" s="95"/>
      <c r="G45" s="95">
        <f>PRODUCT(C45:F45)</f>
        <v>3.5</v>
      </c>
      <c r="H45" s="96"/>
      <c r="I45" s="96"/>
      <c r="J45" s="96"/>
      <c r="K45" s="34"/>
      <c r="M45"/>
    </row>
    <row r="46" spans="1:19" ht="15" customHeight="1" x14ac:dyDescent="0.3">
      <c r="A46" s="25"/>
      <c r="B46" s="87" t="s">
        <v>25</v>
      </c>
      <c r="C46" s="78"/>
      <c r="D46" s="79"/>
      <c r="E46" s="79"/>
      <c r="F46" s="79"/>
      <c r="G46" s="88">
        <f>SUM(G45:G45)</f>
        <v>3.5</v>
      </c>
      <c r="H46" s="88" t="s">
        <v>105</v>
      </c>
      <c r="I46" s="88">
        <f>4289.73/1.15</f>
        <v>3730.2</v>
      </c>
      <c r="J46" s="90">
        <f>G45*I46</f>
        <v>13055.699999999999</v>
      </c>
      <c r="K46" s="30"/>
    </row>
    <row r="47" spans="1:19" ht="15" customHeight="1" x14ac:dyDescent="0.3">
      <c r="A47" s="25"/>
      <c r="B47" s="87" t="s">
        <v>135</v>
      </c>
      <c r="C47" s="78"/>
      <c r="D47" s="79"/>
      <c r="E47" s="79"/>
      <c r="F47" s="79"/>
      <c r="G47" s="88"/>
      <c r="H47" s="88"/>
      <c r="I47" s="89"/>
      <c r="J47" s="90">
        <f>0.13*G46*(7326/5)</f>
        <v>666.66600000000005</v>
      </c>
      <c r="K47" s="30"/>
    </row>
    <row r="48" spans="1:19" ht="15" customHeight="1" x14ac:dyDescent="0.3">
      <c r="A48" s="25"/>
      <c r="B48" s="87"/>
      <c r="C48" s="78"/>
      <c r="D48" s="79"/>
      <c r="E48" s="79"/>
      <c r="F48" s="79"/>
      <c r="G48" s="79"/>
      <c r="H48" s="79"/>
      <c r="I48" s="79"/>
      <c r="J48" s="80"/>
      <c r="K48" s="30"/>
    </row>
    <row r="49" spans="1:19" s="1" customFormat="1" ht="43.2" x14ac:dyDescent="0.3">
      <c r="A49" s="25">
        <v>6</v>
      </c>
      <c r="B49" s="93" t="s">
        <v>139</v>
      </c>
      <c r="C49" s="94">
        <v>2</v>
      </c>
      <c r="D49" s="95">
        <v>2</v>
      </c>
      <c r="E49" s="95"/>
      <c r="F49" s="95"/>
      <c r="G49" s="95">
        <f>PRODUCT(C49:F49)</f>
        <v>4</v>
      </c>
      <c r="H49" s="96"/>
      <c r="I49" s="96"/>
      <c r="J49" s="96"/>
      <c r="K49" s="34"/>
      <c r="M49"/>
    </row>
    <row r="50" spans="1:19" ht="15" customHeight="1" x14ac:dyDescent="0.3">
      <c r="A50" s="25"/>
      <c r="B50" s="87" t="s">
        <v>25</v>
      </c>
      <c r="C50" s="78"/>
      <c r="D50" s="79"/>
      <c r="E50" s="79"/>
      <c r="F50" s="79"/>
      <c r="G50" s="88">
        <f>SUM(G49:G49)</f>
        <v>4</v>
      </c>
      <c r="H50" s="88" t="s">
        <v>105</v>
      </c>
      <c r="I50" s="88">
        <f>4289.73/1.15</f>
        <v>3730.2</v>
      </c>
      <c r="J50" s="90">
        <f>G49*I50</f>
        <v>14920.8</v>
      </c>
      <c r="K50" s="30"/>
    </row>
    <row r="51" spans="1:19" ht="15" customHeight="1" x14ac:dyDescent="0.3">
      <c r="A51" s="25"/>
      <c r="B51" s="87" t="s">
        <v>135</v>
      </c>
      <c r="C51" s="78"/>
      <c r="D51" s="79"/>
      <c r="E51" s="79"/>
      <c r="F51" s="79"/>
      <c r="G51" s="88"/>
      <c r="H51" s="88"/>
      <c r="I51" s="89"/>
      <c r="J51" s="90">
        <f>0.13*G50*(7326/5)</f>
        <v>761.904</v>
      </c>
      <c r="K51" s="30"/>
    </row>
    <row r="52" spans="1:19" ht="15" customHeight="1" x14ac:dyDescent="0.3">
      <c r="A52" s="25"/>
      <c r="B52" s="22"/>
      <c r="C52" s="26"/>
      <c r="D52" s="17"/>
      <c r="E52" s="17"/>
      <c r="F52" s="17"/>
      <c r="G52" s="45"/>
      <c r="H52" s="45"/>
      <c r="I52" s="45"/>
      <c r="J52" s="39"/>
      <c r="K52" s="30"/>
    </row>
    <row r="53" spans="1:19" ht="28.8" x14ac:dyDescent="0.3">
      <c r="A53" s="25">
        <v>7</v>
      </c>
      <c r="B53" s="97" t="s">
        <v>87</v>
      </c>
      <c r="C53" s="78"/>
      <c r="D53" s="79"/>
      <c r="E53" s="79"/>
      <c r="F53" s="79"/>
      <c r="G53" s="79"/>
      <c r="H53" s="79"/>
      <c r="I53" s="79"/>
      <c r="J53" s="80"/>
      <c r="K53" s="30"/>
    </row>
    <row r="54" spans="1:19" ht="15" customHeight="1" x14ac:dyDescent="0.3">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3">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3">
      <c r="A56" s="25"/>
      <c r="B56" s="87" t="s">
        <v>135</v>
      </c>
      <c r="C56" s="78"/>
      <c r="D56" s="79"/>
      <c r="E56" s="79"/>
      <c r="F56" s="79"/>
      <c r="G56" s="88"/>
      <c r="H56" s="88"/>
      <c r="I56" s="89"/>
      <c r="J56" s="90">
        <f>0.13*G55*(1397.55/10)</f>
        <v>602.87768611586228</v>
      </c>
      <c r="K56" s="30"/>
    </row>
    <row r="57" spans="1:19" ht="15" customHeight="1" x14ac:dyDescent="0.3">
      <c r="A57" s="25"/>
      <c r="B57" s="22"/>
      <c r="C57" s="26"/>
      <c r="D57" s="17"/>
      <c r="E57" s="17"/>
      <c r="F57" s="17"/>
      <c r="G57" s="27"/>
      <c r="H57" s="27"/>
      <c r="I57" s="28"/>
      <c r="J57" s="29"/>
      <c r="K57" s="30"/>
    </row>
    <row r="58" spans="1:19" ht="28.8" x14ac:dyDescent="0.3">
      <c r="A58" s="25">
        <v>8</v>
      </c>
      <c r="B58" s="97" t="s">
        <v>140</v>
      </c>
      <c r="C58" s="78"/>
      <c r="D58" s="79"/>
      <c r="E58" s="79"/>
      <c r="F58" s="79"/>
      <c r="G58" s="79"/>
      <c r="H58" s="79"/>
      <c r="I58" s="79"/>
      <c r="J58" s="80"/>
      <c r="K58" s="30"/>
    </row>
    <row r="59" spans="1:19" ht="15" customHeight="1" x14ac:dyDescent="0.3">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3">
      <c r="A60" s="12"/>
      <c r="B60" s="81"/>
      <c r="C60" s="82">
        <v>2</v>
      </c>
      <c r="D60" s="92">
        <f t="shared" ref="D60:D62" si="4">D28</f>
        <v>4.9781570659351821</v>
      </c>
      <c r="E60" s="83">
        <v>0.05</v>
      </c>
      <c r="F60" s="83">
        <v>0.05</v>
      </c>
      <c r="G60" s="79">
        <f t="shared" ref="G60:G62" si="5">PRODUCT(C60:F60)</f>
        <v>2.4890785329675914E-2</v>
      </c>
      <c r="H60" s="84"/>
      <c r="I60" s="85"/>
      <c r="J60" s="86"/>
      <c r="K60" s="16"/>
      <c r="N60" s="1"/>
      <c r="O60" s="1"/>
      <c r="P60" s="1"/>
      <c r="Q60" s="1"/>
      <c r="R60" s="21"/>
      <c r="S60" s="21"/>
    </row>
    <row r="61" spans="1:19" ht="15" customHeight="1" x14ac:dyDescent="0.3">
      <c r="A61" s="12"/>
      <c r="B61" s="81"/>
      <c r="C61" s="82">
        <v>4</v>
      </c>
      <c r="D61" s="92">
        <f t="shared" si="4"/>
        <v>4.9781570659351821</v>
      </c>
      <c r="E61" s="83">
        <f>2/12/3.281</f>
        <v>5.0797521080971242E-2</v>
      </c>
      <c r="F61" s="83">
        <f>2/12/3.281</f>
        <v>5.0797521080971242E-2</v>
      </c>
      <c r="G61" s="79">
        <f t="shared" si="5"/>
        <v>5.1382309966723223E-2</v>
      </c>
      <c r="H61" s="84"/>
      <c r="I61" s="85"/>
      <c r="J61" s="86"/>
      <c r="K61" s="16"/>
      <c r="N61" s="1"/>
      <c r="O61" s="1"/>
      <c r="P61" s="1"/>
      <c r="Q61" s="1"/>
      <c r="R61" s="21"/>
      <c r="S61" s="21"/>
    </row>
    <row r="62" spans="1:19" ht="15" customHeight="1" x14ac:dyDescent="0.3">
      <c r="A62" s="12"/>
      <c r="B62" s="81"/>
      <c r="C62" s="82">
        <v>2</v>
      </c>
      <c r="D62" s="92">
        <f t="shared" si="4"/>
        <v>4.8257645026922686</v>
      </c>
      <c r="E62" s="83">
        <f>2/12/3.281</f>
        <v>5.0797521080971242E-2</v>
      </c>
      <c r="F62" s="83">
        <f>2/12/3.281</f>
        <v>5.0797521080971242E-2</v>
      </c>
      <c r="G62" s="79">
        <f t="shared" si="5"/>
        <v>2.4904691055299522E-2</v>
      </c>
      <c r="H62" s="84"/>
      <c r="I62" s="85"/>
      <c r="J62" s="86"/>
      <c r="K62" s="16"/>
      <c r="N62" s="1"/>
      <c r="O62" s="1"/>
      <c r="P62" s="1"/>
      <c r="Q62" s="1"/>
      <c r="R62" s="21"/>
      <c r="S62" s="21"/>
    </row>
    <row r="63" spans="1:19" ht="15" customHeight="1" x14ac:dyDescent="0.3">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3">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3">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3">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3">
      <c r="A67" s="25"/>
      <c r="B67" s="87" t="s">
        <v>142</v>
      </c>
      <c r="C67" s="78"/>
      <c r="D67" s="79"/>
      <c r="E67" s="79"/>
      <c r="F67" s="79"/>
      <c r="G67" s="88"/>
      <c r="H67" s="88"/>
      <c r="I67" s="89"/>
      <c r="J67" s="90">
        <f>0.13*G66*225887.77</f>
        <v>6250.7038313801177</v>
      </c>
      <c r="K67" s="30"/>
    </row>
    <row r="68" spans="1:19" ht="15" customHeight="1" x14ac:dyDescent="0.3">
      <c r="A68" s="25"/>
      <c r="B68" s="22"/>
      <c r="C68" s="26"/>
      <c r="D68" s="17"/>
      <c r="E68" s="17"/>
      <c r="F68" s="17"/>
      <c r="G68" s="27"/>
      <c r="H68" s="27"/>
      <c r="I68" s="28"/>
      <c r="J68" s="29"/>
      <c r="K68" s="30"/>
    </row>
    <row r="69" spans="1:19" x14ac:dyDescent="0.3">
      <c r="A69" s="25">
        <v>11</v>
      </c>
      <c r="B69" s="97" t="s">
        <v>158</v>
      </c>
      <c r="C69" s="78"/>
      <c r="D69" s="79"/>
      <c r="E69" s="79"/>
      <c r="F69" s="79"/>
      <c r="G69" s="79"/>
      <c r="H69" s="79"/>
      <c r="I69" s="79"/>
      <c r="J69" s="80"/>
      <c r="K69" s="30"/>
    </row>
    <row r="70" spans="1:19" ht="15" customHeight="1" x14ac:dyDescent="0.3">
      <c r="A70" s="25"/>
      <c r="B70" s="112"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3">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3">
      <c r="A72" s="25"/>
      <c r="B72" s="87" t="s">
        <v>25</v>
      </c>
      <c r="C72" s="78"/>
      <c r="D72" s="79"/>
      <c r="E72" s="79"/>
      <c r="F72" s="79"/>
      <c r="G72" s="88">
        <f>SUM(G70:G71)</f>
        <v>1.1921393243629337</v>
      </c>
      <c r="H72" s="88" t="s">
        <v>26</v>
      </c>
      <c r="I72" s="89">
        <f>15743.5/1.15</f>
        <v>13690.000000000002</v>
      </c>
      <c r="J72" s="90">
        <f>G72*I72</f>
        <v>16320.387350528565</v>
      </c>
      <c r="K72" s="30"/>
    </row>
    <row r="73" spans="1:19" x14ac:dyDescent="0.3">
      <c r="A73" s="25"/>
      <c r="B73" s="24"/>
      <c r="C73" s="26"/>
      <c r="D73" s="17"/>
      <c r="E73" s="17"/>
      <c r="F73" s="17"/>
      <c r="G73" s="45"/>
      <c r="H73" s="45"/>
      <c r="I73" s="45"/>
      <c r="J73" s="39"/>
      <c r="K73" s="30"/>
    </row>
    <row r="74" spans="1:19" ht="28.8" x14ac:dyDescent="0.3">
      <c r="A74" s="25">
        <v>11</v>
      </c>
      <c r="B74" s="77" t="s">
        <v>155</v>
      </c>
      <c r="C74" s="78"/>
      <c r="D74" s="79"/>
      <c r="E74" s="79"/>
      <c r="F74" s="79"/>
      <c r="G74" s="79"/>
      <c r="H74" s="79"/>
      <c r="I74" s="79"/>
      <c r="J74" s="80"/>
      <c r="K74" s="30"/>
    </row>
    <row r="75" spans="1:19" ht="15" customHeight="1" x14ac:dyDescent="0.3">
      <c r="A75" s="25"/>
      <c r="B75" s="87" t="s">
        <v>133</v>
      </c>
      <c r="C75" s="78">
        <v>1</v>
      </c>
      <c r="D75" s="79">
        <v>0.9</v>
      </c>
      <c r="E75" s="79"/>
      <c r="F75" s="79">
        <v>1.5</v>
      </c>
      <c r="G75" s="79">
        <f>PRODUCT(C75:F75)</f>
        <v>1.35</v>
      </c>
      <c r="H75" s="79"/>
      <c r="I75" s="79"/>
      <c r="J75" s="80"/>
      <c r="K75" s="30"/>
    </row>
    <row r="76" spans="1:19" ht="15" customHeight="1" x14ac:dyDescent="0.3">
      <c r="A76" s="25"/>
      <c r="B76" s="87" t="s">
        <v>156</v>
      </c>
      <c r="C76" s="78">
        <v>-1</v>
      </c>
      <c r="D76" s="79">
        <v>0.88</v>
      </c>
      <c r="E76" s="79"/>
      <c r="F76" s="79">
        <v>0.3</v>
      </c>
      <c r="G76" s="79">
        <f>PRODUCT(C76:F76)</f>
        <v>-0.26400000000000001</v>
      </c>
      <c r="H76" s="79"/>
      <c r="I76" s="79"/>
      <c r="J76" s="80"/>
      <c r="K76" s="30"/>
    </row>
    <row r="77" spans="1:19" ht="15" customHeight="1" x14ac:dyDescent="0.3">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3">
      <c r="A78" s="25"/>
      <c r="B78" s="87" t="s">
        <v>142</v>
      </c>
      <c r="C78" s="78"/>
      <c r="D78" s="79"/>
      <c r="E78" s="79"/>
      <c r="F78" s="79"/>
      <c r="G78" s="88"/>
      <c r="H78" s="88"/>
      <c r="I78" s="89"/>
      <c r="J78" s="90">
        <f>0.13*G77*(41917.47/1.772)</f>
        <v>3339.6774348758472</v>
      </c>
      <c r="K78" s="30"/>
    </row>
    <row r="79" spans="1:19" x14ac:dyDescent="0.3">
      <c r="A79" s="25"/>
      <c r="B79" s="24"/>
      <c r="C79" s="26"/>
      <c r="D79" s="17"/>
      <c r="E79" s="17"/>
      <c r="F79" s="17"/>
      <c r="G79" s="45"/>
      <c r="H79" s="45"/>
      <c r="I79" s="45"/>
      <c r="J79" s="39"/>
      <c r="K79" s="30"/>
    </row>
    <row r="80" spans="1:19" ht="43.2" x14ac:dyDescent="0.3">
      <c r="A80" s="25">
        <v>13</v>
      </c>
      <c r="B80" s="77" t="s">
        <v>125</v>
      </c>
      <c r="C80" s="78"/>
      <c r="D80" s="79"/>
      <c r="E80" s="79"/>
      <c r="F80" s="79"/>
      <c r="G80" s="79"/>
      <c r="H80" s="79"/>
      <c r="I80" s="79"/>
      <c r="J80" s="80"/>
      <c r="K80" s="30"/>
    </row>
    <row r="81" spans="1:11" ht="15" customHeight="1" x14ac:dyDescent="0.3">
      <c r="A81" s="25"/>
      <c r="B81" s="87" t="s">
        <v>96</v>
      </c>
      <c r="C81" s="78">
        <v>1</v>
      </c>
      <c r="D81" s="79">
        <f>D76</f>
        <v>0.88</v>
      </c>
      <c r="E81" s="79"/>
      <c r="F81" s="79">
        <f>F76</f>
        <v>0.3</v>
      </c>
      <c r="G81" s="79">
        <f>PRODUCT(C81:F81)</f>
        <v>0.26400000000000001</v>
      </c>
      <c r="H81" s="79"/>
      <c r="I81" s="79"/>
      <c r="J81" s="80"/>
      <c r="K81" s="30"/>
    </row>
    <row r="82" spans="1:11" ht="15" customHeight="1" x14ac:dyDescent="0.3">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3">
      <c r="A83" s="25"/>
      <c r="B83" s="87" t="s">
        <v>142</v>
      </c>
      <c r="C83" s="78"/>
      <c r="D83" s="79"/>
      <c r="E83" s="79"/>
      <c r="F83" s="79"/>
      <c r="G83" s="88"/>
      <c r="H83" s="88"/>
      <c r="I83" s="89"/>
      <c r="J83" s="90">
        <f>0.13*G82*(9888.94/0.92)</f>
        <v>368.90045739130437</v>
      </c>
      <c r="K83" s="30"/>
    </row>
    <row r="84" spans="1:11" ht="15" customHeight="1" x14ac:dyDescent="0.3">
      <c r="A84" s="25"/>
      <c r="B84" s="22"/>
      <c r="C84" s="26"/>
      <c r="D84" s="17"/>
      <c r="E84" s="17"/>
      <c r="F84" s="17"/>
      <c r="G84" s="45"/>
      <c r="H84" s="45"/>
      <c r="I84" s="45"/>
      <c r="J84" s="39"/>
      <c r="K84" s="30"/>
    </row>
    <row r="85" spans="1:11" ht="30.6" x14ac:dyDescent="0.3">
      <c r="A85" s="25">
        <v>14</v>
      </c>
      <c r="B85" s="113" t="s">
        <v>97</v>
      </c>
      <c r="C85" s="78"/>
      <c r="D85" s="79"/>
      <c r="E85" s="79"/>
      <c r="F85" s="79"/>
      <c r="G85" s="79"/>
      <c r="H85" s="79"/>
      <c r="I85" s="79"/>
      <c r="J85" s="80"/>
      <c r="K85" s="30"/>
    </row>
    <row r="86" spans="1:11" ht="15" customHeight="1" x14ac:dyDescent="0.3">
      <c r="A86" s="25"/>
      <c r="B86" s="87" t="s">
        <v>98</v>
      </c>
      <c r="C86" s="78">
        <v>1</v>
      </c>
      <c r="D86" s="79">
        <v>0.95</v>
      </c>
      <c r="E86" s="79"/>
      <c r="F86" s="79">
        <v>1.85</v>
      </c>
      <c r="G86" s="79">
        <f>PRODUCT(C86:F86)</f>
        <v>1.7575000000000001</v>
      </c>
      <c r="H86" s="79"/>
      <c r="I86" s="79"/>
      <c r="J86" s="80"/>
      <c r="K86" s="30"/>
    </row>
    <row r="87" spans="1:11" ht="15" customHeight="1" x14ac:dyDescent="0.3">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3">
      <c r="A88" s="25"/>
      <c r="B88" s="87" t="s">
        <v>142</v>
      </c>
      <c r="C88" s="78"/>
      <c r="D88" s="79"/>
      <c r="E88" s="79"/>
      <c r="F88" s="79"/>
      <c r="G88" s="88"/>
      <c r="H88" s="88"/>
      <c r="I88" s="89"/>
      <c r="J88" s="90">
        <f>0.13*G87*(20356.18/2.114)</f>
        <v>2200.0370035477767</v>
      </c>
      <c r="K88" s="30"/>
    </row>
    <row r="89" spans="1:11" ht="15.6" x14ac:dyDescent="0.3">
      <c r="A89" s="25"/>
      <c r="B89" s="11"/>
      <c r="C89" s="26"/>
      <c r="D89" s="17"/>
      <c r="E89" s="17"/>
      <c r="F89" s="17"/>
      <c r="G89" s="45"/>
      <c r="H89" s="45"/>
      <c r="I89" s="45"/>
      <c r="J89" s="39"/>
      <c r="K89" s="30"/>
    </row>
    <row r="90" spans="1:11" ht="28.8" x14ac:dyDescent="0.3">
      <c r="A90" s="25">
        <v>9</v>
      </c>
      <c r="B90" s="97" t="s">
        <v>132</v>
      </c>
      <c r="C90" s="78"/>
      <c r="D90" s="79"/>
      <c r="E90" s="79"/>
      <c r="F90" s="79"/>
      <c r="G90" s="79"/>
      <c r="H90" s="79"/>
      <c r="I90" s="79"/>
      <c r="J90" s="80"/>
      <c r="K90" s="30"/>
    </row>
    <row r="91" spans="1:11" x14ac:dyDescent="0.3">
      <c r="A91" s="25"/>
      <c r="B91" s="87" t="s">
        <v>92</v>
      </c>
      <c r="C91" s="78">
        <v>2</v>
      </c>
      <c r="D91" s="79">
        <f>7/3.281</f>
        <v>2.1334958854007922</v>
      </c>
      <c r="E91" s="79">
        <f>0.1</f>
        <v>0.1</v>
      </c>
      <c r="F91" s="79">
        <v>0.125</v>
      </c>
      <c r="G91" s="79">
        <f>PRODUCT(C91:F91)</f>
        <v>5.333739713501981E-2</v>
      </c>
      <c r="H91" s="79"/>
      <c r="I91" s="79"/>
      <c r="J91" s="80"/>
      <c r="K91" s="30"/>
    </row>
    <row r="92" spans="1:11" x14ac:dyDescent="0.3">
      <c r="A92" s="25"/>
      <c r="B92" s="87"/>
      <c r="C92" s="78">
        <v>1</v>
      </c>
      <c r="D92" s="79">
        <f>4/3.281</f>
        <v>1.2191405059433098</v>
      </c>
      <c r="E92" s="79">
        <v>0.1</v>
      </c>
      <c r="F92" s="79">
        <v>0.125</v>
      </c>
      <c r="G92" s="79">
        <f>PRODUCT(C92:F92)</f>
        <v>1.5239256324291373E-2</v>
      </c>
      <c r="H92" s="79"/>
      <c r="I92" s="79"/>
      <c r="J92" s="80"/>
      <c r="K92" s="30"/>
    </row>
    <row r="93" spans="1:11" x14ac:dyDescent="0.3">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3">
      <c r="A94" s="25"/>
      <c r="B94" s="87"/>
      <c r="C94" s="78">
        <v>1</v>
      </c>
      <c r="D94" s="79">
        <f>6.75/3.281</f>
        <v>2.0572996037793354</v>
      </c>
      <c r="E94" s="79">
        <f>4/12/3.281</f>
        <v>0.10159504216194248</v>
      </c>
      <c r="F94" s="79">
        <f>2/12/3.281</f>
        <v>5.0797521080971242E-2</v>
      </c>
      <c r="G94" s="79">
        <f t="shared" ref="G94:G96" si="6">PRODUCT(C94:F94)</f>
        <v>1.0617263028838217E-2</v>
      </c>
      <c r="H94" s="79"/>
      <c r="I94" s="79"/>
      <c r="J94" s="80"/>
      <c r="K94" s="30"/>
    </row>
    <row r="95" spans="1:11" x14ac:dyDescent="0.3">
      <c r="A95" s="25"/>
      <c r="B95" s="87"/>
      <c r="C95" s="78">
        <v>1</v>
      </c>
      <c r="D95" s="79">
        <f>4/3.281</f>
        <v>1.2191405059433098</v>
      </c>
      <c r="E95" s="79">
        <f>4/12/3.281</f>
        <v>0.10159504216194248</v>
      </c>
      <c r="F95" s="79">
        <f>2/12/3.281</f>
        <v>5.0797521080971242E-2</v>
      </c>
      <c r="G95" s="79">
        <f t="shared" si="6"/>
        <v>6.2917114244967201E-3</v>
      </c>
      <c r="H95" s="79"/>
      <c r="I95" s="79"/>
      <c r="J95" s="80"/>
      <c r="K95" s="30"/>
    </row>
    <row r="96" spans="1:11" x14ac:dyDescent="0.3">
      <c r="A96" s="25"/>
      <c r="B96" s="87"/>
      <c r="C96" s="78">
        <v>1</v>
      </c>
      <c r="D96" s="79">
        <f>5/3.281</f>
        <v>1.5239256324291375</v>
      </c>
      <c r="E96" s="79">
        <f>5/12/3.281</f>
        <v>0.12699380270242813</v>
      </c>
      <c r="F96" s="79">
        <f>2/12/3.281</f>
        <v>5.0797521080971242E-2</v>
      </c>
      <c r="G96" s="79">
        <f t="shared" si="6"/>
        <v>9.8307991007761299E-3</v>
      </c>
      <c r="H96" s="79"/>
      <c r="I96" s="79"/>
      <c r="J96" s="80"/>
      <c r="K96" s="30"/>
    </row>
    <row r="97" spans="1:14" ht="15" customHeight="1" x14ac:dyDescent="0.3">
      <c r="A97" s="25"/>
      <c r="B97" s="87" t="s">
        <v>25</v>
      </c>
      <c r="C97" s="78"/>
      <c r="D97" s="79"/>
      <c r="E97" s="79"/>
      <c r="F97" s="79"/>
      <c r="G97" s="88">
        <f>SUM(G91:G96)</f>
        <v>0.11183216950272613</v>
      </c>
      <c r="H97" s="88" t="s">
        <v>29</v>
      </c>
      <c r="I97" s="89">
        <f>353723.98/1.15</f>
        <v>307586.06956521742</v>
      </c>
      <c r="J97" s="90">
        <f>G97*I97</f>
        <v>34398.017468294704</v>
      </c>
      <c r="K97" s="30"/>
      <c r="M97">
        <f>1.03*3.281</f>
        <v>3.3794300000000002</v>
      </c>
    </row>
    <row r="98" spans="1:14" ht="15" customHeight="1" x14ac:dyDescent="0.3">
      <c r="A98" s="25"/>
      <c r="B98" s="87" t="s">
        <v>142</v>
      </c>
      <c r="C98" s="78"/>
      <c r="D98" s="79"/>
      <c r="E98" s="79"/>
      <c r="F98" s="79"/>
      <c r="G98" s="88"/>
      <c r="H98" s="88"/>
      <c r="I98" s="89"/>
      <c r="J98" s="90">
        <f>0.13*G97*262808.07</f>
        <v>3820.7515620201611</v>
      </c>
      <c r="K98" s="30"/>
    </row>
    <row r="99" spans="1:14" ht="15" customHeight="1" x14ac:dyDescent="0.3">
      <c r="A99" s="25"/>
      <c r="B99" s="22"/>
      <c r="C99" s="26"/>
      <c r="D99" s="17"/>
      <c r="E99" s="17"/>
      <c r="F99" s="17"/>
      <c r="G99" s="27"/>
      <c r="H99" s="27"/>
      <c r="I99" s="28"/>
      <c r="J99" s="29"/>
      <c r="K99" s="30"/>
    </row>
    <row r="100" spans="1:14" ht="28.8" x14ac:dyDescent="0.3">
      <c r="A100" s="96">
        <v>10</v>
      </c>
      <c r="B100" s="77" t="s">
        <v>99</v>
      </c>
      <c r="C100" s="78"/>
      <c r="D100" s="79"/>
      <c r="E100" s="79"/>
      <c r="F100" s="79"/>
      <c r="G100" s="79"/>
      <c r="H100" s="79"/>
      <c r="I100" s="79"/>
      <c r="J100" s="80"/>
      <c r="K100" s="30"/>
    </row>
    <row r="101" spans="1:14" ht="15" customHeight="1" x14ac:dyDescent="0.3">
      <c r="A101" s="96"/>
      <c r="B101" s="87" t="s">
        <v>98</v>
      </c>
      <c r="C101" s="78">
        <v>1</v>
      </c>
      <c r="D101" s="79">
        <v>1.18</v>
      </c>
      <c r="E101" s="79"/>
      <c r="F101" s="79">
        <v>2.0699999999999998</v>
      </c>
      <c r="G101" s="79">
        <f>PRODUCT(C101:F101)</f>
        <v>2.4425999999999997</v>
      </c>
      <c r="H101" s="79"/>
      <c r="I101" s="79"/>
      <c r="J101" s="80"/>
      <c r="K101" s="30"/>
    </row>
    <row r="102" spans="1:14" ht="15" customHeight="1" x14ac:dyDescent="0.3">
      <c r="A102" s="96"/>
      <c r="B102" s="87" t="s">
        <v>159</v>
      </c>
      <c r="C102" s="78">
        <v>-1</v>
      </c>
      <c r="D102" s="79">
        <f>D86</f>
        <v>0.95</v>
      </c>
      <c r="E102" s="79"/>
      <c r="F102" s="79">
        <f>F86</f>
        <v>1.85</v>
      </c>
      <c r="G102" s="79">
        <f>PRODUCT(C102:F102)</f>
        <v>-1.7575000000000001</v>
      </c>
      <c r="H102" s="79"/>
      <c r="I102" s="79"/>
      <c r="J102" s="80"/>
      <c r="K102" s="30"/>
    </row>
    <row r="103" spans="1:14" ht="15" customHeight="1" x14ac:dyDescent="0.3">
      <c r="A103" s="96"/>
      <c r="B103" s="87" t="s">
        <v>25</v>
      </c>
      <c r="C103" s="78"/>
      <c r="D103" s="79"/>
      <c r="E103" s="79"/>
      <c r="F103" s="79"/>
      <c r="G103" s="88">
        <f>SUM(G101:G102)</f>
        <v>0.6850999999999996</v>
      </c>
      <c r="H103" s="88" t="s">
        <v>26</v>
      </c>
      <c r="I103" s="89">
        <f>46573/1.15</f>
        <v>40498.260869565223</v>
      </c>
      <c r="J103" s="90">
        <f>G103*I103</f>
        <v>27745.358521739119</v>
      </c>
      <c r="K103" s="30"/>
    </row>
    <row r="104" spans="1:14" x14ac:dyDescent="0.3">
      <c r="A104" s="25"/>
      <c r="B104" s="24"/>
      <c r="C104" s="26"/>
      <c r="D104" s="17"/>
      <c r="E104" s="17"/>
      <c r="F104" s="17"/>
      <c r="G104" s="45"/>
      <c r="H104" s="45"/>
      <c r="I104" s="45"/>
      <c r="J104" s="39"/>
      <c r="K104" s="30"/>
    </row>
    <row r="105" spans="1:14" ht="28.8" x14ac:dyDescent="0.3">
      <c r="A105" s="47">
        <v>10</v>
      </c>
      <c r="B105" s="114" t="s">
        <v>99</v>
      </c>
      <c r="C105" s="49"/>
      <c r="D105" s="50"/>
      <c r="E105" s="50"/>
      <c r="F105" s="50"/>
      <c r="G105" s="50"/>
      <c r="H105" s="50"/>
      <c r="I105" s="50"/>
      <c r="J105" s="51"/>
      <c r="K105" s="52"/>
    </row>
    <row r="106" spans="1:14" ht="15" customHeight="1" x14ac:dyDescent="0.3">
      <c r="A106" s="47"/>
      <c r="B106" s="48" t="s">
        <v>160</v>
      </c>
      <c r="C106" s="49">
        <v>1</v>
      </c>
      <c r="D106" s="50">
        <f>D91</f>
        <v>2.1334958854007922</v>
      </c>
      <c r="E106" s="50"/>
      <c r="F106" s="50">
        <f>F91</f>
        <v>0.125</v>
      </c>
      <c r="G106" s="50">
        <f>PRODUCT(C106:F106)</f>
        <v>0.26668698567509902</v>
      </c>
      <c r="H106" s="50"/>
      <c r="I106" s="50"/>
      <c r="J106" s="51"/>
      <c r="K106" s="52"/>
    </row>
    <row r="107" spans="1:14" ht="15" customHeight="1" x14ac:dyDescent="0.3">
      <c r="A107" s="47"/>
      <c r="B107" s="48" t="s">
        <v>25</v>
      </c>
      <c r="C107" s="49"/>
      <c r="D107" s="50"/>
      <c r="E107" s="50"/>
      <c r="F107" s="50"/>
      <c r="G107" s="55">
        <f>SUM(G106:G106)</f>
        <v>0.26668698567509902</v>
      </c>
      <c r="H107" s="55" t="s">
        <v>26</v>
      </c>
      <c r="I107" s="56">
        <f>46573/1.15</f>
        <v>40498.260869565223</v>
      </c>
      <c r="J107" s="57">
        <f>G107*I107</f>
        <v>10800.359116388165</v>
      </c>
      <c r="K107" s="52"/>
    </row>
    <row r="108" spans="1:14" x14ac:dyDescent="0.3">
      <c r="A108" s="47"/>
      <c r="B108" s="114"/>
      <c r="C108" s="49"/>
      <c r="D108" s="50"/>
      <c r="E108" s="50"/>
      <c r="F108" s="50"/>
      <c r="G108" s="50"/>
      <c r="H108" s="50"/>
      <c r="I108" s="50"/>
      <c r="J108" s="51"/>
      <c r="K108" s="52"/>
    </row>
    <row r="109" spans="1:14" ht="46.8" x14ac:dyDescent="0.3">
      <c r="A109" s="116">
        <v>10</v>
      </c>
      <c r="B109" s="117" t="s">
        <v>53</v>
      </c>
      <c r="C109" s="118"/>
      <c r="D109" s="118"/>
      <c r="E109" s="118"/>
      <c r="F109" s="118"/>
      <c r="G109" s="119"/>
      <c r="H109" s="84"/>
      <c r="I109" s="85"/>
      <c r="J109" s="85"/>
      <c r="K109" s="16"/>
    </row>
    <row r="110" spans="1:14" ht="15" customHeight="1" x14ac:dyDescent="0.3">
      <c r="A110" s="116"/>
      <c r="B110" s="81" t="s">
        <v>54</v>
      </c>
      <c r="C110" s="82">
        <v>1</v>
      </c>
      <c r="D110" s="92"/>
      <c r="E110" s="83">
        <f>11.667/3.281</f>
        <v>3.555928070710149</v>
      </c>
      <c r="F110" s="83">
        <f>18.33/3.281</f>
        <v>5.5867113684852168</v>
      </c>
      <c r="G110" s="79">
        <f t="shared" ref="G110:G116" si="7">PRODUCT(C110:F110)</f>
        <v>19.865943778152094</v>
      </c>
      <c r="H110" s="84"/>
      <c r="I110" s="85"/>
      <c r="J110" s="86"/>
      <c r="K110" s="16"/>
      <c r="N110" s="21"/>
    </row>
    <row r="111" spans="1:14" ht="15" customHeight="1" x14ac:dyDescent="0.3">
      <c r="A111" s="116"/>
      <c r="B111" s="81" t="s">
        <v>161</v>
      </c>
      <c r="C111" s="82">
        <v>-1</v>
      </c>
      <c r="D111" s="92">
        <f>3/3.281</f>
        <v>0.91435537945748246</v>
      </c>
      <c r="E111" s="83"/>
      <c r="F111" s="83">
        <f>5/3.281</f>
        <v>1.5239256324291375</v>
      </c>
      <c r="G111" s="79">
        <f t="shared" si="7"/>
        <v>-1.393409599904728</v>
      </c>
      <c r="H111" s="84"/>
      <c r="I111" s="85"/>
      <c r="J111" s="86"/>
      <c r="K111" s="16"/>
      <c r="N111" s="21"/>
    </row>
    <row r="112" spans="1:14" ht="15" customHeight="1" x14ac:dyDescent="0.3">
      <c r="A112" s="116"/>
      <c r="B112" s="81" t="s">
        <v>23</v>
      </c>
      <c r="C112" s="82">
        <v>-1</v>
      </c>
      <c r="D112" s="92">
        <f>D101</f>
        <v>1.18</v>
      </c>
      <c r="E112" s="83"/>
      <c r="F112" s="83">
        <f>F101</f>
        <v>2.0699999999999998</v>
      </c>
      <c r="G112" s="79">
        <f t="shared" si="7"/>
        <v>-2.4425999999999997</v>
      </c>
      <c r="H112" s="84"/>
      <c r="I112" s="85"/>
      <c r="J112" s="86"/>
      <c r="K112" s="16"/>
      <c r="N112" s="21"/>
    </row>
    <row r="113" spans="1:14" ht="15" customHeight="1" x14ac:dyDescent="0.3">
      <c r="A113" s="116"/>
      <c r="B113" s="81" t="s">
        <v>56</v>
      </c>
      <c r="C113" s="82">
        <v>-1</v>
      </c>
      <c r="D113" s="92"/>
      <c r="E113" s="83">
        <f>E110</f>
        <v>3.555928070710149</v>
      </c>
      <c r="F113" s="83">
        <f>(2.5/12/3.281)*12</f>
        <v>0.76196281621456885</v>
      </c>
      <c r="G113" s="79">
        <f t="shared" si="7"/>
        <v>-2.7094849670147436</v>
      </c>
      <c r="H113" s="84"/>
      <c r="I113" s="85"/>
      <c r="J113" s="86"/>
      <c r="K113" s="16"/>
      <c r="N113" s="21"/>
    </row>
    <row r="114" spans="1:14" ht="15" customHeight="1" x14ac:dyDescent="0.3">
      <c r="A114" s="116"/>
      <c r="B114" s="81" t="s">
        <v>55</v>
      </c>
      <c r="C114" s="82">
        <v>1</v>
      </c>
      <c r="D114" s="92"/>
      <c r="E114" s="83">
        <f>78/12/3.281</f>
        <v>1.9811033221578787</v>
      </c>
      <c r="F114" s="83">
        <f>18.083/3.281</f>
        <v>5.5114294422432177</v>
      </c>
      <c r="G114" s="79">
        <f t="shared" si="7"/>
        <v>10.918711177866783</v>
      </c>
      <c r="H114" s="84"/>
      <c r="I114" s="85"/>
      <c r="J114" s="86"/>
      <c r="K114" s="16"/>
      <c r="N114" s="21"/>
    </row>
    <row r="115" spans="1:14" ht="15" customHeight="1" x14ac:dyDescent="0.3">
      <c r="A115" s="116"/>
      <c r="B115" s="81"/>
      <c r="C115" s="82">
        <v>1</v>
      </c>
      <c r="D115" s="92"/>
      <c r="E115" s="92">
        <f>92/12/3.281</f>
        <v>2.3366859697246776</v>
      </c>
      <c r="F115" s="83">
        <f>32/12/3.281</f>
        <v>0.81276033729553987</v>
      </c>
      <c r="G115" s="79">
        <f t="shared" si="7"/>
        <v>1.8991656769071845</v>
      </c>
      <c r="H115" s="84"/>
      <c r="I115" s="85"/>
      <c r="J115" s="86"/>
      <c r="K115" s="16"/>
      <c r="N115" s="21"/>
    </row>
    <row r="116" spans="1:14" ht="15" customHeight="1" x14ac:dyDescent="0.3">
      <c r="A116" s="116"/>
      <c r="B116" s="81"/>
      <c r="C116" s="82">
        <v>1</v>
      </c>
      <c r="D116" s="92"/>
      <c r="E116" s="83">
        <f>7.5/12/3.281</f>
        <v>0.19049070405364218</v>
      </c>
      <c r="F116" s="83">
        <v>0.9</v>
      </c>
      <c r="G116" s="79">
        <f t="shared" si="7"/>
        <v>0.17144163364827797</v>
      </c>
      <c r="H116" s="84"/>
      <c r="I116" s="85"/>
      <c r="J116" s="86"/>
      <c r="K116" s="16"/>
      <c r="N116" s="21"/>
    </row>
    <row r="117" spans="1:14" ht="15" customHeight="1" x14ac:dyDescent="0.3">
      <c r="A117" s="116"/>
      <c r="B117" s="81" t="s">
        <v>162</v>
      </c>
      <c r="C117" s="82">
        <v>-1</v>
      </c>
      <c r="D117" s="92">
        <f>2/3.281</f>
        <v>0.6095702529716549</v>
      </c>
      <c r="E117" s="83"/>
      <c r="F117" s="83">
        <f>14/12/3.281</f>
        <v>0.35558264756679875</v>
      </c>
      <c r="G117" s="79">
        <f t="shared" ref="G117:G119" si="8">PRODUCT(C117:F117)</f>
        <v>-0.21675260442962432</v>
      </c>
      <c r="H117" s="84"/>
      <c r="I117" s="85"/>
      <c r="J117" s="86"/>
      <c r="K117" s="16"/>
      <c r="N117" s="21"/>
    </row>
    <row r="118" spans="1:14" ht="15" customHeight="1" x14ac:dyDescent="0.3">
      <c r="A118" s="116"/>
      <c r="B118" s="81"/>
      <c r="C118" s="82">
        <v>-1</v>
      </c>
      <c r="D118" s="92">
        <f>11/12/3.281</f>
        <v>0.27938636594534183</v>
      </c>
      <c r="E118" s="83"/>
      <c r="F118" s="83">
        <f>5.42/3.281</f>
        <v>1.6519353855531849</v>
      </c>
      <c r="G118" s="79">
        <f t="shared" si="8"/>
        <v>-0.46152822414622147</v>
      </c>
      <c r="H118" s="84"/>
      <c r="I118" s="85"/>
      <c r="J118" s="86"/>
      <c r="K118" s="16"/>
      <c r="N118" s="21"/>
    </row>
    <row r="119" spans="1:14" ht="15" customHeight="1" x14ac:dyDescent="0.3">
      <c r="A119" s="116"/>
      <c r="B119" s="115" t="s">
        <v>56</v>
      </c>
      <c r="C119" s="120">
        <v>-1</v>
      </c>
      <c r="D119" s="121"/>
      <c r="E119" s="122">
        <f>E114</f>
        <v>1.9811033221578787</v>
      </c>
      <c r="F119" s="123">
        <f>(2.5/12/3.281)*5</f>
        <v>0.31748450675607032</v>
      </c>
      <c r="G119" s="50">
        <f t="shared" si="8"/>
        <v>-0.62896961106810634</v>
      </c>
      <c r="H119" s="84"/>
      <c r="I119" s="85"/>
      <c r="J119" s="86"/>
      <c r="K119" s="16"/>
      <c r="N119" s="21"/>
    </row>
    <row r="120" spans="1:14" ht="15" customHeight="1" x14ac:dyDescent="0.3">
      <c r="A120" s="116"/>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3">
      <c r="A121" s="116"/>
      <c r="B121" s="87" t="s">
        <v>44</v>
      </c>
      <c r="C121" s="82"/>
      <c r="D121" s="92"/>
      <c r="E121" s="83"/>
      <c r="F121" s="83"/>
      <c r="G121" s="85"/>
      <c r="H121" s="84"/>
      <c r="I121" s="85"/>
      <c r="J121" s="86">
        <f>G120*0.13*(309557.25/100)</f>
        <v>10061.623631912467</v>
      </c>
      <c r="K121" s="16"/>
      <c r="N121" s="21"/>
    </row>
    <row r="122" spans="1:14" ht="15" customHeight="1" x14ac:dyDescent="0.3">
      <c r="A122" s="116"/>
      <c r="B122" s="87"/>
      <c r="C122" s="82"/>
      <c r="D122" s="92"/>
      <c r="E122" s="83"/>
      <c r="F122" s="83"/>
      <c r="G122" s="85"/>
      <c r="H122" s="84"/>
      <c r="I122" s="85"/>
      <c r="J122" s="86"/>
      <c r="K122" s="16"/>
      <c r="N122" s="21"/>
    </row>
    <row r="123" spans="1:14" ht="46.8" x14ac:dyDescent="0.3">
      <c r="A123" s="116">
        <v>11</v>
      </c>
      <c r="B123" s="117" t="s">
        <v>67</v>
      </c>
      <c r="C123" s="82"/>
      <c r="D123" s="92"/>
      <c r="E123" s="83"/>
      <c r="F123" s="83"/>
      <c r="G123" s="85"/>
      <c r="H123" s="84"/>
      <c r="I123" s="85"/>
      <c r="J123" s="86"/>
      <c r="K123" s="16"/>
      <c r="N123" s="21"/>
    </row>
    <row r="124" spans="1:14" ht="15" customHeight="1" x14ac:dyDescent="0.3">
      <c r="A124" s="116"/>
      <c r="B124" s="87" t="s">
        <v>49</v>
      </c>
      <c r="C124" s="82">
        <v>2</v>
      </c>
      <c r="D124" s="92">
        <f>E110+E114</f>
        <v>5.5370313928680277</v>
      </c>
      <c r="E124" s="83"/>
      <c r="F124" s="83"/>
      <c r="G124" s="79">
        <f>PRODUCT(C124:F124)</f>
        <v>11.074062785736055</v>
      </c>
      <c r="H124" s="84"/>
      <c r="I124" s="85"/>
      <c r="J124" s="86"/>
      <c r="K124" s="16"/>
      <c r="N124" s="21"/>
    </row>
    <row r="125" spans="1:14" ht="15" customHeight="1" x14ac:dyDescent="0.3">
      <c r="A125" s="116"/>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3">
      <c r="A126" s="116"/>
      <c r="B126" s="87" t="s">
        <v>44</v>
      </c>
      <c r="C126" s="82"/>
      <c r="D126" s="92"/>
      <c r="E126" s="83"/>
      <c r="F126" s="83"/>
      <c r="G126" s="85"/>
      <c r="H126" s="84"/>
      <c r="I126" s="85"/>
      <c r="J126" s="86">
        <f>G125*0.13*(2182.61/10)</f>
        <v>314.21468229807988</v>
      </c>
      <c r="K126" s="16"/>
      <c r="N126" s="21"/>
    </row>
    <row r="127" spans="1:14" ht="15" customHeight="1" x14ac:dyDescent="0.3">
      <c r="A127" s="116"/>
      <c r="B127" s="87"/>
      <c r="C127" s="82"/>
      <c r="D127" s="92"/>
      <c r="E127" s="83"/>
      <c r="F127" s="83"/>
      <c r="G127" s="85"/>
      <c r="H127" s="84"/>
      <c r="I127" s="85"/>
      <c r="J127" s="86"/>
      <c r="K127" s="16"/>
      <c r="N127" s="21"/>
    </row>
    <row r="128" spans="1:14" ht="31.2" x14ac:dyDescent="0.3">
      <c r="A128" s="116">
        <v>12</v>
      </c>
      <c r="B128" s="117" t="s">
        <v>69</v>
      </c>
      <c r="C128" s="82"/>
      <c r="D128" s="92"/>
      <c r="E128" s="83"/>
      <c r="F128" s="83"/>
      <c r="G128" s="85"/>
      <c r="H128" s="84"/>
      <c r="I128" s="85"/>
      <c r="J128" s="86"/>
      <c r="K128" s="16"/>
      <c r="N128" s="21"/>
    </row>
    <row r="129" spans="1:14" ht="15" customHeight="1" x14ac:dyDescent="0.3">
      <c r="A129" s="116"/>
      <c r="B129" s="87" t="s">
        <v>49</v>
      </c>
      <c r="C129" s="82">
        <f>1</f>
        <v>1</v>
      </c>
      <c r="D129" s="92">
        <f>D124</f>
        <v>5.5370313928680277</v>
      </c>
      <c r="E129" s="83"/>
      <c r="F129" s="83"/>
      <c r="G129" s="79">
        <f>PRODUCT(C129:F129)</f>
        <v>5.5370313928680277</v>
      </c>
      <c r="H129" s="84"/>
      <c r="I129" s="85"/>
      <c r="J129" s="86"/>
      <c r="K129" s="16"/>
      <c r="N129" s="21"/>
    </row>
    <row r="130" spans="1:14" ht="15" customHeight="1" x14ac:dyDescent="0.3">
      <c r="A130" s="116"/>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3">
      <c r="A131" s="116"/>
      <c r="B131" s="87" t="s">
        <v>44</v>
      </c>
      <c r="C131" s="82"/>
      <c r="D131" s="92"/>
      <c r="E131" s="83"/>
      <c r="F131" s="83"/>
      <c r="G131" s="85"/>
      <c r="H131" s="84"/>
      <c r="I131" s="85"/>
      <c r="J131" s="86">
        <f>G130*0.13*(2780.61/10)</f>
        <v>200.15222319719598</v>
      </c>
      <c r="K131" s="16"/>
      <c r="N131" s="21"/>
    </row>
    <row r="132" spans="1:14" ht="15" customHeight="1" x14ac:dyDescent="0.3">
      <c r="A132" s="12"/>
      <c r="B132" s="22"/>
      <c r="C132" s="14"/>
      <c r="D132" s="15"/>
      <c r="E132" s="16"/>
      <c r="F132" s="16"/>
      <c r="G132" s="19"/>
      <c r="H132" s="18"/>
      <c r="I132" s="19"/>
      <c r="J132" s="20"/>
      <c r="K132" s="16"/>
      <c r="N132" s="21"/>
    </row>
    <row r="133" spans="1:14" ht="46.8" x14ac:dyDescent="0.3">
      <c r="A133" s="116">
        <v>15</v>
      </c>
      <c r="B133" s="117" t="s">
        <v>72</v>
      </c>
      <c r="C133" s="82"/>
      <c r="D133" s="92"/>
      <c r="E133" s="83"/>
      <c r="F133" s="83"/>
      <c r="G133" s="85"/>
      <c r="H133" s="84"/>
      <c r="I133" s="85"/>
      <c r="J133" s="86"/>
      <c r="K133" s="16"/>
      <c r="N133" s="21"/>
    </row>
    <row r="134" spans="1:14" ht="15" customHeight="1" x14ac:dyDescent="0.3">
      <c r="A134" s="116"/>
      <c r="B134" s="87" t="s">
        <v>49</v>
      </c>
      <c r="C134" s="82">
        <f>1*2</f>
        <v>2</v>
      </c>
      <c r="D134" s="92">
        <f>D129</f>
        <v>5.5370313928680277</v>
      </c>
      <c r="E134" s="83"/>
      <c r="F134" s="83"/>
      <c r="G134" s="79">
        <f>PRODUCT(C134:F134)</f>
        <v>11.074062785736055</v>
      </c>
      <c r="H134" s="84"/>
      <c r="I134" s="85"/>
      <c r="J134" s="86"/>
      <c r="K134" s="16"/>
      <c r="N134" s="21"/>
    </row>
    <row r="135" spans="1:14" ht="15" customHeight="1" x14ac:dyDescent="0.3">
      <c r="A135" s="116"/>
      <c r="B135" s="87"/>
      <c r="C135" s="82">
        <v>1</v>
      </c>
      <c r="D135" s="92">
        <f>E114</f>
        <v>1.9811033221578787</v>
      </c>
      <c r="E135" s="83"/>
      <c r="F135" s="83"/>
      <c r="G135" s="79">
        <f>PRODUCT(C135:F135)</f>
        <v>1.9811033221578787</v>
      </c>
      <c r="H135" s="84"/>
      <c r="I135" s="85"/>
      <c r="J135" s="86"/>
      <c r="K135" s="16"/>
      <c r="N135" s="21"/>
    </row>
    <row r="136" spans="1:14" ht="15" customHeight="1" x14ac:dyDescent="0.3">
      <c r="A136" s="116"/>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3">
      <c r="A137" s="116"/>
      <c r="B137" s="87" t="s">
        <v>44</v>
      </c>
      <c r="C137" s="82"/>
      <c r="D137" s="92"/>
      <c r="E137" s="83"/>
      <c r="F137" s="83"/>
      <c r="G137" s="85"/>
      <c r="H137" s="84"/>
      <c r="I137" s="85"/>
      <c r="J137" s="86">
        <f>G136*0.13*(2140.61/10)</f>
        <v>363.2982485888449</v>
      </c>
      <c r="K137" s="16"/>
      <c r="N137" s="21"/>
    </row>
    <row r="138" spans="1:14" ht="15" customHeight="1" x14ac:dyDescent="0.3">
      <c r="A138" s="12"/>
      <c r="B138" s="30"/>
      <c r="C138" s="14"/>
      <c r="D138" s="15"/>
      <c r="E138" s="16"/>
      <c r="F138" s="16"/>
      <c r="G138" s="19"/>
      <c r="H138" s="18"/>
      <c r="I138" s="19"/>
      <c r="J138" s="20"/>
      <c r="K138" s="16"/>
      <c r="N138" s="21"/>
    </row>
    <row r="139" spans="1:14" ht="46.8" x14ac:dyDescent="0.3">
      <c r="A139" s="116">
        <v>18</v>
      </c>
      <c r="B139" s="117" t="s">
        <v>75</v>
      </c>
      <c r="C139" s="82"/>
      <c r="D139" s="92"/>
      <c r="E139" s="83"/>
      <c r="F139" s="83"/>
      <c r="G139" s="85"/>
      <c r="H139" s="84"/>
      <c r="I139" s="85"/>
      <c r="J139" s="86"/>
      <c r="K139" s="16"/>
      <c r="N139" s="21"/>
    </row>
    <row r="140" spans="1:14" ht="15" customHeight="1" x14ac:dyDescent="0.3">
      <c r="A140" s="116"/>
      <c r="B140" s="87" t="s">
        <v>49</v>
      </c>
      <c r="C140" s="82">
        <f>1*2</f>
        <v>2</v>
      </c>
      <c r="D140" s="92">
        <f>D134</f>
        <v>5.5370313928680277</v>
      </c>
      <c r="E140" s="83"/>
      <c r="F140" s="83"/>
      <c r="G140" s="79">
        <f>PRODUCT(C140:F140)</f>
        <v>11.074062785736055</v>
      </c>
      <c r="H140" s="84"/>
      <c r="I140" s="85"/>
      <c r="J140" s="86"/>
      <c r="K140" s="16"/>
      <c r="N140" s="21"/>
    </row>
    <row r="141" spans="1:14" ht="15" customHeight="1" x14ac:dyDescent="0.3">
      <c r="A141" s="116"/>
      <c r="B141" s="87"/>
      <c r="C141" s="82">
        <v>1</v>
      </c>
      <c r="D141" s="92">
        <f>E110</f>
        <v>3.555928070710149</v>
      </c>
      <c r="E141" s="83"/>
      <c r="F141" s="83"/>
      <c r="G141" s="79">
        <f>PRODUCT(C141:F141)</f>
        <v>3.555928070710149</v>
      </c>
      <c r="H141" s="84"/>
      <c r="I141" s="85"/>
      <c r="J141" s="86"/>
      <c r="K141" s="16"/>
      <c r="N141" s="21"/>
    </row>
    <row r="142" spans="1:14" ht="15" customHeight="1" x14ac:dyDescent="0.3">
      <c r="A142" s="116"/>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3">
      <c r="A143" s="116"/>
      <c r="B143" s="87" t="s">
        <v>44</v>
      </c>
      <c r="C143" s="82"/>
      <c r="D143" s="92"/>
      <c r="E143" s="83"/>
      <c r="F143" s="83"/>
      <c r="G143" s="85"/>
      <c r="H143" s="84"/>
      <c r="I143" s="85"/>
      <c r="J143" s="86">
        <f>G142*0.13*(2972.61/10)</f>
        <v>565.36034255714719</v>
      </c>
      <c r="K143" s="16"/>
      <c r="N143" s="21"/>
    </row>
    <row r="144" spans="1:14" ht="15" customHeight="1" x14ac:dyDescent="0.3">
      <c r="A144" s="12"/>
      <c r="B144" s="22"/>
      <c r="C144" s="14"/>
      <c r="D144" s="15"/>
      <c r="E144" s="16"/>
      <c r="F144" s="16"/>
      <c r="G144" s="19"/>
      <c r="H144" s="18"/>
      <c r="I144" s="19"/>
      <c r="J144" s="20"/>
      <c r="K144" s="16"/>
      <c r="N144" s="21"/>
    </row>
    <row r="145" spans="1:14" ht="31.2" x14ac:dyDescent="0.3">
      <c r="A145" s="116">
        <v>20</v>
      </c>
      <c r="B145" s="117" t="s">
        <v>77</v>
      </c>
      <c r="C145" s="82"/>
      <c r="D145" s="92"/>
      <c r="E145" s="83"/>
      <c r="F145" s="83"/>
      <c r="G145" s="85"/>
      <c r="H145" s="84"/>
      <c r="I145" s="85"/>
      <c r="J145" s="86"/>
      <c r="K145" s="16"/>
      <c r="N145" s="21"/>
    </row>
    <row r="146" spans="1:14" ht="15" customHeight="1" x14ac:dyDescent="0.3">
      <c r="A146" s="116"/>
      <c r="B146" s="87" t="s">
        <v>49</v>
      </c>
      <c r="C146" s="82">
        <f>2</f>
        <v>2</v>
      </c>
      <c r="D146" s="92">
        <f>E110</f>
        <v>3.555928070710149</v>
      </c>
      <c r="E146" s="83"/>
      <c r="F146" s="83"/>
      <c r="G146" s="79">
        <f>PRODUCT(C146:F146)</f>
        <v>7.1118561414202981</v>
      </c>
      <c r="H146" s="84"/>
      <c r="I146" s="85"/>
      <c r="J146" s="86"/>
      <c r="K146" s="16"/>
      <c r="N146" s="21"/>
    </row>
    <row r="147" spans="1:14" ht="15" customHeight="1" x14ac:dyDescent="0.3">
      <c r="A147" s="116"/>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3">
      <c r="A148" s="116"/>
      <c r="B148" s="87" t="s">
        <v>44</v>
      </c>
      <c r="C148" s="82"/>
      <c r="D148" s="92"/>
      <c r="E148" s="83"/>
      <c r="F148" s="83"/>
      <c r="G148" s="85"/>
      <c r="H148" s="84"/>
      <c r="I148" s="85"/>
      <c r="J148" s="86">
        <f>G147*0.13*(2780.61/10)</f>
        <v>257.07887797013109</v>
      </c>
      <c r="K148" s="16"/>
      <c r="N148" s="21"/>
    </row>
    <row r="149" spans="1:14" ht="15" customHeight="1" x14ac:dyDescent="0.3">
      <c r="A149" s="12"/>
      <c r="B149" s="22"/>
      <c r="C149" s="14"/>
      <c r="D149" s="15"/>
      <c r="E149" s="16"/>
      <c r="F149" s="16"/>
      <c r="G149" s="19"/>
      <c r="H149" s="18"/>
      <c r="I149" s="19"/>
      <c r="J149" s="20"/>
      <c r="K149" s="16"/>
      <c r="N149" s="21"/>
    </row>
    <row r="150" spans="1:14" s="1" customFormat="1" x14ac:dyDescent="0.3">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3">
      <c r="A151" s="25"/>
      <c r="B151" s="41"/>
      <c r="C151" s="26"/>
      <c r="D151" s="17"/>
      <c r="E151" s="17"/>
      <c r="F151" s="17"/>
      <c r="G151" s="45"/>
      <c r="H151" s="45"/>
      <c r="I151" s="45"/>
      <c r="J151" s="39"/>
      <c r="K151" s="30"/>
    </row>
    <row r="152" spans="1:14" ht="15" customHeight="1" x14ac:dyDescent="0.3">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3">
      <c r="A153" s="12"/>
      <c r="B153" s="59"/>
      <c r="C153" s="14"/>
      <c r="D153" s="15"/>
      <c r="E153" s="16"/>
      <c r="F153" s="16"/>
      <c r="G153" s="19"/>
      <c r="H153" s="18"/>
      <c r="I153" s="19"/>
      <c r="J153" s="20"/>
      <c r="K153" s="16"/>
      <c r="N153" s="21"/>
    </row>
    <row r="154" spans="1:14" x14ac:dyDescent="0.3">
      <c r="A154" s="25"/>
      <c r="B154" s="62" t="s">
        <v>128</v>
      </c>
      <c r="C154" s="63"/>
      <c r="D154" s="64"/>
      <c r="E154" s="64"/>
      <c r="F154" s="64"/>
      <c r="G154" s="20"/>
      <c r="H154" s="20"/>
      <c r="I154" s="20"/>
      <c r="J154" s="20">
        <f>SUM(J37:J152)</f>
        <v>1050634.8553738745</v>
      </c>
      <c r="K154" s="30"/>
    </row>
    <row r="156" spans="1:14" s="1" customFormat="1" hidden="1" x14ac:dyDescent="0.3">
      <c r="B156" s="34" t="s">
        <v>110</v>
      </c>
      <c r="C156" s="104">
        <f>J154</f>
        <v>1050634.8553738745</v>
      </c>
      <c r="D156" s="104"/>
      <c r="E156" s="104"/>
      <c r="F156" s="65"/>
      <c r="G156" s="66"/>
      <c r="H156" s="65"/>
      <c r="I156" s="67"/>
      <c r="J156" s="68"/>
      <c r="K156" s="69"/>
      <c r="M156"/>
    </row>
    <row r="157" spans="1:14" hidden="1" x14ac:dyDescent="0.3">
      <c r="B157" s="74" t="s">
        <v>126</v>
      </c>
      <c r="C157" s="111">
        <f>C156*0.13</f>
        <v>136582.53119860368</v>
      </c>
      <c r="D157" s="111"/>
      <c r="E157" s="111"/>
    </row>
    <row r="158" spans="1:14" hidden="1" x14ac:dyDescent="0.3">
      <c r="B158" s="74" t="s">
        <v>127</v>
      </c>
      <c r="C158" s="111">
        <f>C156+C157</f>
        <v>1187217.3865724783</v>
      </c>
      <c r="D158" s="111"/>
      <c r="E158" s="111"/>
    </row>
    <row r="160" spans="1:14" s="1" customFormat="1" x14ac:dyDescent="0.3">
      <c r="B160" s="34" t="s">
        <v>110</v>
      </c>
      <c r="C160" s="98">
        <f>J154</f>
        <v>1050634.8553738745</v>
      </c>
      <c r="D160" s="99"/>
      <c r="E160" s="33">
        <v>100</v>
      </c>
      <c r="F160" s="65"/>
      <c r="G160" s="66"/>
      <c r="H160" s="65"/>
      <c r="I160" s="67"/>
      <c r="J160" s="68"/>
      <c r="K160" s="69"/>
      <c r="M160"/>
    </row>
    <row r="161" spans="2:5" x14ac:dyDescent="0.3">
      <c r="B161" s="34" t="s">
        <v>111</v>
      </c>
      <c r="C161" s="102">
        <v>1200000</v>
      </c>
      <c r="D161" s="103"/>
      <c r="E161" s="33"/>
    </row>
    <row r="162" spans="2:5" x14ac:dyDescent="0.3">
      <c r="B162" s="34" t="s">
        <v>112</v>
      </c>
      <c r="C162" s="102">
        <f>C161-C164-C165</f>
        <v>1140000</v>
      </c>
      <c r="D162" s="103"/>
      <c r="E162" s="33">
        <f>C162/C160*100</f>
        <v>108.50582332853638</v>
      </c>
    </row>
    <row r="163" spans="2:5" x14ac:dyDescent="0.3">
      <c r="B163" s="34" t="s">
        <v>113</v>
      </c>
      <c r="C163" s="104">
        <f>C160-C162</f>
        <v>-89365.14462612546</v>
      </c>
      <c r="D163" s="104"/>
      <c r="E163" s="33">
        <f>100-E162</f>
        <v>-8.5058233285363798</v>
      </c>
    </row>
    <row r="164" spans="2:5" x14ac:dyDescent="0.3">
      <c r="B164" s="34" t="s">
        <v>114</v>
      </c>
      <c r="C164" s="98">
        <f>C161*0.03</f>
        <v>36000</v>
      </c>
      <c r="D164" s="99"/>
      <c r="E164" s="33">
        <v>3</v>
      </c>
    </row>
    <row r="165" spans="2:5" x14ac:dyDescent="0.3">
      <c r="B165" s="34" t="s">
        <v>115</v>
      </c>
      <c r="C165" s="98">
        <f>C161*0.02</f>
        <v>24000</v>
      </c>
      <c r="D165" s="99"/>
      <c r="E165" s="33">
        <v>2</v>
      </c>
    </row>
  </sheetData>
  <mergeCells count="18">
    <mergeCell ref="C160:D160"/>
    <mergeCell ref="A1:K1"/>
    <mergeCell ref="A2:K2"/>
    <mergeCell ref="A3:K3"/>
    <mergeCell ref="A4:K4"/>
    <mergeCell ref="A5:K5"/>
    <mergeCell ref="A6:F6"/>
    <mergeCell ref="H6:K6"/>
    <mergeCell ref="A7:F7"/>
    <mergeCell ref="H7:K7"/>
    <mergeCell ref="C156:E156"/>
    <mergeCell ref="C157:E157"/>
    <mergeCell ref="C158:E158"/>
    <mergeCell ref="C161:D161"/>
    <mergeCell ref="C162:D162"/>
    <mergeCell ref="C163:D163"/>
    <mergeCell ref="C164:D164"/>
    <mergeCell ref="C165:D16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final</vt:lpstr>
      <vt:lpstr>quotation</vt:lpstr>
      <vt:lpstr>quotation (2)</vt:lpstr>
      <vt:lpstr>with plastic felt</vt:lpstr>
      <vt:lpstr>with centre wood</vt:lpstr>
      <vt:lpstr>copper roof</vt:lpstr>
      <vt:lpstr>with brick</vt:lpstr>
      <vt:lpstr>V</vt:lpstr>
      <vt:lpstr>'copper roof'!Print_Area</vt:lpstr>
      <vt:lpstr>final!Print_Area</vt:lpstr>
      <vt:lpstr>quotation!Print_Area</vt:lpstr>
      <vt:lpstr>'quotation (2)'!Print_Area</vt:lpstr>
      <vt:lpstr>V!Print_Area</vt:lpstr>
      <vt:lpstr>'with brick'!Print_Area</vt:lpstr>
      <vt:lpstr>'with centre wood'!Print_Area</vt:lpstr>
      <vt:lpstr>'with plastic felt'!Print_Area</vt:lpstr>
      <vt:lpstr>'copper roof'!Print_Titles</vt:lpstr>
      <vt:lpstr>final!Print_Titles</vt:lpstr>
      <vt:lpstr>V!Print_Titles</vt:lpstr>
      <vt:lpstr>'with brick'!Print_Titles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2025-06-14T08:47:15Z</dcterms:modified>
</cp:coreProperties>
</file>