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badri dai ko wall\"/>
    </mc:Choice>
  </mc:AlternateContent>
  <bookViews>
    <workbookView xWindow="-120" yWindow="-120" windowWidth="20730" windowHeight="11160" activeTab="1"/>
  </bookViews>
  <sheets>
    <sheet name="WCR" sheetId="6" r:id="rId1"/>
    <sheet name="estimate" sheetId="19"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estimate!$A$1:$K$90</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83" i="19" l="1"/>
  <c r="D46" i="19" l="1"/>
  <c r="G78" i="19"/>
  <c r="G56" i="19" s="1"/>
  <c r="G57" i="19" s="1"/>
  <c r="G72" i="19"/>
  <c r="G66" i="19"/>
  <c r="G77" i="19"/>
  <c r="D77" i="19"/>
  <c r="G65" i="19"/>
  <c r="D76" i="19"/>
  <c r="G76" i="19"/>
  <c r="J79" i="19" l="1"/>
  <c r="J78" i="19"/>
  <c r="D41" i="19" l="1"/>
  <c r="G41" i="19" s="1"/>
  <c r="D40" i="19" l="1"/>
  <c r="G40" i="19" s="1"/>
  <c r="C71" i="19"/>
  <c r="D70" i="19"/>
  <c r="M67" i="19"/>
  <c r="D71" i="19"/>
  <c r="F71" i="19" s="1"/>
  <c r="G71" i="19" s="1"/>
  <c r="E71" i="19"/>
  <c r="E70" i="19"/>
  <c r="F70" i="19" s="1"/>
  <c r="G70" i="19" s="1"/>
  <c r="F64" i="19"/>
  <c r="F62" i="19"/>
  <c r="P61" i="19"/>
  <c r="N61" i="19"/>
  <c r="M61" i="19"/>
  <c r="N60" i="19"/>
  <c r="B25" i="19"/>
  <c r="B38" i="19" s="1"/>
  <c r="B61" i="19" s="1"/>
  <c r="B31" i="19"/>
  <c r="B10" i="19" s="1"/>
  <c r="D21" i="19"/>
  <c r="G21" i="19" s="1"/>
  <c r="E20" i="19"/>
  <c r="D20" i="19"/>
  <c r="E26" i="19"/>
  <c r="E39" i="19" s="1"/>
  <c r="E25" i="19"/>
  <c r="E38" i="19" s="1"/>
  <c r="C26" i="19"/>
  <c r="C39" i="19" s="1"/>
  <c r="C25" i="19"/>
  <c r="C38" i="19" s="1"/>
  <c r="C61" i="19" s="1"/>
  <c r="D15" i="19"/>
  <c r="D25" i="19" s="1"/>
  <c r="D38" i="19" s="1"/>
  <c r="D61" i="19" s="1"/>
  <c r="D62" i="19" s="1"/>
  <c r="D16" i="19"/>
  <c r="G16" i="19" s="1"/>
  <c r="C63" i="19" l="1"/>
  <c r="C62" i="19"/>
  <c r="G62" i="19"/>
  <c r="G61" i="19"/>
  <c r="G38" i="19"/>
  <c r="G20" i="19"/>
  <c r="D26" i="19"/>
  <c r="D39" i="19" s="1"/>
  <c r="G39" i="19" l="1"/>
  <c r="D63" i="19"/>
  <c r="D64" i="19" s="1"/>
  <c r="C64" i="19"/>
  <c r="J73" i="19"/>
  <c r="J72" i="19"/>
  <c r="J22" i="19"/>
  <c r="G22" i="19"/>
  <c r="G63" i="19" l="1"/>
  <c r="G64" i="19"/>
  <c r="G26" i="19" l="1"/>
  <c r="J66" i="19" l="1"/>
  <c r="J67" i="19"/>
  <c r="F55" i="19"/>
  <c r="D55" i="19"/>
  <c r="G55" i="19" s="1"/>
  <c r="F54" i="19"/>
  <c r="G54" i="19" s="1"/>
  <c r="D54" i="19"/>
  <c r="F53" i="19"/>
  <c r="G53" i="19" s="1"/>
  <c r="D53" i="19"/>
  <c r="F52" i="19"/>
  <c r="D52" i="19"/>
  <c r="G52" i="19" s="1"/>
  <c r="D51" i="19"/>
  <c r="F51" i="19"/>
  <c r="G51" i="19" l="1"/>
  <c r="J58" i="19" l="1"/>
  <c r="J57" i="19" l="1"/>
  <c r="E46" i="19"/>
  <c r="N82" i="19" l="1"/>
  <c r="E36" i="19" l="1"/>
  <c r="E31" i="19" s="1"/>
  <c r="C89" i="19"/>
  <c r="G81" i="19"/>
  <c r="J81" i="19" s="1"/>
  <c r="D36" i="19"/>
  <c r="D10" i="19"/>
  <c r="C90" i="19" l="1"/>
  <c r="C87" i="19" s="1"/>
  <c r="E10" i="19"/>
  <c r="D37" i="19"/>
  <c r="G37" i="19" s="1"/>
  <c r="D31" i="19"/>
  <c r="G36" i="19"/>
  <c r="G42" i="19" s="1"/>
  <c r="G46" i="19"/>
  <c r="G47" i="19" s="1"/>
  <c r="G10" i="19" l="1"/>
  <c r="G11" i="19" s="1"/>
  <c r="J12" i="19" s="1"/>
  <c r="J47" i="19"/>
  <c r="J48" i="19"/>
  <c r="G31" i="19"/>
  <c r="G32" i="19" s="1"/>
  <c r="J11" i="19" l="1"/>
  <c r="J42" i="19"/>
  <c r="J43" i="19"/>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 r="G25" i="19"/>
  <c r="G27" i="19" s="1"/>
  <c r="G15" i="19"/>
  <c r="G17" i="19" s="1"/>
  <c r="J17" i="19" l="1"/>
  <c r="J28" i="19"/>
  <c r="J27" i="19"/>
  <c r="J33" i="19"/>
  <c r="J32" i="19"/>
  <c r="C85" i="19" s="1"/>
  <c r="E87" i="19" l="1"/>
  <c r="E88" i="19" s="1"/>
  <c r="C88" i="19"/>
</calcChain>
</file>

<file path=xl/comments1.xml><?xml version="1.0" encoding="utf-8"?>
<comments xmlns="http://schemas.openxmlformats.org/spreadsheetml/2006/main">
  <authors>
    <author>DELL</author>
  </authors>
  <commentList>
    <comment ref="B56" authorId="0" shapeId="0">
      <text>
        <r>
          <rPr>
            <b/>
            <sz val="10"/>
            <color indexed="81"/>
            <rFont val="Tahoma"/>
          </rPr>
          <t>DELL:</t>
        </r>
        <r>
          <rPr>
            <sz val="10"/>
            <color indexed="81"/>
            <rFont val="Tahoma"/>
          </rPr>
          <t xml:space="preserve">
item no. 10</t>
        </r>
      </text>
    </comment>
    <comment ref="D61" authorId="0" shapeId="0">
      <text>
        <r>
          <rPr>
            <b/>
            <sz val="10"/>
            <color indexed="81"/>
            <rFont val="Tahoma"/>
            <family val="2"/>
          </rPr>
          <t>DELL:</t>
        </r>
        <r>
          <rPr>
            <sz val="10"/>
            <color indexed="81"/>
            <rFont val="Tahoma"/>
            <family val="2"/>
          </rPr>
          <t xml:space="preserve">
column part not included</t>
        </r>
      </text>
    </comment>
  </commentList>
</comments>
</file>

<file path=xl/sharedStrings.xml><?xml version="1.0" encoding="utf-8"?>
<sst xmlns="http://schemas.openxmlformats.org/spreadsheetml/2006/main" count="119" uniqueCount="78">
  <si>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</si>
  <si>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</si>
  <si>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</si>
  <si>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</si>
  <si>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</si>
  <si>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</si>
  <si>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</si>
  <si>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</si>
  <si>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</si>
  <si>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</si>
  <si>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</si>
  <si>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</si>
  <si>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</si>
  <si>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</si>
  <si>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</si>
  <si>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</si>
  <si>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</si>
  <si>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</si>
  <si>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</si>
  <si>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</si>
  <si>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</si>
  <si>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</si>
  <si>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</si>
  <si>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</si>
  <si>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</si>
  <si>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</si>
  <si>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</si>
  <si>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</si>
  <si>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</si>
  <si>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</si>
  <si>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</si>
  <si>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</si>
  <si>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</si>
  <si>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</si>
  <si>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</si>
  <si>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</si>
  <si>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</si>
  <si>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</si>
  <si>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</si>
  <si>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</si>
  <si>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</si>
  <si>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</si>
  <si>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</si>
  <si>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</si>
  <si>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</si>
  <si>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</si>
  <si>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</si>
  <si>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</si>
  <si>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</si>
  <si>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</si>
  <si>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 xml:space="preserve">e'O{+tNnfdf lrDgL e§fsf] O{+6fsf] uf/f] l;d]G6 d;nf -!M^_ df </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</si>
  <si>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</si>
  <si>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</si>
  <si>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</si>
  <si>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</si>
  <si>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Project:- गणपति ढिकुरेपाटी संरक्षण</t>
  </si>
  <si>
    <t>-wall</t>
  </si>
  <si>
    <t>sqm</t>
  </si>
  <si>
    <t>k'/fgf] ;km]{;df XjfO{6jfz ug]{ sfd</t>
  </si>
  <si>
    <t>-deduction for door</t>
  </si>
  <si>
    <t>-deduction for window</t>
  </si>
  <si>
    <t>;'Vvf O{6f RofK6f] 5fKg] sfd</t>
  </si>
  <si>
    <t>-For stone masonary</t>
  </si>
  <si>
    <t xml:space="preserve">g/d k|sf/sf] Sn] / l;N6L df6f]df ;j} lsl;dsf] vGg] sfd </t>
  </si>
  <si>
    <t>-for footing of wall at truss structure</t>
  </si>
  <si>
    <t>3fF; sf6\g] To;sf] h/f lemSg], l9:sf] k'm6fpg] / n]en u/L :yn ;kmf ug]{ ;a} jf]sgL ;d]t</t>
  </si>
  <si>
    <t>-Surrounding environment</t>
  </si>
  <si>
    <t>cf/=;L=;L= nflu kmnfd] 808L sf6\g], df]8\g] #) dL6/ ;Dd</t>
  </si>
  <si>
    <t>Unit wt. (kg/m)</t>
  </si>
  <si>
    <t>Total wt. (kg)</t>
  </si>
  <si>
    <t>Total wt. (MT)</t>
  </si>
  <si>
    <t>-For bands</t>
  </si>
  <si>
    <t>-For stirrups</t>
  </si>
  <si>
    <t>-For sill/lintel/DPC band</t>
  </si>
  <si>
    <t>!@=% dL=dL= l;d]G6 afn'jf -!M$_ Knfi6/</t>
  </si>
  <si>
    <t>-deduction for entrance</t>
  </si>
  <si>
    <t>-as of plaster</t>
  </si>
  <si>
    <t>Date:2081/09/28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</si>
</sst>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4"/>
      <name val="Preeti"/>
    </font>
    <font>
      <b/>
      <sz val="10"/>
      <color indexed="81"/>
      <name val="Tahoma"/>
      <family val="2"/>
    </font>
    <font>
      <sz val="10"/>
      <color indexed="81"/>
      <name val="Tahoma"/>
      <family val="2"/>
    </font>
    <font>
      <b/>
      <sz val="12"/>
      <color theme="1"/>
      <name val="Preeti"/>
    </font>
    <font>
      <sz val="10"/>
      <color indexed="81"/>
      <name val="Tahoma"/>
    </font>
    <font>
      <b/>
      <sz val="10"/>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0" fontId="16" fillId="3" borderId="1" xfId="0" applyFont="1" applyFill="1" applyBorder="1" applyAlignment="1">
      <alignment wrapText="1"/>
    </xf>
    <xf numFmtId="1" fontId="16"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0" fontId="20" fillId="0" borderId="1" xfId="0" applyFont="1" applyBorder="1" applyAlignment="1">
      <alignment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17"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4" t="s">
        <v>0</v>
      </c>
      <c r="B1" s="74"/>
      <c r="C1" s="74"/>
      <c r="D1" s="74"/>
      <c r="E1" s="74"/>
      <c r="F1" s="74"/>
      <c r="G1" s="74"/>
      <c r="H1" s="74"/>
      <c r="I1" s="74"/>
      <c r="J1" s="74"/>
      <c r="K1" s="74"/>
    </row>
    <row r="2" spans="1:11" ht="25.5" x14ac:dyDescent="0.35">
      <c r="A2" s="75" t="s">
        <v>1</v>
      </c>
      <c r="B2" s="75"/>
      <c r="C2" s="75"/>
      <c r="D2" s="75"/>
      <c r="E2" s="75"/>
      <c r="F2" s="75"/>
      <c r="G2" s="75"/>
      <c r="H2" s="75"/>
      <c r="I2" s="75"/>
      <c r="J2" s="75"/>
      <c r="K2" s="75"/>
    </row>
    <row r="3" spans="1:11" s="1" customFormat="1" x14ac:dyDescent="0.25">
      <c r="A3" s="76" t="s">
        <v>2</v>
      </c>
      <c r="B3" s="76"/>
      <c r="C3" s="76"/>
      <c r="D3" s="76"/>
      <c r="E3" s="76"/>
      <c r="F3" s="76"/>
      <c r="G3" s="76"/>
      <c r="H3" s="76"/>
      <c r="I3" s="76"/>
      <c r="J3" s="76"/>
      <c r="K3" s="76"/>
    </row>
    <row r="4" spans="1:11" s="1" customFormat="1" x14ac:dyDescent="0.25">
      <c r="A4" s="76" t="s">
        <v>3</v>
      </c>
      <c r="B4" s="76"/>
      <c r="C4" s="76"/>
      <c r="D4" s="76"/>
      <c r="E4" s="76"/>
      <c r="F4" s="76"/>
      <c r="G4" s="76"/>
      <c r="H4" s="76"/>
      <c r="I4" s="76"/>
      <c r="J4" s="76"/>
      <c r="K4" s="76"/>
    </row>
    <row r="5" spans="1:11" ht="18.75" x14ac:dyDescent="0.3">
      <c r="A5" s="77" t="s">
        <v>18</v>
      </c>
      <c r="B5" s="77"/>
      <c r="C5" s="77"/>
      <c r="D5" s="77"/>
      <c r="E5" s="77"/>
      <c r="F5" s="77"/>
      <c r="G5" s="77"/>
      <c r="H5" s="77"/>
      <c r="I5" s="77"/>
      <c r="J5" s="77"/>
      <c r="K5" s="77"/>
    </row>
    <row r="6" spans="1:11" ht="18.75" x14ac:dyDescent="0.3">
      <c r="A6" s="8" t="s">
        <v>19</v>
      </c>
      <c r="B6" s="8"/>
      <c r="C6" s="72" t="e">
        <f>F18</f>
        <v>#REF!</v>
      </c>
      <c r="D6" s="73"/>
      <c r="E6" s="9"/>
      <c r="F6" s="8"/>
      <c r="G6" s="8"/>
      <c r="H6" s="8" t="s">
        <v>20</v>
      </c>
      <c r="I6" s="8"/>
      <c r="J6" s="72" t="e">
        <f>I18</f>
        <v>#REF!</v>
      </c>
      <c r="K6" s="73"/>
    </row>
    <row r="7" spans="1:11" x14ac:dyDescent="0.25">
      <c r="A7" s="26" t="s">
        <v>29</v>
      </c>
      <c r="B7" s="10"/>
      <c r="C7" s="10"/>
      <c r="D7" s="10"/>
      <c r="F7" s="81"/>
      <c r="G7" s="81"/>
      <c r="I7" s="82" t="s">
        <v>37</v>
      </c>
      <c r="J7" s="82"/>
      <c r="K7" s="82"/>
    </row>
    <row r="8" spans="1:11" ht="15.75" x14ac:dyDescent="0.25">
      <c r="A8" s="80" t="e">
        <f>#REF!</f>
        <v>#REF!</v>
      </c>
      <c r="B8" s="80"/>
      <c r="C8" s="80"/>
      <c r="D8" s="80"/>
      <c r="E8" s="80"/>
      <c r="F8" s="80"/>
      <c r="I8" s="83" t="s">
        <v>38</v>
      </c>
      <c r="J8" s="83"/>
      <c r="K8" s="83"/>
    </row>
    <row r="9" spans="1:11" x14ac:dyDescent="0.25">
      <c r="A9" s="84" t="e">
        <f>#REF!</f>
        <v>#REF!</v>
      </c>
      <c r="B9" s="84"/>
      <c r="C9" s="84"/>
      <c r="D9" s="84"/>
      <c r="E9" s="84"/>
      <c r="F9" s="84"/>
      <c r="I9" s="83" t="s">
        <v>39</v>
      </c>
      <c r="J9" s="83"/>
      <c r="K9" s="83"/>
    </row>
    <row r="11" spans="1:11" x14ac:dyDescent="0.25">
      <c r="A11" s="78" t="s">
        <v>21</v>
      </c>
      <c r="B11" s="78" t="s">
        <v>22</v>
      </c>
      <c r="C11" s="78" t="s">
        <v>12</v>
      </c>
      <c r="D11" s="85" t="s">
        <v>23</v>
      </c>
      <c r="E11" s="85"/>
      <c r="F11" s="85"/>
      <c r="G11" s="85" t="s">
        <v>24</v>
      </c>
      <c r="H11" s="85"/>
      <c r="I11" s="85"/>
      <c r="J11" s="78" t="s">
        <v>25</v>
      </c>
      <c r="K11" s="79" t="s">
        <v>15</v>
      </c>
    </row>
    <row r="12" spans="1:11" x14ac:dyDescent="0.25">
      <c r="A12" s="78"/>
      <c r="B12" s="78"/>
      <c r="C12" s="78"/>
      <c r="D12" s="11" t="s">
        <v>26</v>
      </c>
      <c r="E12" s="11" t="s">
        <v>13</v>
      </c>
      <c r="F12" s="11" t="s">
        <v>14</v>
      </c>
      <c r="G12" s="11" t="s">
        <v>26</v>
      </c>
      <c r="H12" s="11" t="s">
        <v>13</v>
      </c>
      <c r="I12" s="11" t="s">
        <v>14</v>
      </c>
      <c r="J12" s="78"/>
      <c r="K12" s="79"/>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7"/>
  <sheetViews>
    <sheetView tabSelected="1" zoomScaleNormal="100" workbookViewId="0">
      <selection activeCell="J9" sqref="J9"/>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9.5703125" bestFit="1" customWidth="1"/>
    <col min="10" max="10" width="10.7109375" bestFit="1" customWidth="1"/>
  </cols>
  <sheetData>
    <row r="1" spans="1:19" s="1" customFormat="1" x14ac:dyDescent="0.25">
      <c r="A1" s="88" t="s">
        <v>0</v>
      </c>
      <c r="B1" s="88"/>
      <c r="C1" s="88"/>
      <c r="D1" s="88"/>
      <c r="E1" s="88"/>
      <c r="F1" s="88"/>
      <c r="G1" s="88"/>
      <c r="H1" s="88"/>
      <c r="I1" s="88"/>
      <c r="J1" s="88"/>
      <c r="K1" s="88"/>
    </row>
    <row r="2" spans="1:19" s="1" customFormat="1" ht="22.5" x14ac:dyDescent="0.25">
      <c r="A2" s="89" t="s">
        <v>1</v>
      </c>
      <c r="B2" s="89"/>
      <c r="C2" s="89"/>
      <c r="D2" s="89"/>
      <c r="E2" s="89"/>
      <c r="F2" s="89"/>
      <c r="G2" s="89"/>
      <c r="H2" s="89"/>
      <c r="I2" s="89"/>
      <c r="J2" s="89"/>
      <c r="K2" s="89"/>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90" t="s">
        <v>4</v>
      </c>
      <c r="B5" s="90"/>
      <c r="C5" s="90"/>
      <c r="D5" s="90"/>
      <c r="E5" s="90"/>
      <c r="F5" s="90"/>
      <c r="G5" s="90"/>
      <c r="H5" s="90"/>
      <c r="I5" s="90"/>
      <c r="J5" s="90"/>
      <c r="K5" s="90"/>
    </row>
    <row r="6" spans="1:19" ht="15.75" x14ac:dyDescent="0.25">
      <c r="A6" s="80" t="s">
        <v>55</v>
      </c>
      <c r="B6" s="80"/>
      <c r="C6" s="80"/>
      <c r="D6" s="80"/>
      <c r="E6" s="80"/>
      <c r="F6" s="80"/>
      <c r="G6" s="2"/>
      <c r="H6" s="87" t="s">
        <v>45</v>
      </c>
      <c r="I6" s="87"/>
      <c r="J6" s="87"/>
      <c r="K6" s="87"/>
      <c r="O6" t="s">
        <v>51</v>
      </c>
    </row>
    <row r="7" spans="1:19" ht="15.75" x14ac:dyDescent="0.25">
      <c r="A7" s="92" t="s">
        <v>28</v>
      </c>
      <c r="B7" s="92"/>
      <c r="C7" s="92"/>
      <c r="D7" s="92"/>
      <c r="E7" s="92"/>
      <c r="F7" s="92"/>
      <c r="G7" s="3"/>
      <c r="H7" s="93" t="s">
        <v>77</v>
      </c>
      <c r="I7" s="93"/>
      <c r="J7" s="93"/>
      <c r="K7" s="93"/>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19" ht="150" x14ac:dyDescent="0.25">
      <c r="A9" s="29">
        <v>1</v>
      </c>
      <c r="B9" s="30" t="s">
        <v>52</v>
      </c>
      <c r="C9" s="37"/>
      <c r="D9" s="37"/>
      <c r="E9" s="37"/>
      <c r="F9" s="37"/>
      <c r="G9" s="37"/>
      <c r="H9" s="37"/>
      <c r="I9" s="37"/>
      <c r="J9" s="37"/>
      <c r="K9" s="37"/>
      <c r="N9" t="s">
        <v>47</v>
      </c>
      <c r="O9" t="s">
        <v>48</v>
      </c>
    </row>
    <row r="10" spans="1:19" ht="15" customHeight="1" x14ac:dyDescent="0.25">
      <c r="A10" s="18"/>
      <c r="B10" s="38" t="str">
        <f>B31</f>
        <v>-For stone masonary</v>
      </c>
      <c r="C10" s="37">
        <v>0.5</v>
      </c>
      <c r="D10" s="39">
        <f>D46</f>
        <v>11.8</v>
      </c>
      <c r="E10" s="39">
        <f>F46/2</f>
        <v>1.5</v>
      </c>
      <c r="F10" s="39">
        <v>2</v>
      </c>
      <c r="G10" s="40">
        <f>PRODUCT(C10:F10)</f>
        <v>17.700000000000003</v>
      </c>
      <c r="H10" s="41"/>
      <c r="I10" s="41"/>
      <c r="J10" s="41"/>
      <c r="K10" s="21"/>
      <c r="M10" s="25"/>
      <c r="N10" s="1"/>
      <c r="O10" s="1"/>
      <c r="P10" s="1"/>
      <c r="Q10" s="1"/>
      <c r="R10" s="25"/>
      <c r="S10" s="25"/>
    </row>
    <row r="11" spans="1:19" ht="15" customHeight="1" x14ac:dyDescent="0.25">
      <c r="A11" s="18"/>
      <c r="B11" s="38" t="s">
        <v>42</v>
      </c>
      <c r="C11" s="19"/>
      <c r="D11" s="20"/>
      <c r="E11" s="21"/>
      <c r="F11" s="21"/>
      <c r="G11" s="23">
        <f>SUM(G10:G10)</f>
        <v>17.700000000000003</v>
      </c>
      <c r="H11" s="22" t="s">
        <v>41</v>
      </c>
      <c r="I11" s="23">
        <v>64.63</v>
      </c>
      <c r="J11" s="42">
        <f>G11*I11</f>
        <v>1143.951</v>
      </c>
      <c r="K11" s="21"/>
      <c r="M11" s="25"/>
      <c r="N11" s="1"/>
      <c r="O11" s="1"/>
      <c r="P11" s="1"/>
      <c r="Q11" s="1"/>
      <c r="R11" s="25"/>
      <c r="S11" s="25"/>
    </row>
    <row r="12" spans="1:19" ht="15" customHeight="1" x14ac:dyDescent="0.25">
      <c r="A12" s="18"/>
      <c r="B12" s="38" t="s">
        <v>40</v>
      </c>
      <c r="C12" s="19"/>
      <c r="D12" s="20"/>
      <c r="E12" s="21"/>
      <c r="F12" s="21"/>
      <c r="G12" s="23"/>
      <c r="H12" s="22"/>
      <c r="I12" s="23"/>
      <c r="J12" s="42">
        <f>0.13*G11*19284/360</f>
        <v>123.25690000000003</v>
      </c>
      <c r="K12" s="21"/>
      <c r="M12" s="25"/>
      <c r="N12" s="1"/>
      <c r="O12" s="1"/>
      <c r="P12" s="1"/>
      <c r="Q12" s="1"/>
      <c r="R12" s="25"/>
      <c r="S12" s="25"/>
    </row>
    <row r="13" spans="1:19" ht="15" customHeight="1" x14ac:dyDescent="0.25">
      <c r="A13" s="18"/>
      <c r="B13" s="38"/>
      <c r="C13" s="19"/>
      <c r="D13" s="20"/>
      <c r="E13" s="21"/>
      <c r="F13" s="21"/>
      <c r="G13" s="23"/>
      <c r="H13" s="22"/>
      <c r="I13" s="23"/>
      <c r="J13" s="42"/>
      <c r="K13" s="21"/>
      <c r="M13" s="25"/>
      <c r="N13" s="1"/>
      <c r="O13" s="1"/>
      <c r="P13" s="1"/>
      <c r="Q13" s="1"/>
      <c r="R13" s="25"/>
      <c r="S13" s="25"/>
    </row>
    <row r="14" spans="1:19" ht="30.75" x14ac:dyDescent="0.25">
      <c r="A14" s="18">
        <v>2</v>
      </c>
      <c r="B14" s="66" t="s">
        <v>63</v>
      </c>
      <c r="C14" s="19"/>
      <c r="D14" s="20"/>
      <c r="E14" s="21"/>
      <c r="F14" s="21"/>
      <c r="G14" s="23"/>
      <c r="H14" s="22"/>
      <c r="I14" s="23"/>
      <c r="J14" s="42"/>
      <c r="K14" s="21"/>
      <c r="M14" s="25"/>
      <c r="N14" s="1"/>
      <c r="O14" s="1"/>
      <c r="P14" s="1"/>
      <c r="Q14" s="1"/>
      <c r="R14" s="25"/>
      <c r="S14" s="25"/>
    </row>
    <row r="15" spans="1:19" ht="15" customHeight="1" x14ac:dyDescent="0.25">
      <c r="A15" s="18"/>
      <c r="B15" s="38" t="s">
        <v>64</v>
      </c>
      <c r="C15" s="19">
        <v>2</v>
      </c>
      <c r="D15" s="20">
        <f>(14-1.17*2-0.5)/3.281</f>
        <v>3.4014020115818346</v>
      </c>
      <c r="E15" s="21">
        <v>0.35</v>
      </c>
      <c r="F15" s="21">
        <v>0.75</v>
      </c>
      <c r="G15" s="40">
        <f>PRODUCT(C15:F15)</f>
        <v>1.7857360560804632</v>
      </c>
      <c r="H15" s="22"/>
      <c r="I15" s="23"/>
      <c r="J15" s="42"/>
      <c r="K15" s="21"/>
    </row>
    <row r="16" spans="1:19" ht="15" customHeight="1" x14ac:dyDescent="0.25">
      <c r="A16" s="18"/>
      <c r="B16" s="38"/>
      <c r="C16" s="19">
        <v>2</v>
      </c>
      <c r="D16" s="20">
        <f>(22.42-0.75)/3.281</f>
        <v>6.6046936909478822</v>
      </c>
      <c r="E16" s="21">
        <v>0.35</v>
      </c>
      <c r="F16" s="21">
        <v>0.75</v>
      </c>
      <c r="G16" s="40">
        <f>PRODUCT(C16:F16)</f>
        <v>3.4674641877476384</v>
      </c>
      <c r="H16" s="22"/>
      <c r="I16" s="23"/>
      <c r="J16" s="42"/>
      <c r="K16" s="21"/>
    </row>
    <row r="17" spans="1:21" ht="15" customHeight="1" x14ac:dyDescent="0.25">
      <c r="A17" s="18"/>
      <c r="B17" s="38" t="s">
        <v>42</v>
      </c>
      <c r="C17" s="19"/>
      <c r="D17" s="20"/>
      <c r="E17" s="21"/>
      <c r="F17" s="21"/>
      <c r="G17" s="23">
        <f>SUM(G15:G16)</f>
        <v>5.2532002438281014</v>
      </c>
      <c r="H17" s="22" t="s">
        <v>41</v>
      </c>
      <c r="I17" s="23">
        <v>663.31</v>
      </c>
      <c r="J17" s="42">
        <f>G17*I17</f>
        <v>3484.5002537336177</v>
      </c>
      <c r="K17" s="21"/>
    </row>
    <row r="18" spans="1:21" ht="15" customHeight="1" x14ac:dyDescent="0.25">
      <c r="A18" s="18"/>
      <c r="B18" s="38"/>
      <c r="C18" s="19"/>
      <c r="D18" s="20"/>
      <c r="E18" s="21"/>
      <c r="F18" s="21"/>
      <c r="G18" s="23"/>
      <c r="H18" s="22"/>
      <c r="I18" s="23"/>
      <c r="J18" s="42"/>
      <c r="K18" s="21"/>
    </row>
    <row r="19" spans="1:21" ht="45.75" x14ac:dyDescent="0.25">
      <c r="A19" s="18">
        <v>3</v>
      </c>
      <c r="B19" s="66" t="s">
        <v>65</v>
      </c>
      <c r="C19" s="19"/>
      <c r="D19" s="20"/>
      <c r="E19" s="21"/>
      <c r="F19" s="21"/>
      <c r="G19" s="23"/>
      <c r="H19" s="22"/>
      <c r="I19" s="23"/>
      <c r="J19" s="42"/>
      <c r="K19" s="21"/>
    </row>
    <row r="20" spans="1:21" ht="15" customHeight="1" x14ac:dyDescent="0.25">
      <c r="A20" s="18"/>
      <c r="B20" s="38" t="s">
        <v>66</v>
      </c>
      <c r="C20" s="19">
        <v>1</v>
      </c>
      <c r="D20" s="20">
        <f>25.5/3.281</f>
        <v>7.7720207253886011</v>
      </c>
      <c r="E20" s="21">
        <f>0.5+0.3</f>
        <v>0.8</v>
      </c>
      <c r="F20" s="21"/>
      <c r="G20" s="40">
        <f>PRODUCT(C20:F20)</f>
        <v>6.2176165803108816</v>
      </c>
      <c r="H20" s="22"/>
      <c r="I20" s="23"/>
      <c r="J20" s="42"/>
      <c r="K20" s="21"/>
    </row>
    <row r="21" spans="1:21" ht="15" customHeight="1" x14ac:dyDescent="0.25">
      <c r="A21" s="18"/>
      <c r="B21" s="38"/>
      <c r="C21" s="19">
        <v>1</v>
      </c>
      <c r="D21" s="20">
        <f>12.833/3.281</f>
        <v>3.9113075281926242</v>
      </c>
      <c r="E21" s="21">
        <v>0.3</v>
      </c>
      <c r="F21" s="21"/>
      <c r="G21" s="40">
        <f>PRODUCT(C21:F21)</f>
        <v>1.1733922584577872</v>
      </c>
      <c r="H21" s="22"/>
      <c r="I21" s="23"/>
      <c r="J21" s="42"/>
      <c r="K21" s="21"/>
    </row>
    <row r="22" spans="1:21" ht="15" customHeight="1" x14ac:dyDescent="0.25">
      <c r="A22" s="18"/>
      <c r="B22" s="38" t="s">
        <v>42</v>
      </c>
      <c r="C22" s="19"/>
      <c r="D22" s="20"/>
      <c r="E22" s="21"/>
      <c r="F22" s="21"/>
      <c r="G22" s="23">
        <f>SUM(G20:G21)</f>
        <v>7.391008838768669</v>
      </c>
      <c r="H22" s="22" t="s">
        <v>57</v>
      </c>
      <c r="I22" s="23">
        <v>21.16</v>
      </c>
      <c r="J22" s="42">
        <f>G22*I22</f>
        <v>156.39374702834505</v>
      </c>
      <c r="K22" s="21"/>
    </row>
    <row r="23" spans="1:21" ht="15" customHeight="1" x14ac:dyDescent="0.25">
      <c r="A23" s="18"/>
      <c r="B23" s="38"/>
      <c r="C23" s="19"/>
      <c r="D23" s="20"/>
      <c r="E23" s="21"/>
      <c r="F23" s="21"/>
      <c r="G23" s="23"/>
      <c r="H23" s="22"/>
      <c r="I23" s="23"/>
      <c r="J23" s="42"/>
      <c r="K23" s="21"/>
    </row>
    <row r="24" spans="1:21" x14ac:dyDescent="0.25">
      <c r="A24" s="18">
        <v>4</v>
      </c>
      <c r="B24" s="67" t="s">
        <v>61</v>
      </c>
      <c r="C24" s="19"/>
      <c r="D24" s="20"/>
      <c r="E24" s="21"/>
      <c r="F24" s="21"/>
      <c r="G24" s="23"/>
      <c r="H24" s="22"/>
      <c r="I24" s="23"/>
      <c r="J24" s="42"/>
      <c r="K24" s="21"/>
    </row>
    <row r="25" spans="1:21" ht="15" customHeight="1" x14ac:dyDescent="0.25">
      <c r="A25" s="18"/>
      <c r="B25" s="38" t="str">
        <f>B15</f>
        <v>-for footing of wall at truss structure</v>
      </c>
      <c r="C25" s="19">
        <f>C15</f>
        <v>2</v>
      </c>
      <c r="D25" s="20">
        <f>D15</f>
        <v>3.4014020115818346</v>
      </c>
      <c r="E25" s="21">
        <f>E15</f>
        <v>0.35</v>
      </c>
      <c r="F25" s="21"/>
      <c r="G25" s="40">
        <f>PRODUCT(C25:F25)</f>
        <v>2.3809814081072842</v>
      </c>
      <c r="H25" s="22"/>
      <c r="I25" s="23"/>
      <c r="J25" s="42"/>
      <c r="K25" s="21"/>
    </row>
    <row r="26" spans="1:21" ht="15" customHeight="1" x14ac:dyDescent="0.25">
      <c r="A26" s="18"/>
      <c r="B26" s="38"/>
      <c r="C26" s="19">
        <f>C16</f>
        <v>2</v>
      </c>
      <c r="D26" s="20">
        <f>D16</f>
        <v>6.6046936909478822</v>
      </c>
      <c r="E26" s="21">
        <f>E16</f>
        <v>0.35</v>
      </c>
      <c r="F26" s="21"/>
      <c r="G26" s="40">
        <f>PRODUCT(C26:F26)</f>
        <v>4.6232855836635176</v>
      </c>
      <c r="H26" s="22"/>
      <c r="I26" s="23"/>
      <c r="J26" s="42"/>
      <c r="K26" s="21"/>
    </row>
    <row r="27" spans="1:21" ht="15" customHeight="1" x14ac:dyDescent="0.25">
      <c r="A27" s="18"/>
      <c r="B27" s="38" t="s">
        <v>42</v>
      </c>
      <c r="C27" s="19"/>
      <c r="D27" s="20"/>
      <c r="E27" s="21"/>
      <c r="F27" s="21"/>
      <c r="G27" s="23">
        <f>SUM(G25:G26)</f>
        <v>7.0042669917708018</v>
      </c>
      <c r="H27" s="22" t="s">
        <v>57</v>
      </c>
      <c r="I27" s="23">
        <v>1014.97</v>
      </c>
      <c r="J27" s="42">
        <f>G27*I27</f>
        <v>7109.1208686376112</v>
      </c>
      <c r="K27" s="21"/>
    </row>
    <row r="28" spans="1:21" ht="15" customHeight="1" x14ac:dyDescent="0.25">
      <c r="A28" s="18"/>
      <c r="B28" s="38" t="s">
        <v>40</v>
      </c>
      <c r="C28" s="19"/>
      <c r="D28" s="20"/>
      <c r="E28" s="21"/>
      <c r="F28" s="21"/>
      <c r="G28" s="23"/>
      <c r="H28" s="22"/>
      <c r="I28" s="23"/>
      <c r="J28" s="42">
        <f>0.13*G27*8617.2/10</f>
        <v>784.64320377933575</v>
      </c>
      <c r="K28" s="21"/>
    </row>
    <row r="29" spans="1:21" ht="15" customHeight="1" x14ac:dyDescent="0.25">
      <c r="A29" s="18"/>
      <c r="B29" s="38"/>
      <c r="C29" s="19"/>
      <c r="D29" s="20"/>
      <c r="E29" s="21"/>
      <c r="F29" s="21"/>
      <c r="G29" s="23"/>
      <c r="H29" s="22"/>
      <c r="I29" s="23"/>
      <c r="J29" s="42"/>
      <c r="K29" s="21"/>
    </row>
    <row r="30" spans="1:21" ht="90" x14ac:dyDescent="0.25">
      <c r="A30" s="18">
        <v>5</v>
      </c>
      <c r="B30" s="30" t="s">
        <v>44</v>
      </c>
      <c r="C30" s="19"/>
      <c r="D30" s="20"/>
      <c r="E30" s="21"/>
      <c r="F30" s="21"/>
      <c r="G30" s="23"/>
      <c r="H30" s="22"/>
      <c r="I30" s="23"/>
      <c r="J30" s="42"/>
      <c r="K30" s="21"/>
      <c r="M30" s="25"/>
      <c r="N30" s="1"/>
      <c r="O30" s="86" t="s">
        <v>65</v>
      </c>
      <c r="P30" s="86"/>
      <c r="Q30" s="86"/>
      <c r="R30" s="86"/>
      <c r="S30" s="86"/>
      <c r="T30" s="86"/>
      <c r="U30" s="86"/>
    </row>
    <row r="31" spans="1:21" ht="15" customHeight="1" x14ac:dyDescent="0.25">
      <c r="A31" s="18"/>
      <c r="B31" s="38" t="str">
        <f>B36</f>
        <v>-For stone masonary</v>
      </c>
      <c r="C31" s="37">
        <v>1</v>
      </c>
      <c r="D31" s="39">
        <f>D36</f>
        <v>11.8</v>
      </c>
      <c r="E31" s="39">
        <f>E36</f>
        <v>1.5</v>
      </c>
      <c r="F31" s="39">
        <v>0.15</v>
      </c>
      <c r="G31" s="40">
        <f>PRODUCT(C31:F31)</f>
        <v>2.6550000000000002</v>
      </c>
      <c r="H31" s="41"/>
      <c r="I31" s="41"/>
      <c r="J31" s="41"/>
      <c r="K31" s="21"/>
      <c r="M31" s="25"/>
      <c r="N31" s="1"/>
      <c r="O31" s="1"/>
      <c r="P31" s="1"/>
      <c r="Q31" s="1"/>
      <c r="R31" s="25"/>
      <c r="S31" s="25"/>
    </row>
    <row r="32" spans="1:21" ht="15" customHeight="1" x14ac:dyDescent="0.25">
      <c r="A32" s="41"/>
      <c r="B32" s="38" t="s">
        <v>42</v>
      </c>
      <c r="C32" s="43"/>
      <c r="D32" s="44"/>
      <c r="E32" s="44"/>
      <c r="F32" s="44"/>
      <c r="G32" s="34">
        <f>SUM(G31)</f>
        <v>2.6550000000000002</v>
      </c>
      <c r="H32" s="34" t="s">
        <v>41</v>
      </c>
      <c r="I32" s="34">
        <v>4434.5200000000004</v>
      </c>
      <c r="J32" s="45">
        <f>G32*I32</f>
        <v>11773.650600000003</v>
      </c>
      <c r="K32" s="37"/>
    </row>
    <row r="33" spans="1:19" x14ac:dyDescent="0.25">
      <c r="A33" s="41"/>
      <c r="B33" s="38" t="s">
        <v>40</v>
      </c>
      <c r="C33" s="43"/>
      <c r="D33" s="44"/>
      <c r="E33" s="44"/>
      <c r="F33" s="44"/>
      <c r="G33" s="44"/>
      <c r="H33" s="44"/>
      <c r="I33" s="44"/>
      <c r="J33" s="46">
        <f>0.13*G32*(14817.6/5)</f>
        <v>1022.8589280000002</v>
      </c>
      <c r="K33" s="37"/>
    </row>
    <row r="34" spans="1:19" x14ac:dyDescent="0.25">
      <c r="A34" s="41"/>
      <c r="B34" s="38"/>
      <c r="C34" s="43"/>
      <c r="D34" s="44"/>
      <c r="E34" s="44"/>
      <c r="F34" s="44"/>
      <c r="G34" s="44"/>
      <c r="H34" s="44"/>
      <c r="I34" s="44"/>
      <c r="J34" s="46"/>
      <c r="K34" s="37"/>
    </row>
    <row r="35" spans="1:19" ht="75" x14ac:dyDescent="0.25">
      <c r="A35" s="18">
        <v>6</v>
      </c>
      <c r="B35" s="30" t="s">
        <v>43</v>
      </c>
      <c r="C35" s="19"/>
      <c r="D35" s="20"/>
      <c r="E35" s="21"/>
      <c r="F35" s="21"/>
      <c r="G35" s="23"/>
      <c r="H35" s="22"/>
      <c r="I35" s="23"/>
      <c r="J35" s="42"/>
      <c r="K35" s="21"/>
      <c r="M35" s="25"/>
      <c r="N35" s="1"/>
      <c r="O35" s="1"/>
      <c r="P35" s="1"/>
      <c r="Q35" s="1"/>
      <c r="R35" s="25"/>
      <c r="S35" s="25"/>
    </row>
    <row r="36" spans="1:19" ht="15" customHeight="1" x14ac:dyDescent="0.25">
      <c r="A36" s="18"/>
      <c r="B36" s="38" t="s">
        <v>62</v>
      </c>
      <c r="C36" s="37">
        <v>1</v>
      </c>
      <c r="D36" s="39">
        <f>D46</f>
        <v>11.8</v>
      </c>
      <c r="E36" s="39">
        <f>F46/2</f>
        <v>1.5</v>
      </c>
      <c r="F36" s="39">
        <v>7.4999999999999997E-2</v>
      </c>
      <c r="G36" s="40">
        <f>PRODUCT(C36:F36)</f>
        <v>1.3275000000000001</v>
      </c>
      <c r="H36" s="41"/>
      <c r="I36" s="41"/>
      <c r="J36" s="41"/>
      <c r="K36" s="21"/>
      <c r="M36" s="25"/>
      <c r="N36" s="1"/>
      <c r="O36" s="1"/>
      <c r="P36" s="1"/>
      <c r="Q36" s="1"/>
      <c r="R36" s="25"/>
      <c r="S36" s="25"/>
    </row>
    <row r="37" spans="1:19" ht="15" customHeight="1" x14ac:dyDescent="0.25">
      <c r="A37" s="18"/>
      <c r="B37" s="38"/>
      <c r="C37" s="37">
        <v>1</v>
      </c>
      <c r="D37" s="39">
        <f>D36</f>
        <v>11.8</v>
      </c>
      <c r="E37" s="39">
        <v>0.45</v>
      </c>
      <c r="F37" s="39">
        <v>0.05</v>
      </c>
      <c r="G37" s="40">
        <f>PRODUCT(C37:F37)</f>
        <v>0.26550000000000001</v>
      </c>
      <c r="H37" s="41"/>
      <c r="I37" s="41"/>
      <c r="J37" s="41"/>
      <c r="K37" s="21"/>
      <c r="M37" s="25"/>
      <c r="N37" s="1"/>
      <c r="O37" s="1"/>
      <c r="P37" s="1"/>
      <c r="Q37" s="1"/>
      <c r="R37" s="25"/>
      <c r="S37" s="25"/>
    </row>
    <row r="38" spans="1:19" ht="15" customHeight="1" x14ac:dyDescent="0.25">
      <c r="A38" s="18"/>
      <c r="B38" s="38" t="str">
        <f>B25</f>
        <v>-for footing of wall at truss structure</v>
      </c>
      <c r="C38" s="48">
        <f>C25</f>
        <v>2</v>
      </c>
      <c r="D38" s="39">
        <f>D25</f>
        <v>3.4014020115818346</v>
      </c>
      <c r="E38" s="39">
        <f>E25</f>
        <v>0.35</v>
      </c>
      <c r="F38" s="39">
        <v>7.4999999999999997E-2</v>
      </c>
      <c r="G38" s="40">
        <f t="shared" ref="G38:G41" si="0">PRODUCT(C38:F38)</f>
        <v>0.1785736056080463</v>
      </c>
      <c r="H38" s="41"/>
      <c r="I38" s="41"/>
      <c r="J38" s="41"/>
      <c r="K38" s="21"/>
      <c r="M38" s="25"/>
      <c r="N38" s="1"/>
      <c r="O38" s="1"/>
      <c r="P38" s="1"/>
      <c r="Q38" s="1"/>
      <c r="R38" s="25"/>
      <c r="S38" s="25"/>
    </row>
    <row r="39" spans="1:19" ht="15" customHeight="1" x14ac:dyDescent="0.25">
      <c r="A39" s="18"/>
      <c r="B39" s="38"/>
      <c r="C39" s="48">
        <f>C26</f>
        <v>2</v>
      </c>
      <c r="D39" s="39">
        <f>D26</f>
        <v>6.6046936909478822</v>
      </c>
      <c r="E39" s="39">
        <f>E26</f>
        <v>0.35</v>
      </c>
      <c r="F39" s="39">
        <v>7.4999999999999997E-2</v>
      </c>
      <c r="G39" s="40">
        <f t="shared" si="0"/>
        <v>0.34674641877476381</v>
      </c>
      <c r="H39" s="41"/>
      <c r="I39" s="41"/>
      <c r="J39" s="41"/>
      <c r="K39" s="21"/>
      <c r="M39" s="25"/>
      <c r="N39" s="1"/>
      <c r="O39" s="1"/>
      <c r="P39" s="1"/>
      <c r="Q39" s="1"/>
      <c r="R39" s="25"/>
      <c r="S39" s="25"/>
    </row>
    <row r="40" spans="1:19" ht="15" customHeight="1" x14ac:dyDescent="0.25">
      <c r="A40" s="18"/>
      <c r="B40" s="38" t="s">
        <v>73</v>
      </c>
      <c r="C40" s="48">
        <v>2</v>
      </c>
      <c r="D40" s="39">
        <f>22.42/3.281</f>
        <v>6.8332825358122529</v>
      </c>
      <c r="E40" s="39">
        <v>0.23</v>
      </c>
      <c r="F40" s="39">
        <v>0.15</v>
      </c>
      <c r="G40" s="40">
        <f t="shared" si="0"/>
        <v>0.47149649497104545</v>
      </c>
      <c r="H40" s="41"/>
      <c r="I40" s="41"/>
      <c r="J40" s="41"/>
      <c r="K40" s="21"/>
      <c r="M40" s="25"/>
      <c r="N40" s="1"/>
      <c r="O40" s="1"/>
      <c r="P40" s="1"/>
      <c r="Q40" s="1"/>
      <c r="R40" s="25"/>
      <c r="S40" s="25"/>
    </row>
    <row r="41" spans="1:19" ht="15" customHeight="1" x14ac:dyDescent="0.25">
      <c r="A41" s="18"/>
      <c r="B41" s="38"/>
      <c r="C41" s="48">
        <v>2</v>
      </c>
      <c r="D41" s="39">
        <f>(14-1.5)/3.281</f>
        <v>3.8098140810728434</v>
      </c>
      <c r="E41" s="39">
        <v>0.23</v>
      </c>
      <c r="F41" s="39">
        <v>0.15</v>
      </c>
      <c r="G41" s="40">
        <f t="shared" si="0"/>
        <v>0.26287717159402618</v>
      </c>
      <c r="H41" s="41"/>
      <c r="I41" s="41"/>
      <c r="J41" s="41"/>
      <c r="K41" s="21"/>
      <c r="M41" s="25"/>
      <c r="N41" s="1"/>
      <c r="O41" s="1"/>
      <c r="P41" s="1"/>
      <c r="Q41" s="1"/>
      <c r="R41" s="25"/>
      <c r="S41" s="25"/>
    </row>
    <row r="42" spans="1:19" ht="15" customHeight="1" x14ac:dyDescent="0.25">
      <c r="A42" s="41"/>
      <c r="B42" s="38" t="s">
        <v>42</v>
      </c>
      <c r="C42" s="43"/>
      <c r="D42" s="44"/>
      <c r="E42" s="44"/>
      <c r="F42" s="44"/>
      <c r="G42" s="34">
        <f>SUM(G36:G41)</f>
        <v>2.8526936909478819</v>
      </c>
      <c r="H42" s="34" t="s">
        <v>41</v>
      </c>
      <c r="I42" s="34">
        <v>10634.5</v>
      </c>
      <c r="J42" s="45">
        <f>G42*I42</f>
        <v>30336.97105638525</v>
      </c>
      <c r="K42" s="37"/>
    </row>
    <row r="43" spans="1:19" ht="15" customHeight="1" x14ac:dyDescent="0.25">
      <c r="A43" s="41"/>
      <c r="B43" s="38" t="s">
        <v>40</v>
      </c>
      <c r="C43" s="43"/>
      <c r="D43" s="44"/>
      <c r="E43" s="44"/>
      <c r="F43" s="44"/>
      <c r="G43" s="44"/>
      <c r="H43" s="44"/>
      <c r="I43" s="44"/>
      <c r="J43" s="46">
        <f>0.13*G42*((114907.3+6135.3)/15)</f>
        <v>2992.5779984180435</v>
      </c>
      <c r="K43" s="37"/>
    </row>
    <row r="44" spans="1:19" ht="15" customHeight="1" x14ac:dyDescent="0.25">
      <c r="A44" s="41"/>
      <c r="B44" s="38"/>
      <c r="C44" s="43"/>
      <c r="D44" s="44"/>
      <c r="E44" s="44"/>
      <c r="F44" s="44"/>
      <c r="G44" s="44"/>
      <c r="H44" s="44"/>
      <c r="I44" s="44"/>
      <c r="J44" s="46"/>
      <c r="K44" s="37"/>
    </row>
    <row r="45" spans="1:19" s="1" customFormat="1" ht="90" x14ac:dyDescent="0.25">
      <c r="A45" s="64">
        <v>7</v>
      </c>
      <c r="B45" s="30" t="s">
        <v>49</v>
      </c>
      <c r="C45" s="65"/>
      <c r="D45" s="40"/>
      <c r="E45" s="40"/>
      <c r="F45" s="40"/>
      <c r="G45" s="40"/>
      <c r="H45" s="40"/>
      <c r="I45" s="40"/>
      <c r="J45" s="46"/>
      <c r="K45" s="29"/>
    </row>
    <row r="46" spans="1:19" ht="15" customHeight="1" x14ac:dyDescent="0.25">
      <c r="A46" s="18"/>
      <c r="B46" s="38" t="s">
        <v>62</v>
      </c>
      <c r="C46" s="37">
        <v>1</v>
      </c>
      <c r="D46" s="39">
        <f>7.3+4.5</f>
        <v>11.8</v>
      </c>
      <c r="E46" s="39">
        <f>((F46/2+0.45)/2)</f>
        <v>0.97499999999999998</v>
      </c>
      <c r="F46" s="39">
        <v>3</v>
      </c>
      <c r="G46" s="40">
        <f>PRODUCT(C46:F46)</f>
        <v>34.515000000000001</v>
      </c>
      <c r="H46" s="41"/>
      <c r="I46" s="41"/>
      <c r="J46" s="41"/>
      <c r="K46" s="21"/>
      <c r="M46" s="25"/>
      <c r="N46" s="1"/>
      <c r="O46" s="1"/>
      <c r="P46" s="1"/>
      <c r="Q46" s="1"/>
      <c r="R46" s="25"/>
      <c r="S46" s="25"/>
    </row>
    <row r="47" spans="1:19" ht="15" customHeight="1" x14ac:dyDescent="0.25">
      <c r="A47" s="41"/>
      <c r="B47" s="38" t="s">
        <v>42</v>
      </c>
      <c r="C47" s="43"/>
      <c r="D47" s="44"/>
      <c r="E47" s="44"/>
      <c r="F47" s="44"/>
      <c r="G47" s="34">
        <f>SUM(G46:G46)</f>
        <v>34.515000000000001</v>
      </c>
      <c r="H47" s="34" t="s">
        <v>41</v>
      </c>
      <c r="I47" s="34">
        <v>9709.43</v>
      </c>
      <c r="J47" s="45">
        <f>G47*I47</f>
        <v>335120.97645000002</v>
      </c>
      <c r="K47" s="37"/>
    </row>
    <row r="48" spans="1:19" ht="15" customHeight="1" x14ac:dyDescent="0.25">
      <c r="A48" s="41"/>
      <c r="B48" s="38" t="s">
        <v>40</v>
      </c>
      <c r="C48" s="43"/>
      <c r="D48" s="44"/>
      <c r="E48" s="44"/>
      <c r="F48" s="44"/>
      <c r="G48" s="44"/>
      <c r="H48" s="44"/>
      <c r="I48" s="44"/>
      <c r="J48" s="46">
        <f>0.13*G47*((27092.1)/5)</f>
        <v>24312.179619000002</v>
      </c>
      <c r="K48" s="37"/>
    </row>
    <row r="49" spans="1:16" ht="15" customHeight="1" x14ac:dyDescent="0.25">
      <c r="A49" s="41"/>
      <c r="B49" s="38"/>
      <c r="C49" s="43"/>
      <c r="D49" s="44"/>
      <c r="E49" s="44"/>
      <c r="F49" s="44"/>
      <c r="G49" s="34"/>
      <c r="H49" s="34"/>
      <c r="I49" s="34"/>
      <c r="J49" s="45"/>
      <c r="K49" s="37"/>
    </row>
    <row r="50" spans="1:16" ht="15.75" x14ac:dyDescent="0.25">
      <c r="A50" s="18">
        <v>8</v>
      </c>
      <c r="B50" s="66" t="s">
        <v>58</v>
      </c>
      <c r="C50" s="19"/>
      <c r="D50" s="20"/>
      <c r="E50" s="21"/>
      <c r="F50" s="21"/>
      <c r="G50" s="23"/>
      <c r="H50" s="22"/>
      <c r="I50" s="23"/>
      <c r="J50" s="42"/>
      <c r="K50" s="21"/>
    </row>
    <row r="51" spans="1:16" ht="15" customHeight="1" x14ac:dyDescent="0.25">
      <c r="A51" s="18"/>
      <c r="B51" s="38" t="s">
        <v>56</v>
      </c>
      <c r="C51" s="37">
        <v>1</v>
      </c>
      <c r="D51" s="39">
        <f>(12.833+21+2+5.5+10.833+26.5)/3.281</f>
        <v>23.976226760134104</v>
      </c>
      <c r="E51" s="39"/>
      <c r="F51" s="39">
        <f>9/3.281</f>
        <v>2.7430661383724475</v>
      </c>
      <c r="G51" s="40">
        <f t="shared" ref="G51:G55" si="1">PRODUCT(C51:F51)</f>
        <v>65.7683757516632</v>
      </c>
      <c r="H51" s="41"/>
      <c r="I51" s="41"/>
      <c r="J51" s="41"/>
      <c r="K51" s="21"/>
    </row>
    <row r="52" spans="1:16" ht="15" customHeight="1" x14ac:dyDescent="0.25">
      <c r="A52" s="18"/>
      <c r="B52" s="38"/>
      <c r="C52" s="37">
        <v>1</v>
      </c>
      <c r="D52" s="39">
        <f>(12.833-1.5+21-1.5+2-1.5+5.5-1.5+10.833-1.5+26.5-1.5+12.833-1.5-0.75-0.75)/3.281</f>
        <v>24.230112770496799</v>
      </c>
      <c r="E52" s="39"/>
      <c r="F52" s="39">
        <f>8.5/3.281</f>
        <v>2.5906735751295336</v>
      </c>
      <c r="G52" s="40">
        <f t="shared" si="1"/>
        <v>62.772312876934713</v>
      </c>
      <c r="H52" s="41"/>
      <c r="I52" s="41"/>
      <c r="J52" s="41"/>
      <c r="K52" s="21"/>
    </row>
    <row r="53" spans="1:16" ht="15" customHeight="1" x14ac:dyDescent="0.25">
      <c r="A53" s="18"/>
      <c r="B53" s="38" t="s">
        <v>59</v>
      </c>
      <c r="C53" s="37">
        <v>-2</v>
      </c>
      <c r="D53" s="39">
        <f>3/3.281</f>
        <v>0.91435537945748246</v>
      </c>
      <c r="E53" s="39"/>
      <c r="F53" s="39">
        <f>7/3.281</f>
        <v>2.1334958854007922</v>
      </c>
      <c r="G53" s="40">
        <f t="shared" si="1"/>
        <v>-3.9015468797332375</v>
      </c>
      <c r="H53" s="41"/>
      <c r="I53" s="41"/>
      <c r="J53" s="41"/>
      <c r="K53" s="21"/>
    </row>
    <row r="54" spans="1:16" ht="15" customHeight="1" x14ac:dyDescent="0.25">
      <c r="A54" s="18"/>
      <c r="B54" s="38"/>
      <c r="C54" s="37">
        <v>-2</v>
      </c>
      <c r="D54" s="39">
        <f>2.5/3.281</f>
        <v>0.76196281621456874</v>
      </c>
      <c r="E54" s="39"/>
      <c r="F54" s="39">
        <f>6/3.281</f>
        <v>1.8287107589149649</v>
      </c>
      <c r="G54" s="40">
        <f t="shared" si="1"/>
        <v>-2.786819199809456</v>
      </c>
      <c r="H54" s="41"/>
      <c r="I54" s="41"/>
      <c r="J54" s="41"/>
      <c r="K54" s="21"/>
    </row>
    <row r="55" spans="1:16" ht="15" customHeight="1" x14ac:dyDescent="0.25">
      <c r="A55" s="18"/>
      <c r="B55" s="38" t="s">
        <v>60</v>
      </c>
      <c r="C55" s="37">
        <v>-2</v>
      </c>
      <c r="D55" s="39">
        <f>3.5/3.281</f>
        <v>1.0667479427003961</v>
      </c>
      <c r="E55" s="39"/>
      <c r="F55" s="39">
        <f>4/3.281</f>
        <v>1.2191405059433098</v>
      </c>
      <c r="G55" s="40">
        <f t="shared" si="1"/>
        <v>-2.6010312531554916</v>
      </c>
      <c r="H55" s="41"/>
      <c r="I55" s="41"/>
      <c r="J55" s="41"/>
      <c r="K55" s="21"/>
    </row>
    <row r="56" spans="1:16" ht="15" customHeight="1" x14ac:dyDescent="0.25">
      <c r="A56" s="18"/>
      <c r="B56" s="38" t="s">
        <v>76</v>
      </c>
      <c r="C56" s="37">
        <v>1</v>
      </c>
      <c r="D56" s="39"/>
      <c r="E56" s="39"/>
      <c r="F56" s="39"/>
      <c r="G56" s="40">
        <f>G78</f>
        <v>44.939817128924112</v>
      </c>
      <c r="H56" s="41"/>
      <c r="I56" s="41"/>
      <c r="J56" s="41"/>
      <c r="K56" s="21"/>
    </row>
    <row r="57" spans="1:16" ht="15" customHeight="1" x14ac:dyDescent="0.25">
      <c r="A57" s="18"/>
      <c r="B57" s="38" t="s">
        <v>42</v>
      </c>
      <c r="C57" s="19"/>
      <c r="D57" s="20"/>
      <c r="E57" s="21"/>
      <c r="F57" s="21"/>
      <c r="G57" s="23">
        <f>SUM(G51:G56)</f>
        <v>164.19110842482382</v>
      </c>
      <c r="H57" s="22" t="s">
        <v>57</v>
      </c>
      <c r="I57" s="23">
        <v>20.82</v>
      </c>
      <c r="J57" s="42">
        <f>G57*I57</f>
        <v>3418.458877404832</v>
      </c>
      <c r="K57" s="21"/>
    </row>
    <row r="58" spans="1:16" ht="15" customHeight="1" x14ac:dyDescent="0.25">
      <c r="A58" s="18"/>
      <c r="B58" s="38" t="s">
        <v>40</v>
      </c>
      <c r="C58" s="19"/>
      <c r="D58" s="20"/>
      <c r="E58" s="21"/>
      <c r="F58" s="21"/>
      <c r="G58" s="23"/>
      <c r="H58" s="22"/>
      <c r="I58" s="23"/>
      <c r="J58" s="42">
        <f>0.13*G57*458.4/100</f>
        <v>97.844765332521021</v>
      </c>
      <c r="K58" s="21"/>
    </row>
    <row r="59" spans="1:16" ht="15" customHeight="1" x14ac:dyDescent="0.25">
      <c r="A59" s="18"/>
      <c r="B59" s="38"/>
      <c r="C59" s="19"/>
      <c r="D59" s="20"/>
      <c r="E59" s="21"/>
      <c r="F59" s="21"/>
      <c r="G59" s="23"/>
      <c r="H59" s="22"/>
      <c r="I59" s="23"/>
      <c r="J59" s="42"/>
      <c r="K59" s="21"/>
    </row>
    <row r="60" spans="1:16" ht="30" x14ac:dyDescent="0.25">
      <c r="A60" s="18">
        <v>9</v>
      </c>
      <c r="B60" s="67" t="s">
        <v>50</v>
      </c>
      <c r="C60" s="19"/>
      <c r="D60" s="20"/>
      <c r="E60" s="21"/>
      <c r="F60" s="21"/>
      <c r="G60" s="23"/>
      <c r="H60" s="22"/>
      <c r="I60" s="23"/>
      <c r="J60" s="42"/>
      <c r="K60" s="21"/>
      <c r="N60">
        <f>18.833*2</f>
        <v>37.665999999999997</v>
      </c>
    </row>
    <row r="61" spans="1:16" ht="15" customHeight="1" x14ac:dyDescent="0.25">
      <c r="A61" s="18"/>
      <c r="B61" s="38" t="str">
        <f>B38</f>
        <v>-for footing of wall at truss structure</v>
      </c>
      <c r="C61" s="48">
        <f>C38</f>
        <v>2</v>
      </c>
      <c r="D61" s="39">
        <f>D38</f>
        <v>3.4014020115818346</v>
      </c>
      <c r="E61" s="39">
        <v>0.35</v>
      </c>
      <c r="F61" s="39">
        <v>0.2</v>
      </c>
      <c r="G61" s="40">
        <f>PRODUCT(C61:F61)</f>
        <v>0.47619628162145688</v>
      </c>
      <c r="H61" s="41"/>
      <c r="I61" s="41"/>
      <c r="J61" s="41"/>
      <c r="K61" s="21"/>
      <c r="M61">
        <f>19.083*2/3.281</f>
        <v>11.632429137458091</v>
      </c>
      <c r="N61">
        <f>18.833*2/3.281</f>
        <v>11.480036574215177</v>
      </c>
      <c r="P61">
        <f>0.75-0.075*2</f>
        <v>0.6</v>
      </c>
    </row>
    <row r="62" spans="1:16" ht="15" customHeight="1" x14ac:dyDescent="0.25">
      <c r="A62" s="18"/>
      <c r="B62" s="38"/>
      <c r="C62" s="48">
        <f>C39</f>
        <v>2</v>
      </c>
      <c r="D62" s="39">
        <f>D61</f>
        <v>3.4014020115818346</v>
      </c>
      <c r="E62" s="39">
        <v>0.23</v>
      </c>
      <c r="F62" s="39">
        <f>0.9+0.4</f>
        <v>1.3</v>
      </c>
      <c r="G62" s="40">
        <f>PRODUCT(C62:F62)</f>
        <v>2.0340384029259373</v>
      </c>
      <c r="H62" s="41"/>
      <c r="I62" s="41"/>
      <c r="J62" s="41"/>
      <c r="K62" s="21"/>
    </row>
    <row r="63" spans="1:16" ht="15" customHeight="1" x14ac:dyDescent="0.25">
      <c r="A63" s="18"/>
      <c r="B63" s="38"/>
      <c r="C63" s="48">
        <f>C39</f>
        <v>2</v>
      </c>
      <c r="D63" s="39">
        <f>D39</f>
        <v>6.6046936909478822</v>
      </c>
      <c r="E63" s="39">
        <v>0.35</v>
      </c>
      <c r="F63" s="39">
        <v>0.2</v>
      </c>
      <c r="G63" s="40">
        <f>PRODUCT(C63:F63)</f>
        <v>0.92465711673270357</v>
      </c>
      <c r="H63" s="41"/>
      <c r="I63" s="41"/>
      <c r="J63" s="41"/>
      <c r="K63" s="21"/>
    </row>
    <row r="64" spans="1:16" ht="15" customHeight="1" x14ac:dyDescent="0.25">
      <c r="A64" s="18"/>
      <c r="B64" s="38"/>
      <c r="C64" s="48">
        <f>C63</f>
        <v>2</v>
      </c>
      <c r="D64" s="39">
        <f>D63</f>
        <v>6.6046936909478822</v>
      </c>
      <c r="E64" s="39">
        <v>0.23</v>
      </c>
      <c r="F64" s="39">
        <f>0.9+0.4</f>
        <v>1.3</v>
      </c>
      <c r="G64" s="40">
        <f>PRODUCT(C64:F64)</f>
        <v>3.9496068271868339</v>
      </c>
      <c r="H64" s="41"/>
      <c r="I64" s="41"/>
      <c r="J64" s="41"/>
      <c r="K64" s="21"/>
    </row>
    <row r="65" spans="1:13" ht="15" customHeight="1" x14ac:dyDescent="0.25">
      <c r="A65" s="18"/>
      <c r="B65" s="38" t="s">
        <v>75</v>
      </c>
      <c r="C65" s="48">
        <v>-1</v>
      </c>
      <c r="D65" s="39">
        <v>1.2</v>
      </c>
      <c r="E65" s="39">
        <v>0.23</v>
      </c>
      <c r="F65" s="39">
        <v>0.9</v>
      </c>
      <c r="G65" s="40">
        <f>PRODUCT(C65:F65)</f>
        <v>-0.24840000000000004</v>
      </c>
      <c r="H65" s="41"/>
      <c r="I65" s="41"/>
      <c r="J65" s="41"/>
      <c r="K65" s="21"/>
    </row>
    <row r="66" spans="1:13" ht="15" customHeight="1" x14ac:dyDescent="0.25">
      <c r="A66" s="18"/>
      <c r="B66" s="38" t="s">
        <v>42</v>
      </c>
      <c r="C66" s="19"/>
      <c r="D66" s="20"/>
      <c r="E66" s="21"/>
      <c r="F66" s="21"/>
      <c r="G66" s="23">
        <f>SUM(G61:G65)</f>
        <v>7.1360986284669314</v>
      </c>
      <c r="H66" s="22" t="s">
        <v>41</v>
      </c>
      <c r="I66" s="23">
        <v>14362.76</v>
      </c>
      <c r="J66" s="42">
        <f>G66*I66</f>
        <v>102494.07193699971</v>
      </c>
      <c r="K66" s="21"/>
    </row>
    <row r="67" spans="1:13" ht="15" customHeight="1" x14ac:dyDescent="0.25">
      <c r="A67" s="18"/>
      <c r="B67" s="38" t="s">
        <v>40</v>
      </c>
      <c r="C67" s="19"/>
      <c r="D67" s="20"/>
      <c r="E67" s="21"/>
      <c r="F67" s="21"/>
      <c r="G67" s="23"/>
      <c r="H67" s="22"/>
      <c r="I67" s="23"/>
      <c r="J67" s="42">
        <f>0.13*G66*10311.74</f>
        <v>9566.1271772439868</v>
      </c>
      <c r="K67" s="21"/>
      <c r="M67">
        <f>14/3.281</f>
        <v>4.2669917708015843</v>
      </c>
    </row>
    <row r="68" spans="1:13" ht="15" customHeight="1" x14ac:dyDescent="0.25">
      <c r="A68" s="18"/>
      <c r="B68" s="38"/>
      <c r="C68" s="19"/>
      <c r="D68" s="20"/>
      <c r="E68" s="21"/>
      <c r="F68" s="21"/>
      <c r="G68" s="23"/>
      <c r="H68" s="22"/>
      <c r="I68" s="23"/>
      <c r="J68" s="42"/>
      <c r="K68" s="21"/>
    </row>
    <row r="69" spans="1:13" ht="45" x14ac:dyDescent="0.25">
      <c r="A69" s="18">
        <v>10</v>
      </c>
      <c r="B69" s="67" t="s">
        <v>67</v>
      </c>
      <c r="C69" s="19" t="s">
        <v>7</v>
      </c>
      <c r="D69" s="68" t="s">
        <v>53</v>
      </c>
      <c r="E69" s="69" t="s">
        <v>68</v>
      </c>
      <c r="F69" s="69" t="s">
        <v>69</v>
      </c>
      <c r="G69" s="69" t="s">
        <v>70</v>
      </c>
      <c r="H69" s="22"/>
      <c r="I69" s="23"/>
      <c r="J69" s="42"/>
      <c r="K69" s="21"/>
    </row>
    <row r="70" spans="1:13" ht="15" customHeight="1" x14ac:dyDescent="0.25">
      <c r="A70" s="18"/>
      <c r="B70" s="38" t="s">
        <v>71</v>
      </c>
      <c r="C70" s="19">
        <v>4</v>
      </c>
      <c r="D70" s="20">
        <f>(2*(14+22.42))/3.281</f>
        <v>22.200548613227674</v>
      </c>
      <c r="E70" s="21">
        <f>10*10/162</f>
        <v>0.61728395061728392</v>
      </c>
      <c r="F70" s="21">
        <f>PRODUCT(C70:E70)</f>
        <v>54.816169415376969</v>
      </c>
      <c r="G70" s="70">
        <f>F70/1000</f>
        <v>5.4816169415376967E-2</v>
      </c>
      <c r="H70" s="22"/>
      <c r="I70" s="23"/>
      <c r="J70" s="42"/>
      <c r="K70" s="21"/>
    </row>
    <row r="71" spans="1:13" ht="15" customHeight="1" x14ac:dyDescent="0.25">
      <c r="A71" s="18"/>
      <c r="B71" s="38" t="s">
        <v>72</v>
      </c>
      <c r="C71" s="19">
        <f>44+28+28+44</f>
        <v>144</v>
      </c>
      <c r="D71" s="20">
        <f>(7+2+2)/12/3.281</f>
        <v>0.27938636594534183</v>
      </c>
      <c r="E71" s="21">
        <f>8*8/162</f>
        <v>0.39506172839506171</v>
      </c>
      <c r="F71" s="21">
        <f>PRODUCT(C71:E71)</f>
        <v>15.893979929335</v>
      </c>
      <c r="G71" s="70">
        <f>F71/1000</f>
        <v>1.5893979929335E-2</v>
      </c>
      <c r="H71" s="22"/>
      <c r="I71" s="23"/>
      <c r="J71" s="42"/>
      <c r="K71" s="21"/>
    </row>
    <row r="72" spans="1:13" ht="15" customHeight="1" x14ac:dyDescent="0.25">
      <c r="A72" s="18"/>
      <c r="B72" s="38" t="s">
        <v>42</v>
      </c>
      <c r="C72" s="19"/>
      <c r="D72" s="20"/>
      <c r="E72" s="21"/>
      <c r="F72" s="21"/>
      <c r="G72" s="23">
        <f>SUM(G70:G71)</f>
        <v>7.0710149344711967E-2</v>
      </c>
      <c r="H72" s="22" t="s">
        <v>54</v>
      </c>
      <c r="I72" s="23">
        <v>131940</v>
      </c>
      <c r="J72" s="42">
        <f>G72*I72</f>
        <v>9329.4971045412967</v>
      </c>
      <c r="K72" s="21"/>
    </row>
    <row r="73" spans="1:13" ht="15" customHeight="1" x14ac:dyDescent="0.25">
      <c r="A73" s="18"/>
      <c r="B73" s="38" t="s">
        <v>40</v>
      </c>
      <c r="C73" s="19"/>
      <c r="D73" s="20"/>
      <c r="E73" s="21"/>
      <c r="F73" s="21"/>
      <c r="G73" s="23"/>
      <c r="H73" s="22"/>
      <c r="I73" s="23"/>
      <c r="J73" s="42">
        <f>0.13*G72*106200</f>
        <v>976.22432185309356</v>
      </c>
      <c r="K73" s="21"/>
    </row>
    <row r="74" spans="1:13" ht="15" customHeight="1" x14ac:dyDescent="0.25">
      <c r="A74" s="18"/>
      <c r="B74" s="38"/>
      <c r="C74" s="19"/>
      <c r="D74" s="20"/>
      <c r="E74" s="21"/>
      <c r="F74" s="21"/>
      <c r="G74" s="23"/>
      <c r="H74" s="22"/>
      <c r="I74" s="23"/>
      <c r="J74" s="42"/>
      <c r="K74" s="21"/>
    </row>
    <row r="75" spans="1:13" ht="30.75" x14ac:dyDescent="0.25">
      <c r="A75" s="18">
        <v>11</v>
      </c>
      <c r="B75" s="71" t="s">
        <v>74</v>
      </c>
      <c r="C75" s="19"/>
      <c r="D75" s="20"/>
      <c r="E75" s="21"/>
      <c r="F75" s="21"/>
      <c r="G75" s="23"/>
      <c r="H75" s="22"/>
      <c r="I75" s="23"/>
      <c r="J75" s="42"/>
      <c r="K75" s="21"/>
    </row>
    <row r="76" spans="1:13" ht="15" customHeight="1" x14ac:dyDescent="0.25">
      <c r="A76" s="18"/>
      <c r="B76" s="38" t="s">
        <v>56</v>
      </c>
      <c r="C76" s="37">
        <v>2</v>
      </c>
      <c r="D76" s="39">
        <f>((22.42+22.42)/3.281)-1.2</f>
        <v>12.466565071624506</v>
      </c>
      <c r="E76" s="39"/>
      <c r="F76" s="39">
        <v>0.9</v>
      </c>
      <c r="G76" s="40">
        <f t="shared" ref="G76" si="2">PRODUCT(C76:F76)</f>
        <v>22.439817128924112</v>
      </c>
      <c r="H76" s="41"/>
      <c r="I76" s="41"/>
      <c r="J76" s="41"/>
      <c r="K76" s="21"/>
    </row>
    <row r="77" spans="1:13" ht="15" customHeight="1" x14ac:dyDescent="0.25">
      <c r="A77" s="18"/>
      <c r="B77" s="38"/>
      <c r="C77" s="37">
        <v>2</v>
      </c>
      <c r="D77" s="39">
        <f>(14-1.5)</f>
        <v>12.5</v>
      </c>
      <c r="E77" s="39"/>
      <c r="F77" s="39">
        <v>0.9</v>
      </c>
      <c r="G77" s="40">
        <f t="shared" ref="G77" si="3">PRODUCT(C77:F77)</f>
        <v>22.5</v>
      </c>
      <c r="H77" s="41"/>
      <c r="I77" s="41"/>
      <c r="J77" s="41"/>
      <c r="K77" s="21"/>
    </row>
    <row r="78" spans="1:13" ht="15" customHeight="1" x14ac:dyDescent="0.25">
      <c r="A78" s="18"/>
      <c r="B78" s="38" t="s">
        <v>42</v>
      </c>
      <c r="C78" s="19"/>
      <c r="D78" s="20"/>
      <c r="E78" s="21"/>
      <c r="F78" s="21"/>
      <c r="G78" s="23">
        <f>SUM(G76:G77)</f>
        <v>44.939817128924112</v>
      </c>
      <c r="H78" s="22" t="s">
        <v>57</v>
      </c>
      <c r="I78" s="23">
        <v>405.86</v>
      </c>
      <c r="J78" s="42">
        <f>G78*I78</f>
        <v>18239.27417994514</v>
      </c>
      <c r="K78" s="21"/>
    </row>
    <row r="79" spans="1:13" ht="15" customHeight="1" x14ac:dyDescent="0.25">
      <c r="A79" s="18"/>
      <c r="B79" s="38" t="s">
        <v>40</v>
      </c>
      <c r="C79" s="19"/>
      <c r="D79" s="20"/>
      <c r="E79" s="21"/>
      <c r="F79" s="21"/>
      <c r="G79" s="23"/>
      <c r="H79" s="22"/>
      <c r="I79" s="23"/>
      <c r="J79" s="42">
        <f>0.13*G78*11166.2/100</f>
        <v>652.34908183249024</v>
      </c>
      <c r="K79" s="21"/>
    </row>
    <row r="80" spans="1:13" ht="15" customHeight="1" x14ac:dyDescent="0.25">
      <c r="A80" s="18"/>
      <c r="B80" s="38"/>
      <c r="C80" s="19"/>
      <c r="D80" s="20"/>
      <c r="E80" s="21"/>
      <c r="F80" s="21"/>
      <c r="G80" s="23"/>
      <c r="H80" s="22"/>
      <c r="I80" s="23"/>
      <c r="J80" s="42"/>
      <c r="K80" s="21"/>
    </row>
    <row r="81" spans="1:19" ht="15" customHeight="1" x14ac:dyDescent="0.25">
      <c r="A81" s="18">
        <v>12</v>
      </c>
      <c r="B81" s="30" t="s">
        <v>30</v>
      </c>
      <c r="C81" s="19">
        <v>1</v>
      </c>
      <c r="D81" s="20"/>
      <c r="E81" s="21"/>
      <c r="F81" s="21"/>
      <c r="G81" s="35">
        <f t="shared" ref="G81" si="4">PRODUCT(C81:F81)</f>
        <v>1</v>
      </c>
      <c r="H81" s="22" t="s">
        <v>31</v>
      </c>
      <c r="I81" s="23">
        <v>500</v>
      </c>
      <c r="J81" s="35">
        <f>G81*I81</f>
        <v>500</v>
      </c>
      <c r="K81" s="21"/>
      <c r="M81" s="25"/>
      <c r="N81" s="1"/>
      <c r="O81" s="1"/>
      <c r="P81" s="1"/>
      <c r="Q81" s="1"/>
      <c r="R81" s="25"/>
      <c r="S81" s="25"/>
    </row>
    <row r="82" spans="1:19" ht="15" customHeight="1" x14ac:dyDescent="0.25">
      <c r="A82" s="18"/>
      <c r="B82" s="24"/>
      <c r="C82" s="19"/>
      <c r="D82" s="20"/>
      <c r="E82" s="21"/>
      <c r="F82" s="21"/>
      <c r="G82" s="23"/>
      <c r="H82" s="22"/>
      <c r="I82" s="23"/>
      <c r="J82" s="42"/>
      <c r="K82" s="21"/>
      <c r="M82" s="25"/>
      <c r="N82" s="1">
        <f>2.4*3.281</f>
        <v>7.8743999999999996</v>
      </c>
      <c r="O82" s="1"/>
      <c r="P82" s="1"/>
      <c r="Q82" s="1"/>
      <c r="R82" s="25"/>
      <c r="S82" s="25"/>
    </row>
    <row r="83" spans="1:19" x14ac:dyDescent="0.25">
      <c r="A83" s="41"/>
      <c r="B83" s="47" t="s">
        <v>17</v>
      </c>
      <c r="C83" s="48"/>
      <c r="D83" s="39"/>
      <c r="E83" s="39"/>
      <c r="F83" s="39"/>
      <c r="G83" s="42"/>
      <c r="H83" s="42"/>
      <c r="I83" s="42"/>
      <c r="J83" s="42">
        <f>SUM(J10:J81)</f>
        <v>563634.92807013518</v>
      </c>
      <c r="K83" s="37"/>
    </row>
    <row r="84" spans="1:19" x14ac:dyDescent="0.25">
      <c r="A84" s="59"/>
      <c r="B84" s="62"/>
      <c r="C84" s="63"/>
      <c r="D84" s="60"/>
      <c r="E84" s="60"/>
      <c r="F84" s="60"/>
      <c r="G84" s="61"/>
      <c r="H84" s="61"/>
      <c r="I84" s="61"/>
      <c r="J84" s="61"/>
      <c r="K84" s="58"/>
    </row>
    <row r="85" spans="1:19" s="1" customFormat="1" x14ac:dyDescent="0.25">
      <c r="A85" s="51"/>
      <c r="B85" s="29" t="s">
        <v>27</v>
      </c>
      <c r="C85" s="91">
        <f>J83</f>
        <v>563634.92807013518</v>
      </c>
      <c r="D85" s="91"/>
      <c r="E85" s="40">
        <v>100</v>
      </c>
      <c r="F85" s="52"/>
      <c r="G85" s="53"/>
      <c r="H85" s="52"/>
      <c r="I85" s="54"/>
      <c r="J85" s="55"/>
      <c r="K85" s="56"/>
    </row>
    <row r="86" spans="1:19" x14ac:dyDescent="0.25">
      <c r="A86" s="57"/>
      <c r="B86" s="29" t="s">
        <v>32</v>
      </c>
      <c r="C86" s="94">
        <v>500000</v>
      </c>
      <c r="D86" s="94"/>
      <c r="E86" s="40"/>
      <c r="F86" s="50"/>
      <c r="G86" s="49"/>
      <c r="H86" s="49"/>
      <c r="I86" s="49"/>
      <c r="J86" s="49"/>
      <c r="K86" s="50"/>
    </row>
    <row r="87" spans="1:19" x14ac:dyDescent="0.25">
      <c r="A87" s="57"/>
      <c r="B87" s="29" t="s">
        <v>33</v>
      </c>
      <c r="C87" s="94">
        <f>C86-C89-C90</f>
        <v>475000</v>
      </c>
      <c r="D87" s="94"/>
      <c r="E87" s="40">
        <f>C87/C85*100</f>
        <v>84.274408192973809</v>
      </c>
      <c r="F87" s="50"/>
      <c r="G87" s="49"/>
      <c r="H87" s="49"/>
      <c r="I87" s="49"/>
      <c r="J87" s="49"/>
      <c r="K87" s="50"/>
    </row>
    <row r="88" spans="1:19" x14ac:dyDescent="0.25">
      <c r="A88" s="57"/>
      <c r="B88" s="29" t="s">
        <v>34</v>
      </c>
      <c r="C88" s="91">
        <f>C85-C87</f>
        <v>88634.928070135182</v>
      </c>
      <c r="D88" s="91"/>
      <c r="E88" s="40">
        <f>100-E87</f>
        <v>15.725591807026191</v>
      </c>
      <c r="F88" s="50"/>
      <c r="G88" s="49"/>
      <c r="H88" s="49"/>
      <c r="I88" s="49"/>
      <c r="J88" s="49"/>
      <c r="K88" s="50"/>
    </row>
    <row r="89" spans="1:19" x14ac:dyDescent="0.25">
      <c r="A89" s="57"/>
      <c r="B89" s="29" t="s">
        <v>35</v>
      </c>
      <c r="C89" s="91">
        <f>C86*0.03</f>
        <v>15000</v>
      </c>
      <c r="D89" s="91"/>
      <c r="E89" s="40">
        <v>3</v>
      </c>
      <c r="F89" s="50"/>
      <c r="G89" s="49"/>
      <c r="H89" s="49"/>
      <c r="I89" s="49"/>
      <c r="J89" s="49"/>
      <c r="K89" s="50"/>
    </row>
    <row r="90" spans="1:19" x14ac:dyDescent="0.25">
      <c r="A90" s="57"/>
      <c r="B90" s="29" t="s">
        <v>36</v>
      </c>
      <c r="C90" s="91">
        <f>C86*0.02</f>
        <v>10000</v>
      </c>
      <c r="D90" s="91"/>
      <c r="E90" s="40">
        <v>2</v>
      </c>
      <c r="F90" s="50"/>
      <c r="G90" s="49"/>
      <c r="H90" s="49"/>
      <c r="I90" s="49"/>
      <c r="J90" s="49"/>
      <c r="K90" s="50"/>
    </row>
    <row r="91" spans="1:19" s="36" customFormat="1" x14ac:dyDescent="0.25">
      <c r="A91" s="58"/>
      <c r="B91" s="58"/>
      <c r="C91" s="58"/>
      <c r="D91" s="58"/>
      <c r="E91" s="58"/>
      <c r="F91" s="58"/>
      <c r="G91" s="58"/>
      <c r="H91" s="58"/>
      <c r="I91" s="58"/>
      <c r="J91" s="58"/>
      <c r="K91" s="58"/>
    </row>
    <row r="92" spans="1:19" s="36" customFormat="1" x14ac:dyDescent="0.25"/>
    <row r="93" spans="1:19" s="36" customFormat="1" x14ac:dyDescent="0.25"/>
    <row r="94" spans="1:19" s="36" customFormat="1" x14ac:dyDescent="0.25"/>
    <row r="95" spans="1:19" s="36" customFormat="1" x14ac:dyDescent="0.25"/>
    <row r="96" spans="1:19"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row r="147" s="36" customFormat="1" x14ac:dyDescent="0.25"/>
  </sheetData>
  <mergeCells count="16">
    <mergeCell ref="C89:D89"/>
    <mergeCell ref="C90:D90"/>
    <mergeCell ref="A7:F7"/>
    <mergeCell ref="H7:K7"/>
    <mergeCell ref="C85:D85"/>
    <mergeCell ref="C86:D86"/>
    <mergeCell ref="C87:D87"/>
    <mergeCell ref="C88:D88"/>
    <mergeCell ref="O30:U30"/>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2025-01-13T06:17:40Z</cp:lastPrinted>
  <dcterms:created xsi:type="dcterms:W3CDTF">2015-06-05T18:17:20Z</dcterms:created>
  <dcterms:modified xsi:type="dcterms:W3CDTF">2025-01-26T08:51:34Z</dcterms:modified>
</cp:coreProperties>
</file>