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inalized estimates\सुन्दर बस्ती सडक\"/>
    </mc:Choice>
  </mc:AlternateContent>
  <bookViews>
    <workbookView xWindow="-120" yWindow="-120" windowWidth="20730" windowHeight="11160" activeTab="2"/>
  </bookViews>
  <sheets>
    <sheet name="estimate" sheetId="17" r:id="rId1"/>
    <sheet name="WCR" sheetId="6" r:id="rId2"/>
    <sheet name="valuated" sheetId="20" r:id="rId3"/>
    <sheet name="M" sheetId="22" r:id="rId4"/>
  </sheets>
  <externalReferences>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estimate!$A$1:$K$52</definedName>
    <definedName name="_xlnm.Print_Area" localSheetId="3">M!$A$1:$K$57</definedName>
    <definedName name="_xlnm.Print_Area" localSheetId="2">valuated!$A$1:$K$57</definedName>
    <definedName name="_xlnm.Print_Titles" localSheetId="0">estimate!$1:$8</definedName>
    <definedName name="_xlnm.Print_Titles" localSheetId="3">M!$1:$8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7" i="20" l="1"/>
  <c r="C56" i="20"/>
  <c r="C55" i="20"/>
  <c r="C54" i="20"/>
  <c r="E54" i="20" s="1"/>
  <c r="E55" i="20" s="1"/>
  <c r="C52" i="20"/>
  <c r="F36" i="22"/>
  <c r="F36" i="20"/>
  <c r="C57" i="22"/>
  <c r="C56" i="22"/>
  <c r="G48" i="22"/>
  <c r="J48" i="22" s="1"/>
  <c r="G46" i="22"/>
  <c r="J46" i="22" s="1"/>
  <c r="P43" i="22"/>
  <c r="P42" i="22"/>
  <c r="O42" i="22"/>
  <c r="N42" i="22"/>
  <c r="G42" i="22"/>
  <c r="G43" i="22" s="1"/>
  <c r="C42" i="22"/>
  <c r="O38" i="22"/>
  <c r="P38" i="22" s="1"/>
  <c r="N38" i="22"/>
  <c r="O37" i="22"/>
  <c r="N37" i="22"/>
  <c r="G37" i="22"/>
  <c r="G36" i="22"/>
  <c r="D36" i="22"/>
  <c r="O35" i="22"/>
  <c r="N35" i="22"/>
  <c r="G35" i="22"/>
  <c r="F34" i="22"/>
  <c r="D34" i="22"/>
  <c r="G34" i="22" s="1"/>
  <c r="G30" i="22"/>
  <c r="J30" i="22" s="1"/>
  <c r="J31" i="22" s="1"/>
  <c r="G29" i="22"/>
  <c r="G25" i="22"/>
  <c r="J26" i="22" s="1"/>
  <c r="G24" i="22"/>
  <c r="G23" i="22"/>
  <c r="C18" i="22"/>
  <c r="G18" i="22" s="1"/>
  <c r="C17" i="22"/>
  <c r="G17" i="22" s="1"/>
  <c r="B17" i="22"/>
  <c r="B23" i="22" s="1"/>
  <c r="B34" i="22" s="1"/>
  <c r="B36" i="22" s="1"/>
  <c r="G12" i="22"/>
  <c r="G11" i="22"/>
  <c r="F11" i="22"/>
  <c r="D10" i="22"/>
  <c r="G10" i="22" s="1"/>
  <c r="G13" i="22" s="1"/>
  <c r="D34" i="20"/>
  <c r="F34" i="20"/>
  <c r="J13" i="22" l="1"/>
  <c r="J14" i="22"/>
  <c r="G38" i="22"/>
  <c r="G19" i="22"/>
  <c r="J44" i="22"/>
  <c r="J43" i="22"/>
  <c r="J25" i="22"/>
  <c r="A9" i="6"/>
  <c r="A8" i="6"/>
  <c r="G43" i="20"/>
  <c r="G25" i="20"/>
  <c r="J19" i="22" l="1"/>
  <c r="J20" i="22"/>
  <c r="J39" i="22"/>
  <c r="J38" i="22"/>
  <c r="B36" i="20"/>
  <c r="B34" i="20"/>
  <c r="G19" i="20"/>
  <c r="J50" i="22" l="1"/>
  <c r="C52" i="22" s="1"/>
  <c r="C54" i="22"/>
  <c r="E54" i="22" s="1"/>
  <c r="E55" i="22" s="1"/>
  <c r="H28" i="6"/>
  <c r="H33" i="6"/>
  <c r="E33" i="6"/>
  <c r="C33" i="6"/>
  <c r="B33" i="6"/>
  <c r="A33" i="6"/>
  <c r="H31" i="6"/>
  <c r="E31" i="6"/>
  <c r="C31" i="6"/>
  <c r="B31" i="6"/>
  <c r="A31" i="6"/>
  <c r="E28" i="6"/>
  <c r="C28" i="6"/>
  <c r="B29" i="6"/>
  <c r="B28" i="6"/>
  <c r="A28" i="6"/>
  <c r="H25" i="6"/>
  <c r="E25" i="6"/>
  <c r="C25" i="6"/>
  <c r="B26" i="6"/>
  <c r="B25" i="6"/>
  <c r="A25" i="6"/>
  <c r="H22" i="6"/>
  <c r="E22" i="6"/>
  <c r="C22" i="6"/>
  <c r="B23" i="6"/>
  <c r="B22" i="6"/>
  <c r="A22" i="6"/>
  <c r="H19" i="6"/>
  <c r="E19" i="6"/>
  <c r="C19" i="6"/>
  <c r="B20" i="6"/>
  <c r="B19" i="6"/>
  <c r="A19" i="6"/>
  <c r="H16" i="6"/>
  <c r="E16" i="6"/>
  <c r="C16" i="6"/>
  <c r="B17" i="6"/>
  <c r="B16" i="6"/>
  <c r="A16" i="6"/>
  <c r="H13" i="6"/>
  <c r="E13" i="6"/>
  <c r="C13" i="6"/>
  <c r="B14" i="6"/>
  <c r="B13" i="6"/>
  <c r="A13" i="6"/>
  <c r="G24" i="20"/>
  <c r="C18" i="20"/>
  <c r="G18" i="20"/>
  <c r="G12" i="20"/>
  <c r="D36" i="20"/>
  <c r="O37" i="20"/>
  <c r="N37" i="20"/>
  <c r="G37" i="20"/>
  <c r="G36" i="20"/>
  <c r="G48" i="20"/>
  <c r="J48" i="20" s="1"/>
  <c r="G46" i="20"/>
  <c r="J46" i="20" s="1"/>
  <c r="P42" i="20"/>
  <c r="P43" i="20" s="1"/>
  <c r="O42" i="20"/>
  <c r="N42" i="20"/>
  <c r="G42" i="20"/>
  <c r="G28" i="6" s="1"/>
  <c r="I28" i="6" s="1"/>
  <c r="C42" i="20"/>
  <c r="O38" i="20"/>
  <c r="N38" i="20"/>
  <c r="O35" i="20"/>
  <c r="N35" i="20"/>
  <c r="G35" i="20"/>
  <c r="G34" i="20"/>
  <c r="G29" i="20"/>
  <c r="G30" i="20" s="1"/>
  <c r="J30" i="20" s="1"/>
  <c r="J31" i="20" s="1"/>
  <c r="I23" i="6" s="1"/>
  <c r="G23" i="20"/>
  <c r="G19" i="6" s="1"/>
  <c r="I19" i="6" s="1"/>
  <c r="C17" i="20"/>
  <c r="G17" i="20" s="1"/>
  <c r="G16" i="6" s="1"/>
  <c r="I16" i="6" s="1"/>
  <c r="B17" i="20"/>
  <c r="B23" i="20" s="1"/>
  <c r="F11" i="20"/>
  <c r="G11" i="20" s="1"/>
  <c r="D10" i="20"/>
  <c r="G10" i="20" s="1"/>
  <c r="G13" i="20" s="1"/>
  <c r="G13" i="6" s="1"/>
  <c r="G38" i="20" l="1"/>
  <c r="C55" i="22"/>
  <c r="G25" i="6"/>
  <c r="I25" i="6" s="1"/>
  <c r="P38" i="20"/>
  <c r="G22" i="6"/>
  <c r="I22" i="6" s="1"/>
  <c r="G33" i="6"/>
  <c r="G31" i="6"/>
  <c r="I31" i="6" s="1"/>
  <c r="J19" i="20"/>
  <c r="J20" i="20"/>
  <c r="I17" i="6" s="1"/>
  <c r="J14" i="20"/>
  <c r="I14" i="6" s="1"/>
  <c r="J13" i="20"/>
  <c r="J25" i="20"/>
  <c r="J26" i="20"/>
  <c r="I20" i="6" s="1"/>
  <c r="J44" i="20"/>
  <c r="I29" i="6" s="1"/>
  <c r="J43" i="20"/>
  <c r="C37" i="17"/>
  <c r="D31" i="17"/>
  <c r="D10" i="17"/>
  <c r="G41" i="17"/>
  <c r="D31" i="6" s="1"/>
  <c r="F31" i="6" s="1"/>
  <c r="C32" i="17"/>
  <c r="J38" i="20" l="1"/>
  <c r="J39" i="20"/>
  <c r="I26" i="6" s="1"/>
  <c r="J31" i="6"/>
  <c r="J41" i="17"/>
  <c r="G37" i="17"/>
  <c r="G38" i="17" s="1"/>
  <c r="D28" i="6" s="1"/>
  <c r="F28" i="6" s="1"/>
  <c r="J28" i="6" s="1"/>
  <c r="C52" i="17"/>
  <c r="C51" i="17"/>
  <c r="G43" i="17"/>
  <c r="P37" i="17"/>
  <c r="P38" i="17" s="1"/>
  <c r="O37" i="17"/>
  <c r="N37" i="17"/>
  <c r="O33" i="17"/>
  <c r="N33" i="17"/>
  <c r="O32" i="17"/>
  <c r="N32" i="17"/>
  <c r="G32" i="17"/>
  <c r="G31" i="17"/>
  <c r="B31" i="17"/>
  <c r="G26" i="17"/>
  <c r="G27" i="17" s="1"/>
  <c r="G21" i="17"/>
  <c r="G22" i="17" s="1"/>
  <c r="D19" i="6" s="1"/>
  <c r="F19" i="6" s="1"/>
  <c r="J19" i="6" s="1"/>
  <c r="C16" i="17"/>
  <c r="G16" i="17" s="1"/>
  <c r="G17" i="17" s="1"/>
  <c r="D16" i="6" s="1"/>
  <c r="F16" i="6" s="1"/>
  <c r="J16" i="6" s="1"/>
  <c r="B16" i="17"/>
  <c r="B21" i="17" s="1"/>
  <c r="F11" i="17"/>
  <c r="G11" i="17" s="1"/>
  <c r="G10" i="17"/>
  <c r="G12" i="17" s="1"/>
  <c r="D13" i="6" s="1"/>
  <c r="J50" i="20" l="1"/>
  <c r="J43" i="17"/>
  <c r="D33" i="6"/>
  <c r="J27" i="17"/>
  <c r="J28" i="17" s="1"/>
  <c r="F23" i="6" s="1"/>
  <c r="J23" i="6" s="1"/>
  <c r="D22" i="6"/>
  <c r="F22" i="6" s="1"/>
  <c r="J22" i="6" s="1"/>
  <c r="P33" i="17"/>
  <c r="C49" i="17"/>
  <c r="G33" i="17"/>
  <c r="J13" i="17"/>
  <c r="F14" i="6" s="1"/>
  <c r="J14" i="6" s="1"/>
  <c r="J12" i="17"/>
  <c r="J18" i="17"/>
  <c r="F17" i="6" s="1"/>
  <c r="J17" i="6" s="1"/>
  <c r="J17" i="17"/>
  <c r="J22" i="17"/>
  <c r="J23" i="17"/>
  <c r="F20" i="6" s="1"/>
  <c r="J20" i="6" s="1"/>
  <c r="J39" i="17"/>
  <c r="F29" i="6" s="1"/>
  <c r="J29" i="6" s="1"/>
  <c r="J38" i="17"/>
  <c r="J34" i="17" l="1"/>
  <c r="F26" i="6" s="1"/>
  <c r="J26" i="6" s="1"/>
  <c r="D25" i="6"/>
  <c r="F25" i="6" s="1"/>
  <c r="J25" i="6" s="1"/>
  <c r="J33" i="17"/>
  <c r="J45" i="17"/>
  <c r="C47" i="17" s="1"/>
  <c r="C50" i="17" l="1"/>
  <c r="E49" i="17"/>
  <c r="E50" i="17" s="1"/>
  <c r="I33" i="6" l="1"/>
  <c r="J33" i="6" s="1"/>
  <c r="F33" i="6"/>
  <c r="I13" i="6" l="1"/>
  <c r="I35" i="6" s="1"/>
  <c r="F13" i="6" l="1"/>
  <c r="J13" i="6" s="1"/>
  <c r="F35" i="6" l="1"/>
  <c r="J6" i="6" l="1"/>
  <c r="J35" i="6" l="1"/>
  <c r="C6" i="6" l="1"/>
</calcChain>
</file>

<file path=xl/sharedStrings.xml><?xml version="1.0" encoding="utf-8"?>
<sst xmlns="http://schemas.openxmlformats.org/spreadsheetml/2006/main" count="208" uniqueCount="66">
  <si>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</si>
  <si>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</si>
  <si>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</si>
  <si>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</si>
  <si>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</si>
  <si>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</si>
  <si>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</si>
  <si>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</si>
  <si>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</si>
  <si>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</si>
  <si>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</si>
  <si>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</si>
  <si>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</si>
  <si>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</si>
  <si>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</si>
  <si>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</si>
  <si>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</si>
  <si>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</si>
  <si>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</si>
  <si>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</si>
  <si>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</si>
  <si>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</si>
  <si>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</si>
  <si>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</si>
  <si>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</si>
  <si>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</si>
  <si>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</si>
  <si>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</si>
  <si>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</si>
  <si>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</si>
  <si>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</si>
  <si>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</si>
  <si>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</si>
  <si>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</si>
  <si>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</si>
  <si>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</si>
  <si>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</si>
  <si>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</si>
  <si>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</si>
  <si>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t>
  </si>
  <si>
    <t>m3</t>
  </si>
  <si>
    <t>Sub-total</t>
  </si>
  <si>
    <t>-Manhole</t>
  </si>
  <si>
    <t>Providing and laying of Plain/Reinforced Cement Concrete in Foundation complete as per Drawing and Technical Specifications, PCC Grade M 15</t>
  </si>
  <si>
    <t>-For hume pipe</t>
  </si>
  <si>
    <t>-600mm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</si>
  <si>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</si>
  <si>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</si>
  <si>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</si>
  <si>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</si>
  <si>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</si>
  <si>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</si>
  <si>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C.I. Manhole cover including frame</t>
  </si>
  <si>
    <t>set</t>
  </si>
  <si>
    <t>-Rounded manhole cover medium duty 500mm (24")</t>
  </si>
  <si>
    <t>Provisional sum for unforeseen works</t>
  </si>
  <si>
    <t>PS</t>
  </si>
  <si>
    <t>Date:2081/06/08</t>
  </si>
  <si>
    <t xml:space="preserve">Project:- सुन्दरबस्ती सडक ग्राबेल र ढलान (ढल निर्माण कार्य) </t>
  </si>
  <si>
    <t>Detail Valuated Sheet</t>
  </si>
  <si>
    <t>Total Valuated</t>
  </si>
  <si>
    <t>Detail Quantity Measurement Sheet</t>
  </si>
  <si>
    <t>Date:2081/07/25</t>
  </si>
  <si>
    <t xml:space="preserve">F.Y:2081/2082           </t>
  </si>
  <si>
    <t xml:space="preserve">Date:2081/07/25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</si>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</sst>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14" fillId="0" borderId="0" xfId="0" applyFont="1" applyBorder="1" applyAlignment="1">
      <alignment vertical="center"/>
    </xf>
    <xf numFmtId="0" fontId="16"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5" fillId="0" borderId="1" xfId="0" quotePrefix="1" applyFont="1" applyBorder="1" applyAlignment="1">
      <alignment wrapText="1"/>
    </xf>
    <xf numFmtId="0" fontId="15" fillId="0" borderId="1" xfId="0" quotePrefix="1" applyFont="1" applyBorder="1" applyAlignment="1">
      <alignment vertical="center" wrapText="1"/>
    </xf>
    <xf numFmtId="0" fontId="3" fillId="0" borderId="1" xfId="0" applyFont="1" applyBorder="1" applyAlignment="1">
      <alignment vertical="center"/>
    </xf>
    <xf numFmtId="1" fontId="6" fillId="0" borderId="1" xfId="0" applyNumberFormat="1" applyFont="1" applyFill="1" applyBorder="1" applyAlignment="1">
      <alignment horizontal="righ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37" zoomScaleNormal="100" workbookViewId="0">
      <selection activeCell="A47" sqref="A47:XFD52"/>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3" t="s">
        <v>0</v>
      </c>
      <c r="B1" s="73"/>
      <c r="C1" s="73"/>
      <c r="D1" s="73"/>
      <c r="E1" s="73"/>
      <c r="F1" s="73"/>
      <c r="G1" s="73"/>
      <c r="H1" s="73"/>
      <c r="I1" s="73"/>
      <c r="J1" s="73"/>
      <c r="K1" s="73"/>
    </row>
    <row r="2" spans="1:19" s="1" customFormat="1" ht="22.5" x14ac:dyDescent="0.25">
      <c r="A2" s="74" t="s">
        <v>1</v>
      </c>
      <c r="B2" s="74"/>
      <c r="C2" s="74"/>
      <c r="D2" s="74"/>
      <c r="E2" s="74"/>
      <c r="F2" s="74"/>
      <c r="G2" s="74"/>
      <c r="H2" s="74"/>
      <c r="I2" s="74"/>
      <c r="J2" s="74"/>
      <c r="K2" s="74"/>
    </row>
    <row r="3" spans="1:19" s="1" customFormat="1" x14ac:dyDescent="0.25">
      <c r="A3" s="75" t="s">
        <v>2</v>
      </c>
      <c r="B3" s="75"/>
      <c r="C3" s="75"/>
      <c r="D3" s="75"/>
      <c r="E3" s="75"/>
      <c r="F3" s="75"/>
      <c r="G3" s="75"/>
      <c r="H3" s="75"/>
      <c r="I3" s="75"/>
      <c r="J3" s="75"/>
      <c r="K3" s="75"/>
    </row>
    <row r="4" spans="1:19" s="1" customFormat="1" x14ac:dyDescent="0.25">
      <c r="A4" s="75" t="s">
        <v>3</v>
      </c>
      <c r="B4" s="75"/>
      <c r="C4" s="75"/>
      <c r="D4" s="75"/>
      <c r="E4" s="75"/>
      <c r="F4" s="75"/>
      <c r="G4" s="75"/>
      <c r="H4" s="75"/>
      <c r="I4" s="75"/>
      <c r="J4" s="75"/>
      <c r="K4" s="75"/>
    </row>
    <row r="5" spans="1:19" ht="18.75" x14ac:dyDescent="0.3">
      <c r="A5" s="76" t="s">
        <v>4</v>
      </c>
      <c r="B5" s="76"/>
      <c r="C5" s="76"/>
      <c r="D5" s="76"/>
      <c r="E5" s="76"/>
      <c r="F5" s="76"/>
      <c r="G5" s="76"/>
      <c r="H5" s="76"/>
      <c r="I5" s="76"/>
      <c r="J5" s="76"/>
      <c r="K5" s="76"/>
    </row>
    <row r="6" spans="1:19" ht="15.75" x14ac:dyDescent="0.25">
      <c r="A6" s="71" t="s">
        <v>58</v>
      </c>
      <c r="B6" s="71"/>
      <c r="C6" s="71"/>
      <c r="D6" s="71"/>
      <c r="E6" s="71"/>
      <c r="F6" s="71"/>
      <c r="G6" s="2"/>
      <c r="H6" s="72" t="s">
        <v>51</v>
      </c>
      <c r="I6" s="72"/>
      <c r="J6" s="72"/>
      <c r="K6" s="72"/>
    </row>
    <row r="7" spans="1:19" ht="15.75" x14ac:dyDescent="0.25">
      <c r="A7" s="78" t="s">
        <v>28</v>
      </c>
      <c r="B7" s="78"/>
      <c r="C7" s="78"/>
      <c r="D7" s="78"/>
      <c r="E7" s="78"/>
      <c r="F7" s="78"/>
      <c r="G7" s="3"/>
      <c r="H7" s="79" t="s">
        <v>57</v>
      </c>
      <c r="I7" s="79"/>
      <c r="J7" s="79"/>
      <c r="K7" s="79"/>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50" x14ac:dyDescent="0.25">
      <c r="A9" s="29">
        <v>1</v>
      </c>
      <c r="B9" s="30" t="s">
        <v>50</v>
      </c>
      <c r="C9" s="38"/>
      <c r="D9" s="38"/>
      <c r="E9" s="38"/>
      <c r="F9" s="38"/>
      <c r="G9" s="38"/>
      <c r="H9" s="38"/>
      <c r="I9" s="38"/>
      <c r="J9" s="38"/>
      <c r="K9" s="38"/>
    </row>
    <row r="10" spans="1:19" ht="15" customHeight="1" x14ac:dyDescent="0.25">
      <c r="A10" s="18"/>
      <c r="B10" s="39" t="s">
        <v>44</v>
      </c>
      <c r="C10" s="38">
        <v>1</v>
      </c>
      <c r="D10" s="40">
        <f>20+25-4*1.2+20</f>
        <v>60.2</v>
      </c>
      <c r="E10" s="40">
        <v>0.75</v>
      </c>
      <c r="F10" s="40">
        <v>1.2</v>
      </c>
      <c r="G10" s="41">
        <f>PRODUCT(C10:F10)</f>
        <v>54.180000000000007</v>
      </c>
      <c r="H10" s="42"/>
      <c r="I10" s="42"/>
      <c r="J10" s="42"/>
      <c r="K10" s="21"/>
      <c r="M10" s="25"/>
      <c r="N10" s="1"/>
      <c r="O10" s="1"/>
      <c r="P10" s="1"/>
      <c r="Q10" s="1"/>
      <c r="R10" s="25"/>
      <c r="S10" s="25"/>
    </row>
    <row r="11" spans="1:19" ht="15" customHeight="1" x14ac:dyDescent="0.25">
      <c r="A11" s="18"/>
      <c r="B11" s="39" t="s">
        <v>42</v>
      </c>
      <c r="C11" s="38">
        <v>2</v>
      </c>
      <c r="D11" s="40">
        <v>1.5</v>
      </c>
      <c r="E11" s="40">
        <v>1.5</v>
      </c>
      <c r="F11" s="40">
        <f>1.5+0.2</f>
        <v>1.7</v>
      </c>
      <c r="G11" s="41">
        <f>C11*(PI())*(D11*E11/4)*F11</f>
        <v>6.0082959499904796</v>
      </c>
      <c r="H11" s="42"/>
      <c r="I11" s="42"/>
      <c r="J11" s="42"/>
      <c r="K11" s="21"/>
      <c r="M11" s="25"/>
      <c r="N11" s="1"/>
      <c r="O11" s="1"/>
      <c r="P11" s="1"/>
      <c r="Q11" s="1"/>
      <c r="R11" s="25"/>
      <c r="S11" s="25"/>
    </row>
    <row r="12" spans="1:19" ht="15" customHeight="1" x14ac:dyDescent="0.25">
      <c r="A12" s="18"/>
      <c r="B12" s="39" t="s">
        <v>41</v>
      </c>
      <c r="C12" s="19"/>
      <c r="D12" s="20"/>
      <c r="E12" s="21"/>
      <c r="F12" s="21"/>
      <c r="G12" s="23">
        <f>SUM(G10:G11)</f>
        <v>60.18829594999049</v>
      </c>
      <c r="H12" s="22" t="s">
        <v>40</v>
      </c>
      <c r="I12" s="23">
        <v>64.63</v>
      </c>
      <c r="J12" s="43">
        <f>G12*I12</f>
        <v>3889.9695672478852</v>
      </c>
      <c r="K12" s="21"/>
      <c r="M12" s="25"/>
      <c r="N12" s="1"/>
      <c r="O12" s="1"/>
      <c r="P12" s="1"/>
      <c r="Q12" s="1"/>
      <c r="R12" s="25"/>
      <c r="S12" s="25"/>
    </row>
    <row r="13" spans="1:19" ht="15" customHeight="1" x14ac:dyDescent="0.25">
      <c r="A13" s="18"/>
      <c r="B13" s="39" t="s">
        <v>38</v>
      </c>
      <c r="C13" s="19"/>
      <c r="D13" s="20"/>
      <c r="E13" s="21"/>
      <c r="F13" s="21"/>
      <c r="G13" s="23"/>
      <c r="H13" s="22"/>
      <c r="I13" s="23"/>
      <c r="J13" s="43">
        <f>0.13*G12*19284/360</f>
        <v>419.13123023041715</v>
      </c>
      <c r="K13" s="21"/>
      <c r="M13" s="25"/>
      <c r="N13" s="1"/>
      <c r="O13" s="1"/>
      <c r="P13" s="1"/>
      <c r="Q13" s="1"/>
      <c r="R13" s="25"/>
      <c r="S13" s="25"/>
    </row>
    <row r="14" spans="1:19" ht="15" customHeight="1" x14ac:dyDescent="0.25">
      <c r="A14" s="18"/>
      <c r="B14" s="24"/>
      <c r="C14" s="19"/>
      <c r="D14" s="20"/>
      <c r="E14" s="21"/>
      <c r="F14" s="21"/>
      <c r="G14" s="23"/>
      <c r="H14" s="22"/>
      <c r="I14" s="23"/>
      <c r="J14" s="43"/>
      <c r="K14" s="21"/>
      <c r="M14" s="25"/>
      <c r="N14" s="1"/>
      <c r="O14" s="1"/>
      <c r="P14" s="1"/>
      <c r="Q14" s="1"/>
      <c r="R14" s="25"/>
      <c r="S14" s="25"/>
    </row>
    <row r="15" spans="1:19" ht="90" x14ac:dyDescent="0.25">
      <c r="A15" s="18">
        <v>2</v>
      </c>
      <c r="B15" s="30" t="s">
        <v>48</v>
      </c>
      <c r="C15" s="19"/>
      <c r="D15" s="20"/>
      <c r="E15" s="21"/>
      <c r="F15" s="21"/>
      <c r="G15" s="23"/>
      <c r="H15" s="22"/>
      <c r="I15" s="23"/>
      <c r="J15" s="43"/>
      <c r="K15" s="21"/>
      <c r="M15" s="25"/>
      <c r="N15" s="1"/>
      <c r="O15" s="1"/>
      <c r="P15" s="1"/>
      <c r="Q15" s="1"/>
      <c r="R15" s="25"/>
      <c r="S15" s="25"/>
    </row>
    <row r="16" spans="1:19" ht="15" customHeight="1" x14ac:dyDescent="0.25">
      <c r="A16" s="18"/>
      <c r="B16" s="39" t="str">
        <f>B11</f>
        <v>-Manhole</v>
      </c>
      <c r="C16" s="38">
        <f>C11</f>
        <v>2</v>
      </c>
      <c r="D16" s="38">
        <v>1.5</v>
      </c>
      <c r="E16" s="38">
        <v>1.5</v>
      </c>
      <c r="F16" s="40">
        <v>0.15</v>
      </c>
      <c r="G16" s="41">
        <f>C16*(PI())*(D16*E16/4)*F16</f>
        <v>0.53014376029327759</v>
      </c>
      <c r="H16" s="42"/>
      <c r="I16" s="42"/>
      <c r="J16" s="42"/>
      <c r="K16" s="21"/>
      <c r="M16" s="25"/>
      <c r="N16" s="1"/>
      <c r="O16" s="1"/>
      <c r="P16" s="1"/>
      <c r="Q16" s="1"/>
      <c r="R16" s="25"/>
      <c r="S16" s="25"/>
    </row>
    <row r="17" spans="1:19" ht="15" customHeight="1" x14ac:dyDescent="0.25">
      <c r="A17" s="42"/>
      <c r="B17" s="39" t="s">
        <v>41</v>
      </c>
      <c r="C17" s="44"/>
      <c r="D17" s="45"/>
      <c r="E17" s="45"/>
      <c r="F17" s="45"/>
      <c r="G17" s="33">
        <f>SUM(G16:G16)</f>
        <v>0.53014376029327759</v>
      </c>
      <c r="H17" s="33" t="s">
        <v>40</v>
      </c>
      <c r="I17" s="33">
        <v>4561.53</v>
      </c>
      <c r="J17" s="46">
        <f>G17*I17</f>
        <v>2418.2666668905945</v>
      </c>
      <c r="K17" s="38"/>
    </row>
    <row r="18" spans="1:19" x14ac:dyDescent="0.25">
      <c r="A18" s="42"/>
      <c r="B18" s="39" t="s">
        <v>38</v>
      </c>
      <c r="C18" s="44"/>
      <c r="D18" s="45"/>
      <c r="E18" s="45"/>
      <c r="F18" s="45"/>
      <c r="G18" s="45"/>
      <c r="H18" s="45"/>
      <c r="I18" s="45"/>
      <c r="J18" s="47">
        <f>0.13*G17*(15452.6/5)</f>
        <v>212.99458622800543</v>
      </c>
      <c r="K18" s="38"/>
    </row>
    <row r="19" spans="1:19" x14ac:dyDescent="0.25">
      <c r="A19" s="42"/>
      <c r="B19" s="39"/>
      <c r="C19" s="44"/>
      <c r="D19" s="45"/>
      <c r="E19" s="45"/>
      <c r="F19" s="45"/>
      <c r="G19" s="45"/>
      <c r="H19" s="45"/>
      <c r="I19" s="45"/>
      <c r="J19" s="47"/>
      <c r="K19" s="38"/>
    </row>
    <row r="20" spans="1:19" ht="75" x14ac:dyDescent="0.25">
      <c r="A20" s="18">
        <v>3</v>
      </c>
      <c r="B20" s="30" t="s">
        <v>43</v>
      </c>
      <c r="C20" s="19"/>
      <c r="D20" s="20"/>
      <c r="E20" s="21"/>
      <c r="F20" s="21"/>
      <c r="G20" s="23"/>
      <c r="H20" s="22"/>
      <c r="I20" s="23"/>
      <c r="J20" s="43"/>
      <c r="K20" s="21"/>
      <c r="M20" s="25"/>
      <c r="N20" s="1"/>
      <c r="O20" s="1"/>
      <c r="P20" s="1"/>
      <c r="Q20" s="1"/>
      <c r="R20" s="25"/>
      <c r="S20" s="25"/>
    </row>
    <row r="21" spans="1:19" ht="15" customHeight="1" x14ac:dyDescent="0.25">
      <c r="A21" s="18"/>
      <c r="B21" s="39" t="str">
        <f>B16</f>
        <v>-Manhole</v>
      </c>
      <c r="C21" s="38">
        <v>2</v>
      </c>
      <c r="D21" s="38">
        <v>1.5</v>
      </c>
      <c r="E21" s="38">
        <v>1.5</v>
      </c>
      <c r="F21" s="40">
        <v>7.4999999999999997E-2</v>
      </c>
      <c r="G21" s="41">
        <f>C21*(PI())*(D21*E21/4)*F21</f>
        <v>0.26507188014663879</v>
      </c>
      <c r="H21" s="42"/>
      <c r="I21" s="42"/>
      <c r="J21" s="42"/>
      <c r="K21" s="21"/>
      <c r="M21" s="25"/>
      <c r="N21" s="1"/>
      <c r="O21" s="1"/>
      <c r="P21" s="1"/>
      <c r="Q21" s="1"/>
      <c r="R21" s="25"/>
      <c r="S21" s="25"/>
    </row>
    <row r="22" spans="1:19" ht="15" customHeight="1" x14ac:dyDescent="0.25">
      <c r="A22" s="42"/>
      <c r="B22" s="39" t="s">
        <v>41</v>
      </c>
      <c r="C22" s="44"/>
      <c r="D22" s="45"/>
      <c r="E22" s="45"/>
      <c r="F22" s="45"/>
      <c r="G22" s="33">
        <f>SUM(G21:G21)</f>
        <v>0.26507188014663879</v>
      </c>
      <c r="H22" s="33" t="s">
        <v>40</v>
      </c>
      <c r="I22" s="33">
        <v>10634.5</v>
      </c>
      <c r="J22" s="46">
        <f>G22*I22</f>
        <v>2818.9069094194301</v>
      </c>
      <c r="K22" s="38"/>
    </row>
    <row r="23" spans="1:19" ht="15" customHeight="1" x14ac:dyDescent="0.25">
      <c r="A23" s="42"/>
      <c r="B23" s="39" t="s">
        <v>38</v>
      </c>
      <c r="C23" s="44"/>
      <c r="D23" s="45"/>
      <c r="E23" s="45"/>
      <c r="F23" s="45"/>
      <c r="G23" s="45"/>
      <c r="H23" s="45"/>
      <c r="I23" s="45"/>
      <c r="J23" s="47">
        <f>0.13*G22*((114907.3+6135.3)/15)</f>
        <v>278.06990951859206</v>
      </c>
      <c r="K23" s="38"/>
    </row>
    <row r="24" spans="1:19" ht="15" customHeight="1" x14ac:dyDescent="0.25">
      <c r="A24" s="42"/>
      <c r="B24" s="39"/>
      <c r="C24" s="44"/>
      <c r="D24" s="45"/>
      <c r="E24" s="45"/>
      <c r="F24" s="45"/>
      <c r="G24" s="45"/>
      <c r="H24" s="45"/>
      <c r="I24" s="45"/>
      <c r="J24" s="47"/>
      <c r="K24" s="38"/>
    </row>
    <row r="25" spans="1:19" ht="30" x14ac:dyDescent="0.25">
      <c r="A25" s="18">
        <v>4</v>
      </c>
      <c r="B25" s="30" t="s">
        <v>52</v>
      </c>
      <c r="C25" s="19"/>
      <c r="D25" s="20"/>
      <c r="E25" s="21"/>
      <c r="F25" s="21"/>
      <c r="G25" s="23"/>
      <c r="H25" s="22"/>
      <c r="I25" s="23"/>
      <c r="J25" s="43"/>
      <c r="K25" s="21"/>
      <c r="M25" s="25"/>
      <c r="N25" s="1"/>
      <c r="O25" s="1"/>
      <c r="P25" s="1"/>
      <c r="Q25" s="1"/>
      <c r="R25" s="25"/>
      <c r="S25" s="25"/>
    </row>
    <row r="26" spans="1:19" ht="30" x14ac:dyDescent="0.25">
      <c r="A26" s="18"/>
      <c r="B26" s="39" t="s">
        <v>54</v>
      </c>
      <c r="C26" s="60">
        <v>2</v>
      </c>
      <c r="D26" s="60"/>
      <c r="E26" s="60"/>
      <c r="F26" s="60"/>
      <c r="G26" s="41">
        <f>PRODUCT(C26:F26)</f>
        <v>2</v>
      </c>
      <c r="H26" s="42"/>
      <c r="I26" s="42"/>
      <c r="J26" s="42"/>
      <c r="K26" s="21"/>
      <c r="M26" s="25"/>
      <c r="N26" s="1"/>
      <c r="O26" s="1"/>
      <c r="P26" s="1"/>
      <c r="Q26" s="1"/>
      <c r="R26" s="25"/>
      <c r="S26" s="25"/>
    </row>
    <row r="27" spans="1:19" ht="15" customHeight="1" x14ac:dyDescent="0.25">
      <c r="A27" s="42"/>
      <c r="B27" s="39" t="s">
        <v>41</v>
      </c>
      <c r="C27" s="44"/>
      <c r="D27" s="45"/>
      <c r="E27" s="45"/>
      <c r="F27" s="45"/>
      <c r="G27" s="33">
        <f>SUM(G26:G26)</f>
        <v>2</v>
      </c>
      <c r="H27" s="33" t="s">
        <v>53</v>
      </c>
      <c r="I27" s="33">
        <v>7063</v>
      </c>
      <c r="J27" s="46">
        <f>G27*I27</f>
        <v>14126</v>
      </c>
      <c r="K27" s="38"/>
    </row>
    <row r="28" spans="1:19" ht="15" customHeight="1" x14ac:dyDescent="0.25">
      <c r="A28" s="42"/>
      <c r="B28" s="39" t="s">
        <v>38</v>
      </c>
      <c r="C28" s="44"/>
      <c r="D28" s="45"/>
      <c r="E28" s="45"/>
      <c r="F28" s="45"/>
      <c r="G28" s="45"/>
      <c r="H28" s="45"/>
      <c r="I28" s="45"/>
      <c r="J28" s="47">
        <f>0.13*J27</f>
        <v>1836.38</v>
      </c>
      <c r="K28" s="38"/>
    </row>
    <row r="29" spans="1:19" ht="15" customHeight="1" x14ac:dyDescent="0.25">
      <c r="A29" s="42"/>
      <c r="B29" s="39"/>
      <c r="C29" s="44"/>
      <c r="D29" s="45"/>
      <c r="E29" s="45"/>
      <c r="F29" s="45"/>
      <c r="G29" s="45"/>
      <c r="H29" s="45"/>
      <c r="I29" s="45"/>
      <c r="J29" s="47"/>
      <c r="K29" s="38"/>
    </row>
    <row r="30" spans="1:19" ht="30.75" x14ac:dyDescent="0.25">
      <c r="A30" s="18">
        <v>5</v>
      </c>
      <c r="B30" s="36" t="s">
        <v>49</v>
      </c>
      <c r="C30" s="19"/>
      <c r="D30" s="20"/>
      <c r="E30" s="21"/>
      <c r="F30" s="21"/>
      <c r="G30" s="23"/>
      <c r="H30" s="22"/>
      <c r="I30" s="23"/>
      <c r="J30" s="43"/>
      <c r="K30" s="21"/>
      <c r="M30" s="25"/>
      <c r="N30" s="1"/>
      <c r="O30" s="1"/>
      <c r="P30" s="1"/>
      <c r="Q30" s="1"/>
      <c r="R30" s="25"/>
      <c r="S30" s="25"/>
    </row>
    <row r="31" spans="1:19" ht="15" customHeight="1" x14ac:dyDescent="0.25">
      <c r="A31" s="18"/>
      <c r="B31" s="39" t="str">
        <f>B26</f>
        <v>-Rounded manhole cover medium duty 500mm (24")</v>
      </c>
      <c r="C31" s="60">
        <v>2</v>
      </c>
      <c r="D31" s="61">
        <f>((1.5-0.23)+((24/12/3.281)-0.23))/2</f>
        <v>0.82478512648582747</v>
      </c>
      <c r="E31" s="60">
        <v>0.23</v>
      </c>
      <c r="F31" s="60">
        <v>1.5</v>
      </c>
      <c r="G31" s="41">
        <f>C31*(PI())*(D31)*E31*F31</f>
        <v>1.7878858369690229</v>
      </c>
      <c r="H31" s="42"/>
      <c r="I31" s="42"/>
      <c r="J31" s="42"/>
      <c r="K31" s="21"/>
      <c r="M31" s="25"/>
      <c r="N31" s="1"/>
      <c r="O31" s="1"/>
      <c r="P31" s="1"/>
      <c r="Q31" s="1"/>
      <c r="R31" s="25"/>
      <c r="S31" s="25"/>
    </row>
    <row r="32" spans="1:19" ht="15" customHeight="1" x14ac:dyDescent="0.25">
      <c r="A32" s="18"/>
      <c r="B32" s="39" t="s">
        <v>46</v>
      </c>
      <c r="C32" s="60">
        <f>-2*2-1</f>
        <v>-5</v>
      </c>
      <c r="D32" s="60">
        <v>0.6</v>
      </c>
      <c r="E32" s="60">
        <v>0.23</v>
      </c>
      <c r="F32" s="60">
        <v>0.6</v>
      </c>
      <c r="G32" s="41">
        <f>C32*(PI())*(D32*F32/4)*E32</f>
        <v>-0.32515483964654363</v>
      </c>
      <c r="H32" s="42"/>
      <c r="I32" s="42"/>
      <c r="J32" s="42"/>
      <c r="K32" s="21"/>
      <c r="M32" s="25"/>
      <c r="N32" s="1">
        <f>(1.5-0.23+0.6-0.23)/2</f>
        <v>0.82000000000000006</v>
      </c>
      <c r="O32" s="1">
        <f>22/12/3.281</f>
        <v>0.55877273189068366</v>
      </c>
      <c r="P32" s="1"/>
      <c r="Q32" s="1"/>
      <c r="R32" s="25"/>
      <c r="S32" s="25"/>
    </row>
    <row r="33" spans="1:19" ht="15" customHeight="1" x14ac:dyDescent="0.25">
      <c r="A33" s="42"/>
      <c r="B33" s="39" t="s">
        <v>41</v>
      </c>
      <c r="C33" s="44"/>
      <c r="D33" s="45"/>
      <c r="E33" s="45"/>
      <c r="F33" s="45"/>
      <c r="G33" s="33">
        <f>SUM(G31:G32)</f>
        <v>1.4627309973224794</v>
      </c>
      <c r="H33" s="33" t="s">
        <v>40</v>
      </c>
      <c r="I33" s="33">
        <v>14362.76</v>
      </c>
      <c r="J33" s="46">
        <f>G33*I33</f>
        <v>21008.854259103413</v>
      </c>
      <c r="K33" s="38"/>
      <c r="N33">
        <f>1.667/3.281</f>
        <v>0.50807680585187442</v>
      </c>
      <c r="O33">
        <f>2.17/3.281</f>
        <v>0.66138372447424565</v>
      </c>
      <c r="P33">
        <f>(N33+O33)/2</f>
        <v>0.58473026516306004</v>
      </c>
    </row>
    <row r="34" spans="1:19" ht="15" customHeight="1" x14ac:dyDescent="0.25">
      <c r="A34" s="42"/>
      <c r="B34" s="39" t="s">
        <v>38</v>
      </c>
      <c r="C34" s="44"/>
      <c r="D34" s="45"/>
      <c r="E34" s="45"/>
      <c r="F34" s="45"/>
      <c r="G34" s="45"/>
      <c r="H34" s="45"/>
      <c r="I34" s="45"/>
      <c r="J34" s="47">
        <f>0.13*G33*10311.74</f>
        <v>1960.8292254629134</v>
      </c>
      <c r="K34" s="38"/>
    </row>
    <row r="35" spans="1:19" ht="15" customHeight="1" x14ac:dyDescent="0.25">
      <c r="A35" s="42"/>
      <c r="B35" s="39"/>
      <c r="C35" s="44"/>
      <c r="D35" s="45"/>
      <c r="E35" s="45"/>
      <c r="F35" s="45"/>
      <c r="G35" s="45"/>
      <c r="H35" s="45"/>
      <c r="I35" s="45"/>
      <c r="J35" s="47"/>
      <c r="K35" s="38"/>
    </row>
    <row r="36" spans="1:19" ht="105" x14ac:dyDescent="0.25">
      <c r="A36" s="18">
        <v>6</v>
      </c>
      <c r="B36" s="30" t="s">
        <v>47</v>
      </c>
      <c r="C36" s="38"/>
      <c r="D36" s="40"/>
      <c r="E36" s="40"/>
      <c r="F36" s="40"/>
      <c r="G36" s="43"/>
      <c r="H36" s="42"/>
      <c r="I36" s="42"/>
      <c r="J36" s="42"/>
      <c r="K36" s="21"/>
      <c r="M36" s="25"/>
      <c r="N36" s="1"/>
      <c r="O36" s="1"/>
      <c r="P36" s="1"/>
      <c r="Q36" s="1"/>
      <c r="R36" s="25"/>
      <c r="S36" s="25"/>
    </row>
    <row r="37" spans="1:19" ht="15" customHeight="1" x14ac:dyDescent="0.25">
      <c r="A37" s="18"/>
      <c r="B37" s="39" t="s">
        <v>45</v>
      </c>
      <c r="C37" s="38">
        <f>(45+17.5)/2.5+1</f>
        <v>26</v>
      </c>
      <c r="D37" s="40">
        <v>2.5</v>
      </c>
      <c r="E37" s="40"/>
      <c r="F37" s="40"/>
      <c r="G37" s="41">
        <f>PRODUCT(C37:F37)</f>
        <v>65</v>
      </c>
      <c r="H37" s="42"/>
      <c r="I37" s="42"/>
      <c r="J37" s="42"/>
      <c r="K37" s="21"/>
      <c r="M37" s="25"/>
      <c r="N37" s="1">
        <f>44/2.5</f>
        <v>17.600000000000001</v>
      </c>
      <c r="O37" s="1">
        <f>45/2.5</f>
        <v>18</v>
      </c>
      <c r="P37" s="1">
        <f>45+12.5</f>
        <v>57.5</v>
      </c>
      <c r="Q37" s="1"/>
      <c r="R37" s="25"/>
      <c r="S37" s="25"/>
    </row>
    <row r="38" spans="1:19" ht="15" customHeight="1" x14ac:dyDescent="0.25">
      <c r="A38" s="18"/>
      <c r="B38" s="39" t="s">
        <v>41</v>
      </c>
      <c r="C38" s="38"/>
      <c r="D38" s="40"/>
      <c r="E38" s="40"/>
      <c r="F38" s="40"/>
      <c r="G38" s="34">
        <f>SUM(G37:G37)</f>
        <v>65</v>
      </c>
      <c r="H38" s="42" t="s">
        <v>39</v>
      </c>
      <c r="I38" s="42">
        <v>6932.79</v>
      </c>
      <c r="J38" s="42">
        <f>G38*I38</f>
        <v>450631.35</v>
      </c>
      <c r="K38" s="21"/>
      <c r="M38" s="25"/>
      <c r="N38" s="1"/>
      <c r="O38" s="1"/>
      <c r="P38" s="1">
        <f>P37/2.5</f>
        <v>23</v>
      </c>
      <c r="Q38" s="1"/>
      <c r="R38" s="25"/>
      <c r="S38" s="25"/>
    </row>
    <row r="39" spans="1:19" ht="15" customHeight="1" x14ac:dyDescent="0.25">
      <c r="A39" s="18"/>
      <c r="B39" s="39" t="s">
        <v>38</v>
      </c>
      <c r="C39" s="38"/>
      <c r="D39" s="40"/>
      <c r="E39" s="40"/>
      <c r="F39" s="40"/>
      <c r="G39" s="43"/>
      <c r="H39" s="42"/>
      <c r="I39" s="42"/>
      <c r="J39" s="42">
        <f>0.13*G38*((78764.9)/12.5)</f>
        <v>53245.072399999997</v>
      </c>
      <c r="K39" s="21"/>
      <c r="M39" s="25"/>
      <c r="N39" s="1"/>
      <c r="O39" s="1"/>
      <c r="P39" s="1"/>
      <c r="Q39" s="1"/>
      <c r="R39" s="25"/>
      <c r="S39" s="25"/>
    </row>
    <row r="40" spans="1:19" ht="15" customHeight="1" x14ac:dyDescent="0.25">
      <c r="A40" s="18"/>
      <c r="B40" s="39"/>
      <c r="C40" s="38"/>
      <c r="D40" s="40"/>
      <c r="E40" s="40"/>
      <c r="F40" s="40"/>
      <c r="G40" s="43"/>
      <c r="H40" s="42"/>
      <c r="I40" s="42"/>
      <c r="J40" s="42"/>
      <c r="K40" s="21"/>
      <c r="M40" s="25"/>
      <c r="N40" s="1"/>
      <c r="O40" s="1"/>
      <c r="P40" s="1"/>
      <c r="Q40" s="1"/>
      <c r="R40" s="25"/>
      <c r="S40" s="25"/>
    </row>
    <row r="41" spans="1:19" ht="30" x14ac:dyDescent="0.25">
      <c r="A41" s="18">
        <v>7</v>
      </c>
      <c r="B41" s="67" t="s">
        <v>55</v>
      </c>
      <c r="C41" s="38">
        <v>1</v>
      </c>
      <c r="D41" s="40"/>
      <c r="E41" s="40"/>
      <c r="F41" s="40"/>
      <c r="G41" s="41">
        <f>PRODUCT(C41:F41)</f>
        <v>1</v>
      </c>
      <c r="H41" s="42" t="s">
        <v>56</v>
      </c>
      <c r="I41" s="23">
        <v>5000</v>
      </c>
      <c r="J41" s="34">
        <f>G41*I41</f>
        <v>5000</v>
      </c>
      <c r="K41" s="21"/>
      <c r="M41" s="25"/>
      <c r="N41" s="1"/>
      <c r="O41" s="1"/>
      <c r="P41" s="1"/>
      <c r="Q41" s="1"/>
      <c r="R41" s="25"/>
      <c r="S41" s="25"/>
    </row>
    <row r="42" spans="1:19" ht="15" customHeight="1" x14ac:dyDescent="0.25">
      <c r="A42" s="18"/>
      <c r="B42" s="39"/>
      <c r="C42" s="38"/>
      <c r="D42" s="40"/>
      <c r="E42" s="40"/>
      <c r="F42" s="40"/>
      <c r="G42" s="43"/>
      <c r="H42" s="42"/>
      <c r="I42" s="42"/>
      <c r="J42" s="42"/>
      <c r="K42" s="21"/>
      <c r="M42" s="25"/>
      <c r="N42" s="1"/>
      <c r="O42" s="1"/>
      <c r="P42" s="1"/>
      <c r="Q42" s="1"/>
      <c r="R42" s="25"/>
      <c r="S42" s="25"/>
    </row>
    <row r="43" spans="1:19" ht="15" customHeight="1" x14ac:dyDescent="0.25">
      <c r="A43" s="18">
        <v>8</v>
      </c>
      <c r="B43" s="30" t="s">
        <v>30</v>
      </c>
      <c r="C43" s="19">
        <v>1</v>
      </c>
      <c r="D43" s="20"/>
      <c r="E43" s="21"/>
      <c r="F43" s="21"/>
      <c r="G43" s="34">
        <f t="shared" ref="G43" si="0">PRODUCT(C43:F43)</f>
        <v>1</v>
      </c>
      <c r="H43" s="22" t="s">
        <v>31</v>
      </c>
      <c r="I43" s="23">
        <v>1000</v>
      </c>
      <c r="J43" s="34">
        <f>G43*I43</f>
        <v>1000</v>
      </c>
      <c r="K43" s="21"/>
      <c r="M43" s="25"/>
      <c r="N43" s="1"/>
      <c r="O43" s="1"/>
      <c r="P43" s="1"/>
      <c r="Q43" s="1"/>
      <c r="R43" s="25"/>
      <c r="S43" s="25"/>
    </row>
    <row r="44" spans="1:19" ht="15" customHeight="1" x14ac:dyDescent="0.25">
      <c r="A44" s="18"/>
      <c r="B44" s="24"/>
      <c r="C44" s="19"/>
      <c r="D44" s="20"/>
      <c r="E44" s="21"/>
      <c r="F44" s="21"/>
      <c r="G44" s="23"/>
      <c r="H44" s="22"/>
      <c r="I44" s="23"/>
      <c r="J44" s="43"/>
      <c r="K44" s="21"/>
      <c r="M44" s="25"/>
      <c r="N44" s="1"/>
      <c r="O44" s="1"/>
      <c r="P44" s="1"/>
      <c r="Q44" s="1"/>
      <c r="R44" s="25"/>
      <c r="S44" s="25"/>
    </row>
    <row r="45" spans="1:19" x14ac:dyDescent="0.25">
      <c r="A45" s="42"/>
      <c r="B45" s="48" t="s">
        <v>17</v>
      </c>
      <c r="C45" s="49"/>
      <c r="D45" s="40"/>
      <c r="E45" s="40"/>
      <c r="F45" s="40"/>
      <c r="G45" s="43"/>
      <c r="H45" s="43"/>
      <c r="I45" s="43"/>
      <c r="J45" s="43">
        <f>SUM(J10:J43)</f>
        <v>558845.82475410122</v>
      </c>
      <c r="K45" s="38"/>
    </row>
    <row r="46" spans="1:19" x14ac:dyDescent="0.25">
      <c r="A46" s="62"/>
      <c r="B46" s="65"/>
      <c r="C46" s="66"/>
      <c r="D46" s="63"/>
      <c r="E46" s="63"/>
      <c r="F46" s="63"/>
      <c r="G46" s="64"/>
      <c r="H46" s="64"/>
      <c r="I46" s="64"/>
      <c r="J46" s="64"/>
      <c r="K46" s="59"/>
    </row>
    <row r="47" spans="1:19" s="1" customFormat="1" x14ac:dyDescent="0.25">
      <c r="A47" s="52"/>
      <c r="B47" s="29" t="s">
        <v>27</v>
      </c>
      <c r="C47" s="77">
        <f>J45</f>
        <v>558845.82475410122</v>
      </c>
      <c r="D47" s="77"/>
      <c r="E47" s="41">
        <v>100</v>
      </c>
      <c r="F47" s="53"/>
      <c r="G47" s="54"/>
      <c r="H47" s="53"/>
      <c r="I47" s="55"/>
      <c r="J47" s="56"/>
      <c r="K47" s="57"/>
    </row>
    <row r="48" spans="1:19" x14ac:dyDescent="0.25">
      <c r="A48" s="58"/>
      <c r="B48" s="29" t="s">
        <v>32</v>
      </c>
      <c r="C48" s="80">
        <v>500000</v>
      </c>
      <c r="D48" s="80"/>
      <c r="E48" s="41"/>
      <c r="F48" s="51"/>
      <c r="G48" s="50"/>
      <c r="H48" s="50"/>
      <c r="I48" s="50"/>
      <c r="J48" s="50"/>
      <c r="K48" s="51"/>
    </row>
    <row r="49" spans="1:11" x14ac:dyDescent="0.25">
      <c r="A49" s="58"/>
      <c r="B49" s="29" t="s">
        <v>33</v>
      </c>
      <c r="C49" s="80">
        <f>C48-C51-C52</f>
        <v>475000</v>
      </c>
      <c r="D49" s="80"/>
      <c r="E49" s="41">
        <f>C49/C47*100</f>
        <v>84.996608896381332</v>
      </c>
      <c r="F49" s="51"/>
      <c r="G49" s="50"/>
      <c r="H49" s="50"/>
      <c r="I49" s="50"/>
      <c r="J49" s="50"/>
      <c r="K49" s="51"/>
    </row>
    <row r="50" spans="1:11" x14ac:dyDescent="0.25">
      <c r="A50" s="58"/>
      <c r="B50" s="29" t="s">
        <v>34</v>
      </c>
      <c r="C50" s="77">
        <f>C47-C49</f>
        <v>83845.824754101224</v>
      </c>
      <c r="D50" s="77"/>
      <c r="E50" s="41">
        <f>100-E49</f>
        <v>15.003391103618668</v>
      </c>
      <c r="F50" s="51"/>
      <c r="G50" s="50"/>
      <c r="H50" s="50"/>
      <c r="I50" s="50"/>
      <c r="J50" s="50"/>
      <c r="K50" s="51"/>
    </row>
    <row r="51" spans="1:11" x14ac:dyDescent="0.25">
      <c r="A51" s="58"/>
      <c r="B51" s="29" t="s">
        <v>35</v>
      </c>
      <c r="C51" s="77">
        <f>C48*0.03</f>
        <v>15000</v>
      </c>
      <c r="D51" s="77"/>
      <c r="E51" s="41">
        <v>3</v>
      </c>
      <c r="F51" s="51"/>
      <c r="G51" s="50"/>
      <c r="H51" s="50"/>
      <c r="I51" s="50"/>
      <c r="J51" s="50"/>
      <c r="K51" s="51"/>
    </row>
    <row r="52" spans="1:11" x14ac:dyDescent="0.25">
      <c r="A52" s="58"/>
      <c r="B52" s="29" t="s">
        <v>36</v>
      </c>
      <c r="C52" s="77">
        <f>C48*0.02</f>
        <v>10000</v>
      </c>
      <c r="D52" s="77"/>
      <c r="E52" s="41">
        <v>2</v>
      </c>
      <c r="F52" s="51"/>
      <c r="G52" s="50"/>
      <c r="H52" s="50"/>
      <c r="I52" s="50"/>
      <c r="J52" s="50"/>
      <c r="K52" s="51"/>
    </row>
    <row r="53" spans="1:11" s="37" customFormat="1" x14ac:dyDescent="0.25">
      <c r="A53" s="59"/>
      <c r="B53" s="59"/>
      <c r="C53" s="59"/>
      <c r="D53" s="59"/>
      <c r="E53" s="59"/>
      <c r="F53" s="59"/>
      <c r="G53" s="59"/>
      <c r="H53" s="59"/>
      <c r="I53" s="59"/>
      <c r="J53" s="59"/>
      <c r="K53" s="59"/>
    </row>
    <row r="54" spans="1:11" s="37" customFormat="1" x14ac:dyDescent="0.25"/>
    <row r="55" spans="1:11" s="37" customFormat="1" x14ac:dyDescent="0.25"/>
    <row r="56" spans="1:11" s="37" customFormat="1" x14ac:dyDescent="0.25"/>
    <row r="57" spans="1:11" s="37" customFormat="1" x14ac:dyDescent="0.25"/>
    <row r="58" spans="1:11" s="37" customFormat="1" x14ac:dyDescent="0.25"/>
    <row r="59" spans="1:11" s="37" customFormat="1" x14ac:dyDescent="0.25"/>
    <row r="60" spans="1:11" s="37" customFormat="1" x14ac:dyDescent="0.25"/>
    <row r="61" spans="1:11" s="37" customFormat="1" x14ac:dyDescent="0.25"/>
    <row r="62" spans="1:11" s="37" customFormat="1" x14ac:dyDescent="0.25"/>
    <row r="63" spans="1:11" s="37" customFormat="1" x14ac:dyDescent="0.25"/>
    <row r="64" spans="1:11"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28"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3" t="s">
        <v>0</v>
      </c>
      <c r="B1" s="83"/>
      <c r="C1" s="83"/>
      <c r="D1" s="83"/>
      <c r="E1" s="83"/>
      <c r="F1" s="83"/>
      <c r="G1" s="83"/>
      <c r="H1" s="83"/>
      <c r="I1" s="83"/>
      <c r="J1" s="83"/>
      <c r="K1" s="83"/>
    </row>
    <row r="2" spans="1:11" ht="25.5" x14ac:dyDescent="0.35">
      <c r="A2" s="84" t="s">
        <v>1</v>
      </c>
      <c r="B2" s="84"/>
      <c r="C2" s="84"/>
      <c r="D2" s="84"/>
      <c r="E2" s="84"/>
      <c r="F2" s="84"/>
      <c r="G2" s="84"/>
      <c r="H2" s="84"/>
      <c r="I2" s="84"/>
      <c r="J2" s="84"/>
      <c r="K2" s="84"/>
    </row>
    <row r="3" spans="1:11" s="1" customFormat="1" x14ac:dyDescent="0.25">
      <c r="A3" s="75" t="s">
        <v>2</v>
      </c>
      <c r="B3" s="75"/>
      <c r="C3" s="75"/>
      <c r="D3" s="75"/>
      <c r="E3" s="75"/>
      <c r="F3" s="75"/>
      <c r="G3" s="75"/>
      <c r="H3" s="75"/>
      <c r="I3" s="75"/>
      <c r="J3" s="75"/>
      <c r="K3" s="75"/>
    </row>
    <row r="4" spans="1:11" s="1" customFormat="1" x14ac:dyDescent="0.25">
      <c r="A4" s="75" t="s">
        <v>3</v>
      </c>
      <c r="B4" s="75"/>
      <c r="C4" s="75"/>
      <c r="D4" s="75"/>
      <c r="E4" s="75"/>
      <c r="F4" s="75"/>
      <c r="G4" s="75"/>
      <c r="H4" s="75"/>
      <c r="I4" s="75"/>
      <c r="J4" s="75"/>
      <c r="K4" s="75"/>
    </row>
    <row r="5" spans="1:11" ht="18.75" x14ac:dyDescent="0.3">
      <c r="A5" s="85" t="s">
        <v>18</v>
      </c>
      <c r="B5" s="85"/>
      <c r="C5" s="85"/>
      <c r="D5" s="85"/>
      <c r="E5" s="85"/>
      <c r="F5" s="85"/>
      <c r="G5" s="85"/>
      <c r="H5" s="85"/>
      <c r="I5" s="85"/>
      <c r="J5" s="85"/>
      <c r="K5" s="85"/>
    </row>
    <row r="6" spans="1:11" ht="18.75" x14ac:dyDescent="0.3">
      <c r="A6" s="8" t="s">
        <v>19</v>
      </c>
      <c r="B6" s="8"/>
      <c r="C6" s="81">
        <f>F35</f>
        <v>558845.82475410122</v>
      </c>
      <c r="D6" s="82"/>
      <c r="E6" s="9"/>
      <c r="F6" s="8"/>
      <c r="G6" s="8"/>
      <c r="H6" s="8" t="s">
        <v>20</v>
      </c>
      <c r="I6" s="8"/>
      <c r="J6" s="81">
        <f>I35</f>
        <v>559435.28089170333</v>
      </c>
      <c r="K6" s="82"/>
    </row>
    <row r="7" spans="1:11" x14ac:dyDescent="0.25">
      <c r="A7" s="26" t="s">
        <v>29</v>
      </c>
      <c r="B7" s="10"/>
      <c r="C7" s="10"/>
      <c r="D7" s="10"/>
      <c r="F7" s="88"/>
      <c r="G7" s="88"/>
      <c r="I7" s="89" t="s">
        <v>37</v>
      </c>
      <c r="J7" s="89"/>
      <c r="K7" s="89"/>
    </row>
    <row r="8" spans="1:11" ht="15.75" x14ac:dyDescent="0.25">
      <c r="A8" s="71" t="str">
        <f>estimate!A6</f>
        <v xml:space="preserve">Project:- सुन्दरबस्ती सडक ग्राबेल र ढलान (ढल निर्माण कार्य) </v>
      </c>
      <c r="B8" s="71"/>
      <c r="C8" s="71"/>
      <c r="D8" s="71"/>
      <c r="E8" s="71"/>
      <c r="F8" s="71"/>
      <c r="I8" s="90" t="s">
        <v>63</v>
      </c>
      <c r="J8" s="90"/>
      <c r="K8" s="90"/>
    </row>
    <row r="9" spans="1:11" x14ac:dyDescent="0.25">
      <c r="A9" s="91" t="str">
        <f>estimate!A7</f>
        <v>Location:- Shankharapur Municipality 9</v>
      </c>
      <c r="B9" s="91"/>
      <c r="C9" s="91"/>
      <c r="D9" s="91"/>
      <c r="E9" s="91"/>
      <c r="F9" s="91"/>
      <c r="I9" s="90" t="s">
        <v>64</v>
      </c>
      <c r="J9" s="90"/>
      <c r="K9" s="90"/>
    </row>
    <row r="11" spans="1:11" x14ac:dyDescent="0.25">
      <c r="A11" s="86" t="s">
        <v>21</v>
      </c>
      <c r="B11" s="86" t="s">
        <v>22</v>
      </c>
      <c r="C11" s="86" t="s">
        <v>12</v>
      </c>
      <c r="D11" s="92" t="s">
        <v>23</v>
      </c>
      <c r="E11" s="92"/>
      <c r="F11" s="92"/>
      <c r="G11" s="92" t="s">
        <v>24</v>
      </c>
      <c r="H11" s="92"/>
      <c r="I11" s="92"/>
      <c r="J11" s="86" t="s">
        <v>25</v>
      </c>
      <c r="K11" s="87" t="s">
        <v>15</v>
      </c>
    </row>
    <row r="12" spans="1:11" x14ac:dyDescent="0.25">
      <c r="A12" s="86"/>
      <c r="B12" s="86"/>
      <c r="C12" s="86"/>
      <c r="D12" s="11" t="s">
        <v>26</v>
      </c>
      <c r="E12" s="11" t="s">
        <v>13</v>
      </c>
      <c r="F12" s="11" t="s">
        <v>14</v>
      </c>
      <c r="G12" s="11" t="s">
        <v>26</v>
      </c>
      <c r="H12" s="11" t="s">
        <v>13</v>
      </c>
      <c r="I12" s="11" t="s">
        <v>14</v>
      </c>
      <c r="J12" s="86"/>
      <c r="K12" s="87"/>
    </row>
    <row r="13" spans="1:11" s="1" customFormat="1" ht="141.75"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estimate!H12</f>
        <v>m3</v>
      </c>
      <c r="D13" s="12">
        <f>estimate!G12</f>
        <v>60.18829594999049</v>
      </c>
      <c r="E13" s="12">
        <f>estimate!I12</f>
        <v>64.63</v>
      </c>
      <c r="F13" s="12">
        <f>D13*E13</f>
        <v>3889.9695672478852</v>
      </c>
      <c r="G13" s="12">
        <f>valuated!G13</f>
        <v>72.425608007933732</v>
      </c>
      <c r="H13" s="12">
        <f>valuated!I13</f>
        <v>64.63</v>
      </c>
      <c r="I13" s="12">
        <f>G13*H13</f>
        <v>4680.8670455527572</v>
      </c>
      <c r="J13" s="28">
        <f>I13-F13</f>
        <v>790.89747830487204</v>
      </c>
      <c r="K13" s="14"/>
    </row>
    <row r="14" spans="1:11" s="1" customFormat="1" ht="15.75" x14ac:dyDescent="0.25">
      <c r="A14" s="27"/>
      <c r="B14" s="70" t="str">
        <f>estimate!B13</f>
        <v>VAT calculation</v>
      </c>
      <c r="C14" s="12"/>
      <c r="D14" s="12"/>
      <c r="E14" s="12"/>
      <c r="F14" s="12">
        <f>estimate!J13</f>
        <v>419.13123023041715</v>
      </c>
      <c r="G14" s="12"/>
      <c r="H14" s="12"/>
      <c r="I14" s="12">
        <f>valuated!J14</f>
        <v>504.34779229791457</v>
      </c>
      <c r="J14" s="28">
        <f>I14-F14</f>
        <v>85.216562067497421</v>
      </c>
      <c r="K14" s="14"/>
    </row>
    <row r="15" spans="1:11" s="1" customFormat="1" ht="15.75" x14ac:dyDescent="0.25">
      <c r="A15" s="27"/>
      <c r="B15" s="32"/>
      <c r="C15" s="12"/>
      <c r="D15" s="12"/>
      <c r="E15" s="12"/>
      <c r="F15" s="12"/>
      <c r="G15" s="12"/>
      <c r="H15" s="12"/>
      <c r="I15" s="12"/>
      <c r="J15" s="28"/>
      <c r="K15" s="14"/>
    </row>
    <row r="16" spans="1:11" s="1" customFormat="1" ht="78.75" x14ac:dyDescent="0.25">
      <c r="A16" s="27">
        <f>estimate!A15</f>
        <v>2</v>
      </c>
      <c r="B16" s="32" t="str">
        <f>estimate!B15</f>
        <v>Providing and laying of hand pack Stone soling with 150 to 200 mm thick stones and packing with smaller stone on prepared surface as per Drawing and Technical Specifications.</v>
      </c>
      <c r="C16" s="12" t="str">
        <f>estimate!H17</f>
        <v>m3</v>
      </c>
      <c r="D16" s="12">
        <f>estimate!G17</f>
        <v>0.53014376029327759</v>
      </c>
      <c r="E16" s="12">
        <f>estimate!I17</f>
        <v>4561.53</v>
      </c>
      <c r="F16" s="12">
        <f>D16*E16</f>
        <v>2418.2666668905945</v>
      </c>
      <c r="G16" s="12">
        <f>valuated!G19</f>
        <v>0.43471788344048762</v>
      </c>
      <c r="H16" s="12">
        <f>valuated!I19</f>
        <v>4561.53</v>
      </c>
      <c r="I16" s="12">
        <f>G16*H16</f>
        <v>1982.9786668502875</v>
      </c>
      <c r="J16" s="28">
        <f>I16-F16</f>
        <v>-435.288000040307</v>
      </c>
      <c r="K16" s="14"/>
    </row>
    <row r="17" spans="1:11" s="1" customFormat="1" ht="15.75" x14ac:dyDescent="0.25">
      <c r="A17" s="27"/>
      <c r="B17" s="70" t="str">
        <f>estimate!B18</f>
        <v>VAT calculation</v>
      </c>
      <c r="C17" s="12"/>
      <c r="D17" s="12"/>
      <c r="E17" s="12"/>
      <c r="F17" s="12">
        <f>estimate!J18</f>
        <v>212.99458622800543</v>
      </c>
      <c r="G17" s="12"/>
      <c r="H17" s="12"/>
      <c r="I17" s="12">
        <f>valuated!J20</f>
        <v>174.65556070696448</v>
      </c>
      <c r="J17" s="28">
        <f>I17-F17</f>
        <v>-38.339025521040952</v>
      </c>
      <c r="K17" s="14"/>
    </row>
    <row r="18" spans="1:11" s="1" customFormat="1" ht="15.75" x14ac:dyDescent="0.25">
      <c r="A18" s="27"/>
      <c r="B18" s="32"/>
      <c r="C18" s="12"/>
      <c r="D18" s="12"/>
      <c r="E18" s="12"/>
      <c r="F18" s="12"/>
      <c r="G18" s="12"/>
      <c r="H18" s="12"/>
      <c r="I18" s="12"/>
      <c r="J18" s="28"/>
      <c r="K18" s="14"/>
    </row>
    <row r="19" spans="1:11" s="1" customFormat="1" ht="63" x14ac:dyDescent="0.25">
      <c r="A19" s="27">
        <f>estimate!A20</f>
        <v>3</v>
      </c>
      <c r="B19" s="32" t="str">
        <f>estimate!B20</f>
        <v>Providing and laying of Plain/Reinforced Cement Concrete in Foundation complete as per Drawing and Technical Specifications, PCC Grade M 15</v>
      </c>
      <c r="C19" s="12" t="str">
        <f>estimate!H22</f>
        <v>m3</v>
      </c>
      <c r="D19" s="12">
        <f>estimate!G22</f>
        <v>0.26507188014663879</v>
      </c>
      <c r="E19" s="12">
        <f>estimate!I22</f>
        <v>10634.5</v>
      </c>
      <c r="F19" s="12">
        <f>D19*E19</f>
        <v>2818.9069094194301</v>
      </c>
      <c r="G19" s="12">
        <f>valuated!G25</f>
        <v>0.21735894172024381</v>
      </c>
      <c r="H19" s="12">
        <f>valuated!I25</f>
        <v>10634.5</v>
      </c>
      <c r="I19" s="12">
        <f>G19*H19</f>
        <v>2311.503665723933</v>
      </c>
      <c r="J19" s="28">
        <f>I19-F19</f>
        <v>-507.40324369549717</v>
      </c>
      <c r="K19" s="14"/>
    </row>
    <row r="20" spans="1:11" s="1" customFormat="1" ht="15.75" x14ac:dyDescent="0.25">
      <c r="A20" s="27"/>
      <c r="B20" s="70" t="str">
        <f>estimate!B23</f>
        <v>VAT calculation</v>
      </c>
      <c r="C20" s="12"/>
      <c r="D20" s="12"/>
      <c r="E20" s="12"/>
      <c r="F20" s="12">
        <f>estimate!J23</f>
        <v>278.06990951859206</v>
      </c>
      <c r="G20" s="12"/>
      <c r="H20" s="12"/>
      <c r="I20" s="12">
        <f>valuated!J26</f>
        <v>228.01732580524549</v>
      </c>
      <c r="J20" s="28">
        <f>I20-F20</f>
        <v>-50.052583713346564</v>
      </c>
      <c r="K20" s="14"/>
    </row>
    <row r="21" spans="1:11" s="1" customFormat="1" ht="15.75" x14ac:dyDescent="0.25">
      <c r="A21" s="27"/>
      <c r="B21" s="32"/>
      <c r="C21" s="12"/>
      <c r="D21" s="12"/>
      <c r="E21" s="12"/>
      <c r="F21" s="12"/>
      <c r="G21" s="12"/>
      <c r="H21" s="12"/>
      <c r="I21" s="12"/>
      <c r="J21" s="28"/>
      <c r="K21" s="14"/>
    </row>
    <row r="22" spans="1:11" s="1" customFormat="1" ht="15.75" x14ac:dyDescent="0.25">
      <c r="A22" s="27">
        <f>estimate!A25</f>
        <v>4</v>
      </c>
      <c r="B22" s="32" t="str">
        <f>estimate!B25</f>
        <v>C.I. Manhole cover including frame</v>
      </c>
      <c r="C22" s="12" t="str">
        <f>estimate!H27</f>
        <v>set</v>
      </c>
      <c r="D22" s="12">
        <f>estimate!G27</f>
        <v>2</v>
      </c>
      <c r="E22" s="12">
        <f>estimate!I27</f>
        <v>7063</v>
      </c>
      <c r="F22" s="12">
        <f>D22*E22</f>
        <v>14126</v>
      </c>
      <c r="G22" s="12">
        <f>valuated!G30</f>
        <v>2</v>
      </c>
      <c r="H22" s="12">
        <f>valuated!I30</f>
        <v>7063</v>
      </c>
      <c r="I22" s="12">
        <f>G22*H22</f>
        <v>14126</v>
      </c>
      <c r="J22" s="28">
        <f>I22-F22</f>
        <v>0</v>
      </c>
      <c r="K22" s="14"/>
    </row>
    <row r="23" spans="1:11" s="1" customFormat="1" ht="15.75" x14ac:dyDescent="0.25">
      <c r="A23" s="27"/>
      <c r="B23" s="70" t="str">
        <f>estimate!B28</f>
        <v>VAT calculation</v>
      </c>
      <c r="C23" s="12"/>
      <c r="D23" s="12"/>
      <c r="E23" s="12"/>
      <c r="F23" s="12">
        <f>estimate!J28</f>
        <v>1836.38</v>
      </c>
      <c r="G23" s="12"/>
      <c r="H23" s="12"/>
      <c r="I23" s="12">
        <f>valuated!J31</f>
        <v>1836.38</v>
      </c>
      <c r="J23" s="28">
        <f>I23-F23</f>
        <v>0</v>
      </c>
      <c r="K23" s="14"/>
    </row>
    <row r="24" spans="1:11" s="1" customFormat="1" ht="15.75" x14ac:dyDescent="0.25">
      <c r="A24" s="27"/>
      <c r="B24" s="32"/>
      <c r="C24" s="12"/>
      <c r="D24" s="12"/>
      <c r="E24" s="12"/>
      <c r="F24" s="12"/>
      <c r="G24" s="12"/>
      <c r="H24" s="12"/>
      <c r="I24" s="12"/>
      <c r="J24" s="28"/>
      <c r="K24" s="14"/>
    </row>
    <row r="25" spans="1:11" s="1" customFormat="1" ht="30" x14ac:dyDescent="0.2">
      <c r="A25" s="27">
        <f>estimate!A30</f>
        <v>5</v>
      </c>
      <c r="B25" s="36" t="str">
        <f>estimate!B30</f>
        <v>e'O{+tNnfdf lrDgL e§fsf] O{+6fsf] uf/f] l;d]G6 d;nf -!M^_ df</v>
      </c>
      <c r="C25" s="12" t="str">
        <f>estimate!H33</f>
        <v>m3</v>
      </c>
      <c r="D25" s="12">
        <f>estimate!G33</f>
        <v>1.4627309973224794</v>
      </c>
      <c r="E25" s="12">
        <f>estimate!I33</f>
        <v>14362.76</v>
      </c>
      <c r="F25" s="12">
        <f>D25*E25</f>
        <v>21008.854259103413</v>
      </c>
      <c r="G25" s="12">
        <f>valuated!G38</f>
        <v>1.5101366766636579</v>
      </c>
      <c r="H25" s="12">
        <f>valuated!I38</f>
        <v>14362.76</v>
      </c>
      <c r="I25" s="12">
        <f>G25*H25</f>
        <v>21689.73065411772</v>
      </c>
      <c r="J25" s="28">
        <f>I25-F25</f>
        <v>680.87639501430749</v>
      </c>
      <c r="K25" s="14"/>
    </row>
    <row r="26" spans="1:11" s="1" customFormat="1" ht="15.75" x14ac:dyDescent="0.25">
      <c r="A26" s="27"/>
      <c r="B26" s="70" t="str">
        <f>estimate!B34</f>
        <v>VAT calculation</v>
      </c>
      <c r="C26" s="12"/>
      <c r="D26" s="12"/>
      <c r="E26" s="12"/>
      <c r="F26" s="12">
        <f>estimate!J34</f>
        <v>1960.8292254629134</v>
      </c>
      <c r="G26" s="12"/>
      <c r="H26" s="12"/>
      <c r="I26" s="12">
        <f>valuated!J39</f>
        <v>2024.3777806485621</v>
      </c>
      <c r="J26" s="28">
        <f>I26-F26</f>
        <v>63.548555185648638</v>
      </c>
      <c r="K26" s="14"/>
    </row>
    <row r="27" spans="1:11" s="1" customFormat="1" ht="15.75" x14ac:dyDescent="0.25">
      <c r="A27" s="27"/>
      <c r="B27" s="32"/>
      <c r="C27" s="12"/>
      <c r="D27" s="12"/>
      <c r="E27" s="12"/>
      <c r="F27" s="12"/>
      <c r="G27" s="12"/>
      <c r="H27" s="12"/>
      <c r="I27" s="12"/>
      <c r="J27" s="28"/>
      <c r="K27" s="14"/>
    </row>
    <row r="28" spans="1:11" s="1" customFormat="1" ht="94.5" x14ac:dyDescent="0.25">
      <c r="A28" s="27">
        <f>estimate!A36</f>
        <v>6</v>
      </c>
      <c r="B28" s="32" t="str">
        <f>estimate!B36</f>
        <v>Providing and Laying Reinforced cement concrete NP3 Flush jointed pipe for culverts including fixing with cement mortar 1:2 as per Drawing and Technical Specifications., 600 mm  internal dia.</v>
      </c>
      <c r="C28" s="12" t="str">
        <f>estimate!H38</f>
        <v>m</v>
      </c>
      <c r="D28" s="12">
        <f>estimate!G38</f>
        <v>65</v>
      </c>
      <c r="E28" s="12">
        <f>estimate!I38</f>
        <v>6932.79</v>
      </c>
      <c r="F28" s="12">
        <f>D28*E28</f>
        <v>450631.35</v>
      </c>
      <c r="G28" s="12">
        <f>valuated!G43</f>
        <v>65</v>
      </c>
      <c r="H28" s="12">
        <f>valuated!I43</f>
        <v>6932.79</v>
      </c>
      <c r="I28" s="12">
        <f>G28*H28</f>
        <v>450631.35</v>
      </c>
      <c r="J28" s="28">
        <f>I28-F28</f>
        <v>0</v>
      </c>
      <c r="K28" s="14"/>
    </row>
    <row r="29" spans="1:11" s="1" customFormat="1" ht="15.75" x14ac:dyDescent="0.25">
      <c r="A29" s="27"/>
      <c r="B29" s="70" t="str">
        <f>estimate!B39</f>
        <v>VAT calculation</v>
      </c>
      <c r="C29" s="12"/>
      <c r="D29" s="12"/>
      <c r="E29" s="12"/>
      <c r="F29" s="12">
        <f>estimate!J39</f>
        <v>53245.072399999997</v>
      </c>
      <c r="G29" s="12"/>
      <c r="H29" s="12"/>
      <c r="I29" s="12">
        <f>valuated!J44</f>
        <v>53245.072399999997</v>
      </c>
      <c r="J29" s="28">
        <f>I29-F29</f>
        <v>0</v>
      </c>
      <c r="K29" s="14"/>
    </row>
    <row r="30" spans="1:11" s="1" customFormat="1" ht="15.75" x14ac:dyDescent="0.25">
      <c r="A30" s="27"/>
      <c r="B30" s="32"/>
      <c r="C30" s="12"/>
      <c r="D30" s="12"/>
      <c r="E30" s="12"/>
      <c r="F30" s="12"/>
      <c r="G30" s="12"/>
      <c r="H30" s="12"/>
      <c r="I30" s="12"/>
      <c r="J30" s="28"/>
      <c r="K30" s="14"/>
    </row>
    <row r="31" spans="1:11" s="1" customFormat="1" ht="15.75" x14ac:dyDescent="0.25">
      <c r="A31" s="27">
        <f>estimate!A41</f>
        <v>7</v>
      </c>
      <c r="B31" s="32" t="str">
        <f>estimate!B41</f>
        <v>Provisional sum for unforeseen works</v>
      </c>
      <c r="C31" s="12" t="str">
        <f>estimate!H41</f>
        <v>PS</v>
      </c>
      <c r="D31" s="12">
        <f>estimate!G41</f>
        <v>1</v>
      </c>
      <c r="E31" s="12">
        <f>estimate!I41</f>
        <v>5000</v>
      </c>
      <c r="F31" s="12">
        <f>D31*E31</f>
        <v>5000</v>
      </c>
      <c r="G31" s="12">
        <f>valuated!G46</f>
        <v>1</v>
      </c>
      <c r="H31" s="12">
        <f>valuated!I46</f>
        <v>5000</v>
      </c>
      <c r="I31" s="12">
        <f>G31*H31</f>
        <v>5000</v>
      </c>
      <c r="J31" s="28">
        <f>I31-F31</f>
        <v>0</v>
      </c>
      <c r="K31" s="14"/>
    </row>
    <row r="32" spans="1:11" s="1" customFormat="1" ht="15.75" x14ac:dyDescent="0.25">
      <c r="A32" s="27"/>
      <c r="B32" s="32"/>
      <c r="C32" s="12"/>
      <c r="D32" s="12"/>
      <c r="E32" s="12"/>
      <c r="F32" s="12"/>
      <c r="G32" s="12"/>
      <c r="H32" s="12"/>
      <c r="I32" s="12"/>
      <c r="J32" s="28"/>
      <c r="K32" s="14"/>
    </row>
    <row r="33" spans="1:11" s="1" customFormat="1" x14ac:dyDescent="0.25">
      <c r="A33" s="27">
        <f>estimate!A43</f>
        <v>8</v>
      </c>
      <c r="B33" s="31" t="str">
        <f>estimate!B43</f>
        <v>Information board (सुचना पाटि)</v>
      </c>
      <c r="C33" s="12" t="str">
        <f>estimate!H43</f>
        <v>no.</v>
      </c>
      <c r="D33" s="12">
        <f>estimate!G43</f>
        <v>1</v>
      </c>
      <c r="E33" s="12">
        <f>estimate!I43</f>
        <v>1000</v>
      </c>
      <c r="F33" s="12">
        <f>D33*E33</f>
        <v>1000</v>
      </c>
      <c r="G33" s="12">
        <f>valuated!G48</f>
        <v>1</v>
      </c>
      <c r="H33" s="12">
        <f>valuated!I48</f>
        <v>1000</v>
      </c>
      <c r="I33" s="12">
        <f>G33*H33</f>
        <v>1000</v>
      </c>
      <c r="J33" s="28">
        <f>I33-F33</f>
        <v>0</v>
      </c>
      <c r="K33" s="14"/>
    </row>
    <row r="34" spans="1:11" s="1" customFormat="1" x14ac:dyDescent="0.25">
      <c r="A34" s="29"/>
      <c r="B34" s="29"/>
      <c r="C34" s="12"/>
      <c r="D34" s="12"/>
      <c r="E34" s="12"/>
      <c r="F34" s="12"/>
      <c r="G34" s="12"/>
      <c r="H34" s="12"/>
      <c r="I34" s="12"/>
      <c r="J34" s="28"/>
      <c r="K34" s="14"/>
    </row>
    <row r="35" spans="1:11" x14ac:dyDescent="0.25">
      <c r="A35" s="5"/>
      <c r="B35" s="6" t="s">
        <v>16</v>
      </c>
      <c r="C35" s="6"/>
      <c r="D35" s="7"/>
      <c r="E35" s="7"/>
      <c r="F35" s="7">
        <f>SUM(F13:F33)</f>
        <v>558845.82475410122</v>
      </c>
      <c r="G35" s="7"/>
      <c r="H35" s="7"/>
      <c r="I35" s="7">
        <f>SUM(I13:I33)</f>
        <v>559435.28089170333</v>
      </c>
      <c r="J35" s="13">
        <f>I35-F35</f>
        <v>589.45613760210108</v>
      </c>
      <c r="K35"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scale="85" orientation="landscape" horizontalDpi="300" verticalDpi="300"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tabSelected="1" topLeftCell="A43" zoomScaleNormal="100" workbookViewId="0">
      <selection activeCell="Q46" sqref="Q46"/>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73" t="s">
        <v>0</v>
      </c>
      <c r="B1" s="73"/>
      <c r="C1" s="73"/>
      <c r="D1" s="73"/>
      <c r="E1" s="73"/>
      <c r="F1" s="73"/>
      <c r="G1" s="73"/>
      <c r="H1" s="73"/>
      <c r="I1" s="73"/>
      <c r="J1" s="73"/>
      <c r="K1" s="73"/>
    </row>
    <row r="2" spans="1:19" s="1" customFormat="1" ht="22.5" x14ac:dyDescent="0.25">
      <c r="A2" s="74" t="s">
        <v>1</v>
      </c>
      <c r="B2" s="74"/>
      <c r="C2" s="74"/>
      <c r="D2" s="74"/>
      <c r="E2" s="74"/>
      <c r="F2" s="74"/>
      <c r="G2" s="74"/>
      <c r="H2" s="74"/>
      <c r="I2" s="74"/>
      <c r="J2" s="74"/>
      <c r="K2" s="74"/>
    </row>
    <row r="3" spans="1:19" s="1" customFormat="1" x14ac:dyDescent="0.25">
      <c r="A3" s="75" t="s">
        <v>2</v>
      </c>
      <c r="B3" s="75"/>
      <c r="C3" s="75"/>
      <c r="D3" s="75"/>
      <c r="E3" s="75"/>
      <c r="F3" s="75"/>
      <c r="G3" s="75"/>
      <c r="H3" s="75"/>
      <c r="I3" s="75"/>
      <c r="J3" s="75"/>
      <c r="K3" s="75"/>
    </row>
    <row r="4" spans="1:19" s="1" customFormat="1" x14ac:dyDescent="0.25">
      <c r="A4" s="75" t="s">
        <v>3</v>
      </c>
      <c r="B4" s="75"/>
      <c r="C4" s="75"/>
      <c r="D4" s="75"/>
      <c r="E4" s="75"/>
      <c r="F4" s="75"/>
      <c r="G4" s="75"/>
      <c r="H4" s="75"/>
      <c r="I4" s="75"/>
      <c r="J4" s="75"/>
      <c r="K4" s="75"/>
    </row>
    <row r="5" spans="1:19" ht="18.75" x14ac:dyDescent="0.3">
      <c r="A5" s="76" t="s">
        <v>59</v>
      </c>
      <c r="B5" s="76"/>
      <c r="C5" s="76"/>
      <c r="D5" s="76"/>
      <c r="E5" s="76"/>
      <c r="F5" s="76"/>
      <c r="G5" s="76"/>
      <c r="H5" s="76"/>
      <c r="I5" s="76"/>
      <c r="J5" s="76"/>
      <c r="K5" s="76"/>
    </row>
    <row r="6" spans="1:19" ht="15.75" x14ac:dyDescent="0.25">
      <c r="A6" s="71" t="s">
        <v>58</v>
      </c>
      <c r="B6" s="71"/>
      <c r="C6" s="71"/>
      <c r="D6" s="71"/>
      <c r="E6" s="71"/>
      <c r="F6" s="71"/>
      <c r="G6" s="2"/>
      <c r="H6" s="72" t="s">
        <v>51</v>
      </c>
      <c r="I6" s="72"/>
      <c r="J6" s="72"/>
      <c r="K6" s="72"/>
    </row>
    <row r="7" spans="1:19" ht="15.75" x14ac:dyDescent="0.25">
      <c r="A7" s="78" t="s">
        <v>28</v>
      </c>
      <c r="B7" s="78"/>
      <c r="C7" s="78"/>
      <c r="D7" s="78"/>
      <c r="E7" s="78"/>
      <c r="F7" s="78"/>
      <c r="G7" s="3"/>
      <c r="H7" s="79" t="s">
        <v>62</v>
      </c>
      <c r="I7" s="79"/>
      <c r="J7" s="79"/>
      <c r="K7" s="79"/>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50" x14ac:dyDescent="0.25">
      <c r="A9" s="29">
        <v>1</v>
      </c>
      <c r="B9" s="30" t="s">
        <v>50</v>
      </c>
      <c r="C9" s="38"/>
      <c r="D9" s="38"/>
      <c r="E9" s="38"/>
      <c r="F9" s="38"/>
      <c r="G9" s="38"/>
      <c r="H9" s="38"/>
      <c r="I9" s="38"/>
      <c r="J9" s="38"/>
      <c r="K9" s="38"/>
    </row>
    <row r="10" spans="1:19" ht="15" customHeight="1" x14ac:dyDescent="0.25">
      <c r="A10" s="18"/>
      <c r="B10" s="39" t="s">
        <v>44</v>
      </c>
      <c r="C10" s="38">
        <v>1</v>
      </c>
      <c r="D10" s="40">
        <f>20+25-4*1.2+20</f>
        <v>60.2</v>
      </c>
      <c r="E10" s="40">
        <v>0.75</v>
      </c>
      <c r="F10" s="40">
        <v>1.5</v>
      </c>
      <c r="G10" s="41">
        <f>PRODUCT(C10:F10)</f>
        <v>67.725000000000009</v>
      </c>
      <c r="H10" s="42"/>
      <c r="I10" s="42"/>
      <c r="J10" s="42"/>
      <c r="K10" s="21"/>
      <c r="M10" s="25"/>
      <c r="N10" s="1"/>
      <c r="O10" s="1"/>
      <c r="P10" s="1"/>
      <c r="Q10" s="1"/>
      <c r="R10" s="25"/>
      <c r="S10" s="25"/>
    </row>
    <row r="11" spans="1:19" ht="15" customHeight="1" x14ac:dyDescent="0.25">
      <c r="A11" s="18"/>
      <c r="B11" s="39" t="s">
        <v>42</v>
      </c>
      <c r="C11" s="38">
        <v>1</v>
      </c>
      <c r="D11" s="40">
        <v>1.5</v>
      </c>
      <c r="E11" s="40">
        <v>1.5</v>
      </c>
      <c r="F11" s="40">
        <f>1.5+0.2</f>
        <v>1.7</v>
      </c>
      <c r="G11" s="41">
        <f>C11*(PI())*(D11*E11/4)*F11</f>
        <v>3.0041479749952398</v>
      </c>
      <c r="H11" s="42"/>
      <c r="I11" s="42"/>
      <c r="J11" s="42"/>
      <c r="K11" s="21"/>
      <c r="M11" s="25"/>
      <c r="N11" s="1"/>
      <c r="O11" s="1"/>
      <c r="P11" s="1"/>
      <c r="Q11" s="1"/>
      <c r="R11" s="25"/>
      <c r="S11" s="25"/>
    </row>
    <row r="12" spans="1:19" ht="15" customHeight="1" x14ac:dyDescent="0.25">
      <c r="A12" s="18"/>
      <c r="B12" s="39"/>
      <c r="C12" s="38">
        <v>1</v>
      </c>
      <c r="D12" s="40">
        <v>1.2</v>
      </c>
      <c r="E12" s="40">
        <v>1.2</v>
      </c>
      <c r="F12" s="40">
        <v>1.5</v>
      </c>
      <c r="G12" s="41">
        <f>C12*(PI())*(D12*E12/4)*F12</f>
        <v>1.6964600329384885</v>
      </c>
      <c r="H12" s="42"/>
      <c r="I12" s="42"/>
      <c r="J12" s="42"/>
      <c r="K12" s="21"/>
      <c r="M12" s="25"/>
      <c r="N12" s="1"/>
      <c r="O12" s="1"/>
      <c r="P12" s="1"/>
      <c r="Q12" s="1"/>
      <c r="R12" s="25"/>
      <c r="S12" s="25"/>
    </row>
    <row r="13" spans="1:19" ht="15" customHeight="1" x14ac:dyDescent="0.25">
      <c r="A13" s="18"/>
      <c r="B13" s="39" t="s">
        <v>41</v>
      </c>
      <c r="C13" s="19"/>
      <c r="D13" s="20"/>
      <c r="E13" s="21"/>
      <c r="F13" s="21"/>
      <c r="G13" s="23">
        <f>SUM(G10:G12)</f>
        <v>72.425608007933732</v>
      </c>
      <c r="H13" s="22" t="s">
        <v>40</v>
      </c>
      <c r="I13" s="23">
        <v>64.63</v>
      </c>
      <c r="J13" s="43">
        <f>G13*I13</f>
        <v>4680.8670455527572</v>
      </c>
      <c r="K13" s="21"/>
      <c r="M13" s="25"/>
      <c r="N13" s="1"/>
      <c r="O13" s="1"/>
      <c r="P13" s="1"/>
      <c r="Q13" s="1"/>
      <c r="R13" s="25"/>
      <c r="S13" s="25"/>
    </row>
    <row r="14" spans="1:19" ht="15" customHeight="1" x14ac:dyDescent="0.25">
      <c r="A14" s="18"/>
      <c r="B14" s="39" t="s">
        <v>38</v>
      </c>
      <c r="C14" s="19"/>
      <c r="D14" s="20"/>
      <c r="E14" s="21"/>
      <c r="F14" s="21"/>
      <c r="G14" s="23"/>
      <c r="H14" s="22"/>
      <c r="I14" s="23"/>
      <c r="J14" s="43">
        <f>0.13*G13*19284/360</f>
        <v>504.34779229791457</v>
      </c>
      <c r="K14" s="21"/>
      <c r="M14" s="25"/>
      <c r="N14" s="1"/>
      <c r="O14" s="1"/>
      <c r="P14" s="1"/>
      <c r="Q14" s="1"/>
      <c r="R14" s="25"/>
      <c r="S14" s="25"/>
    </row>
    <row r="15" spans="1:19" ht="15" customHeight="1" x14ac:dyDescent="0.25">
      <c r="A15" s="18"/>
      <c r="B15" s="24"/>
      <c r="C15" s="19"/>
      <c r="D15" s="20"/>
      <c r="E15" s="21"/>
      <c r="F15" s="21"/>
      <c r="G15" s="23"/>
      <c r="H15" s="22"/>
      <c r="I15" s="23"/>
      <c r="J15" s="43"/>
      <c r="K15" s="21"/>
      <c r="M15" s="25"/>
      <c r="N15" s="1"/>
      <c r="O15" s="1"/>
      <c r="P15" s="1"/>
      <c r="Q15" s="1"/>
      <c r="R15" s="25"/>
      <c r="S15" s="25"/>
    </row>
    <row r="16" spans="1:19" ht="90" x14ac:dyDescent="0.25">
      <c r="A16" s="18">
        <v>2</v>
      </c>
      <c r="B16" s="30" t="s">
        <v>48</v>
      </c>
      <c r="C16" s="19"/>
      <c r="D16" s="20"/>
      <c r="E16" s="21"/>
      <c r="F16" s="21"/>
      <c r="G16" s="23"/>
      <c r="H16" s="22"/>
      <c r="I16" s="23"/>
      <c r="J16" s="43"/>
      <c r="K16" s="21"/>
      <c r="M16" s="25"/>
      <c r="N16" s="1"/>
      <c r="O16" s="1"/>
      <c r="P16" s="1"/>
      <c r="Q16" s="1"/>
      <c r="R16" s="25"/>
      <c r="S16" s="25"/>
    </row>
    <row r="17" spans="1:19" ht="15" customHeight="1" x14ac:dyDescent="0.25">
      <c r="A17" s="18"/>
      <c r="B17" s="39" t="str">
        <f>B11</f>
        <v>-Manhole</v>
      </c>
      <c r="C17" s="38">
        <f>C11</f>
        <v>1</v>
      </c>
      <c r="D17" s="38">
        <v>1.5</v>
      </c>
      <c r="E17" s="38">
        <v>1.5</v>
      </c>
      <c r="F17" s="40">
        <v>0.15</v>
      </c>
      <c r="G17" s="41">
        <f>C17*(PI())*(D17*E17/4)*F17</f>
        <v>0.26507188014663879</v>
      </c>
      <c r="H17" s="42"/>
      <c r="I17" s="42"/>
      <c r="J17" s="42"/>
      <c r="K17" s="21"/>
      <c r="M17" s="25"/>
      <c r="N17" s="1"/>
      <c r="O17" s="1"/>
      <c r="P17" s="1"/>
      <c r="Q17" s="1"/>
      <c r="R17" s="25"/>
      <c r="S17" s="25"/>
    </row>
    <row r="18" spans="1:19" ht="15" customHeight="1" x14ac:dyDescent="0.25">
      <c r="A18" s="18"/>
      <c r="B18" s="39"/>
      <c r="C18" s="38">
        <f>C12</f>
        <v>1</v>
      </c>
      <c r="D18" s="38">
        <v>1.2</v>
      </c>
      <c r="E18" s="38">
        <v>1.2</v>
      </c>
      <c r="F18" s="40">
        <v>0.15</v>
      </c>
      <c r="G18" s="41">
        <f>C18*(PI())*(D18*E18/4)*F18</f>
        <v>0.16964600329384882</v>
      </c>
      <c r="H18" s="42"/>
      <c r="I18" s="42"/>
      <c r="J18" s="42"/>
      <c r="K18" s="21"/>
      <c r="M18" s="25"/>
      <c r="N18" s="1"/>
      <c r="O18" s="1"/>
      <c r="P18" s="1"/>
      <c r="Q18" s="1"/>
      <c r="R18" s="25"/>
      <c r="S18" s="25"/>
    </row>
    <row r="19" spans="1:19" ht="15" customHeight="1" x14ac:dyDescent="0.25">
      <c r="A19" s="42"/>
      <c r="B19" s="39" t="s">
        <v>41</v>
      </c>
      <c r="C19" s="44"/>
      <c r="D19" s="45"/>
      <c r="E19" s="45"/>
      <c r="F19" s="45"/>
      <c r="G19" s="33">
        <f>SUM(G17:G18)</f>
        <v>0.43471788344048762</v>
      </c>
      <c r="H19" s="33" t="s">
        <v>40</v>
      </c>
      <c r="I19" s="33">
        <v>4561.53</v>
      </c>
      <c r="J19" s="46">
        <f>G19*I19</f>
        <v>1982.9786668502875</v>
      </c>
      <c r="K19" s="38"/>
    </row>
    <row r="20" spans="1:19" x14ac:dyDescent="0.25">
      <c r="A20" s="42"/>
      <c r="B20" s="39" t="s">
        <v>38</v>
      </c>
      <c r="C20" s="44"/>
      <c r="D20" s="45"/>
      <c r="E20" s="45"/>
      <c r="F20" s="45"/>
      <c r="G20" s="45"/>
      <c r="H20" s="45"/>
      <c r="I20" s="45"/>
      <c r="J20" s="47">
        <f>0.13*G19*(15452.6/5)</f>
        <v>174.65556070696448</v>
      </c>
      <c r="K20" s="38"/>
    </row>
    <row r="21" spans="1:19" x14ac:dyDescent="0.25">
      <c r="A21" s="42"/>
      <c r="B21" s="39"/>
      <c r="C21" s="44"/>
      <c r="D21" s="45"/>
      <c r="E21" s="45"/>
      <c r="F21" s="45"/>
      <c r="G21" s="45"/>
      <c r="H21" s="45"/>
      <c r="I21" s="45"/>
      <c r="J21" s="47"/>
      <c r="K21" s="38"/>
    </row>
    <row r="22" spans="1:19" ht="75" x14ac:dyDescent="0.25">
      <c r="A22" s="18">
        <v>3</v>
      </c>
      <c r="B22" s="30" t="s">
        <v>43</v>
      </c>
      <c r="C22" s="19"/>
      <c r="D22" s="20"/>
      <c r="E22" s="21"/>
      <c r="F22" s="21"/>
      <c r="G22" s="23"/>
      <c r="H22" s="22"/>
      <c r="I22" s="23"/>
      <c r="J22" s="43"/>
      <c r="K22" s="21"/>
      <c r="M22" s="25"/>
      <c r="N22" s="1"/>
      <c r="O22" s="1"/>
      <c r="P22" s="1"/>
      <c r="Q22" s="1"/>
      <c r="R22" s="25"/>
      <c r="S22" s="25"/>
    </row>
    <row r="23" spans="1:19" ht="15" customHeight="1" x14ac:dyDescent="0.25">
      <c r="A23" s="18"/>
      <c r="B23" s="39" t="str">
        <f>B17</f>
        <v>-Manhole</v>
      </c>
      <c r="C23" s="38">
        <v>1</v>
      </c>
      <c r="D23" s="38">
        <v>1.5</v>
      </c>
      <c r="E23" s="38">
        <v>1.5</v>
      </c>
      <c r="F23" s="40">
        <v>7.4999999999999997E-2</v>
      </c>
      <c r="G23" s="41">
        <f>C23*(PI())*(D23*E23/4)*F23</f>
        <v>0.1325359400733194</v>
      </c>
      <c r="H23" s="42"/>
      <c r="I23" s="42"/>
      <c r="J23" s="42"/>
      <c r="K23" s="21"/>
      <c r="M23" s="25"/>
      <c r="N23" s="1"/>
      <c r="O23" s="1"/>
      <c r="P23" s="1"/>
      <c r="Q23" s="1"/>
      <c r="R23" s="25"/>
      <c r="S23" s="25"/>
    </row>
    <row r="24" spans="1:19" ht="15" customHeight="1" x14ac:dyDescent="0.25">
      <c r="A24" s="18"/>
      <c r="B24" s="39"/>
      <c r="C24" s="38">
        <v>1</v>
      </c>
      <c r="D24" s="38">
        <v>1.2</v>
      </c>
      <c r="E24" s="38">
        <v>1.2</v>
      </c>
      <c r="F24" s="40">
        <v>7.4999999999999997E-2</v>
      </c>
      <c r="G24" s="41">
        <f>C24*(PI())*(D24*E24/4)*F24</f>
        <v>8.4823001646924412E-2</v>
      </c>
      <c r="H24" s="42"/>
      <c r="I24" s="42"/>
      <c r="J24" s="42"/>
      <c r="K24" s="21"/>
      <c r="M24" s="25"/>
      <c r="N24" s="1"/>
      <c r="O24" s="1"/>
      <c r="P24" s="1"/>
      <c r="Q24" s="1"/>
      <c r="R24" s="25"/>
      <c r="S24" s="25"/>
    </row>
    <row r="25" spans="1:19" ht="15" customHeight="1" x14ac:dyDescent="0.25">
      <c r="A25" s="42"/>
      <c r="B25" s="39" t="s">
        <v>41</v>
      </c>
      <c r="C25" s="44"/>
      <c r="D25" s="45"/>
      <c r="E25" s="45"/>
      <c r="F25" s="45"/>
      <c r="G25" s="33">
        <f>SUM(G23:G24)</f>
        <v>0.21735894172024381</v>
      </c>
      <c r="H25" s="33" t="s">
        <v>40</v>
      </c>
      <c r="I25" s="33">
        <v>10634.5</v>
      </c>
      <c r="J25" s="46">
        <f>G25*I25</f>
        <v>2311.503665723933</v>
      </c>
      <c r="K25" s="38"/>
    </row>
    <row r="26" spans="1:19" ht="15" customHeight="1" x14ac:dyDescent="0.25">
      <c r="A26" s="42"/>
      <c r="B26" s="39" t="s">
        <v>38</v>
      </c>
      <c r="C26" s="44"/>
      <c r="D26" s="45"/>
      <c r="E26" s="45"/>
      <c r="F26" s="45"/>
      <c r="G26" s="45"/>
      <c r="H26" s="45"/>
      <c r="I26" s="45"/>
      <c r="J26" s="47">
        <f>0.13*G25*((114907.3+6135.3)/15)</f>
        <v>228.01732580524549</v>
      </c>
      <c r="K26" s="38"/>
    </row>
    <row r="27" spans="1:19" ht="15" customHeight="1" x14ac:dyDescent="0.25">
      <c r="A27" s="42"/>
      <c r="B27" s="39"/>
      <c r="C27" s="44"/>
      <c r="D27" s="45"/>
      <c r="E27" s="45"/>
      <c r="F27" s="45"/>
      <c r="G27" s="45"/>
      <c r="H27" s="45"/>
      <c r="I27" s="45"/>
      <c r="J27" s="47"/>
      <c r="K27" s="38"/>
    </row>
    <row r="28" spans="1:19" ht="15" customHeight="1" x14ac:dyDescent="0.25">
      <c r="A28" s="42">
        <v>4</v>
      </c>
      <c r="B28" s="67" t="s">
        <v>52</v>
      </c>
      <c r="C28" s="44"/>
      <c r="D28" s="45"/>
      <c r="E28" s="45"/>
      <c r="F28" s="45"/>
      <c r="G28" s="33"/>
      <c r="H28" s="33"/>
      <c r="I28" s="33"/>
      <c r="J28" s="46"/>
      <c r="K28" s="38"/>
    </row>
    <row r="29" spans="1:19" ht="30" x14ac:dyDescent="0.25">
      <c r="A29" s="18"/>
      <c r="B29" s="39" t="s">
        <v>54</v>
      </c>
      <c r="C29" s="60">
        <v>2</v>
      </c>
      <c r="D29" s="60"/>
      <c r="E29" s="60"/>
      <c r="F29" s="60"/>
      <c r="G29" s="41">
        <f>PRODUCT(C29:F29)</f>
        <v>2</v>
      </c>
      <c r="H29" s="42"/>
      <c r="I29" s="42"/>
      <c r="J29" s="42"/>
      <c r="K29" s="21"/>
      <c r="M29" s="25"/>
      <c r="N29" s="1"/>
      <c r="O29" s="1"/>
      <c r="P29" s="1"/>
      <c r="Q29" s="1"/>
      <c r="R29" s="25"/>
      <c r="S29" s="25"/>
    </row>
    <row r="30" spans="1:19" ht="15" customHeight="1" x14ac:dyDescent="0.25">
      <c r="A30" s="42"/>
      <c r="B30" s="39" t="s">
        <v>41</v>
      </c>
      <c r="C30" s="44"/>
      <c r="D30" s="45"/>
      <c r="E30" s="45"/>
      <c r="F30" s="45"/>
      <c r="G30" s="33">
        <f>SUM(G29:G29)</f>
        <v>2</v>
      </c>
      <c r="H30" s="33" t="s">
        <v>53</v>
      </c>
      <c r="I30" s="33">
        <v>7063</v>
      </c>
      <c r="J30" s="46">
        <f>G30*I30</f>
        <v>14126</v>
      </c>
      <c r="K30" s="38"/>
    </row>
    <row r="31" spans="1:19" ht="15" customHeight="1" x14ac:dyDescent="0.25">
      <c r="A31" s="42"/>
      <c r="B31" s="39" t="s">
        <v>38</v>
      </c>
      <c r="C31" s="44"/>
      <c r="D31" s="45"/>
      <c r="E31" s="45"/>
      <c r="F31" s="45"/>
      <c r="G31" s="45"/>
      <c r="H31" s="45"/>
      <c r="I31" s="45"/>
      <c r="J31" s="47">
        <f>0.13*J30</f>
        <v>1836.38</v>
      </c>
      <c r="K31" s="38"/>
    </row>
    <row r="32" spans="1:19" ht="15" customHeight="1" x14ac:dyDescent="0.25">
      <c r="A32" s="42"/>
      <c r="B32" s="39"/>
      <c r="C32" s="44"/>
      <c r="D32" s="45"/>
      <c r="E32" s="45"/>
      <c r="F32" s="45"/>
      <c r="G32" s="45"/>
      <c r="H32" s="45"/>
      <c r="I32" s="45"/>
      <c r="J32" s="47"/>
      <c r="K32" s="38"/>
    </row>
    <row r="33" spans="1:19" ht="30.75" x14ac:dyDescent="0.25">
      <c r="A33" s="18">
        <v>5</v>
      </c>
      <c r="B33" s="36" t="s">
        <v>49</v>
      </c>
      <c r="C33" s="19"/>
      <c r="D33" s="20"/>
      <c r="E33" s="21"/>
      <c r="F33" s="21"/>
      <c r="G33" s="23"/>
      <c r="H33" s="22"/>
      <c r="I33" s="23"/>
      <c r="J33" s="43"/>
      <c r="K33" s="21"/>
      <c r="M33" s="25"/>
      <c r="N33" s="1"/>
      <c r="O33" s="1"/>
      <c r="P33" s="1"/>
      <c r="Q33" s="1"/>
      <c r="R33" s="25"/>
      <c r="S33" s="25"/>
    </row>
    <row r="34" spans="1:19" ht="15" customHeight="1" x14ac:dyDescent="0.25">
      <c r="A34" s="18"/>
      <c r="B34" s="39" t="str">
        <f>B23</f>
        <v>-Manhole</v>
      </c>
      <c r="C34" s="60">
        <v>1</v>
      </c>
      <c r="D34" s="61">
        <f>((1.5-0.23)+(((33)/12/3.281)-0.23))/2</f>
        <v>0.93907954891801282</v>
      </c>
      <c r="E34" s="61">
        <v>0.23</v>
      </c>
      <c r="F34" s="61">
        <f>6/3.281</f>
        <v>1.8287107589149649</v>
      </c>
      <c r="G34" s="41">
        <f>C34*(PI())*(D34)*E34*F34</f>
        <v>1.2408666469319718</v>
      </c>
      <c r="H34" s="42"/>
      <c r="I34" s="42"/>
      <c r="J34" s="42"/>
      <c r="K34" s="21"/>
      <c r="M34" s="25"/>
      <c r="N34" s="1"/>
      <c r="O34" s="1"/>
      <c r="P34" s="1"/>
      <c r="Q34" s="1"/>
      <c r="R34" s="25"/>
      <c r="S34" s="25"/>
    </row>
    <row r="35" spans="1:19" ht="15" customHeight="1" x14ac:dyDescent="0.25">
      <c r="A35" s="18"/>
      <c r="B35" s="39" t="s">
        <v>46</v>
      </c>
      <c r="C35" s="60">
        <v>-3</v>
      </c>
      <c r="D35" s="60">
        <v>0.6</v>
      </c>
      <c r="E35" s="60">
        <v>0.23</v>
      </c>
      <c r="F35" s="60">
        <v>0.6</v>
      </c>
      <c r="G35" s="41">
        <f>C35*(PI())*(D35*F35/4)*E35</f>
        <v>-0.19509290378792615</v>
      </c>
      <c r="H35" s="42"/>
      <c r="I35" s="42"/>
      <c r="J35" s="42"/>
      <c r="K35" s="21"/>
      <c r="M35" s="25"/>
      <c r="N35" s="1">
        <f>(1.5-0.23+0.6-0.23)/2</f>
        <v>0.82000000000000006</v>
      </c>
      <c r="O35" s="1">
        <f>22/12/3.281</f>
        <v>0.55877273189068366</v>
      </c>
      <c r="P35" s="1"/>
      <c r="Q35" s="1"/>
      <c r="R35" s="25"/>
      <c r="S35" s="25"/>
    </row>
    <row r="36" spans="1:19" ht="15" customHeight="1" x14ac:dyDescent="0.25">
      <c r="A36" s="18"/>
      <c r="B36" s="39" t="str">
        <f>B34</f>
        <v>-Manhole</v>
      </c>
      <c r="C36" s="60">
        <v>1</v>
      </c>
      <c r="D36" s="61">
        <f>((1.2-0.23)+((24/12/3.281)-0.23))/2</f>
        <v>0.67478512648582745</v>
      </c>
      <c r="E36" s="61">
        <v>0.23</v>
      </c>
      <c r="F36" s="61">
        <f>4/3.281</f>
        <v>1.2191405059433098</v>
      </c>
      <c r="G36" s="41">
        <f>C36*(PI())*(D36)*E36*F36</f>
        <v>0.5944248693782298</v>
      </c>
      <c r="H36" s="42"/>
      <c r="I36" s="42"/>
      <c r="J36" s="42"/>
      <c r="K36" s="21"/>
      <c r="M36" s="25"/>
      <c r="N36" s="1"/>
      <c r="O36" s="1"/>
      <c r="P36" s="1"/>
      <c r="Q36" s="1"/>
      <c r="R36" s="25"/>
      <c r="S36" s="25"/>
    </row>
    <row r="37" spans="1:19" ht="15" customHeight="1" x14ac:dyDescent="0.25">
      <c r="A37" s="18"/>
      <c r="B37" s="39" t="s">
        <v>46</v>
      </c>
      <c r="C37" s="60">
        <v>-2</v>
      </c>
      <c r="D37" s="60">
        <v>0.6</v>
      </c>
      <c r="E37" s="60">
        <v>0.23</v>
      </c>
      <c r="F37" s="60">
        <v>0.6</v>
      </c>
      <c r="G37" s="41">
        <f>C37*(PI())*(D37*F37/4)*E37</f>
        <v>-0.13006193585861744</v>
      </c>
      <c r="H37" s="42"/>
      <c r="I37" s="42"/>
      <c r="J37" s="42"/>
      <c r="K37" s="21"/>
      <c r="M37" s="25"/>
      <c r="N37" s="1">
        <f>(1.5-0.23+0.6-0.23)/2</f>
        <v>0.82000000000000006</v>
      </c>
      <c r="O37" s="1">
        <f>22/12/3.281</f>
        <v>0.55877273189068366</v>
      </c>
      <c r="P37" s="1"/>
      <c r="Q37" s="1"/>
      <c r="R37" s="25"/>
      <c r="S37" s="25"/>
    </row>
    <row r="38" spans="1:19" ht="15" customHeight="1" x14ac:dyDescent="0.25">
      <c r="A38" s="42"/>
      <c r="B38" s="39" t="s">
        <v>41</v>
      </c>
      <c r="C38" s="44"/>
      <c r="D38" s="45"/>
      <c r="E38" s="45"/>
      <c r="F38" s="45"/>
      <c r="G38" s="33">
        <f>SUM(G34:G37)</f>
        <v>1.5101366766636579</v>
      </c>
      <c r="H38" s="33" t="s">
        <v>40</v>
      </c>
      <c r="I38" s="33">
        <v>14362.76</v>
      </c>
      <c r="J38" s="46">
        <f>G38*I38</f>
        <v>21689.73065411772</v>
      </c>
      <c r="K38" s="38"/>
      <c r="N38">
        <f>1.667/3.281</f>
        <v>0.50807680585187442</v>
      </c>
      <c r="O38">
        <f>2.17/3.281</f>
        <v>0.66138372447424565</v>
      </c>
      <c r="P38">
        <f>(N38+O38)/2</f>
        <v>0.58473026516306004</v>
      </c>
    </row>
    <row r="39" spans="1:19" ht="15" customHeight="1" x14ac:dyDescent="0.25">
      <c r="A39" s="42"/>
      <c r="B39" s="39" t="s">
        <v>38</v>
      </c>
      <c r="C39" s="44"/>
      <c r="D39" s="45"/>
      <c r="E39" s="45"/>
      <c r="F39" s="45"/>
      <c r="G39" s="45"/>
      <c r="H39" s="45"/>
      <c r="I39" s="45"/>
      <c r="J39" s="47">
        <f>0.13*G38*10311.74</f>
        <v>2024.3777806485621</v>
      </c>
      <c r="K39" s="38"/>
    </row>
    <row r="40" spans="1:19" ht="15" customHeight="1" x14ac:dyDescent="0.25">
      <c r="A40" s="42"/>
      <c r="B40" s="39"/>
      <c r="C40" s="44"/>
      <c r="D40" s="45"/>
      <c r="E40" s="45"/>
      <c r="F40" s="45"/>
      <c r="G40" s="45"/>
      <c r="H40" s="45"/>
      <c r="I40" s="45"/>
      <c r="J40" s="47"/>
      <c r="K40" s="38"/>
    </row>
    <row r="41" spans="1:19" ht="105" x14ac:dyDescent="0.25">
      <c r="A41" s="18">
        <v>6</v>
      </c>
      <c r="B41" s="30" t="s">
        <v>47</v>
      </c>
      <c r="C41" s="38"/>
      <c r="D41" s="40"/>
      <c r="E41" s="40"/>
      <c r="F41" s="40"/>
      <c r="G41" s="43"/>
      <c r="H41" s="42"/>
      <c r="I41" s="42"/>
      <c r="J41" s="42"/>
      <c r="K41" s="21"/>
      <c r="M41" s="25"/>
      <c r="N41" s="1"/>
      <c r="O41" s="1"/>
      <c r="P41" s="1"/>
      <c r="Q41" s="1"/>
      <c r="R41" s="25"/>
      <c r="S41" s="25"/>
    </row>
    <row r="42" spans="1:19" ht="15" customHeight="1" x14ac:dyDescent="0.25">
      <c r="A42" s="18"/>
      <c r="B42" s="39" t="s">
        <v>45</v>
      </c>
      <c r="C42" s="38">
        <f>(45+17.5)/2.5+1</f>
        <v>26</v>
      </c>
      <c r="D42" s="40">
        <v>2.5</v>
      </c>
      <c r="E42" s="40"/>
      <c r="F42" s="40"/>
      <c r="G42" s="41">
        <f>PRODUCT(C42:F42)</f>
        <v>65</v>
      </c>
      <c r="H42" s="42"/>
      <c r="I42" s="42"/>
      <c r="J42" s="42"/>
      <c r="K42" s="21"/>
      <c r="M42" s="25"/>
      <c r="N42" s="1">
        <f>44/2.5</f>
        <v>17.600000000000001</v>
      </c>
      <c r="O42" s="1">
        <f>45/2.5</f>
        <v>18</v>
      </c>
      <c r="P42" s="1">
        <f>45+12.5</f>
        <v>57.5</v>
      </c>
      <c r="Q42" s="1"/>
      <c r="R42" s="25"/>
      <c r="S42" s="25"/>
    </row>
    <row r="43" spans="1:19" ht="15" customHeight="1" x14ac:dyDescent="0.25">
      <c r="A43" s="18"/>
      <c r="B43" s="39" t="s">
        <v>41</v>
      </c>
      <c r="C43" s="38"/>
      <c r="D43" s="40"/>
      <c r="E43" s="40"/>
      <c r="F43" s="40"/>
      <c r="G43" s="34">
        <f>SUM(G42:G42)</f>
        <v>65</v>
      </c>
      <c r="H43" s="42" t="s">
        <v>39</v>
      </c>
      <c r="I43" s="42">
        <v>6932.79</v>
      </c>
      <c r="J43" s="42">
        <f>G43*I43</f>
        <v>450631.35</v>
      </c>
      <c r="K43" s="21"/>
      <c r="M43" s="25"/>
      <c r="N43" s="1"/>
      <c r="O43" s="1"/>
      <c r="P43" s="1">
        <f>P42/2.5</f>
        <v>23</v>
      </c>
      <c r="Q43" s="1"/>
      <c r="R43" s="25"/>
      <c r="S43" s="25"/>
    </row>
    <row r="44" spans="1:19" ht="15" customHeight="1" x14ac:dyDescent="0.25">
      <c r="A44" s="18"/>
      <c r="B44" s="39" t="s">
        <v>38</v>
      </c>
      <c r="C44" s="38"/>
      <c r="D44" s="40"/>
      <c r="E44" s="40"/>
      <c r="F44" s="40"/>
      <c r="G44" s="43"/>
      <c r="H44" s="42"/>
      <c r="I44" s="42"/>
      <c r="J44" s="42">
        <f>0.13*G43*((78764.9)/12.5)</f>
        <v>53245.072399999997</v>
      </c>
      <c r="K44" s="21"/>
      <c r="M44" s="25"/>
      <c r="N44" s="1"/>
      <c r="O44" s="1"/>
      <c r="P44" s="1"/>
      <c r="Q44" s="1"/>
      <c r="R44" s="25"/>
      <c r="S44" s="25"/>
    </row>
    <row r="45" spans="1:19" ht="15" customHeight="1" x14ac:dyDescent="0.25">
      <c r="A45" s="18"/>
      <c r="B45" s="39"/>
      <c r="C45" s="38"/>
      <c r="D45" s="40"/>
      <c r="E45" s="40"/>
      <c r="F45" s="40"/>
      <c r="G45" s="43"/>
      <c r="H45" s="42"/>
      <c r="I45" s="42"/>
      <c r="J45" s="42"/>
      <c r="K45" s="21"/>
      <c r="M45" s="25"/>
      <c r="N45" s="1"/>
      <c r="O45" s="1"/>
      <c r="P45" s="1"/>
      <c r="Q45" s="1"/>
      <c r="R45" s="25"/>
      <c r="S45" s="25"/>
    </row>
    <row r="46" spans="1:19" s="1" customFormat="1" ht="30" x14ac:dyDescent="0.25">
      <c r="A46" s="18">
        <v>7</v>
      </c>
      <c r="B46" s="68" t="s">
        <v>55</v>
      </c>
      <c r="C46" s="29">
        <v>1</v>
      </c>
      <c r="D46" s="41"/>
      <c r="E46" s="41"/>
      <c r="F46" s="41"/>
      <c r="G46" s="34">
        <f>PRODUCT(C46:F46)</f>
        <v>1</v>
      </c>
      <c r="H46" s="69" t="s">
        <v>56</v>
      </c>
      <c r="I46" s="23">
        <v>5000</v>
      </c>
      <c r="J46" s="34">
        <f>G46*I46</f>
        <v>5000</v>
      </c>
      <c r="K46" s="21"/>
      <c r="M46" s="35"/>
      <c r="R46" s="35"/>
      <c r="S46" s="35"/>
    </row>
    <row r="47" spans="1:19" ht="15" customHeight="1" x14ac:dyDescent="0.25">
      <c r="A47" s="18"/>
      <c r="B47" s="39"/>
      <c r="C47" s="38"/>
      <c r="D47" s="40"/>
      <c r="E47" s="40"/>
      <c r="F47" s="40"/>
      <c r="G47" s="43"/>
      <c r="H47" s="42"/>
      <c r="I47" s="42"/>
      <c r="J47" s="42"/>
      <c r="K47" s="21"/>
      <c r="M47" s="25"/>
      <c r="N47" s="1"/>
      <c r="O47" s="1"/>
      <c r="P47" s="1"/>
      <c r="Q47" s="1"/>
      <c r="R47" s="25"/>
      <c r="S47" s="25"/>
    </row>
    <row r="48" spans="1:19" ht="15" customHeight="1" x14ac:dyDescent="0.25">
      <c r="A48" s="18">
        <v>8</v>
      </c>
      <c r="B48" s="30" t="s">
        <v>30</v>
      </c>
      <c r="C48" s="19">
        <v>1</v>
      </c>
      <c r="D48" s="20"/>
      <c r="E48" s="21"/>
      <c r="F48" s="21"/>
      <c r="G48" s="34">
        <f t="shared" ref="G48" si="0">PRODUCT(C48:F48)</f>
        <v>1</v>
      </c>
      <c r="H48" s="22" t="s">
        <v>31</v>
      </c>
      <c r="I48" s="23">
        <v>1000</v>
      </c>
      <c r="J48" s="34">
        <f>G48*I48</f>
        <v>1000</v>
      </c>
      <c r="K48" s="21"/>
      <c r="M48" s="25"/>
      <c r="N48" s="1"/>
      <c r="O48" s="1"/>
      <c r="P48" s="1"/>
      <c r="Q48" s="1"/>
      <c r="R48" s="25"/>
      <c r="S48" s="25"/>
    </row>
    <row r="49" spans="1:19" ht="15" customHeight="1" x14ac:dyDescent="0.25">
      <c r="A49" s="18"/>
      <c r="B49" s="24"/>
      <c r="C49" s="19"/>
      <c r="D49" s="20"/>
      <c r="E49" s="21"/>
      <c r="F49" s="21"/>
      <c r="G49" s="23"/>
      <c r="H49" s="22"/>
      <c r="I49" s="23"/>
      <c r="J49" s="43"/>
      <c r="K49" s="21"/>
      <c r="M49" s="25"/>
      <c r="N49" s="1"/>
      <c r="O49" s="1"/>
      <c r="P49" s="1"/>
      <c r="Q49" s="1"/>
      <c r="R49" s="25"/>
      <c r="S49" s="25"/>
    </row>
    <row r="50" spans="1:19" x14ac:dyDescent="0.25">
      <c r="A50" s="42"/>
      <c r="B50" s="48" t="s">
        <v>17</v>
      </c>
      <c r="C50" s="49"/>
      <c r="D50" s="40"/>
      <c r="E50" s="40"/>
      <c r="F50" s="40"/>
      <c r="G50" s="43"/>
      <c r="H50" s="43"/>
      <c r="I50" s="43"/>
      <c r="J50" s="43">
        <f>SUM(J10:J48)</f>
        <v>559435.28089170333</v>
      </c>
      <c r="K50" s="38"/>
    </row>
    <row r="51" spans="1:19" x14ac:dyDescent="0.25">
      <c r="A51" s="62"/>
      <c r="B51" s="65"/>
      <c r="C51" s="66"/>
      <c r="D51" s="63"/>
      <c r="E51" s="63"/>
      <c r="F51" s="63"/>
      <c r="G51" s="64"/>
      <c r="H51" s="64"/>
      <c r="I51" s="64"/>
      <c r="J51" s="64"/>
      <c r="K51" s="59"/>
    </row>
    <row r="52" spans="1:19" s="1" customFormat="1" x14ac:dyDescent="0.25">
      <c r="A52" s="52"/>
      <c r="B52" s="29" t="s">
        <v>60</v>
      </c>
      <c r="C52" s="77">
        <f>J50</f>
        <v>559435.28089170333</v>
      </c>
      <c r="D52" s="77"/>
      <c r="E52" s="41">
        <v>100</v>
      </c>
      <c r="F52" s="53"/>
      <c r="G52" s="54"/>
      <c r="H52" s="53"/>
      <c r="I52" s="55"/>
      <c r="J52" s="56"/>
      <c r="K52" s="57"/>
    </row>
    <row r="53" spans="1:19" x14ac:dyDescent="0.25">
      <c r="A53" s="58"/>
      <c r="B53" s="29" t="s">
        <v>32</v>
      </c>
      <c r="C53" s="80">
        <v>500000</v>
      </c>
      <c r="D53" s="80"/>
      <c r="E53" s="41"/>
      <c r="F53" s="51"/>
      <c r="G53" s="50"/>
      <c r="H53" s="50"/>
      <c r="I53" s="50"/>
      <c r="J53" s="50"/>
      <c r="K53" s="51"/>
    </row>
    <row r="54" spans="1:19" x14ac:dyDescent="0.25">
      <c r="A54" s="58"/>
      <c r="B54" s="29" t="s">
        <v>33</v>
      </c>
      <c r="C54" s="80">
        <f>C53-C56-C57</f>
        <v>475000</v>
      </c>
      <c r="D54" s="80"/>
      <c r="E54" s="41">
        <f>C54/C52*100</f>
        <v>84.907051132506524</v>
      </c>
      <c r="F54" s="51"/>
      <c r="G54" s="50"/>
      <c r="H54" s="50"/>
      <c r="I54" s="50" t="s">
        <v>65</v>
      </c>
      <c r="J54" s="50"/>
      <c r="K54" s="51"/>
    </row>
    <row r="55" spans="1:19" x14ac:dyDescent="0.25">
      <c r="A55" s="58"/>
      <c r="B55" s="29" t="s">
        <v>34</v>
      </c>
      <c r="C55" s="77">
        <f>C52-C54</f>
        <v>84435.280891703325</v>
      </c>
      <c r="D55" s="77"/>
      <c r="E55" s="41">
        <f>100-E54</f>
        <v>15.092948867493476</v>
      </c>
      <c r="F55" s="51"/>
      <c r="G55" s="50"/>
      <c r="H55" s="50"/>
      <c r="I55" s="50"/>
      <c r="J55" s="50"/>
      <c r="K55" s="51"/>
    </row>
    <row r="56" spans="1:19" x14ac:dyDescent="0.25">
      <c r="A56" s="58"/>
      <c r="B56" s="29" t="s">
        <v>35</v>
      </c>
      <c r="C56" s="77">
        <f>C53*0.03</f>
        <v>15000</v>
      </c>
      <c r="D56" s="77"/>
      <c r="E56" s="41">
        <v>3</v>
      </c>
      <c r="F56" s="51"/>
      <c r="G56" s="50"/>
      <c r="H56" s="50"/>
      <c r="I56" s="50"/>
      <c r="J56" s="50"/>
      <c r="K56" s="51"/>
    </row>
    <row r="57" spans="1:19" x14ac:dyDescent="0.25">
      <c r="A57" s="58"/>
      <c r="B57" s="29" t="s">
        <v>36</v>
      </c>
      <c r="C57" s="77">
        <f>C53*0.02</f>
        <v>10000</v>
      </c>
      <c r="D57" s="77"/>
      <c r="E57" s="41">
        <v>2</v>
      </c>
      <c r="F57" s="51"/>
      <c r="G57" s="50"/>
      <c r="H57" s="50"/>
      <c r="I57" s="50"/>
      <c r="J57" s="50"/>
      <c r="K57" s="51"/>
    </row>
    <row r="58" spans="1:19" s="37" customFormat="1" x14ac:dyDescent="0.25">
      <c r="A58" s="59"/>
      <c r="B58" s="59"/>
      <c r="C58" s="59"/>
      <c r="D58" s="59"/>
      <c r="E58" s="59"/>
      <c r="F58" s="59"/>
      <c r="G58" s="59"/>
      <c r="H58" s="59"/>
      <c r="I58" s="59"/>
      <c r="J58" s="59"/>
      <c r="K58" s="59"/>
    </row>
    <row r="59" spans="1:19" s="37" customFormat="1" x14ac:dyDescent="0.25"/>
    <row r="60" spans="1:19" s="37" customFormat="1" x14ac:dyDescent="0.25"/>
    <row r="61" spans="1:19" s="37" customFormat="1" x14ac:dyDescent="0.25"/>
    <row r="62" spans="1:19" s="37" customFormat="1" x14ac:dyDescent="0.25"/>
    <row r="63" spans="1:19" s="37" customFormat="1" x14ac:dyDescent="0.25"/>
    <row r="64" spans="1:19"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sheetData>
  <mergeCells count="15">
    <mergeCell ref="A6:F6"/>
    <mergeCell ref="H6:K6"/>
    <mergeCell ref="A1:K1"/>
    <mergeCell ref="A2:K2"/>
    <mergeCell ref="A3:K3"/>
    <mergeCell ref="A4:K4"/>
    <mergeCell ref="A5:K5"/>
    <mergeCell ref="C56:D56"/>
    <mergeCell ref="C57:D57"/>
    <mergeCell ref="A7:F7"/>
    <mergeCell ref="H7:K7"/>
    <mergeCell ref="C52:D52"/>
    <mergeCell ref="C53:D53"/>
    <mergeCell ref="C54:D54"/>
    <mergeCell ref="C55:D55"/>
  </mergeCells>
  <pageMargins left="0.70866141732283472" right="0.70866141732283472" top="0.74803149606299213" bottom="0.74803149606299213" header="0.31496062992125984" footer="0.31496062992125984"/>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topLeftCell="A41" zoomScaleNormal="100" workbookViewId="0">
      <selection activeCell="C64" sqref="C64"/>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hidden="1" customWidth="1"/>
    <col min="10" max="10" width="10.7109375" hidden="1" customWidth="1"/>
  </cols>
  <sheetData>
    <row r="1" spans="1:19" s="1" customFormat="1" x14ac:dyDescent="0.25">
      <c r="A1" s="73" t="s">
        <v>0</v>
      </c>
      <c r="B1" s="73"/>
      <c r="C1" s="73"/>
      <c r="D1" s="73"/>
      <c r="E1" s="73"/>
      <c r="F1" s="73"/>
      <c r="G1" s="73"/>
      <c r="H1" s="73"/>
      <c r="I1" s="73"/>
      <c r="J1" s="73"/>
      <c r="K1" s="73"/>
    </row>
    <row r="2" spans="1:19" s="1" customFormat="1" ht="22.5" x14ac:dyDescent="0.25">
      <c r="A2" s="74" t="s">
        <v>1</v>
      </c>
      <c r="B2" s="74"/>
      <c r="C2" s="74"/>
      <c r="D2" s="74"/>
      <c r="E2" s="74"/>
      <c r="F2" s="74"/>
      <c r="G2" s="74"/>
      <c r="H2" s="74"/>
      <c r="I2" s="74"/>
      <c r="J2" s="74"/>
      <c r="K2" s="74"/>
    </row>
    <row r="3" spans="1:19" s="1" customFormat="1" x14ac:dyDescent="0.25">
      <c r="A3" s="75" t="s">
        <v>2</v>
      </c>
      <c r="B3" s="75"/>
      <c r="C3" s="75"/>
      <c r="D3" s="75"/>
      <c r="E3" s="75"/>
      <c r="F3" s="75"/>
      <c r="G3" s="75"/>
      <c r="H3" s="75"/>
      <c r="I3" s="75"/>
      <c r="J3" s="75"/>
      <c r="K3" s="75"/>
    </row>
    <row r="4" spans="1:19" s="1" customFormat="1" x14ac:dyDescent="0.25">
      <c r="A4" s="75" t="s">
        <v>3</v>
      </c>
      <c r="B4" s="75"/>
      <c r="C4" s="75"/>
      <c r="D4" s="75"/>
      <c r="E4" s="75"/>
      <c r="F4" s="75"/>
      <c r="G4" s="75"/>
      <c r="H4" s="75"/>
      <c r="I4" s="75"/>
      <c r="J4" s="75"/>
      <c r="K4" s="75"/>
    </row>
    <row r="5" spans="1:19" ht="18.75" x14ac:dyDescent="0.3">
      <c r="A5" s="76" t="s">
        <v>61</v>
      </c>
      <c r="B5" s="76"/>
      <c r="C5" s="76"/>
      <c r="D5" s="76"/>
      <c r="E5" s="76"/>
      <c r="F5" s="76"/>
      <c r="G5" s="76"/>
      <c r="H5" s="76"/>
      <c r="I5" s="76"/>
      <c r="J5" s="76"/>
      <c r="K5" s="76"/>
    </row>
    <row r="6" spans="1:19" ht="15.75" x14ac:dyDescent="0.25">
      <c r="A6" s="71" t="s">
        <v>58</v>
      </c>
      <c r="B6" s="71"/>
      <c r="C6" s="71"/>
      <c r="D6" s="71"/>
      <c r="E6" s="71"/>
      <c r="F6" s="71"/>
      <c r="G6" s="72" t="s">
        <v>51</v>
      </c>
      <c r="H6" s="72"/>
      <c r="I6" s="72"/>
      <c r="J6" s="72"/>
      <c r="K6" s="72"/>
    </row>
    <row r="7" spans="1:19" ht="15.75" x14ac:dyDescent="0.25">
      <c r="A7" s="78" t="s">
        <v>28</v>
      </c>
      <c r="B7" s="78"/>
      <c r="C7" s="78"/>
      <c r="D7" s="78"/>
      <c r="E7" s="78"/>
      <c r="F7" s="78"/>
      <c r="G7" s="79" t="s">
        <v>62</v>
      </c>
      <c r="H7" s="79"/>
      <c r="I7" s="79"/>
      <c r="J7" s="79"/>
      <c r="K7" s="79"/>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50" x14ac:dyDescent="0.25">
      <c r="A9" s="29">
        <v>1</v>
      </c>
      <c r="B9" s="30" t="s">
        <v>50</v>
      </c>
      <c r="C9" s="38"/>
      <c r="D9" s="38"/>
      <c r="E9" s="38"/>
      <c r="F9" s="38"/>
      <c r="G9" s="38"/>
      <c r="H9" s="38"/>
      <c r="I9" s="38"/>
      <c r="J9" s="38"/>
      <c r="K9" s="38"/>
    </row>
    <row r="10" spans="1:19" ht="15" customHeight="1" x14ac:dyDescent="0.25">
      <c r="A10" s="18"/>
      <c r="B10" s="39" t="s">
        <v>44</v>
      </c>
      <c r="C10" s="38">
        <v>1</v>
      </c>
      <c r="D10" s="40">
        <f>20+25-4*1.2+20</f>
        <v>60.2</v>
      </c>
      <c r="E10" s="40">
        <v>0.75</v>
      </c>
      <c r="F10" s="40">
        <v>1.5</v>
      </c>
      <c r="G10" s="41">
        <f>PRODUCT(C10:F10)</f>
        <v>67.725000000000009</v>
      </c>
      <c r="H10" s="42"/>
      <c r="I10" s="42"/>
      <c r="J10" s="42"/>
      <c r="K10" s="21"/>
      <c r="M10" s="25"/>
      <c r="N10" s="1"/>
      <c r="O10" s="1"/>
      <c r="P10" s="1"/>
      <c r="Q10" s="1"/>
      <c r="R10" s="25"/>
      <c r="S10" s="25"/>
    </row>
    <row r="11" spans="1:19" ht="15" customHeight="1" x14ac:dyDescent="0.25">
      <c r="A11" s="18"/>
      <c r="B11" s="39" t="s">
        <v>42</v>
      </c>
      <c r="C11" s="38">
        <v>1</v>
      </c>
      <c r="D11" s="40">
        <v>1.5</v>
      </c>
      <c r="E11" s="40">
        <v>1.5</v>
      </c>
      <c r="F11" s="40">
        <f>1.5+0.2</f>
        <v>1.7</v>
      </c>
      <c r="G11" s="41">
        <f>C11*(PI())*(D11*E11/4)*F11</f>
        <v>3.0041479749952398</v>
      </c>
      <c r="H11" s="42"/>
      <c r="I11" s="42"/>
      <c r="J11" s="42"/>
      <c r="K11" s="21"/>
      <c r="M11" s="25"/>
      <c r="N11" s="1"/>
      <c r="O11" s="1"/>
      <c r="P11" s="1"/>
      <c r="Q11" s="1"/>
      <c r="R11" s="25"/>
      <c r="S11" s="25"/>
    </row>
    <row r="12" spans="1:19" ht="15" customHeight="1" x14ac:dyDescent="0.25">
      <c r="A12" s="18"/>
      <c r="B12" s="39"/>
      <c r="C12" s="38">
        <v>1</v>
      </c>
      <c r="D12" s="40">
        <v>1.2</v>
      </c>
      <c r="E12" s="40">
        <v>1.2</v>
      </c>
      <c r="F12" s="40">
        <v>1.5</v>
      </c>
      <c r="G12" s="41">
        <f>C12*(PI())*(D12*E12/4)*F12</f>
        <v>1.6964600329384885</v>
      </c>
      <c r="H12" s="42"/>
      <c r="I12" s="42"/>
      <c r="J12" s="42"/>
      <c r="K12" s="21"/>
      <c r="M12" s="25"/>
      <c r="N12" s="1"/>
      <c r="O12" s="1"/>
      <c r="P12" s="1"/>
      <c r="Q12" s="1"/>
      <c r="R12" s="25"/>
      <c r="S12" s="25"/>
    </row>
    <row r="13" spans="1:19" ht="15" customHeight="1" x14ac:dyDescent="0.25">
      <c r="A13" s="18"/>
      <c r="B13" s="39" t="s">
        <v>41</v>
      </c>
      <c r="C13" s="19"/>
      <c r="D13" s="20"/>
      <c r="E13" s="21"/>
      <c r="F13" s="21"/>
      <c r="G13" s="23">
        <f>SUM(G10:G12)</f>
        <v>72.425608007933732</v>
      </c>
      <c r="H13" s="22" t="s">
        <v>40</v>
      </c>
      <c r="I13" s="23">
        <v>64.63</v>
      </c>
      <c r="J13" s="43">
        <f>G13*I13</f>
        <v>4680.8670455527572</v>
      </c>
      <c r="K13" s="21"/>
      <c r="M13" s="25"/>
      <c r="N13" s="1"/>
      <c r="O13" s="1"/>
      <c r="P13" s="1"/>
      <c r="Q13" s="1"/>
      <c r="R13" s="25"/>
      <c r="S13" s="25"/>
    </row>
    <row r="14" spans="1:19" ht="15" hidden="1" customHeight="1" x14ac:dyDescent="0.25">
      <c r="A14" s="18"/>
      <c r="B14" s="39" t="s">
        <v>38</v>
      </c>
      <c r="C14" s="19"/>
      <c r="D14" s="20"/>
      <c r="E14" s="21"/>
      <c r="F14" s="21"/>
      <c r="G14" s="23"/>
      <c r="H14" s="22"/>
      <c r="I14" s="23"/>
      <c r="J14" s="43">
        <f>0.13*G13*19284/360</f>
        <v>504.34779229791457</v>
      </c>
      <c r="K14" s="21"/>
      <c r="M14" s="25"/>
      <c r="N14" s="1"/>
      <c r="O14" s="1"/>
      <c r="P14" s="1"/>
      <c r="Q14" s="1"/>
      <c r="R14" s="25"/>
      <c r="S14" s="25"/>
    </row>
    <row r="15" spans="1:19" ht="15" customHeight="1" x14ac:dyDescent="0.25">
      <c r="A15" s="18"/>
      <c r="B15" s="24"/>
      <c r="C15" s="19"/>
      <c r="D15" s="20"/>
      <c r="E15" s="21"/>
      <c r="F15" s="21"/>
      <c r="G15" s="23"/>
      <c r="H15" s="22"/>
      <c r="I15" s="23"/>
      <c r="J15" s="43"/>
      <c r="K15" s="21"/>
      <c r="M15" s="25"/>
      <c r="N15" s="1"/>
      <c r="O15" s="1"/>
      <c r="P15" s="1"/>
      <c r="Q15" s="1"/>
      <c r="R15" s="25"/>
      <c r="S15" s="25"/>
    </row>
    <row r="16" spans="1:19" ht="90" x14ac:dyDescent="0.25">
      <c r="A16" s="18">
        <v>2</v>
      </c>
      <c r="B16" s="30" t="s">
        <v>48</v>
      </c>
      <c r="C16" s="19"/>
      <c r="D16" s="20"/>
      <c r="E16" s="21"/>
      <c r="F16" s="21"/>
      <c r="G16" s="23"/>
      <c r="H16" s="22"/>
      <c r="I16" s="23"/>
      <c r="J16" s="43"/>
      <c r="K16" s="21"/>
      <c r="M16" s="25"/>
      <c r="N16" s="1"/>
      <c r="O16" s="1"/>
      <c r="P16" s="1"/>
      <c r="Q16" s="1"/>
      <c r="R16" s="25"/>
      <c r="S16" s="25"/>
    </row>
    <row r="17" spans="1:19" ht="15" customHeight="1" x14ac:dyDescent="0.25">
      <c r="A17" s="18"/>
      <c r="B17" s="39" t="str">
        <f>B11</f>
        <v>-Manhole</v>
      </c>
      <c r="C17" s="38">
        <f>C11</f>
        <v>1</v>
      </c>
      <c r="D17" s="38">
        <v>1.5</v>
      </c>
      <c r="E17" s="38">
        <v>1.5</v>
      </c>
      <c r="F17" s="40">
        <v>0.15</v>
      </c>
      <c r="G17" s="41">
        <f>C17*(PI())*(D17*E17/4)*F17</f>
        <v>0.26507188014663879</v>
      </c>
      <c r="H17" s="42"/>
      <c r="I17" s="42"/>
      <c r="J17" s="42"/>
      <c r="K17" s="21"/>
      <c r="M17" s="25"/>
      <c r="N17" s="1"/>
      <c r="O17" s="1"/>
      <c r="P17" s="1"/>
      <c r="Q17" s="1"/>
      <c r="R17" s="25"/>
      <c r="S17" s="25"/>
    </row>
    <row r="18" spans="1:19" ht="15" customHeight="1" x14ac:dyDescent="0.25">
      <c r="A18" s="18"/>
      <c r="B18" s="39"/>
      <c r="C18" s="38">
        <f>C12</f>
        <v>1</v>
      </c>
      <c r="D18" s="38">
        <v>1.2</v>
      </c>
      <c r="E18" s="38">
        <v>1.2</v>
      </c>
      <c r="F18" s="40">
        <v>0.15</v>
      </c>
      <c r="G18" s="41">
        <f>C18*(PI())*(D18*E18/4)*F18</f>
        <v>0.16964600329384882</v>
      </c>
      <c r="H18" s="42"/>
      <c r="I18" s="42"/>
      <c r="J18" s="42"/>
      <c r="K18" s="21"/>
      <c r="M18" s="25"/>
      <c r="N18" s="1"/>
      <c r="O18" s="1"/>
      <c r="P18" s="1"/>
      <c r="Q18" s="1"/>
      <c r="R18" s="25"/>
      <c r="S18" s="25"/>
    </row>
    <row r="19" spans="1:19" ht="15" customHeight="1" x14ac:dyDescent="0.25">
      <c r="A19" s="42"/>
      <c r="B19" s="39" t="s">
        <v>41</v>
      </c>
      <c r="C19" s="44"/>
      <c r="D19" s="45"/>
      <c r="E19" s="45"/>
      <c r="F19" s="45"/>
      <c r="G19" s="33">
        <f>SUM(G17:G18)</f>
        <v>0.43471788344048762</v>
      </c>
      <c r="H19" s="33" t="s">
        <v>40</v>
      </c>
      <c r="I19" s="33">
        <v>4561.53</v>
      </c>
      <c r="J19" s="46">
        <f>G19*I19</f>
        <v>1982.9786668502875</v>
      </c>
      <c r="K19" s="38"/>
    </row>
    <row r="20" spans="1:19" hidden="1" x14ac:dyDescent="0.25">
      <c r="A20" s="42"/>
      <c r="B20" s="39" t="s">
        <v>38</v>
      </c>
      <c r="C20" s="44"/>
      <c r="D20" s="45"/>
      <c r="E20" s="45"/>
      <c r="F20" s="45"/>
      <c r="G20" s="45"/>
      <c r="H20" s="45"/>
      <c r="I20" s="45"/>
      <c r="J20" s="47">
        <f>0.13*G19*(15452.6/5)</f>
        <v>174.65556070696448</v>
      </c>
      <c r="K20" s="38"/>
    </row>
    <row r="21" spans="1:19" x14ac:dyDescent="0.25">
      <c r="A21" s="42"/>
      <c r="B21" s="39"/>
      <c r="C21" s="44"/>
      <c r="D21" s="45"/>
      <c r="E21" s="45"/>
      <c r="F21" s="45"/>
      <c r="G21" s="45"/>
      <c r="H21" s="45"/>
      <c r="I21" s="45"/>
      <c r="J21" s="47"/>
      <c r="K21" s="38"/>
    </row>
    <row r="22" spans="1:19" ht="75" x14ac:dyDescent="0.25">
      <c r="A22" s="18">
        <v>3</v>
      </c>
      <c r="B22" s="30" t="s">
        <v>43</v>
      </c>
      <c r="C22" s="19"/>
      <c r="D22" s="20"/>
      <c r="E22" s="21"/>
      <c r="F22" s="21"/>
      <c r="G22" s="23"/>
      <c r="H22" s="22"/>
      <c r="I22" s="23"/>
      <c r="J22" s="43"/>
      <c r="K22" s="21"/>
      <c r="M22" s="25"/>
      <c r="N22" s="1"/>
      <c r="O22" s="1"/>
      <c r="P22" s="1"/>
      <c r="Q22" s="1"/>
      <c r="R22" s="25"/>
      <c r="S22" s="25"/>
    </row>
    <row r="23" spans="1:19" ht="15" customHeight="1" x14ac:dyDescent="0.25">
      <c r="A23" s="18"/>
      <c r="B23" s="39" t="str">
        <f>B17</f>
        <v>-Manhole</v>
      </c>
      <c r="C23" s="38">
        <v>1</v>
      </c>
      <c r="D23" s="38">
        <v>1.5</v>
      </c>
      <c r="E23" s="38">
        <v>1.5</v>
      </c>
      <c r="F23" s="40">
        <v>7.4999999999999997E-2</v>
      </c>
      <c r="G23" s="41">
        <f>C23*(PI())*(D23*E23/4)*F23</f>
        <v>0.1325359400733194</v>
      </c>
      <c r="H23" s="42"/>
      <c r="I23" s="42"/>
      <c r="J23" s="42"/>
      <c r="K23" s="21"/>
      <c r="M23" s="25"/>
      <c r="N23" s="1"/>
      <c r="O23" s="1"/>
      <c r="P23" s="1"/>
      <c r="Q23" s="1"/>
      <c r="R23" s="25"/>
      <c r="S23" s="25"/>
    </row>
    <row r="24" spans="1:19" ht="15" customHeight="1" x14ac:dyDescent="0.25">
      <c r="A24" s="18"/>
      <c r="B24" s="39"/>
      <c r="C24" s="38">
        <v>1</v>
      </c>
      <c r="D24" s="38">
        <v>1.2</v>
      </c>
      <c r="E24" s="38">
        <v>1.2</v>
      </c>
      <c r="F24" s="40">
        <v>7.4999999999999997E-2</v>
      </c>
      <c r="G24" s="41">
        <f>C24*(PI())*(D24*E24/4)*F24</f>
        <v>8.4823001646924412E-2</v>
      </c>
      <c r="H24" s="42"/>
      <c r="I24" s="42"/>
      <c r="J24" s="42"/>
      <c r="K24" s="21"/>
      <c r="M24" s="25"/>
      <c r="N24" s="1"/>
      <c r="O24" s="1"/>
      <c r="P24" s="1"/>
      <c r="Q24" s="1"/>
      <c r="R24" s="25"/>
      <c r="S24" s="25"/>
    </row>
    <row r="25" spans="1:19" ht="15" customHeight="1" x14ac:dyDescent="0.25">
      <c r="A25" s="42"/>
      <c r="B25" s="39" t="s">
        <v>41</v>
      </c>
      <c r="C25" s="44"/>
      <c r="D25" s="45"/>
      <c r="E25" s="45"/>
      <c r="F25" s="45"/>
      <c r="G25" s="33">
        <f>SUM(G23:G24)</f>
        <v>0.21735894172024381</v>
      </c>
      <c r="H25" s="33" t="s">
        <v>40</v>
      </c>
      <c r="I25" s="33">
        <v>10634.5</v>
      </c>
      <c r="J25" s="46">
        <f>G25*I25</f>
        <v>2311.503665723933</v>
      </c>
      <c r="K25" s="38"/>
    </row>
    <row r="26" spans="1:19" ht="15" hidden="1" customHeight="1" x14ac:dyDescent="0.25">
      <c r="A26" s="42"/>
      <c r="B26" s="39" t="s">
        <v>38</v>
      </c>
      <c r="C26" s="44"/>
      <c r="D26" s="45"/>
      <c r="E26" s="45"/>
      <c r="F26" s="45"/>
      <c r="G26" s="45"/>
      <c r="H26" s="45"/>
      <c r="I26" s="45"/>
      <c r="J26" s="47">
        <f>0.13*G25*((114907.3+6135.3)/15)</f>
        <v>228.01732580524549</v>
      </c>
      <c r="K26" s="38"/>
    </row>
    <row r="27" spans="1:19" ht="15" customHeight="1" x14ac:dyDescent="0.25">
      <c r="A27" s="42"/>
      <c r="B27" s="39"/>
      <c r="C27" s="44"/>
      <c r="D27" s="45"/>
      <c r="E27" s="45"/>
      <c r="F27" s="45"/>
      <c r="G27" s="45"/>
      <c r="H27" s="45"/>
      <c r="I27" s="45"/>
      <c r="J27" s="47"/>
      <c r="K27" s="38"/>
    </row>
    <row r="28" spans="1:19" ht="15" customHeight="1" x14ac:dyDescent="0.25">
      <c r="A28" s="42">
        <v>4</v>
      </c>
      <c r="B28" s="67" t="s">
        <v>52</v>
      </c>
      <c r="C28" s="44"/>
      <c r="D28" s="45"/>
      <c r="E28" s="45"/>
      <c r="F28" s="45"/>
      <c r="G28" s="33"/>
      <c r="H28" s="33"/>
      <c r="I28" s="33"/>
      <c r="J28" s="46"/>
      <c r="K28" s="38"/>
    </row>
    <row r="29" spans="1:19" ht="30" x14ac:dyDescent="0.25">
      <c r="A29" s="18"/>
      <c r="B29" s="39" t="s">
        <v>54</v>
      </c>
      <c r="C29" s="60">
        <v>2</v>
      </c>
      <c r="D29" s="60"/>
      <c r="E29" s="60"/>
      <c r="F29" s="60"/>
      <c r="G29" s="41">
        <f>PRODUCT(C29:F29)</f>
        <v>2</v>
      </c>
      <c r="H29" s="42"/>
      <c r="I29" s="42"/>
      <c r="J29" s="42"/>
      <c r="K29" s="21"/>
      <c r="M29" s="25"/>
      <c r="N29" s="1"/>
      <c r="O29" s="1"/>
      <c r="P29" s="1"/>
      <c r="Q29" s="1"/>
      <c r="R29" s="25"/>
      <c r="S29" s="25"/>
    </row>
    <row r="30" spans="1:19" ht="15" customHeight="1" x14ac:dyDescent="0.25">
      <c r="A30" s="42"/>
      <c r="B30" s="39" t="s">
        <v>41</v>
      </c>
      <c r="C30" s="44"/>
      <c r="D30" s="45"/>
      <c r="E30" s="45"/>
      <c r="F30" s="45"/>
      <c r="G30" s="33">
        <f>SUM(G29:G29)</f>
        <v>2</v>
      </c>
      <c r="H30" s="33" t="s">
        <v>53</v>
      </c>
      <c r="I30" s="33">
        <v>7063</v>
      </c>
      <c r="J30" s="46">
        <f>G30*I30</f>
        <v>14126</v>
      </c>
      <c r="K30" s="38"/>
    </row>
    <row r="31" spans="1:19" ht="15" hidden="1" customHeight="1" x14ac:dyDescent="0.25">
      <c r="A31" s="42"/>
      <c r="B31" s="39" t="s">
        <v>38</v>
      </c>
      <c r="C31" s="44"/>
      <c r="D31" s="45"/>
      <c r="E31" s="45"/>
      <c r="F31" s="45"/>
      <c r="G31" s="45"/>
      <c r="H31" s="45"/>
      <c r="I31" s="45"/>
      <c r="J31" s="47">
        <f>0.13*J30</f>
        <v>1836.38</v>
      </c>
      <c r="K31" s="38"/>
    </row>
    <row r="32" spans="1:19" ht="15" customHeight="1" x14ac:dyDescent="0.25">
      <c r="A32" s="42"/>
      <c r="B32" s="39"/>
      <c r="C32" s="44"/>
      <c r="D32" s="45"/>
      <c r="E32" s="45"/>
      <c r="F32" s="45"/>
      <c r="G32" s="45"/>
      <c r="H32" s="45"/>
      <c r="I32" s="45"/>
      <c r="J32" s="47"/>
      <c r="K32" s="38"/>
    </row>
    <row r="33" spans="1:19" ht="30.75" x14ac:dyDescent="0.25">
      <c r="A33" s="18">
        <v>5</v>
      </c>
      <c r="B33" s="36" t="s">
        <v>49</v>
      </c>
      <c r="C33" s="19"/>
      <c r="D33" s="20"/>
      <c r="E33" s="21"/>
      <c r="F33" s="21"/>
      <c r="G33" s="23"/>
      <c r="H33" s="22"/>
      <c r="I33" s="23"/>
      <c r="J33" s="43"/>
      <c r="K33" s="21"/>
      <c r="M33" s="25"/>
      <c r="N33" s="1"/>
      <c r="O33" s="1"/>
      <c r="P33" s="1"/>
      <c r="Q33" s="1"/>
      <c r="R33" s="25"/>
      <c r="S33" s="25"/>
    </row>
    <row r="34" spans="1:19" ht="15" customHeight="1" x14ac:dyDescent="0.25">
      <c r="A34" s="18"/>
      <c r="B34" s="39" t="str">
        <f>B23</f>
        <v>-Manhole</v>
      </c>
      <c r="C34" s="60">
        <v>1</v>
      </c>
      <c r="D34" s="61">
        <f>((1.5-0.23)+(((33)/12/3.281)-0.23))/2</f>
        <v>0.93907954891801282</v>
      </c>
      <c r="E34" s="61">
        <v>0.23</v>
      </c>
      <c r="F34" s="61">
        <f>6/3.281</f>
        <v>1.8287107589149649</v>
      </c>
      <c r="G34" s="41">
        <f>C34*(PI())*(D34)*E34*F34</f>
        <v>1.2408666469319718</v>
      </c>
      <c r="H34" s="42"/>
      <c r="I34" s="42"/>
      <c r="J34" s="42"/>
      <c r="K34" s="21"/>
      <c r="M34" s="25"/>
      <c r="N34" s="1"/>
      <c r="O34" s="1"/>
      <c r="P34" s="1"/>
      <c r="Q34" s="1"/>
      <c r="R34" s="25"/>
      <c r="S34" s="25"/>
    </row>
    <row r="35" spans="1:19" ht="15" customHeight="1" x14ac:dyDescent="0.25">
      <c r="A35" s="18"/>
      <c r="B35" s="39" t="s">
        <v>46</v>
      </c>
      <c r="C35" s="60">
        <v>-3</v>
      </c>
      <c r="D35" s="60">
        <v>0.6</v>
      </c>
      <c r="E35" s="60">
        <v>0.23</v>
      </c>
      <c r="F35" s="60">
        <v>0.6</v>
      </c>
      <c r="G35" s="41">
        <f>C35*(PI())*(D35*F35/4)*E35</f>
        <v>-0.19509290378792615</v>
      </c>
      <c r="H35" s="42"/>
      <c r="I35" s="42"/>
      <c r="J35" s="42"/>
      <c r="K35" s="21"/>
      <c r="M35" s="25"/>
      <c r="N35" s="1">
        <f>(1.5-0.23+0.6-0.23)/2</f>
        <v>0.82000000000000006</v>
      </c>
      <c r="O35" s="1">
        <f>22/12/3.281</f>
        <v>0.55877273189068366</v>
      </c>
      <c r="P35" s="1"/>
      <c r="Q35" s="1"/>
      <c r="R35" s="25"/>
      <c r="S35" s="25"/>
    </row>
    <row r="36" spans="1:19" ht="15" customHeight="1" x14ac:dyDescent="0.25">
      <c r="A36" s="18"/>
      <c r="B36" s="39" t="str">
        <f>B34</f>
        <v>-Manhole</v>
      </c>
      <c r="C36" s="60">
        <v>1</v>
      </c>
      <c r="D36" s="61">
        <f>((1.2-0.23)+((24/12/3.281)-0.23))/2</f>
        <v>0.67478512648582745</v>
      </c>
      <c r="E36" s="61">
        <v>0.23</v>
      </c>
      <c r="F36" s="61">
        <f>4/3.281</f>
        <v>1.2191405059433098</v>
      </c>
      <c r="G36" s="41">
        <f>C36*(PI())*(D36)*E36*F36</f>
        <v>0.5944248693782298</v>
      </c>
      <c r="H36" s="42"/>
      <c r="I36" s="42"/>
      <c r="J36" s="42"/>
      <c r="K36" s="21"/>
      <c r="M36" s="25"/>
      <c r="N36" s="1"/>
      <c r="O36" s="1"/>
      <c r="P36" s="1"/>
      <c r="Q36" s="1"/>
      <c r="R36" s="25"/>
      <c r="S36" s="25"/>
    </row>
    <row r="37" spans="1:19" ht="15" customHeight="1" x14ac:dyDescent="0.25">
      <c r="A37" s="18"/>
      <c r="B37" s="39" t="s">
        <v>46</v>
      </c>
      <c r="C37" s="60">
        <v>-2</v>
      </c>
      <c r="D37" s="60">
        <v>0.6</v>
      </c>
      <c r="E37" s="60">
        <v>0.23</v>
      </c>
      <c r="F37" s="60">
        <v>0.6</v>
      </c>
      <c r="G37" s="41">
        <f>C37*(PI())*(D37*F37/4)*E37</f>
        <v>-0.13006193585861744</v>
      </c>
      <c r="H37" s="42"/>
      <c r="I37" s="42"/>
      <c r="J37" s="42"/>
      <c r="K37" s="21"/>
      <c r="M37" s="25"/>
      <c r="N37" s="1">
        <f>(1.5-0.23+0.6-0.23)/2</f>
        <v>0.82000000000000006</v>
      </c>
      <c r="O37" s="1">
        <f>22/12/3.281</f>
        <v>0.55877273189068366</v>
      </c>
      <c r="P37" s="1"/>
      <c r="Q37" s="1"/>
      <c r="R37" s="25"/>
      <c r="S37" s="25"/>
    </row>
    <row r="38" spans="1:19" ht="15" customHeight="1" x14ac:dyDescent="0.25">
      <c r="A38" s="42"/>
      <c r="B38" s="39" t="s">
        <v>41</v>
      </c>
      <c r="C38" s="44"/>
      <c r="D38" s="45"/>
      <c r="E38" s="45"/>
      <c r="F38" s="45"/>
      <c r="G38" s="33">
        <f>SUM(G34:G37)</f>
        <v>1.5101366766636579</v>
      </c>
      <c r="H38" s="33" t="s">
        <v>40</v>
      </c>
      <c r="I38" s="33">
        <v>14362.76</v>
      </c>
      <c r="J38" s="46">
        <f>G38*I38</f>
        <v>21689.73065411772</v>
      </c>
      <c r="K38" s="38"/>
      <c r="N38">
        <f>1.667/3.281</f>
        <v>0.50807680585187442</v>
      </c>
      <c r="O38">
        <f>2.17/3.281</f>
        <v>0.66138372447424565</v>
      </c>
      <c r="P38">
        <f>(N38+O38)/2</f>
        <v>0.58473026516306004</v>
      </c>
    </row>
    <row r="39" spans="1:19" ht="15" hidden="1" customHeight="1" x14ac:dyDescent="0.25">
      <c r="A39" s="42"/>
      <c r="B39" s="39" t="s">
        <v>38</v>
      </c>
      <c r="C39" s="44"/>
      <c r="D39" s="45"/>
      <c r="E39" s="45"/>
      <c r="F39" s="45"/>
      <c r="G39" s="45"/>
      <c r="H39" s="45"/>
      <c r="I39" s="45"/>
      <c r="J39" s="47">
        <f>0.13*G38*10311.74</f>
        <v>2024.3777806485621</v>
      </c>
      <c r="K39" s="38"/>
    </row>
    <row r="40" spans="1:19" ht="15" customHeight="1" x14ac:dyDescent="0.25">
      <c r="A40" s="42"/>
      <c r="B40" s="39"/>
      <c r="C40" s="44"/>
      <c r="D40" s="45"/>
      <c r="E40" s="45"/>
      <c r="F40" s="45"/>
      <c r="G40" s="45"/>
      <c r="H40" s="45"/>
      <c r="I40" s="45"/>
      <c r="J40" s="47"/>
      <c r="K40" s="38"/>
    </row>
    <row r="41" spans="1:19" ht="105" x14ac:dyDescent="0.25">
      <c r="A41" s="18">
        <v>6</v>
      </c>
      <c r="B41" s="30" t="s">
        <v>47</v>
      </c>
      <c r="C41" s="38"/>
      <c r="D41" s="40"/>
      <c r="E41" s="40"/>
      <c r="F41" s="40"/>
      <c r="G41" s="43"/>
      <c r="H41" s="42"/>
      <c r="I41" s="42"/>
      <c r="J41" s="42"/>
      <c r="K41" s="21"/>
      <c r="M41" s="25"/>
      <c r="N41" s="1"/>
      <c r="O41" s="1"/>
      <c r="P41" s="1"/>
      <c r="Q41" s="1"/>
      <c r="R41" s="25"/>
      <c r="S41" s="25"/>
    </row>
    <row r="42" spans="1:19" ht="15" customHeight="1" x14ac:dyDescent="0.25">
      <c r="A42" s="18"/>
      <c r="B42" s="39" t="s">
        <v>45</v>
      </c>
      <c r="C42" s="38">
        <f>(45+17.5)/2.5+1</f>
        <v>26</v>
      </c>
      <c r="D42" s="40">
        <v>2.5</v>
      </c>
      <c r="E42" s="40"/>
      <c r="F42" s="40"/>
      <c r="G42" s="41">
        <f>PRODUCT(C42:F42)</f>
        <v>65</v>
      </c>
      <c r="H42" s="42"/>
      <c r="I42" s="42"/>
      <c r="J42" s="42"/>
      <c r="K42" s="21"/>
      <c r="M42" s="25"/>
      <c r="N42" s="1">
        <f>44/2.5</f>
        <v>17.600000000000001</v>
      </c>
      <c r="O42" s="1">
        <f>45/2.5</f>
        <v>18</v>
      </c>
      <c r="P42" s="1">
        <f>45+12.5</f>
        <v>57.5</v>
      </c>
      <c r="Q42" s="1"/>
      <c r="R42" s="25"/>
      <c r="S42" s="25"/>
    </row>
    <row r="43" spans="1:19" ht="15" customHeight="1" x14ac:dyDescent="0.25">
      <c r="A43" s="18"/>
      <c r="B43" s="39" t="s">
        <v>41</v>
      </c>
      <c r="C43" s="38"/>
      <c r="D43" s="40"/>
      <c r="E43" s="40"/>
      <c r="F43" s="40"/>
      <c r="G43" s="34">
        <f>SUM(G42:G42)</f>
        <v>65</v>
      </c>
      <c r="H43" s="42" t="s">
        <v>39</v>
      </c>
      <c r="I43" s="42">
        <v>6932.79</v>
      </c>
      <c r="J43" s="42">
        <f>G43*I43</f>
        <v>450631.35</v>
      </c>
      <c r="K43" s="21"/>
      <c r="M43" s="25"/>
      <c r="N43" s="1"/>
      <c r="O43" s="1"/>
      <c r="P43" s="1">
        <f>P42/2.5</f>
        <v>23</v>
      </c>
      <c r="Q43" s="1"/>
      <c r="R43" s="25"/>
      <c r="S43" s="25"/>
    </row>
    <row r="44" spans="1:19" ht="15" hidden="1" customHeight="1" x14ac:dyDescent="0.25">
      <c r="A44" s="18"/>
      <c r="B44" s="39" t="s">
        <v>38</v>
      </c>
      <c r="C44" s="38"/>
      <c r="D44" s="40"/>
      <c r="E44" s="40"/>
      <c r="F44" s="40"/>
      <c r="G44" s="43"/>
      <c r="H44" s="42"/>
      <c r="I44" s="42"/>
      <c r="J44" s="42">
        <f>0.13*G43*((78764.9)/12.5)</f>
        <v>53245.072399999997</v>
      </c>
      <c r="K44" s="21"/>
      <c r="M44" s="25"/>
      <c r="N44" s="1"/>
      <c r="O44" s="1"/>
      <c r="P44" s="1"/>
      <c r="Q44" s="1"/>
      <c r="R44" s="25"/>
      <c r="S44" s="25"/>
    </row>
    <row r="45" spans="1:19" ht="15" customHeight="1" x14ac:dyDescent="0.25">
      <c r="A45" s="18"/>
      <c r="B45" s="39"/>
      <c r="C45" s="38"/>
      <c r="D45" s="40"/>
      <c r="E45" s="40"/>
      <c r="F45" s="40"/>
      <c r="G45" s="43"/>
      <c r="H45" s="42"/>
      <c r="I45" s="42"/>
      <c r="J45" s="42"/>
      <c r="K45" s="21"/>
      <c r="M45" s="25"/>
      <c r="N45" s="1"/>
      <c r="O45" s="1"/>
      <c r="P45" s="1"/>
      <c r="Q45" s="1"/>
      <c r="R45" s="25"/>
      <c r="S45" s="25"/>
    </row>
    <row r="46" spans="1:19" s="1" customFormat="1" ht="30" x14ac:dyDescent="0.25">
      <c r="A46" s="18">
        <v>7</v>
      </c>
      <c r="B46" s="68" t="s">
        <v>55</v>
      </c>
      <c r="C46" s="29">
        <v>1</v>
      </c>
      <c r="D46" s="41"/>
      <c r="E46" s="41"/>
      <c r="F46" s="41"/>
      <c r="G46" s="34">
        <f>PRODUCT(C46:F46)</f>
        <v>1</v>
      </c>
      <c r="H46" s="69" t="s">
        <v>56</v>
      </c>
      <c r="I46" s="23">
        <v>5000</v>
      </c>
      <c r="J46" s="34">
        <f>G46*I46</f>
        <v>5000</v>
      </c>
      <c r="K46" s="21"/>
      <c r="M46" s="35"/>
      <c r="R46" s="35"/>
      <c r="S46" s="35"/>
    </row>
    <row r="47" spans="1:19" ht="15" customHeight="1" x14ac:dyDescent="0.25">
      <c r="A47" s="18"/>
      <c r="B47" s="39"/>
      <c r="C47" s="38"/>
      <c r="D47" s="40"/>
      <c r="E47" s="40"/>
      <c r="F47" s="40"/>
      <c r="G47" s="43"/>
      <c r="H47" s="42"/>
      <c r="I47" s="42"/>
      <c r="J47" s="42"/>
      <c r="K47" s="21"/>
      <c r="M47" s="25"/>
      <c r="N47" s="1"/>
      <c r="O47" s="1"/>
      <c r="P47" s="1"/>
      <c r="Q47" s="1"/>
      <c r="R47" s="25"/>
      <c r="S47" s="25"/>
    </row>
    <row r="48" spans="1:19" ht="15" customHeight="1" x14ac:dyDescent="0.25">
      <c r="A48" s="18">
        <v>8</v>
      </c>
      <c r="B48" s="30" t="s">
        <v>30</v>
      </c>
      <c r="C48" s="19">
        <v>1</v>
      </c>
      <c r="D48" s="20"/>
      <c r="E48" s="21"/>
      <c r="F48" s="21"/>
      <c r="G48" s="34">
        <f t="shared" ref="G48" si="0">PRODUCT(C48:F48)</f>
        <v>1</v>
      </c>
      <c r="H48" s="22" t="s">
        <v>31</v>
      </c>
      <c r="I48" s="23">
        <v>1000</v>
      </c>
      <c r="J48" s="34">
        <f>G48*I48</f>
        <v>1000</v>
      </c>
      <c r="K48" s="21"/>
      <c r="M48" s="25"/>
      <c r="N48" s="1"/>
      <c r="O48" s="1"/>
      <c r="P48" s="1"/>
      <c r="Q48" s="1"/>
      <c r="R48" s="25"/>
      <c r="S48" s="25"/>
    </row>
    <row r="49" spans="1:19" ht="15" customHeight="1" x14ac:dyDescent="0.25">
      <c r="A49" s="18"/>
      <c r="B49" s="24"/>
      <c r="C49" s="19"/>
      <c r="D49" s="20"/>
      <c r="E49" s="21"/>
      <c r="F49" s="21"/>
      <c r="G49" s="23"/>
      <c r="H49" s="22"/>
      <c r="I49" s="23"/>
      <c r="J49" s="43"/>
      <c r="K49" s="21"/>
      <c r="M49" s="25"/>
      <c r="N49" s="1"/>
      <c r="O49" s="1"/>
      <c r="P49" s="1"/>
      <c r="Q49" s="1"/>
      <c r="R49" s="25"/>
      <c r="S49" s="25"/>
    </row>
    <row r="50" spans="1:19" x14ac:dyDescent="0.25">
      <c r="A50" s="42"/>
      <c r="B50" s="48" t="s">
        <v>17</v>
      </c>
      <c r="C50" s="49"/>
      <c r="D50" s="40"/>
      <c r="E50" s="40"/>
      <c r="F50" s="40"/>
      <c r="G50" s="43"/>
      <c r="H50" s="43"/>
      <c r="I50" s="43"/>
      <c r="J50" s="43">
        <f>SUM(J10:J48)</f>
        <v>559435.28089170333</v>
      </c>
      <c r="K50" s="38"/>
    </row>
    <row r="51" spans="1:19" x14ac:dyDescent="0.25">
      <c r="A51" s="62"/>
      <c r="B51" s="65"/>
      <c r="C51" s="66"/>
      <c r="D51" s="63"/>
      <c r="E51" s="63"/>
      <c r="F51" s="63"/>
      <c r="G51" s="64"/>
      <c r="H51" s="64"/>
      <c r="I51" s="64"/>
      <c r="J51" s="64"/>
      <c r="K51" s="59"/>
    </row>
    <row r="52" spans="1:19" s="1" customFormat="1" hidden="1" x14ac:dyDescent="0.25">
      <c r="A52" s="52"/>
      <c r="B52" s="29" t="s">
        <v>60</v>
      </c>
      <c r="C52" s="77">
        <f>J50</f>
        <v>559435.28089170333</v>
      </c>
      <c r="D52" s="77"/>
      <c r="E52" s="41">
        <v>100</v>
      </c>
      <c r="F52" s="53"/>
      <c r="G52" s="54"/>
      <c r="H52" s="53"/>
      <c r="I52" s="55"/>
      <c r="J52" s="56"/>
      <c r="K52" s="57"/>
    </row>
    <row r="53" spans="1:19" hidden="1" x14ac:dyDescent="0.25">
      <c r="A53" s="58"/>
      <c r="B53" s="29" t="s">
        <v>32</v>
      </c>
      <c r="C53" s="80">
        <v>500000</v>
      </c>
      <c r="D53" s="80"/>
      <c r="E53" s="41"/>
      <c r="F53" s="51"/>
      <c r="G53" s="50"/>
      <c r="H53" s="50"/>
      <c r="I53" s="50"/>
      <c r="J53" s="50"/>
      <c r="K53" s="51"/>
    </row>
    <row r="54" spans="1:19" hidden="1" x14ac:dyDescent="0.25">
      <c r="A54" s="58"/>
      <c r="B54" s="29" t="s">
        <v>33</v>
      </c>
      <c r="C54" s="80">
        <f>0.85*C52</f>
        <v>475519.98875794781</v>
      </c>
      <c r="D54" s="80"/>
      <c r="E54" s="41">
        <f>C54/C52*100</f>
        <v>85</v>
      </c>
      <c r="F54" s="51"/>
      <c r="G54" s="50"/>
      <c r="H54" s="50"/>
      <c r="I54" s="50"/>
      <c r="J54" s="50"/>
      <c r="K54" s="51"/>
    </row>
    <row r="55" spans="1:19" hidden="1" x14ac:dyDescent="0.25">
      <c r="A55" s="58"/>
      <c r="B55" s="29" t="s">
        <v>34</v>
      </c>
      <c r="C55" s="77">
        <f>C52-C54</f>
        <v>83915.292133755516</v>
      </c>
      <c r="D55" s="77"/>
      <c r="E55" s="41">
        <f>100-E54</f>
        <v>15</v>
      </c>
      <c r="F55" s="51"/>
      <c r="G55" s="50"/>
      <c r="H55" s="50"/>
      <c r="I55" s="50"/>
      <c r="J55" s="50"/>
      <c r="K55" s="51"/>
    </row>
    <row r="56" spans="1:19" hidden="1" x14ac:dyDescent="0.25">
      <c r="A56" s="58"/>
      <c r="B56" s="29" t="s">
        <v>35</v>
      </c>
      <c r="C56" s="77">
        <f>C53*0.03</f>
        <v>15000</v>
      </c>
      <c r="D56" s="77"/>
      <c r="E56" s="41">
        <v>3</v>
      </c>
      <c r="F56" s="51"/>
      <c r="G56" s="50"/>
      <c r="H56" s="50"/>
      <c r="I56" s="50"/>
      <c r="J56" s="50"/>
      <c r="K56" s="51"/>
    </row>
    <row r="57" spans="1:19" hidden="1" x14ac:dyDescent="0.25">
      <c r="A57" s="58"/>
      <c r="B57" s="29" t="s">
        <v>36</v>
      </c>
      <c r="C57" s="77">
        <f>C53*0.02</f>
        <v>10000</v>
      </c>
      <c r="D57" s="77"/>
      <c r="E57" s="41">
        <v>2</v>
      </c>
      <c r="F57" s="51"/>
      <c r="G57" s="50"/>
      <c r="H57" s="50"/>
      <c r="I57" s="50"/>
      <c r="J57" s="50"/>
      <c r="K57" s="51"/>
    </row>
    <row r="58" spans="1:19" s="37" customFormat="1" x14ac:dyDescent="0.25">
      <c r="A58" s="59"/>
      <c r="B58" s="59"/>
      <c r="C58" s="59"/>
      <c r="D58" s="59"/>
      <c r="E58" s="59"/>
      <c r="F58" s="59"/>
      <c r="G58" s="59"/>
      <c r="H58" s="59"/>
      <c r="I58" s="59"/>
      <c r="J58" s="59"/>
      <c r="K58" s="59"/>
    </row>
    <row r="59" spans="1:19" s="37" customFormat="1" x14ac:dyDescent="0.25"/>
    <row r="60" spans="1:19" s="37" customFormat="1" x14ac:dyDescent="0.25"/>
    <row r="61" spans="1:19" s="37" customFormat="1" x14ac:dyDescent="0.25"/>
    <row r="62" spans="1:19" s="37" customFormat="1" x14ac:dyDescent="0.25"/>
    <row r="63" spans="1:19" s="37" customFormat="1" x14ac:dyDescent="0.25"/>
    <row r="64" spans="1:19"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sheetData>
  <mergeCells count="15">
    <mergeCell ref="C56:D56"/>
    <mergeCell ref="C57:D57"/>
    <mergeCell ref="G6:K6"/>
    <mergeCell ref="G7:K7"/>
    <mergeCell ref="A7:F7"/>
    <mergeCell ref="C52:D52"/>
    <mergeCell ref="C53:D53"/>
    <mergeCell ref="C54:D54"/>
    <mergeCell ref="C55:D55"/>
    <mergeCell ref="A1:K1"/>
    <mergeCell ref="A2:K2"/>
    <mergeCell ref="A3:K3"/>
    <mergeCell ref="A4:K4"/>
    <mergeCell ref="A5:K5"/>
    <mergeCell ref="A6:F6"/>
  </mergeCells>
  <pageMargins left="0.70866141732283472" right="0.70866141732283472" top="0.74803149606299213" bottom="0.74803149606299213" header="0.31496062992125984" footer="0.31496062992125984"/>
  <pageSetup paperSize="9" scale="95"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WCR</vt:lpstr>
      <vt:lpstr>valuated</vt:lpstr>
      <vt:lpstr>M</vt:lpstr>
      <vt:lpstr>estimate!Print_Area</vt:lpstr>
      <vt:lpstr>M!Print_Area</vt:lpstr>
      <vt:lpstr>valuated!Print_Area</vt:lpstr>
      <vt:lpstr>estimate!Print_Titles</vt:lpstr>
      <vt:lpstr>M!Print_Titles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2024-11-10T07:06:48Z</cp:lastPrinted>
  <dcterms:created xsi:type="dcterms:W3CDTF">2015-06-05T18:17:20Z</dcterms:created>
  <dcterms:modified xsi:type="dcterms:W3CDTF">2024-11-10T07:11:38Z</dcterms:modified>
</cp:coreProperties>
</file>