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estimates\sahadev sir\"/>
    </mc:Choice>
  </mc:AlternateContent>
  <bookViews>
    <workbookView xWindow="-120" yWindow="-120" windowWidth="20730" windowHeight="11160"/>
  </bookViews>
  <sheets>
    <sheet name="estimate" sheetId="24" r:id="rId1"/>
    <sheet name="WCR" sheetId="6" r:id="rId2"/>
  </sheets>
  <externalReferences>
    <externalReference r:id="rId3"/>
    <externalReference r:id="rId4"/>
    <externalReference r:id="rId5"/>
    <externalReference r:id="rId6"/>
    <externalReference r:id="rId7"/>
    <externalReference r:id="rId8"/>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'[1]update Rate'!#REF!</definedName>
    <definedName name="nutbolt8" localSheetId="0">'[1]update Rate'!#REF!</definedName>
    <definedName name="nutbolt8">'[1]update Rate'!#REF!</definedName>
    <definedName name="pkila">'[1]update Rate'!$N$60</definedName>
    <definedName name="Planst" localSheetId="0">'[1]update Rate'!#REF!</definedName>
    <definedName name="Planst">'[1]update Rate'!#REF!</definedName>
    <definedName name="plywood4">'[1]update Rate'!$N$69</definedName>
    <definedName name="plywood6">'[1]update Rate'!$N$71</definedName>
    <definedName name="_xlnm.Print_Area" localSheetId="0">estimate!$A$1:$K$265</definedName>
    <definedName name="_xlnm.Print_Area" localSheetId="1">WCR!$A$1:$K$20</definedName>
    <definedName name="_xlnm.Print_Titles" localSheetId="0">estimate!$1:$8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'[1]update Rate'!#REF!</definedName>
    <definedName name="torsteel" localSheetId="0">'[1]update Rate'!#REF!</definedName>
    <definedName name="torsteel">'[1]update Rate'!#REF!</definedName>
    <definedName name="Ttile">'[1]update Rate'!$N$43</definedName>
    <definedName name="unskilled">'[2]Material rate'!$D$154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257" i="24" l="1"/>
  <c r="J257" i="24" s="1"/>
  <c r="J255" i="24"/>
  <c r="G255" i="24"/>
  <c r="G251" i="24"/>
  <c r="D251" i="24"/>
  <c r="D246" i="24"/>
  <c r="D245" i="24"/>
  <c r="D244" i="24"/>
  <c r="C236" i="24"/>
  <c r="C240" i="24"/>
  <c r="C239" i="24"/>
  <c r="C238" i="24"/>
  <c r="C237" i="24"/>
  <c r="F234" i="24"/>
  <c r="G234" i="24" s="1"/>
  <c r="D234" i="24"/>
  <c r="F233" i="24"/>
  <c r="D233" i="24"/>
  <c r="G233" i="24" s="1"/>
  <c r="D232" i="24"/>
  <c r="F232" i="24"/>
  <c r="F231" i="24"/>
  <c r="D231" i="24"/>
  <c r="C221" i="24"/>
  <c r="C220" i="24"/>
  <c r="F221" i="24"/>
  <c r="F237" i="24" s="1"/>
  <c r="D221" i="24"/>
  <c r="D237" i="24" s="1"/>
  <c r="F220" i="24"/>
  <c r="F236" i="24" s="1"/>
  <c r="D220" i="24"/>
  <c r="D236" i="24" s="1"/>
  <c r="B216" i="24"/>
  <c r="B246" i="24" s="1"/>
  <c r="E216" i="24"/>
  <c r="D216" i="24"/>
  <c r="E215" i="24"/>
  <c r="D215" i="24"/>
  <c r="E214" i="24"/>
  <c r="D214" i="24"/>
  <c r="E213" i="24"/>
  <c r="D213" i="24"/>
  <c r="E206" i="24"/>
  <c r="D206" i="24"/>
  <c r="D208" i="24"/>
  <c r="E208" i="24"/>
  <c r="D209" i="24"/>
  <c r="E209" i="24"/>
  <c r="E207" i="24"/>
  <c r="D207" i="24"/>
  <c r="D202" i="24"/>
  <c r="G202" i="24" s="1"/>
  <c r="C201" i="24"/>
  <c r="D201" i="24"/>
  <c r="D194" i="24"/>
  <c r="G194" i="24" s="1"/>
  <c r="F196" i="24"/>
  <c r="F227" i="24" s="1"/>
  <c r="F240" i="24" s="1"/>
  <c r="D196" i="24"/>
  <c r="F195" i="24"/>
  <c r="D195" i="24"/>
  <c r="F193" i="24"/>
  <c r="D193" i="24"/>
  <c r="F199" i="24"/>
  <c r="F198" i="24"/>
  <c r="F185" i="24"/>
  <c r="F186" i="24"/>
  <c r="F187" i="24"/>
  <c r="F188" i="24"/>
  <c r="F184" i="24"/>
  <c r="F179" i="24"/>
  <c r="F171" i="24"/>
  <c r="F172" i="24"/>
  <c r="F173" i="24"/>
  <c r="F174" i="24"/>
  <c r="F170" i="24"/>
  <c r="F182" i="24"/>
  <c r="D182" i="24"/>
  <c r="D227" i="24" s="1"/>
  <c r="D240" i="24" s="1"/>
  <c r="D181" i="24"/>
  <c r="F181" i="24"/>
  <c r="D180" i="24"/>
  <c r="G180" i="24" s="1"/>
  <c r="D179" i="24"/>
  <c r="D200" i="24"/>
  <c r="D226" i="24" s="1"/>
  <c r="D239" i="24" s="1"/>
  <c r="F200" i="24"/>
  <c r="F226" i="24" s="1"/>
  <c r="F192" i="24"/>
  <c r="D192" i="24"/>
  <c r="F191" i="24"/>
  <c r="D191" i="24"/>
  <c r="F190" i="24"/>
  <c r="D190" i="24"/>
  <c r="F178" i="24"/>
  <c r="F225" i="24" s="1"/>
  <c r="F238" i="24" s="1"/>
  <c r="D178" i="24"/>
  <c r="D225" i="24" s="1"/>
  <c r="D177" i="24"/>
  <c r="F177" i="24"/>
  <c r="F176" i="24"/>
  <c r="D176" i="24"/>
  <c r="D199" i="24"/>
  <c r="D198" i="24"/>
  <c r="D185" i="24"/>
  <c r="D171" i="24"/>
  <c r="F189" i="24"/>
  <c r="D189" i="24"/>
  <c r="D188" i="24"/>
  <c r="D187" i="24"/>
  <c r="D186" i="24"/>
  <c r="D184" i="24"/>
  <c r="D174" i="24"/>
  <c r="F175" i="24"/>
  <c r="D175" i="24"/>
  <c r="D173" i="24"/>
  <c r="D172" i="24"/>
  <c r="D170" i="24"/>
  <c r="E166" i="24"/>
  <c r="F166" i="24"/>
  <c r="E167" i="24"/>
  <c r="F167" i="24"/>
  <c r="E168" i="24"/>
  <c r="F168" i="24"/>
  <c r="F165" i="24"/>
  <c r="E165" i="24"/>
  <c r="C91" i="24"/>
  <c r="C90" i="24"/>
  <c r="C89" i="24"/>
  <c r="C88" i="24"/>
  <c r="C87" i="24"/>
  <c r="C86" i="24"/>
  <c r="E91" i="24"/>
  <c r="D91" i="24"/>
  <c r="E90" i="24"/>
  <c r="D90" i="24"/>
  <c r="E89" i="24"/>
  <c r="D89" i="24"/>
  <c r="E88" i="24"/>
  <c r="D88" i="24"/>
  <c r="E87" i="24"/>
  <c r="E86" i="24"/>
  <c r="D87" i="24"/>
  <c r="D86" i="24"/>
  <c r="C125" i="24"/>
  <c r="C126" i="24"/>
  <c r="C124" i="24"/>
  <c r="D160" i="24"/>
  <c r="D126" i="24" s="1"/>
  <c r="D159" i="24"/>
  <c r="E159" i="24"/>
  <c r="E125" i="24" s="1"/>
  <c r="E160" i="24"/>
  <c r="E126" i="24" s="1"/>
  <c r="E158" i="24"/>
  <c r="E124" i="24" s="1"/>
  <c r="D158" i="24"/>
  <c r="D124" i="24" s="1"/>
  <c r="B155" i="24"/>
  <c r="C155" i="24"/>
  <c r="B156" i="24"/>
  <c r="C156" i="24"/>
  <c r="F122" i="24"/>
  <c r="B119" i="24"/>
  <c r="B153" i="24" s="1"/>
  <c r="B160" i="24" s="1"/>
  <c r="B208" i="24" s="1"/>
  <c r="B215" i="24" s="1"/>
  <c r="B245" i="24" s="1"/>
  <c r="F121" i="24"/>
  <c r="F120" i="24"/>
  <c r="B114" i="24"/>
  <c r="B148" i="24" s="1"/>
  <c r="B159" i="24" s="1"/>
  <c r="B207" i="24" s="1"/>
  <c r="B214" i="24" s="1"/>
  <c r="B244" i="24" s="1"/>
  <c r="F118" i="24"/>
  <c r="F117" i="24"/>
  <c r="F116" i="24"/>
  <c r="F115" i="24"/>
  <c r="F111" i="24"/>
  <c r="F112" i="24"/>
  <c r="F113" i="24"/>
  <c r="F110" i="24"/>
  <c r="B113" i="24"/>
  <c r="B118" i="24" s="1"/>
  <c r="B152" i="24" s="1"/>
  <c r="B109" i="24"/>
  <c r="B143" i="24" s="1"/>
  <c r="B158" i="24" s="1"/>
  <c r="B206" i="24" s="1"/>
  <c r="B213" i="24" s="1"/>
  <c r="B108" i="24"/>
  <c r="B142" i="24" s="1"/>
  <c r="C81" i="24"/>
  <c r="C84" i="24"/>
  <c r="C75" i="24"/>
  <c r="C72" i="24"/>
  <c r="C66" i="24"/>
  <c r="C63" i="24"/>
  <c r="E84" i="24"/>
  <c r="D84" i="24"/>
  <c r="E81" i="24"/>
  <c r="D81" i="24"/>
  <c r="E75" i="24"/>
  <c r="D75" i="24"/>
  <c r="E72" i="24"/>
  <c r="D72" i="24"/>
  <c r="E66" i="24"/>
  <c r="D66" i="24"/>
  <c r="D63" i="24"/>
  <c r="E63" i="24"/>
  <c r="C58" i="24"/>
  <c r="C57" i="24"/>
  <c r="E58" i="24"/>
  <c r="D58" i="24"/>
  <c r="E57" i="24"/>
  <c r="D57" i="24"/>
  <c r="G225" i="24" l="1"/>
  <c r="G226" i="24"/>
  <c r="G244" i="24"/>
  <c r="D238" i="24"/>
  <c r="G238" i="24" s="1"/>
  <c r="G245" i="24"/>
  <c r="G246" i="24"/>
  <c r="F239" i="24"/>
  <c r="G239" i="24" s="1"/>
  <c r="G240" i="24"/>
  <c r="G237" i="24"/>
  <c r="G236" i="24"/>
  <c r="G232" i="24"/>
  <c r="G231" i="24"/>
  <c r="G227" i="24"/>
  <c r="G182" i="24"/>
  <c r="G179" i="24"/>
  <c r="G221" i="24"/>
  <c r="G220" i="24"/>
  <c r="G193" i="24"/>
  <c r="G195" i="24"/>
  <c r="G214" i="24"/>
  <c r="G201" i="24"/>
  <c r="G215" i="24"/>
  <c r="G208" i="24"/>
  <c r="G206" i="24"/>
  <c r="G216" i="24"/>
  <c r="G213" i="24"/>
  <c r="G196" i="24"/>
  <c r="G181" i="24"/>
  <c r="G209" i="24"/>
  <c r="G200" i="24"/>
  <c r="G207" i="24"/>
  <c r="G177" i="24"/>
  <c r="G170" i="24"/>
  <c r="G174" i="24"/>
  <c r="G186" i="24"/>
  <c r="G176" i="24"/>
  <c r="G187" i="24"/>
  <c r="G192" i="24"/>
  <c r="G185" i="24"/>
  <c r="G178" i="24"/>
  <c r="G190" i="24"/>
  <c r="G173" i="24"/>
  <c r="G191" i="24"/>
  <c r="G172" i="24"/>
  <c r="G189" i="24"/>
  <c r="G198" i="24"/>
  <c r="G184" i="24"/>
  <c r="G175" i="24"/>
  <c r="G171" i="24"/>
  <c r="F89" i="24"/>
  <c r="G89" i="24" s="1"/>
  <c r="G188" i="24"/>
  <c r="G199" i="24"/>
  <c r="F87" i="24"/>
  <c r="G87" i="24" s="1"/>
  <c r="F86" i="24"/>
  <c r="G86" i="24" s="1"/>
  <c r="F88" i="24"/>
  <c r="G88" i="24" s="1"/>
  <c r="F90" i="24"/>
  <c r="G90" i="24" s="1"/>
  <c r="F91" i="24"/>
  <c r="G91" i="24" s="1"/>
  <c r="G159" i="24"/>
  <c r="F63" i="24"/>
  <c r="G63" i="24" s="1"/>
  <c r="B125" i="24"/>
  <c r="B88" i="24" s="1"/>
  <c r="G160" i="24"/>
  <c r="D125" i="24"/>
  <c r="G125" i="24" s="1"/>
  <c r="G124" i="24"/>
  <c r="G126" i="24"/>
  <c r="G158" i="24"/>
  <c r="B126" i="24"/>
  <c r="B90" i="24" s="1"/>
  <c r="B124" i="24"/>
  <c r="B86" i="24" s="1"/>
  <c r="F66" i="24"/>
  <c r="G66" i="24" s="1"/>
  <c r="F72" i="24"/>
  <c r="G72" i="24" s="1"/>
  <c r="F57" i="24"/>
  <c r="G57" i="24" s="1"/>
  <c r="F75" i="24"/>
  <c r="G75" i="24" s="1"/>
  <c r="F84" i="24"/>
  <c r="G84" i="24" s="1"/>
  <c r="B147" i="24"/>
  <c r="F81" i="24"/>
  <c r="G81" i="24" s="1"/>
  <c r="F58" i="24"/>
  <c r="G58" i="24" s="1"/>
  <c r="G247" i="24" l="1"/>
  <c r="D252" i="24" s="1"/>
  <c r="G252" i="24" s="1"/>
  <c r="G228" i="24"/>
  <c r="J228" i="24" s="1"/>
  <c r="G241" i="24"/>
  <c r="G222" i="24"/>
  <c r="G217" i="24"/>
  <c r="J217" i="24" s="1"/>
  <c r="G210" i="24"/>
  <c r="J210" i="24" s="1"/>
  <c r="J247" i="24" l="1"/>
  <c r="J241" i="24"/>
  <c r="D250" i="24"/>
  <c r="G250" i="24" l="1"/>
  <c r="G253" i="24" s="1"/>
  <c r="J253" i="24" s="1"/>
  <c r="C83" i="24" l="1"/>
  <c r="C82" i="24"/>
  <c r="D80" i="24"/>
  <c r="D79" i="24"/>
  <c r="E83" i="24"/>
  <c r="E82" i="24"/>
  <c r="E80" i="24"/>
  <c r="E79" i="24"/>
  <c r="B79" i="24"/>
  <c r="B120" i="24" s="1"/>
  <c r="B154" i="24" s="1"/>
  <c r="E77" i="24"/>
  <c r="D77" i="24"/>
  <c r="E76" i="24"/>
  <c r="D76" i="24"/>
  <c r="E68" i="24"/>
  <c r="D68" i="24"/>
  <c r="E67" i="24"/>
  <c r="D67" i="24"/>
  <c r="E74" i="24"/>
  <c r="E73" i="24"/>
  <c r="E71" i="24"/>
  <c r="E70" i="24"/>
  <c r="D140" i="24"/>
  <c r="E140" i="24"/>
  <c r="D141" i="24"/>
  <c r="E141" i="24"/>
  <c r="E139" i="24"/>
  <c r="D139" i="24"/>
  <c r="C141" i="24"/>
  <c r="B140" i="24"/>
  <c r="B141" i="24"/>
  <c r="B139" i="24"/>
  <c r="D106" i="24"/>
  <c r="D107" i="24"/>
  <c r="D105" i="24"/>
  <c r="F107" i="24"/>
  <c r="F141" i="24" s="1"/>
  <c r="C106" i="24"/>
  <c r="C140" i="24" s="1"/>
  <c r="F106" i="24"/>
  <c r="F140" i="24" s="1"/>
  <c r="F105" i="24"/>
  <c r="F139" i="24" s="1"/>
  <c r="C105" i="24"/>
  <c r="C139" i="24" s="1"/>
  <c r="B104" i="24"/>
  <c r="B138" i="24" s="1"/>
  <c r="E56" i="24"/>
  <c r="D56" i="24"/>
  <c r="E55" i="24"/>
  <c r="D55" i="24"/>
  <c r="E51" i="24"/>
  <c r="D51" i="24"/>
  <c r="E50" i="24"/>
  <c r="D50" i="24"/>
  <c r="D65" i="24"/>
  <c r="D74" i="24" s="1"/>
  <c r="D83" i="24" s="1"/>
  <c r="D64" i="24"/>
  <c r="D73" i="24" s="1"/>
  <c r="D82" i="24" s="1"/>
  <c r="D62" i="24"/>
  <c r="D71" i="24" s="1"/>
  <c r="D61" i="24"/>
  <c r="D70" i="24" s="1"/>
  <c r="B64" i="24"/>
  <c r="B73" i="24" s="1"/>
  <c r="B61" i="24"/>
  <c r="E65" i="24"/>
  <c r="C65" i="24"/>
  <c r="C74" i="24" s="1"/>
  <c r="E64" i="24"/>
  <c r="C64" i="24"/>
  <c r="E62" i="24"/>
  <c r="C62" i="24"/>
  <c r="C71" i="24" s="1"/>
  <c r="C80" i="24" s="1"/>
  <c r="E61" i="24"/>
  <c r="C61" i="24"/>
  <c r="C67" i="24" s="1"/>
  <c r="C54" i="24"/>
  <c r="C56" i="24" s="1"/>
  <c r="C53" i="24"/>
  <c r="C55" i="24" s="1"/>
  <c r="E54" i="24"/>
  <c r="D54" i="24"/>
  <c r="E53" i="24"/>
  <c r="D53" i="24"/>
  <c r="M53" i="24"/>
  <c r="M163" i="24"/>
  <c r="M164" i="24" s="1"/>
  <c r="D102" i="24"/>
  <c r="D101" i="24"/>
  <c r="D100" i="24"/>
  <c r="B137" i="24"/>
  <c r="B168" i="24" s="1"/>
  <c r="F103" i="24"/>
  <c r="F137" i="24" s="1"/>
  <c r="F102" i="24"/>
  <c r="F136" i="24" s="1"/>
  <c r="F101" i="24"/>
  <c r="F135" i="24" s="1"/>
  <c r="F100" i="24"/>
  <c r="F134" i="24" s="1"/>
  <c r="C103" i="24"/>
  <c r="D103" i="24"/>
  <c r="D113" i="24" s="1"/>
  <c r="D49" i="24"/>
  <c r="D48" i="24"/>
  <c r="D47" i="24"/>
  <c r="D46" i="24"/>
  <c r="E48" i="24"/>
  <c r="E49" i="24"/>
  <c r="C49" i="24"/>
  <c r="C48" i="24"/>
  <c r="E47" i="24"/>
  <c r="E46" i="24"/>
  <c r="C47" i="24"/>
  <c r="C51" i="24" s="1"/>
  <c r="C46" i="24"/>
  <c r="C50" i="24" s="1"/>
  <c r="F15" i="24"/>
  <c r="F16" i="24"/>
  <c r="F14" i="24"/>
  <c r="E25" i="24"/>
  <c r="E26" i="24"/>
  <c r="E24" i="24"/>
  <c r="C26" i="24"/>
  <c r="C36" i="24" s="1"/>
  <c r="C102" i="24" s="1"/>
  <c r="C25" i="24"/>
  <c r="C35" i="24" s="1"/>
  <c r="C101" i="24" s="1"/>
  <c r="C24" i="24"/>
  <c r="B26" i="24"/>
  <c r="B36" i="24" s="1"/>
  <c r="B102" i="24" s="1"/>
  <c r="B25" i="24"/>
  <c r="B35" i="24" s="1"/>
  <c r="B101" i="24" s="1"/>
  <c r="B24" i="24"/>
  <c r="B34" i="24" s="1"/>
  <c r="B100" i="24" s="1"/>
  <c r="B23" i="24"/>
  <c r="B33" i="24" s="1"/>
  <c r="B45" i="24" s="1"/>
  <c r="B99" i="24" s="1"/>
  <c r="B133" i="24" s="1"/>
  <c r="B20" i="24"/>
  <c r="B30" i="24" s="1"/>
  <c r="D16" i="24"/>
  <c r="D15" i="24"/>
  <c r="D14" i="24"/>
  <c r="D24" i="24" s="1"/>
  <c r="E131" i="24"/>
  <c r="E132" i="24"/>
  <c r="D132" i="24"/>
  <c r="D131" i="24"/>
  <c r="C132" i="24"/>
  <c r="C131" i="24"/>
  <c r="D98" i="24"/>
  <c r="F96" i="24"/>
  <c r="D96" i="24"/>
  <c r="C98" i="24"/>
  <c r="C97" i="24"/>
  <c r="C96" i="24"/>
  <c r="D97" i="24"/>
  <c r="E42" i="24"/>
  <c r="E43" i="24"/>
  <c r="E44" i="24"/>
  <c r="E41" i="24"/>
  <c r="E12" i="24"/>
  <c r="D12" i="24"/>
  <c r="E11" i="24"/>
  <c r="D11" i="24"/>
  <c r="D32" i="24"/>
  <c r="E32" i="24"/>
  <c r="D44" i="24" s="1"/>
  <c r="C43" i="24" s="1"/>
  <c r="E31" i="24"/>
  <c r="D42" i="24" s="1"/>
  <c r="C41" i="24" s="1"/>
  <c r="D31" i="24"/>
  <c r="C32" i="24"/>
  <c r="C31" i="24"/>
  <c r="D43" i="24"/>
  <c r="C44" i="24" s="1"/>
  <c r="D41" i="24"/>
  <c r="C42" i="24" s="1"/>
  <c r="B22" i="24"/>
  <c r="B132" i="24" s="1"/>
  <c r="B21" i="24"/>
  <c r="B131" i="24" s="1"/>
  <c r="F12" i="24"/>
  <c r="F11" i="24"/>
  <c r="F67" i="24" l="1"/>
  <c r="G67" i="24" s="1"/>
  <c r="F50" i="24"/>
  <c r="G50" i="24" s="1"/>
  <c r="G16" i="24"/>
  <c r="D137" i="24"/>
  <c r="C68" i="24"/>
  <c r="F68" i="24" s="1"/>
  <c r="G68" i="24" s="1"/>
  <c r="D118" i="24"/>
  <c r="D147" i="24"/>
  <c r="D168" i="24" s="1"/>
  <c r="G107" i="24"/>
  <c r="G106" i="24"/>
  <c r="F41" i="24"/>
  <c r="G41" i="24" s="1"/>
  <c r="C135" i="24"/>
  <c r="C111" i="24"/>
  <c r="C145" i="24" s="1"/>
  <c r="C166" i="24" s="1"/>
  <c r="C136" i="24"/>
  <c r="C112" i="24"/>
  <c r="C146" i="24" s="1"/>
  <c r="C167" i="24" s="1"/>
  <c r="F51" i="24"/>
  <c r="G51" i="24" s="1"/>
  <c r="C70" i="24"/>
  <c r="C76" i="24" s="1"/>
  <c r="F76" i="24" s="1"/>
  <c r="G76" i="24" s="1"/>
  <c r="F61" i="24"/>
  <c r="G61" i="24" s="1"/>
  <c r="G32" i="24"/>
  <c r="B134" i="24"/>
  <c r="B165" i="24" s="1"/>
  <c r="B110" i="24"/>
  <c r="D134" i="24"/>
  <c r="D110" i="24"/>
  <c r="F80" i="24"/>
  <c r="G80" i="24" s="1"/>
  <c r="B135" i="24"/>
  <c r="B166" i="24" s="1"/>
  <c r="B111" i="24"/>
  <c r="C137" i="24"/>
  <c r="C113" i="24"/>
  <c r="C147" i="24" s="1"/>
  <c r="C168" i="24" s="1"/>
  <c r="D135" i="24"/>
  <c r="D111" i="24"/>
  <c r="F64" i="24"/>
  <c r="G64" i="24" s="1"/>
  <c r="C77" i="24"/>
  <c r="F77" i="24" s="1"/>
  <c r="G77" i="24" s="1"/>
  <c r="B136" i="24"/>
  <c r="B167" i="24" s="1"/>
  <c r="B112" i="24"/>
  <c r="D136" i="24"/>
  <c r="D112" i="24"/>
  <c r="F83" i="24"/>
  <c r="G83" i="24" s="1"/>
  <c r="F74" i="24"/>
  <c r="G74" i="24" s="1"/>
  <c r="C73" i="24"/>
  <c r="F73" i="24" s="1"/>
  <c r="G73" i="24" s="1"/>
  <c r="G11" i="24"/>
  <c r="G15" i="24"/>
  <c r="B40" i="24"/>
  <c r="B95" i="24" s="1"/>
  <c r="B130" i="24" s="1"/>
  <c r="F53" i="24"/>
  <c r="G53" i="24" s="1"/>
  <c r="G105" i="24"/>
  <c r="G139" i="24"/>
  <c r="F82" i="24"/>
  <c r="G82" i="24" s="1"/>
  <c r="F54" i="24"/>
  <c r="G54" i="24" s="1"/>
  <c r="G31" i="24"/>
  <c r="G12" i="24"/>
  <c r="F71" i="24"/>
  <c r="G71" i="24" s="1"/>
  <c r="G140" i="24"/>
  <c r="G141" i="24"/>
  <c r="F56" i="24"/>
  <c r="G56" i="24" s="1"/>
  <c r="F55" i="24"/>
  <c r="G55" i="24" s="1"/>
  <c r="F65" i="24"/>
  <c r="G65" i="24" s="1"/>
  <c r="F62" i="24"/>
  <c r="G62" i="24" s="1"/>
  <c r="D25" i="24"/>
  <c r="D35" i="24" s="1"/>
  <c r="G35" i="24" s="1"/>
  <c r="B31" i="24"/>
  <c r="B41" i="24" s="1"/>
  <c r="G96" i="24"/>
  <c r="G103" i="24"/>
  <c r="D34" i="24"/>
  <c r="G24" i="24"/>
  <c r="B96" i="24"/>
  <c r="F46" i="24"/>
  <c r="G46" i="24" s="1"/>
  <c r="F47" i="24"/>
  <c r="G47" i="24" s="1"/>
  <c r="F48" i="24"/>
  <c r="G48" i="24" s="1"/>
  <c r="B32" i="24"/>
  <c r="B43" i="24" s="1"/>
  <c r="F49" i="24"/>
  <c r="G49" i="24" s="1"/>
  <c r="G14" i="24"/>
  <c r="F42" i="24"/>
  <c r="G42" i="24" s="1"/>
  <c r="C34" i="24"/>
  <c r="B97" i="24"/>
  <c r="D26" i="24"/>
  <c r="G98" i="24"/>
  <c r="G132" i="24"/>
  <c r="G131" i="24"/>
  <c r="G97" i="24"/>
  <c r="F44" i="24"/>
  <c r="G44" i="24" s="1"/>
  <c r="F43" i="24"/>
  <c r="G43" i="24" s="1"/>
  <c r="G21" i="24"/>
  <c r="G22" i="24"/>
  <c r="G17" i="24" l="1"/>
  <c r="G168" i="24"/>
  <c r="G137" i="24"/>
  <c r="G147" i="24"/>
  <c r="G135" i="24"/>
  <c r="G136" i="24"/>
  <c r="D117" i="24"/>
  <c r="D146" i="24"/>
  <c r="D167" i="24" s="1"/>
  <c r="G167" i="24" s="1"/>
  <c r="B115" i="24"/>
  <c r="B149" i="24" s="1"/>
  <c r="B144" i="24"/>
  <c r="B117" i="24"/>
  <c r="B151" i="24" s="1"/>
  <c r="B146" i="24"/>
  <c r="B116" i="24"/>
  <c r="B150" i="24" s="1"/>
  <c r="B145" i="24"/>
  <c r="D115" i="24"/>
  <c r="D144" i="24"/>
  <c r="D165" i="24" s="1"/>
  <c r="D152" i="24"/>
  <c r="D122" i="24"/>
  <c r="D116" i="24"/>
  <c r="D150" i="24" s="1"/>
  <c r="D145" i="24"/>
  <c r="F70" i="24"/>
  <c r="G70" i="24" s="1"/>
  <c r="C79" i="24"/>
  <c r="F79" i="24" s="1"/>
  <c r="G79" i="24" s="1"/>
  <c r="G112" i="24"/>
  <c r="C117" i="24"/>
  <c r="G113" i="24"/>
  <c r="C118" i="24"/>
  <c r="C116" i="24"/>
  <c r="C150" i="24" s="1"/>
  <c r="G111" i="24"/>
  <c r="G101" i="24"/>
  <c r="G25" i="24"/>
  <c r="D36" i="24"/>
  <c r="G36" i="24" s="1"/>
  <c r="G102" i="24"/>
  <c r="C100" i="24"/>
  <c r="C110" i="24" s="1"/>
  <c r="C144" i="24" s="1"/>
  <c r="G34" i="24"/>
  <c r="G26" i="24"/>
  <c r="G27" i="24" l="1"/>
  <c r="G92" i="24"/>
  <c r="J92" i="24" s="1"/>
  <c r="G37" i="24"/>
  <c r="J37" i="24" s="1"/>
  <c r="G150" i="24"/>
  <c r="G145" i="24"/>
  <c r="D166" i="24"/>
  <c r="G166" i="24" s="1"/>
  <c r="G144" i="24"/>
  <c r="C165" i="24"/>
  <c r="G165" i="24" s="1"/>
  <c r="G146" i="24"/>
  <c r="G117" i="24"/>
  <c r="C151" i="24"/>
  <c r="D156" i="24"/>
  <c r="G156" i="24" s="1"/>
  <c r="G122" i="24"/>
  <c r="D120" i="24"/>
  <c r="D154" i="24" s="1"/>
  <c r="D149" i="24"/>
  <c r="G118" i="24"/>
  <c r="C152" i="24"/>
  <c r="G152" i="24" s="1"/>
  <c r="D151" i="24"/>
  <c r="D121" i="24"/>
  <c r="D155" i="24" s="1"/>
  <c r="G155" i="24" s="1"/>
  <c r="G110" i="24"/>
  <c r="C115" i="24"/>
  <c r="C149" i="24" s="1"/>
  <c r="G116" i="24"/>
  <c r="G100" i="24"/>
  <c r="C134" i="24"/>
  <c r="G134" i="24" s="1"/>
  <c r="G203" i="24" l="1"/>
  <c r="G121" i="24"/>
  <c r="G149" i="24"/>
  <c r="G151" i="24"/>
  <c r="C120" i="24"/>
  <c r="G115" i="24"/>
  <c r="G120" i="24" l="1"/>
  <c r="G127" i="24" s="1"/>
  <c r="C154" i="24"/>
  <c r="G154" i="24" s="1"/>
  <c r="G161" i="24" s="1"/>
  <c r="J127" i="24" l="1"/>
  <c r="J161" i="24"/>
  <c r="J203" i="24"/>
  <c r="G259" i="24" l="1"/>
  <c r="J259" i="24" s="1"/>
  <c r="A9" i="6" l="1"/>
  <c r="A8" i="6"/>
  <c r="E18" i="6" l="1"/>
  <c r="C18" i="6"/>
  <c r="B18" i="6"/>
  <c r="A18" i="6"/>
  <c r="E16" i="6"/>
  <c r="C16" i="6"/>
  <c r="B16" i="6"/>
  <c r="A16" i="6"/>
  <c r="E13" i="6"/>
  <c r="C13" i="6"/>
  <c r="B14" i="6"/>
  <c r="B13" i="6"/>
  <c r="A13" i="6"/>
  <c r="D16" i="6" l="1"/>
  <c r="D18" i="6"/>
  <c r="J27" i="24" l="1"/>
  <c r="D13" i="6"/>
  <c r="J17" i="24" l="1"/>
  <c r="F14" i="6"/>
  <c r="H16" i="6" l="1"/>
  <c r="H18" i="6"/>
  <c r="H13" i="6"/>
  <c r="G16" i="6" l="1"/>
  <c r="I16" i="6" s="1"/>
  <c r="G18" i="6"/>
  <c r="F16" i="6" l="1"/>
  <c r="J16" i="6" s="1"/>
  <c r="F13" i="6" l="1"/>
  <c r="G13" i="6"/>
  <c r="I13" i="6" s="1"/>
  <c r="I14" i="6"/>
  <c r="J13" i="6" l="1"/>
  <c r="J14" i="6"/>
  <c r="I18" i="6" l="1"/>
  <c r="F18" i="6"/>
  <c r="J18" i="6" l="1"/>
  <c r="I20" i="6"/>
  <c r="F20" i="6" l="1"/>
  <c r="J20" i="6" s="1"/>
  <c r="J6" i="6" l="1"/>
  <c r="C6" i="6" l="1"/>
  <c r="J222" i="24"/>
  <c r="J261" i="24"/>
  <c r="C263" i="24" s="1"/>
  <c r="C264" i="24" l="1"/>
  <c r="C265" i="24" s="1"/>
</calcChain>
</file>

<file path=xl/sharedStrings.xml><?xml version="1.0" encoding="utf-8"?>
<sst xmlns="http://schemas.openxmlformats.org/spreadsheetml/2006/main" count="190" uniqueCount="126">
  <si>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</si>
  <si>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</si>
  <si>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</si>
  <si>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</si>
  <si>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</si>
  <si>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</si>
  <si>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</si>
  <si>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</si>
  <si>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</si>
  <si>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</si>
  <si>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</si>
  <si>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</si>
  <si>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</si>
  <si>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</si>
  <si>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</si>
  <si>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</si>
  <si>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</si>
  <si>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</si>
  <si>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</si>
  <si>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</si>
  <si>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</si>
  <si>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</si>
  <si>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</si>
  <si>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</si>
  <si>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</si>
  <si>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</si>
  <si>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</si>
  <si>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</si>
  <si>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</si>
  <si>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</si>
  <si>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</si>
  <si>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</si>
  <si>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 xml:space="preserve">Work Finished:           </t>
  </si>
  <si>
    <t>Sub-total</t>
  </si>
  <si>
    <t>F.Y.: 2081/2082</t>
  </si>
  <si>
    <t>sqm</t>
  </si>
  <si>
    <t>Length (m)</t>
  </si>
  <si>
    <t xml:space="preserve">Date:2081/12/06       </t>
  </si>
  <si>
    <t xml:space="preserve">F.Y:2081/2082           </t>
  </si>
  <si>
    <t>xfO8«f]lns PS;fe]6/  k|of]u u/L   df6f] vGg] sfd</t>
  </si>
  <si>
    <t>cum</t>
  </si>
  <si>
    <t>-F1</t>
  </si>
  <si>
    <t>-CF1</t>
  </si>
  <si>
    <t>;'Vvf O{6f RofK6f] 5fKg] sfd</t>
  </si>
  <si>
    <t>hu leQf kvf{ndf l;d]G6 s+lqm6 ug]{ sfd -lk=;L=;L= !M@M$_</t>
  </si>
  <si>
    <t>cf/=;L=;L= nflu kmnfd] 808L sf6\g], df]8\g] #) dL6/ ;Dd</t>
  </si>
  <si>
    <t>Unit weight (Kg/m)</t>
  </si>
  <si>
    <t>Weight (Kg)</t>
  </si>
  <si>
    <t>Total Weight (MT)</t>
  </si>
  <si>
    <t>kmnfd]sf] kfOk / KnfOaf]8{af6 kmdf{ agfpg] sfd</t>
  </si>
  <si>
    <t>d]lzgsf] k|of]u u/L ;'k/ :6«Sr/df l;d]G6 s+lqm6 ug]{ sfd -!M!=%M#_</t>
  </si>
  <si>
    <t>-Base beam and Tie beam</t>
  </si>
  <si>
    <t>-footing</t>
  </si>
  <si>
    <t>-Grid A(1-2), B(1-2), C(1-2)</t>
  </si>
  <si>
    <t>-Grid A(2-3), A(3-4), A(4-5), B(2-3), B(3-4), B(4-5), C(2-3), C(3-4), C(4-5)</t>
  </si>
  <si>
    <t xml:space="preserve">-Grid 1(B-C), 2(B-C), 3(B-C), 4(B-C), 5(B-C), </t>
  </si>
  <si>
    <t>-Grid (A-A)(1-5), (B-B)(1-5), (C-C)(1-5)</t>
  </si>
  <si>
    <t xml:space="preserve">-Grid (1-1)(A-C), (2-2)(A-C), (3-3)(A-C), (4-4)(A-C), (5-5)(A-C) </t>
  </si>
  <si>
    <t>-Grid 1(A-B), 2(A-B), 3(A-B), 4(A-B), 5(A-B)</t>
  </si>
  <si>
    <t>-Column</t>
  </si>
  <si>
    <t>-from footing to roof floor</t>
  </si>
  <si>
    <t>-lapping</t>
  </si>
  <si>
    <t>-GF column</t>
  </si>
  <si>
    <t>-FF column</t>
  </si>
  <si>
    <t>-SF column</t>
  </si>
  <si>
    <t>-Ground floor</t>
  </si>
  <si>
    <t>-Beam</t>
  </si>
  <si>
    <t>-First floor</t>
  </si>
  <si>
    <t>-Second floor</t>
  </si>
  <si>
    <t>-Grid (A-A)(1-2), (B-B)(1-2), (C-C)(1-2)</t>
  </si>
  <si>
    <t>-Grid (1-1)(A-C), (2-2)(A-C)</t>
  </si>
  <si>
    <t>-Stirrups</t>
  </si>
  <si>
    <t>-Grid 1(A-B), 2(A-B)</t>
  </si>
  <si>
    <t>-Grid 1(B-C), 2(B-C)</t>
  </si>
  <si>
    <t>-Slab</t>
  </si>
  <si>
    <t>-slab</t>
  </si>
  <si>
    <t>e'O{+tNnfdf lrDgL e§fsf] O{+6fsf] uf/f] l;d]G6 d;nf -!M^_ df</t>
  </si>
  <si>
    <t>-Between base beam and tie beam</t>
  </si>
  <si>
    <t>-Ground Floor</t>
  </si>
  <si>
    <t>VAT 13%</t>
  </si>
  <si>
    <t>-Grid 1(A-B), 2(A-B), 5(A-B)</t>
  </si>
  <si>
    <t>-Grid A(1-5)</t>
  </si>
  <si>
    <t>-Grid B(2-5)</t>
  </si>
  <si>
    <t>-slab (A-B)(4-5)</t>
  </si>
  <si>
    <t>-Grid C(4-5)</t>
  </si>
  <si>
    <t>-First Floor</t>
  </si>
  <si>
    <t>-Grid 5(B-C)</t>
  </si>
  <si>
    <t>-Second Floor</t>
  </si>
  <si>
    <t>-Grid 1(A-C), 2(A-C)</t>
  </si>
  <si>
    <t>-Grid A(1-2), C(1-2)</t>
  </si>
  <si>
    <t>-Deduction for window W1</t>
  </si>
  <si>
    <t>-Deduction for window V1</t>
  </si>
  <si>
    <t>-Deduction for door D1</t>
  </si>
  <si>
    <t>-Deduction for door D2</t>
  </si>
  <si>
    <t>-Grid 1(B-C)</t>
  </si>
  <si>
    <t>-Grid C(2-5)</t>
  </si>
  <si>
    <t>-slab (A-C)(4-5)</t>
  </si>
  <si>
    <t>-Deduction for toilet door D3</t>
  </si>
  <si>
    <t>-Grid C(1-5)</t>
  </si>
  <si>
    <t>-Grid A(2-5), C(2-5)</t>
  </si>
  <si>
    <t>-Grid 5(A-C)</t>
  </si>
  <si>
    <t>l;d]G6 s+qmL6 ˆnf]l/Ë -!M@M$_ -%) dL=dL=_</t>
  </si>
  <si>
    <t>-Roof</t>
  </si>
  <si>
    <t># dL=dL= df]6fO{ d;Lgf] l;d]G6 3f]6\g] sfd</t>
  </si>
  <si>
    <t>UPVC sliding window with net (frame 50 X 80mm sash 58 X 36mm</t>
  </si>
  <si>
    <t>-Window W1</t>
  </si>
  <si>
    <t>-Window V1</t>
  </si>
  <si>
    <t>-Door D1</t>
  </si>
  <si>
    <t>-Door D2</t>
  </si>
  <si>
    <t>-Door D3</t>
  </si>
  <si>
    <t xml:space="preserve">UPVC Singl Door with full pannel (frame 60*60mm sash 60X100mm </t>
  </si>
  <si>
    <t>-Slab (A-B)(2-4)</t>
  </si>
  <si>
    <t>-Slab (A-C)(1-5)</t>
  </si>
  <si>
    <t>-Deduction for openings</t>
  </si>
  <si>
    <t>Knfi6/ dfly @) dL=dL= afSnf] emNn/ jf kfgL k§L agfpg] sfd</t>
  </si>
  <si>
    <t>!@=% dL=dL= l;d]G6 afn'jf -!M$_ Knfi6/</t>
  </si>
  <si>
    <t>rm</t>
  </si>
  <si>
    <t xml:space="preserve"> Ps sf]6 k|fO{d/ ;lxt b'O{ sf]6 j]b/sf]6 k]G6 ug]{ sfd</t>
  </si>
  <si>
    <t>-same as plaster</t>
  </si>
  <si>
    <t>-pani patti</t>
  </si>
  <si>
    <t>Provisional Sum for unforseen works</t>
  </si>
  <si>
    <t>PS</t>
  </si>
  <si>
    <t>Lab Tests</t>
  </si>
  <si>
    <t>LS</t>
  </si>
  <si>
    <t xml:space="preserve">Project:- राष्ट्रिय मा. बि. पुस्तकालय पुर्वाधार निर्माण </t>
  </si>
  <si>
    <t xml:space="preserve">Date: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</si>
</sst>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sz val="11"/>
      <name val="Calibri"/>
      <family val="2"/>
      <scheme val="minor"/>
    </font>
    <font>
      <b/>
      <sz val="12"/>
      <name val="Preeti"/>
    </font>
    <font>
      <sz val="1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43" fontId="1" fillId="0" borderId="0" applyFont="0" applyFill="0" applyBorder="0" applyAlignment="0" applyProtection="0"/>
    <xf numFmtId="0" fontId="16" fillId="0" borderId="0"/>
  </cellStyleXfs>
  <cellXfs count="99">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4" fontId="14" fillId="0" borderId="1" xfId="0" applyNumberFormat="1" applyFont="1" applyBorder="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4" fillId="0" borderId="0" xfId="0" applyNumberFormat="1" applyFont="1" applyBorder="1"/>
    <xf numFmtId="0" fontId="15" fillId="3" borderId="1" xfId="0"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2" fillId="0" borderId="1" xfId="0" applyFont="1" applyBorder="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2" fontId="2" fillId="0" borderId="1" xfId="0" applyNumberFormat="1" applyFont="1" applyBorder="1" applyAlignment="1">
      <alignment vertical="center"/>
    </xf>
    <xf numFmtId="0" fontId="14" fillId="0" borderId="1" xfId="0" quotePrefix="1" applyFont="1" applyBorder="1" applyAlignment="1">
      <alignment horizontal="right" vertical="center" wrapText="1"/>
    </xf>
    <xf numFmtId="2" fontId="17" fillId="0" borderId="1" xfId="0" applyNumberFormat="1" applyFont="1" applyBorder="1" applyAlignment="1">
      <alignment vertical="center"/>
    </xf>
    <xf numFmtId="1" fontId="15" fillId="3"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0" fontId="14" fillId="0" borderId="0" xfId="0" quotePrefix="1" applyFont="1" applyBorder="1" applyAlignment="1">
      <alignment horizontal="right" vertical="center" wrapText="1"/>
    </xf>
    <xf numFmtId="0" fontId="18" fillId="3" borderId="1" xfId="0" applyFont="1" applyFill="1" applyBorder="1" applyAlignment="1">
      <alignment wrapText="1"/>
    </xf>
    <xf numFmtId="2" fontId="14" fillId="0" borderId="1" xfId="0" quotePrefix="1" applyNumberFormat="1" applyFont="1" applyBorder="1" applyAlignment="1">
      <alignment horizontal="right" vertical="center" wrapText="1"/>
    </xf>
    <xf numFmtId="164" fontId="14" fillId="0" borderId="1" xfId="0" quotePrefix="1" applyNumberFormat="1" applyFont="1" applyBorder="1" applyAlignment="1">
      <alignment horizontal="right" vertical="center" wrapText="1"/>
    </xf>
    <xf numFmtId="0" fontId="3" fillId="0" borderId="1" xfId="0" quotePrefix="1" applyFont="1" applyBorder="1" applyAlignment="1">
      <alignment horizontal="center" vertical="center" wrapText="1"/>
    </xf>
    <xf numFmtId="0" fontId="19" fillId="3" borderId="1" xfId="0" applyFont="1" applyFill="1" applyBorder="1" applyAlignment="1">
      <alignment wrapText="1"/>
    </xf>
    <xf numFmtId="0" fontId="14" fillId="0" borderId="1" xfId="0" quotePrefix="1" applyFont="1" applyBorder="1" applyAlignment="1">
      <alignment wrapText="1"/>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0"/>
  <sheetViews>
    <sheetView tabSelected="1" zoomScaleNormal="100" workbookViewId="0">
      <selection activeCell="H8" sqref="H8"/>
    </sheetView>
  </sheetViews>
  <sheetFormatPr defaultRowHeight="15" x14ac:dyDescent="0.25"/>
  <cols>
    <col min="1" max="1" width="4.7109375" customWidth="1"/>
    <col min="2" max="2" width="31.28515625" customWidth="1"/>
    <col min="3" max="3" width="5.5703125" bestFit="1" customWidth="1"/>
    <col min="4" max="4" width="7.140625" customWidth="1"/>
    <col min="5" max="5" width="8.5703125" customWidth="1"/>
    <col min="6" max="6" width="8.28515625" customWidth="1"/>
    <col min="7" max="7" width="9.140625" customWidth="1"/>
    <col min="8" max="8" width="5" bestFit="1" customWidth="1"/>
    <col min="9" max="9" width="10" customWidth="1"/>
    <col min="10" max="10" width="12.42578125" bestFit="1" customWidth="1"/>
    <col min="13" max="13" width="11.5703125" bestFit="1" customWidth="1"/>
  </cols>
  <sheetData>
    <row r="1" spans="1:13" s="1" customFormat="1" x14ac:dyDescent="0.25">
      <c r="A1" s="81" t="s">
        <v>0</v>
      </c>
      <c r="B1" s="81"/>
      <c r="C1" s="81"/>
      <c r="D1" s="81"/>
      <c r="E1" s="81"/>
      <c r="F1" s="81"/>
      <c r="G1" s="81"/>
      <c r="H1" s="81"/>
      <c r="I1" s="81"/>
      <c r="J1" s="81"/>
      <c r="K1" s="81"/>
    </row>
    <row r="2" spans="1:13" s="1" customFormat="1" ht="22.5" x14ac:dyDescent="0.25">
      <c r="A2" s="82" t="s">
        <v>1</v>
      </c>
      <c r="B2" s="82"/>
      <c r="C2" s="82"/>
      <c r="D2" s="82"/>
      <c r="E2" s="82"/>
      <c r="F2" s="82"/>
      <c r="G2" s="82"/>
      <c r="H2" s="82"/>
      <c r="I2" s="82"/>
      <c r="J2" s="82"/>
      <c r="K2" s="82"/>
    </row>
    <row r="3" spans="1:13" s="1" customFormat="1" x14ac:dyDescent="0.25">
      <c r="A3" s="83" t="s">
        <v>2</v>
      </c>
      <c r="B3" s="83"/>
      <c r="C3" s="83"/>
      <c r="D3" s="83"/>
      <c r="E3" s="83"/>
      <c r="F3" s="83"/>
      <c r="G3" s="83"/>
      <c r="H3" s="83"/>
      <c r="I3" s="83"/>
      <c r="J3" s="83"/>
      <c r="K3" s="83"/>
    </row>
    <row r="4" spans="1:13" s="1" customFormat="1" x14ac:dyDescent="0.25">
      <c r="A4" s="83" t="s">
        <v>3</v>
      </c>
      <c r="B4" s="83"/>
      <c r="C4" s="83"/>
      <c r="D4" s="83"/>
      <c r="E4" s="83"/>
      <c r="F4" s="83"/>
      <c r="G4" s="83"/>
      <c r="H4" s="83"/>
      <c r="I4" s="83"/>
      <c r="J4" s="83"/>
      <c r="K4" s="83"/>
    </row>
    <row r="5" spans="1:13" ht="18.75" x14ac:dyDescent="0.3">
      <c r="A5" s="84" t="s">
        <v>4</v>
      </c>
      <c r="B5" s="84"/>
      <c r="C5" s="84"/>
      <c r="D5" s="84"/>
      <c r="E5" s="84"/>
      <c r="F5" s="84"/>
      <c r="G5" s="84"/>
      <c r="H5" s="84"/>
      <c r="I5" s="84"/>
      <c r="J5" s="84"/>
      <c r="K5" s="84"/>
    </row>
    <row r="6" spans="1:13" ht="15.75" x14ac:dyDescent="0.25">
      <c r="A6" s="85" t="s">
        <v>124</v>
      </c>
      <c r="B6" s="85"/>
      <c r="C6" s="85"/>
      <c r="D6" s="85"/>
      <c r="E6" s="85"/>
      <c r="F6" s="85"/>
      <c r="G6" s="2"/>
      <c r="H6" s="86" t="s">
        <v>34</v>
      </c>
      <c r="I6" s="86"/>
      <c r="J6" s="86"/>
      <c r="K6" s="86"/>
    </row>
    <row r="7" spans="1:13" ht="15.75" x14ac:dyDescent="0.25">
      <c r="A7" s="79" t="s">
        <v>28</v>
      </c>
      <c r="B7" s="79"/>
      <c r="C7" s="79"/>
      <c r="D7" s="79"/>
      <c r="E7" s="79"/>
      <c r="F7" s="79"/>
      <c r="G7" s="3"/>
      <c r="H7" s="80" t="s">
        <v>125</v>
      </c>
      <c r="I7" s="80"/>
      <c r="J7" s="80"/>
      <c r="K7" s="80"/>
    </row>
    <row r="8" spans="1:13" ht="15" customHeight="1" x14ac:dyDescent="0.25">
      <c r="A8" s="4" t="s">
        <v>5</v>
      </c>
      <c r="B8" s="15" t="s">
        <v>6</v>
      </c>
      <c r="C8" s="4" t="s">
        <v>7</v>
      </c>
      <c r="D8" s="16" t="s">
        <v>8</v>
      </c>
      <c r="E8" s="16" t="s">
        <v>9</v>
      </c>
      <c r="F8" s="16" t="s">
        <v>10</v>
      </c>
      <c r="G8" s="16" t="s">
        <v>11</v>
      </c>
      <c r="H8" s="4" t="s">
        <v>12</v>
      </c>
      <c r="I8" s="16" t="s">
        <v>13</v>
      </c>
      <c r="J8" s="16" t="s">
        <v>14</v>
      </c>
      <c r="K8" s="17" t="s">
        <v>15</v>
      </c>
      <c r="M8" s="33"/>
    </row>
    <row r="9" spans="1:13" ht="30.75" x14ac:dyDescent="0.25">
      <c r="A9" s="18">
        <v>1</v>
      </c>
      <c r="B9" s="72" t="s">
        <v>39</v>
      </c>
      <c r="C9" s="19"/>
      <c r="D9" s="55"/>
      <c r="E9" s="56"/>
      <c r="F9" s="56"/>
      <c r="G9" s="56"/>
      <c r="H9" s="22"/>
      <c r="I9" s="23"/>
      <c r="J9" s="39"/>
      <c r="K9" s="21"/>
      <c r="M9" s="71"/>
    </row>
    <row r="10" spans="1:13" x14ac:dyDescent="0.25">
      <c r="A10" s="18"/>
      <c r="B10" s="75" t="s">
        <v>52</v>
      </c>
      <c r="C10" s="19"/>
      <c r="D10" s="55"/>
      <c r="E10" s="56"/>
      <c r="F10" s="56"/>
      <c r="G10" s="56"/>
      <c r="H10" s="22"/>
      <c r="I10" s="23"/>
      <c r="J10" s="39"/>
      <c r="K10" s="21"/>
      <c r="M10" s="71"/>
    </row>
    <row r="11" spans="1:13" s="1" customFormat="1" x14ac:dyDescent="0.25">
      <c r="A11" s="57"/>
      <c r="B11" s="61" t="s">
        <v>41</v>
      </c>
      <c r="C11" s="59">
        <v>5</v>
      </c>
      <c r="D11" s="12">
        <f>(6+1)/3.281</f>
        <v>2.1334958854007922</v>
      </c>
      <c r="E11" s="12">
        <f>(6+1)/3.281</f>
        <v>2.1334958854007922</v>
      </c>
      <c r="F11" s="12">
        <f>5.5/3.281</f>
        <v>1.6763181956720512</v>
      </c>
      <c r="G11" s="62">
        <f>PRODUCT(C11:F11)</f>
        <v>38.151365150291994</v>
      </c>
      <c r="H11" s="60"/>
      <c r="I11" s="60"/>
      <c r="J11" s="60"/>
      <c r="K11" s="58"/>
      <c r="M11" s="71"/>
    </row>
    <row r="12" spans="1:13" s="1" customFormat="1" x14ac:dyDescent="0.25">
      <c r="A12" s="57"/>
      <c r="B12" s="61" t="s">
        <v>42</v>
      </c>
      <c r="C12" s="59">
        <v>5</v>
      </c>
      <c r="D12" s="12">
        <f>(7+1)/3.281</f>
        <v>2.4382810118866196</v>
      </c>
      <c r="E12" s="12">
        <f>(11.42+1)/3.281</f>
        <v>3.7854312709539775</v>
      </c>
      <c r="F12" s="12">
        <f>5.5/3.281</f>
        <v>1.6763181956720512</v>
      </c>
      <c r="G12" s="62">
        <f>PRODUCT(C12:F12)</f>
        <v>77.361625333326799</v>
      </c>
      <c r="H12" s="60"/>
      <c r="I12" s="60"/>
      <c r="J12" s="60"/>
      <c r="K12" s="58"/>
      <c r="M12" s="71"/>
    </row>
    <row r="13" spans="1:13" s="1" customFormat="1" x14ac:dyDescent="0.25">
      <c r="A13" s="57"/>
      <c r="B13" s="75" t="s">
        <v>51</v>
      </c>
      <c r="C13" s="59"/>
      <c r="D13" s="12"/>
      <c r="E13" s="12"/>
      <c r="F13" s="12"/>
      <c r="G13" s="62"/>
      <c r="H13" s="60"/>
      <c r="I13" s="60"/>
      <c r="J13" s="60"/>
      <c r="K13" s="58"/>
      <c r="M13" s="71"/>
    </row>
    <row r="14" spans="1:13" s="1" customFormat="1" x14ac:dyDescent="0.25">
      <c r="A14" s="57"/>
      <c r="B14" s="61" t="s">
        <v>53</v>
      </c>
      <c r="C14" s="59">
        <v>3</v>
      </c>
      <c r="D14" s="12">
        <f>5.17/3.281</f>
        <v>1.5757391039317281</v>
      </c>
      <c r="E14" s="12">
        <v>0.3</v>
      </c>
      <c r="F14" s="12">
        <f>(5.5-2.5+0.5)/3.281</f>
        <v>1.0667479427003961</v>
      </c>
      <c r="G14" s="62">
        <f>PRODUCT(C14:F14)</f>
        <v>1.5128248026165629</v>
      </c>
      <c r="H14" s="60"/>
      <c r="I14" s="60"/>
      <c r="J14" s="60"/>
      <c r="K14" s="58"/>
      <c r="M14" s="71"/>
    </row>
    <row r="15" spans="1:13" s="1" customFormat="1" ht="45" x14ac:dyDescent="0.25">
      <c r="A15" s="57"/>
      <c r="B15" s="61" t="s">
        <v>54</v>
      </c>
      <c r="C15" s="59">
        <v>9</v>
      </c>
      <c r="D15" s="12">
        <f>6.583/3.281</f>
        <v>2.0064004876562023</v>
      </c>
      <c r="E15" s="12">
        <v>0.3</v>
      </c>
      <c r="F15" s="12">
        <f t="shared" ref="F15:F16" si="0">(5.5-2.5+0.5)/3.281</f>
        <v>1.0667479427003961</v>
      </c>
      <c r="G15" s="62">
        <f t="shared" ref="G15:G16" si="1">PRODUCT(C15:F15)</f>
        <v>5.7788736995888774</v>
      </c>
      <c r="H15" s="60"/>
      <c r="I15" s="60"/>
      <c r="J15" s="60"/>
      <c r="K15" s="58"/>
      <c r="M15" s="71"/>
    </row>
    <row r="16" spans="1:13" s="1" customFormat="1" ht="30" x14ac:dyDescent="0.25">
      <c r="A16" s="57"/>
      <c r="B16" s="61" t="s">
        <v>58</v>
      </c>
      <c r="C16" s="59">
        <v>5</v>
      </c>
      <c r="D16" s="12">
        <f>6.917/3.281</f>
        <v>2.1081987199024685</v>
      </c>
      <c r="E16" s="12">
        <v>0.3</v>
      </c>
      <c r="F16" s="12">
        <f t="shared" si="0"/>
        <v>1.0667479427003961</v>
      </c>
      <c r="G16" s="62">
        <f t="shared" si="1"/>
        <v>3.3733749708893499</v>
      </c>
      <c r="H16" s="60"/>
      <c r="I16" s="60"/>
      <c r="J16" s="60"/>
      <c r="K16" s="58"/>
      <c r="M16" s="71"/>
    </row>
    <row r="17" spans="1:13" ht="15" customHeight="1" x14ac:dyDescent="0.25">
      <c r="A17" s="18"/>
      <c r="B17" s="35" t="s">
        <v>33</v>
      </c>
      <c r="C17" s="19"/>
      <c r="D17" s="20"/>
      <c r="E17" s="21"/>
      <c r="F17" s="21"/>
      <c r="G17" s="23">
        <f>SUM(G11:G16)</f>
        <v>126.17806395671357</v>
      </c>
      <c r="H17" s="22" t="s">
        <v>40</v>
      </c>
      <c r="I17" s="23">
        <v>58.36</v>
      </c>
      <c r="J17" s="39">
        <f>G17*I17</f>
        <v>7363.751812513804</v>
      </c>
      <c r="K17" s="21"/>
    </row>
    <row r="18" spans="1:13" ht="15" customHeight="1" x14ac:dyDescent="0.25">
      <c r="A18" s="18"/>
      <c r="B18" s="35"/>
      <c r="C18" s="19"/>
      <c r="D18" s="20"/>
      <c r="E18" s="21"/>
      <c r="F18" s="21"/>
      <c r="G18" s="23"/>
      <c r="H18" s="22"/>
      <c r="I18" s="23"/>
      <c r="J18" s="39"/>
      <c r="K18" s="21"/>
    </row>
    <row r="19" spans="1:13" ht="15.75" x14ac:dyDescent="0.25">
      <c r="A19" s="18">
        <v>2</v>
      </c>
      <c r="B19" s="72" t="s">
        <v>43</v>
      </c>
      <c r="C19" s="19"/>
      <c r="D19" s="20"/>
      <c r="E19" s="21"/>
      <c r="F19" s="21"/>
      <c r="G19" s="32"/>
      <c r="H19" s="22"/>
      <c r="I19" s="23"/>
      <c r="J19" s="32"/>
      <c r="K19" s="21"/>
    </row>
    <row r="20" spans="1:13" x14ac:dyDescent="0.25">
      <c r="A20" s="18"/>
      <c r="B20" s="75" t="str">
        <f t="shared" ref="B20:B26" si="2">B10</f>
        <v>-footing</v>
      </c>
      <c r="C20" s="19"/>
      <c r="D20" s="20"/>
      <c r="E20" s="21"/>
      <c r="F20" s="21"/>
      <c r="G20" s="32"/>
      <c r="H20" s="22"/>
      <c r="I20" s="23"/>
      <c r="J20" s="32"/>
      <c r="K20" s="21"/>
    </row>
    <row r="21" spans="1:13" s="1" customFormat="1" x14ac:dyDescent="0.25">
      <c r="A21" s="57"/>
      <c r="B21" s="61" t="str">
        <f t="shared" si="2"/>
        <v>-F1</v>
      </c>
      <c r="C21" s="59">
        <v>5</v>
      </c>
      <c r="D21" s="12">
        <v>1.8287107589149649</v>
      </c>
      <c r="E21" s="12">
        <v>1.8287107589149649</v>
      </c>
      <c r="F21" s="12"/>
      <c r="G21" s="62">
        <f>PRODUCT(C21:F21)</f>
        <v>16.720915198856733</v>
      </c>
      <c r="H21" s="60"/>
      <c r="I21" s="60"/>
      <c r="J21" s="60"/>
      <c r="K21" s="58"/>
      <c r="M21" s="71"/>
    </row>
    <row r="22" spans="1:13" s="1" customFormat="1" x14ac:dyDescent="0.25">
      <c r="A22" s="57"/>
      <c r="B22" s="61" t="str">
        <f t="shared" si="2"/>
        <v>-CF1</v>
      </c>
      <c r="C22" s="59">
        <v>5</v>
      </c>
      <c r="D22" s="12">
        <v>2.1334958854007922</v>
      </c>
      <c r="E22" s="12">
        <v>3.4806461444681496</v>
      </c>
      <c r="F22" s="12"/>
      <c r="G22" s="62">
        <f>PRODUCT(C22:F22)</f>
        <v>37.129721138794643</v>
      </c>
      <c r="H22" s="60"/>
      <c r="I22" s="60"/>
      <c r="J22" s="60"/>
      <c r="K22" s="58"/>
      <c r="M22" s="71"/>
    </row>
    <row r="23" spans="1:13" s="1" customFormat="1" x14ac:dyDescent="0.25">
      <c r="A23" s="57"/>
      <c r="B23" s="75" t="str">
        <f t="shared" si="2"/>
        <v>-Base beam and Tie beam</v>
      </c>
      <c r="C23" s="59"/>
      <c r="D23" s="12"/>
      <c r="E23" s="12"/>
      <c r="F23" s="12"/>
      <c r="G23" s="62"/>
      <c r="H23" s="60"/>
      <c r="I23" s="60"/>
      <c r="J23" s="60"/>
      <c r="K23" s="58"/>
      <c r="M23" s="71"/>
    </row>
    <row r="24" spans="1:13" s="1" customFormat="1" x14ac:dyDescent="0.25">
      <c r="A24" s="57"/>
      <c r="B24" s="61" t="str">
        <f t="shared" si="2"/>
        <v>-Grid A(1-2), B(1-2), C(1-2)</v>
      </c>
      <c r="C24" s="59">
        <f>C14</f>
        <v>3</v>
      </c>
      <c r="D24" s="12">
        <f>D14</f>
        <v>1.5757391039317281</v>
      </c>
      <c r="E24" s="12">
        <f>E14</f>
        <v>0.3</v>
      </c>
      <c r="F24" s="12"/>
      <c r="G24" s="62">
        <f>PRODUCT(C24:F24)</f>
        <v>1.4181651935385553</v>
      </c>
      <c r="H24" s="60"/>
      <c r="I24" s="60"/>
      <c r="J24" s="60"/>
      <c r="K24" s="58"/>
      <c r="M24" s="71"/>
    </row>
    <row r="25" spans="1:13" s="1" customFormat="1" ht="45" x14ac:dyDescent="0.25">
      <c r="A25" s="57"/>
      <c r="B25" s="61" t="str">
        <f t="shared" si="2"/>
        <v>-Grid A(2-3), A(3-4), A(4-5), B(2-3), B(3-4), B(4-5), C(2-3), C(3-4), C(4-5)</v>
      </c>
      <c r="C25" s="59">
        <f>C15</f>
        <v>9</v>
      </c>
      <c r="D25" s="12">
        <f t="shared" ref="D25:E25" si="3">D15</f>
        <v>2.0064004876562023</v>
      </c>
      <c r="E25" s="12">
        <f t="shared" si="3"/>
        <v>0.3</v>
      </c>
      <c r="F25" s="12"/>
      <c r="G25" s="62">
        <f t="shared" ref="G25:G26" si="4">PRODUCT(C25:F25)</f>
        <v>5.4172813166717457</v>
      </c>
      <c r="H25" s="60"/>
      <c r="I25" s="60"/>
      <c r="J25" s="60"/>
      <c r="K25" s="58"/>
      <c r="M25" s="71"/>
    </row>
    <row r="26" spans="1:13" s="1" customFormat="1" ht="30" x14ac:dyDescent="0.25">
      <c r="A26" s="57"/>
      <c r="B26" s="61" t="str">
        <f t="shared" si="2"/>
        <v>-Grid 1(A-B), 2(A-B), 3(A-B), 4(A-B), 5(A-B)</v>
      </c>
      <c r="C26" s="59">
        <f>C16</f>
        <v>5</v>
      </c>
      <c r="D26" s="12">
        <f t="shared" ref="D26:E26" si="5">D16</f>
        <v>2.1081987199024685</v>
      </c>
      <c r="E26" s="12">
        <f t="shared" si="5"/>
        <v>0.3</v>
      </c>
      <c r="F26" s="12"/>
      <c r="G26" s="62">
        <f t="shared" si="4"/>
        <v>3.1622980798537026</v>
      </c>
      <c r="H26" s="60"/>
      <c r="I26" s="60"/>
      <c r="J26" s="60"/>
      <c r="K26" s="58"/>
      <c r="M26" s="71"/>
    </row>
    <row r="27" spans="1:13" ht="15" customHeight="1" x14ac:dyDescent="0.25">
      <c r="A27" s="18"/>
      <c r="B27" s="35" t="s">
        <v>33</v>
      </c>
      <c r="C27" s="19"/>
      <c r="D27" s="20"/>
      <c r="E27" s="21"/>
      <c r="F27" s="21"/>
      <c r="G27" s="23">
        <f>SUM(G21:G26)</f>
        <v>63.84838092771539</v>
      </c>
      <c r="H27" s="22" t="s">
        <v>35</v>
      </c>
      <c r="I27" s="23">
        <v>1167.21</v>
      </c>
      <c r="J27" s="39">
        <f>G27*I27</f>
        <v>74524.468702638682</v>
      </c>
      <c r="K27" s="21"/>
    </row>
    <row r="28" spans="1:13" x14ac:dyDescent="0.25">
      <c r="A28" s="18"/>
      <c r="B28" s="29"/>
      <c r="C28" s="19"/>
      <c r="D28" s="20"/>
      <c r="E28" s="21"/>
      <c r="F28" s="21"/>
      <c r="G28" s="32"/>
      <c r="H28" s="22"/>
      <c r="I28" s="23"/>
      <c r="J28" s="32"/>
      <c r="K28" s="21"/>
    </row>
    <row r="29" spans="1:13" ht="30.75" x14ac:dyDescent="0.25">
      <c r="A29" s="18">
        <v>3</v>
      </c>
      <c r="B29" s="72" t="s">
        <v>44</v>
      </c>
      <c r="C29" s="19"/>
      <c r="D29" s="20"/>
      <c r="E29" s="21"/>
      <c r="F29" s="21"/>
      <c r="G29" s="32"/>
      <c r="H29" s="22"/>
      <c r="I29" s="23"/>
      <c r="J29" s="32"/>
      <c r="K29" s="21"/>
    </row>
    <row r="30" spans="1:13" x14ac:dyDescent="0.25">
      <c r="A30" s="18"/>
      <c r="B30" s="75" t="str">
        <f>B20</f>
        <v>-footing</v>
      </c>
      <c r="C30" s="19"/>
      <c r="D30" s="20"/>
      <c r="E30" s="21"/>
      <c r="F30" s="21"/>
      <c r="G30" s="32"/>
      <c r="H30" s="22"/>
      <c r="I30" s="23"/>
      <c r="J30" s="32"/>
      <c r="K30" s="21"/>
    </row>
    <row r="31" spans="1:13" s="1" customFormat="1" x14ac:dyDescent="0.25">
      <c r="A31" s="57"/>
      <c r="B31" s="61" t="str">
        <f>B21</f>
        <v>-F1</v>
      </c>
      <c r="C31" s="59">
        <f t="shared" ref="C31:E32" si="6">C21</f>
        <v>5</v>
      </c>
      <c r="D31" s="12">
        <f t="shared" si="6"/>
        <v>1.8287107589149649</v>
      </c>
      <c r="E31" s="12">
        <f t="shared" si="6"/>
        <v>1.8287107589149649</v>
      </c>
      <c r="F31" s="12">
        <v>0.1</v>
      </c>
      <c r="G31" s="62">
        <f>PRODUCT(C31:F31)</f>
        <v>1.6720915198856734</v>
      </c>
      <c r="H31" s="60"/>
      <c r="I31" s="60"/>
      <c r="J31" s="60"/>
      <c r="K31" s="58"/>
      <c r="M31" s="71"/>
    </row>
    <row r="32" spans="1:13" s="1" customFormat="1" x14ac:dyDescent="0.25">
      <c r="A32" s="57"/>
      <c r="B32" s="61" t="str">
        <f>B22</f>
        <v>-CF1</v>
      </c>
      <c r="C32" s="59">
        <f t="shared" si="6"/>
        <v>5</v>
      </c>
      <c r="D32" s="12">
        <f t="shared" si="6"/>
        <v>2.1334958854007922</v>
      </c>
      <c r="E32" s="12">
        <f t="shared" si="6"/>
        <v>3.4806461444681496</v>
      </c>
      <c r="F32" s="12">
        <v>0.1</v>
      </c>
      <c r="G32" s="62">
        <f>PRODUCT(C32:F32)</f>
        <v>3.7129721138794647</v>
      </c>
      <c r="H32" s="60"/>
      <c r="I32" s="60"/>
      <c r="J32" s="60"/>
      <c r="K32" s="58"/>
      <c r="M32" s="71"/>
    </row>
    <row r="33" spans="1:13" s="1" customFormat="1" x14ac:dyDescent="0.25">
      <c r="A33" s="57"/>
      <c r="B33" s="75" t="str">
        <f>B23</f>
        <v>-Base beam and Tie beam</v>
      </c>
      <c r="C33" s="59"/>
      <c r="D33" s="12"/>
      <c r="E33" s="12"/>
      <c r="F33" s="12"/>
      <c r="G33" s="62"/>
      <c r="H33" s="60"/>
      <c r="I33" s="60"/>
      <c r="J33" s="60"/>
      <c r="K33" s="58"/>
      <c r="M33" s="71"/>
    </row>
    <row r="34" spans="1:13" s="1" customFormat="1" x14ac:dyDescent="0.25">
      <c r="A34" s="57"/>
      <c r="B34" s="61" t="str">
        <f>B24</f>
        <v>-Grid A(1-2), B(1-2), C(1-2)</v>
      </c>
      <c r="C34" s="59">
        <f>C24</f>
        <v>3</v>
      </c>
      <c r="D34" s="12">
        <f>D24</f>
        <v>1.5757391039317281</v>
      </c>
      <c r="E34" s="12">
        <v>0.23</v>
      </c>
      <c r="F34" s="12">
        <v>0.1</v>
      </c>
      <c r="G34" s="62">
        <f>PRODUCT(C34:F34)</f>
        <v>0.10872599817128925</v>
      </c>
      <c r="H34" s="60"/>
      <c r="I34" s="60"/>
      <c r="J34" s="60"/>
      <c r="K34" s="58"/>
      <c r="M34" s="71"/>
    </row>
    <row r="35" spans="1:13" s="1" customFormat="1" ht="45" x14ac:dyDescent="0.25">
      <c r="A35" s="57"/>
      <c r="B35" s="61" t="str">
        <f t="shared" ref="B35:D36" si="7">B25</f>
        <v>-Grid A(2-3), A(3-4), A(4-5), B(2-3), B(3-4), B(4-5), C(2-3), C(3-4), C(4-5)</v>
      </c>
      <c r="C35" s="59">
        <f t="shared" si="7"/>
        <v>9</v>
      </c>
      <c r="D35" s="12">
        <f t="shared" si="7"/>
        <v>2.0064004876562023</v>
      </c>
      <c r="E35" s="12">
        <v>0.23</v>
      </c>
      <c r="F35" s="12">
        <v>0.1</v>
      </c>
      <c r="G35" s="62">
        <f t="shared" ref="G35:G36" si="8">PRODUCT(C35:F35)</f>
        <v>0.41532490094483387</v>
      </c>
      <c r="H35" s="60"/>
      <c r="I35" s="60"/>
      <c r="J35" s="60"/>
      <c r="K35" s="58"/>
      <c r="M35" s="71"/>
    </row>
    <row r="36" spans="1:13" s="1" customFormat="1" ht="30" x14ac:dyDescent="0.25">
      <c r="A36" s="57"/>
      <c r="B36" s="61" t="str">
        <f t="shared" si="7"/>
        <v>-Grid 1(A-B), 2(A-B), 3(A-B), 4(A-B), 5(A-B)</v>
      </c>
      <c r="C36" s="59">
        <f t="shared" si="7"/>
        <v>5</v>
      </c>
      <c r="D36" s="12">
        <f t="shared" si="7"/>
        <v>2.1081987199024685</v>
      </c>
      <c r="E36" s="12">
        <v>0.23</v>
      </c>
      <c r="F36" s="12">
        <v>0.1</v>
      </c>
      <c r="G36" s="62">
        <f t="shared" si="8"/>
        <v>0.24244285278878391</v>
      </c>
      <c r="H36" s="60"/>
      <c r="I36" s="60"/>
      <c r="J36" s="60"/>
      <c r="K36" s="58"/>
      <c r="M36" s="71"/>
    </row>
    <row r="37" spans="1:13" ht="15" customHeight="1" x14ac:dyDescent="0.25">
      <c r="A37" s="18"/>
      <c r="B37" s="35" t="s">
        <v>33</v>
      </c>
      <c r="C37" s="19"/>
      <c r="D37" s="20"/>
      <c r="E37" s="21"/>
      <c r="F37" s="21"/>
      <c r="G37" s="23">
        <f>SUM(G31:G36)</f>
        <v>6.1515573856700456</v>
      </c>
      <c r="H37" s="22" t="s">
        <v>35</v>
      </c>
      <c r="I37" s="23">
        <v>14930.57</v>
      </c>
      <c r="J37" s="39">
        <f>G37*I37</f>
        <v>91846.258155763615</v>
      </c>
      <c r="K37" s="21"/>
    </row>
    <row r="38" spans="1:13" x14ac:dyDescent="0.25">
      <c r="A38" s="18"/>
      <c r="B38" s="29"/>
      <c r="C38" s="19"/>
      <c r="D38" s="20"/>
      <c r="E38" s="21"/>
      <c r="F38" s="21"/>
      <c r="G38" s="32"/>
      <c r="H38" s="22"/>
      <c r="I38" s="23"/>
      <c r="J38" s="32"/>
      <c r="K38" s="21"/>
    </row>
    <row r="39" spans="1:13" ht="45" x14ac:dyDescent="0.25">
      <c r="A39" s="18">
        <v>4</v>
      </c>
      <c r="B39" s="72" t="s">
        <v>45</v>
      </c>
      <c r="C39" s="19" t="s">
        <v>7</v>
      </c>
      <c r="D39" s="55" t="s">
        <v>36</v>
      </c>
      <c r="E39" s="56" t="s">
        <v>46</v>
      </c>
      <c r="F39" s="56" t="s">
        <v>47</v>
      </c>
      <c r="G39" s="56" t="s">
        <v>48</v>
      </c>
      <c r="H39" s="22"/>
      <c r="I39" s="23"/>
      <c r="J39" s="32"/>
      <c r="K39" s="21"/>
    </row>
    <row r="40" spans="1:13" x14ac:dyDescent="0.25">
      <c r="A40" s="18"/>
      <c r="B40" s="75" t="str">
        <f>B20</f>
        <v>-footing</v>
      </c>
      <c r="C40" s="19"/>
      <c r="D40" s="55"/>
      <c r="E40" s="56"/>
      <c r="F40" s="56"/>
      <c r="G40" s="56"/>
      <c r="H40" s="22"/>
      <c r="I40" s="23"/>
      <c r="J40" s="32"/>
      <c r="K40" s="21"/>
    </row>
    <row r="41" spans="1:13" s="1" customFormat="1" x14ac:dyDescent="0.25">
      <c r="A41" s="57"/>
      <c r="B41" s="61" t="str">
        <f>B31</f>
        <v>-F1</v>
      </c>
      <c r="C41" s="59">
        <f>C21*(TRUNC((D42-0.1)/0.15,0)+1)</f>
        <v>60</v>
      </c>
      <c r="D41" s="12">
        <f>D21</f>
        <v>1.8287107589149649</v>
      </c>
      <c r="E41" s="12">
        <f>12*12/162</f>
        <v>0.88888888888888884</v>
      </c>
      <c r="F41" s="12">
        <f>PRODUCT(C41:E41)</f>
        <v>97.531240475464784</v>
      </c>
      <c r="G41" s="62">
        <f>F41/1000</f>
        <v>9.7531240475464784E-2</v>
      </c>
      <c r="H41" s="60"/>
      <c r="I41" s="60"/>
      <c r="J41" s="60"/>
      <c r="K41" s="58"/>
      <c r="M41" s="71"/>
    </row>
    <row r="42" spans="1:13" s="1" customFormat="1" x14ac:dyDescent="0.25">
      <c r="A42" s="57"/>
      <c r="B42" s="61"/>
      <c r="C42" s="59">
        <f>C21*(TRUNC((D41-0.1)/0.15,0)+1)</f>
        <v>60</v>
      </c>
      <c r="D42" s="12">
        <f>E31</f>
        <v>1.8287107589149649</v>
      </c>
      <c r="E42" s="12">
        <f t="shared" ref="E42:E44" si="9">12*12/162</f>
        <v>0.88888888888888884</v>
      </c>
      <c r="F42" s="12">
        <f t="shared" ref="F42:F44" si="10">PRODUCT(C42:E42)</f>
        <v>97.531240475464784</v>
      </c>
      <c r="G42" s="62">
        <f t="shared" ref="G42:G91" si="11">F42/1000</f>
        <v>9.7531240475464784E-2</v>
      </c>
      <c r="H42" s="60"/>
      <c r="I42" s="60"/>
      <c r="J42" s="60"/>
      <c r="K42" s="58"/>
      <c r="M42" s="71"/>
    </row>
    <row r="43" spans="1:13" s="1" customFormat="1" x14ac:dyDescent="0.25">
      <c r="A43" s="57"/>
      <c r="B43" s="61" t="str">
        <f>B32</f>
        <v>-CF1</v>
      </c>
      <c r="C43" s="59">
        <f>C22*(TRUNC((D44-0.1)/0.15,0)+1)</f>
        <v>115</v>
      </c>
      <c r="D43" s="12">
        <f>D22</f>
        <v>2.1334958854007922</v>
      </c>
      <c r="E43" s="12">
        <f t="shared" si="9"/>
        <v>0.88888888888888884</v>
      </c>
      <c r="F43" s="12">
        <f t="shared" si="10"/>
        <v>218.09069050763651</v>
      </c>
      <c r="G43" s="62">
        <f t="shared" si="11"/>
        <v>0.21809069050763652</v>
      </c>
      <c r="H43" s="60"/>
      <c r="I43" s="60"/>
      <c r="J43" s="60"/>
      <c r="K43" s="58"/>
      <c r="M43" s="71"/>
    </row>
    <row r="44" spans="1:13" s="1" customFormat="1" x14ac:dyDescent="0.25">
      <c r="A44" s="57"/>
      <c r="B44" s="61"/>
      <c r="C44" s="59">
        <f>C22*(TRUNC((D43-0.1)/0.15,0)+1)</f>
        <v>70</v>
      </c>
      <c r="D44" s="12">
        <f>E32</f>
        <v>3.4806461444681496</v>
      </c>
      <c r="E44" s="12">
        <f t="shared" si="9"/>
        <v>0.88888888888888884</v>
      </c>
      <c r="F44" s="12">
        <f t="shared" si="10"/>
        <v>216.57353787801819</v>
      </c>
      <c r="G44" s="62">
        <f t="shared" si="11"/>
        <v>0.2165735378780182</v>
      </c>
      <c r="H44" s="60"/>
      <c r="I44" s="60"/>
      <c r="J44" s="60"/>
      <c r="K44" s="58"/>
      <c r="M44" s="71"/>
    </row>
    <row r="45" spans="1:13" s="1" customFormat="1" x14ac:dyDescent="0.25">
      <c r="A45" s="57"/>
      <c r="B45" s="75" t="str">
        <f>B33</f>
        <v>-Base beam and Tie beam</v>
      </c>
      <c r="C45" s="59"/>
      <c r="D45" s="12"/>
      <c r="E45" s="12"/>
      <c r="F45" s="12"/>
      <c r="G45" s="62"/>
      <c r="H45" s="60"/>
      <c r="I45" s="60"/>
      <c r="J45" s="60"/>
      <c r="K45" s="58"/>
      <c r="M45" s="71"/>
    </row>
    <row r="46" spans="1:13" s="1" customFormat="1" ht="30" x14ac:dyDescent="0.25">
      <c r="A46" s="57"/>
      <c r="B46" s="61" t="s">
        <v>56</v>
      </c>
      <c r="C46" s="59">
        <f>3*5</f>
        <v>15</v>
      </c>
      <c r="D46" s="12">
        <f>(50-0.42+1*2)/3.281</f>
        <v>15.72081682413898</v>
      </c>
      <c r="E46" s="12">
        <f>16*16/162</f>
        <v>1.5802469135802468</v>
      </c>
      <c r="F46" s="12">
        <f t="shared" ref="F46:F49" si="12">PRODUCT(C46:E46)</f>
        <v>372.64158397959062</v>
      </c>
      <c r="G46" s="62">
        <f t="shared" si="11"/>
        <v>0.37264158397959063</v>
      </c>
      <c r="H46" s="60"/>
      <c r="I46" s="60"/>
      <c r="J46" s="60"/>
      <c r="K46" s="58"/>
      <c r="M46" s="71"/>
    </row>
    <row r="47" spans="1:13" s="1" customFormat="1" x14ac:dyDescent="0.25">
      <c r="A47" s="57"/>
      <c r="B47" s="61"/>
      <c r="C47" s="59">
        <f>3</f>
        <v>3</v>
      </c>
      <c r="D47" s="12">
        <f>(50-0.42+1*2)/3.281</f>
        <v>15.72081682413898</v>
      </c>
      <c r="E47" s="12">
        <f>12*12/162</f>
        <v>0.88888888888888884</v>
      </c>
      <c r="F47" s="12">
        <f t="shared" si="12"/>
        <v>41.92217819770395</v>
      </c>
      <c r="G47" s="62">
        <f t="shared" si="11"/>
        <v>4.1922178197703948E-2</v>
      </c>
      <c r="H47" s="60"/>
      <c r="I47" s="60"/>
      <c r="J47" s="60"/>
      <c r="K47" s="58"/>
      <c r="M47" s="71"/>
    </row>
    <row r="48" spans="1:13" s="1" customFormat="1" ht="30" x14ac:dyDescent="0.25">
      <c r="A48" s="57"/>
      <c r="B48" s="61" t="s">
        <v>57</v>
      </c>
      <c r="C48" s="59">
        <f>5*5</f>
        <v>25</v>
      </c>
      <c r="D48" s="12">
        <f>(19-0.42+1*2)/3.281</f>
        <v>6.2724779030783289</v>
      </c>
      <c r="E48" s="12">
        <f>16*16/162</f>
        <v>1.5802469135802468</v>
      </c>
      <c r="F48" s="12">
        <f t="shared" si="12"/>
        <v>247.80159617099571</v>
      </c>
      <c r="G48" s="62">
        <f t="shared" si="11"/>
        <v>0.2478015961709957</v>
      </c>
      <c r="H48" s="60"/>
      <c r="I48" s="60"/>
      <c r="J48" s="60"/>
      <c r="K48" s="58"/>
      <c r="M48" s="71"/>
    </row>
    <row r="49" spans="1:13" s="1" customFormat="1" x14ac:dyDescent="0.25">
      <c r="A49" s="57"/>
      <c r="B49" s="61"/>
      <c r="C49" s="59">
        <f>5*1</f>
        <v>5</v>
      </c>
      <c r="D49" s="12">
        <f>(19-0.42+1*2)/3.281</f>
        <v>6.2724779030783289</v>
      </c>
      <c r="E49" s="12">
        <f>12*12/162</f>
        <v>0.88888888888888884</v>
      </c>
      <c r="F49" s="12">
        <f t="shared" si="12"/>
        <v>27.877679569237017</v>
      </c>
      <c r="G49" s="62">
        <f t="shared" si="11"/>
        <v>2.7877679569237018E-2</v>
      </c>
      <c r="H49" s="60"/>
      <c r="I49" s="60"/>
      <c r="J49" s="60"/>
      <c r="K49" s="58"/>
      <c r="M49" s="71"/>
    </row>
    <row r="50" spans="1:13" s="1" customFormat="1" x14ac:dyDescent="0.25">
      <c r="A50" s="57"/>
      <c r="B50" s="61" t="s">
        <v>61</v>
      </c>
      <c r="C50" s="59">
        <f>C46</f>
        <v>15</v>
      </c>
      <c r="D50" s="12">
        <f>16*60/1000</f>
        <v>0.96</v>
      </c>
      <c r="E50" s="12">
        <f>16*16/162</f>
        <v>1.5802469135802468</v>
      </c>
      <c r="F50" s="12">
        <f t="shared" ref="F50" si="13">PRODUCT(C50:E50)</f>
        <v>22.755555555555553</v>
      </c>
      <c r="G50" s="62">
        <f t="shared" si="11"/>
        <v>2.2755555555555553E-2</v>
      </c>
      <c r="H50" s="60"/>
      <c r="I50" s="60"/>
      <c r="J50" s="60"/>
      <c r="K50" s="58"/>
      <c r="M50" s="71"/>
    </row>
    <row r="51" spans="1:13" s="1" customFormat="1" x14ac:dyDescent="0.25">
      <c r="A51" s="57"/>
      <c r="B51" s="61"/>
      <c r="C51" s="59">
        <f>C47</f>
        <v>3</v>
      </c>
      <c r="D51" s="12">
        <f>12*60/1000</f>
        <v>0.72</v>
      </c>
      <c r="E51" s="12">
        <f>12*12/162</f>
        <v>0.88888888888888884</v>
      </c>
      <c r="F51" s="12">
        <f t="shared" ref="F51" si="14">PRODUCT(C51:E51)</f>
        <v>1.92</v>
      </c>
      <c r="G51" s="62">
        <f t="shared" si="11"/>
        <v>1.9199999999999998E-3</v>
      </c>
      <c r="H51" s="60"/>
      <c r="I51" s="60"/>
      <c r="J51" s="60"/>
      <c r="K51" s="58"/>
      <c r="M51" s="71"/>
    </row>
    <row r="52" spans="1:13" s="1" customFormat="1" x14ac:dyDescent="0.25">
      <c r="A52" s="57"/>
      <c r="B52" s="75" t="s">
        <v>59</v>
      </c>
      <c r="C52" s="59"/>
      <c r="D52" s="12"/>
      <c r="E52" s="12"/>
      <c r="F52" s="12"/>
      <c r="G52" s="62"/>
      <c r="H52" s="60"/>
      <c r="I52" s="60"/>
      <c r="J52" s="60"/>
      <c r="K52" s="58"/>
      <c r="M52" s="71"/>
    </row>
    <row r="53" spans="1:13" s="1" customFormat="1" x14ac:dyDescent="0.25">
      <c r="A53" s="57"/>
      <c r="B53" s="61" t="s">
        <v>60</v>
      </c>
      <c r="C53" s="59">
        <f>15*4</f>
        <v>60</v>
      </c>
      <c r="D53" s="12">
        <f>(34.25/3.281)+(16*60/1000)+0.3</f>
        <v>11.69889058213959</v>
      </c>
      <c r="E53" s="12">
        <f>16*16/162</f>
        <v>1.5802469135802468</v>
      </c>
      <c r="F53" s="12">
        <f t="shared" ref="F53" si="15">PRODUCT(C53:E53)</f>
        <v>1109.2281440843462</v>
      </c>
      <c r="G53" s="62">
        <f t="shared" si="11"/>
        <v>1.1092281440843463</v>
      </c>
      <c r="H53" s="60"/>
      <c r="I53" s="60"/>
      <c r="J53" s="60"/>
      <c r="K53" s="58"/>
      <c r="M53" s="71">
        <f>39/3.281</f>
        <v>11.886619932947271</v>
      </c>
    </row>
    <row r="54" spans="1:13" s="1" customFormat="1" x14ac:dyDescent="0.25">
      <c r="A54" s="57"/>
      <c r="B54" s="61"/>
      <c r="C54" s="59">
        <f>15*4</f>
        <v>60</v>
      </c>
      <c r="D54" s="12">
        <f>(34.25/3.281)+(20*60/1000)+0.3</f>
        <v>11.938890582139591</v>
      </c>
      <c r="E54" s="12">
        <f>20*20/162</f>
        <v>2.4691358024691357</v>
      </c>
      <c r="F54" s="12">
        <f t="shared" ref="F54:F58" si="16">PRODUCT(C54:E54)</f>
        <v>1768.7245306873467</v>
      </c>
      <c r="G54" s="62">
        <f t="shared" si="11"/>
        <v>1.7687245306873467</v>
      </c>
      <c r="H54" s="60"/>
      <c r="I54" s="60"/>
      <c r="J54" s="60"/>
      <c r="K54" s="58"/>
      <c r="M54" s="71"/>
    </row>
    <row r="55" spans="1:13" s="1" customFormat="1" x14ac:dyDescent="0.25">
      <c r="A55" s="57"/>
      <c r="B55" s="61" t="s">
        <v>61</v>
      </c>
      <c r="C55" s="59">
        <f>C53</f>
        <v>60</v>
      </c>
      <c r="D55" s="12">
        <f>16*60/1000</f>
        <v>0.96</v>
      </c>
      <c r="E55" s="12">
        <f>16*16/162</f>
        <v>1.5802469135802468</v>
      </c>
      <c r="F55" s="12">
        <f t="shared" si="16"/>
        <v>91.022222222222211</v>
      </c>
      <c r="G55" s="62">
        <f t="shared" si="11"/>
        <v>9.1022222222222213E-2</v>
      </c>
      <c r="H55" s="60"/>
      <c r="I55" s="60"/>
      <c r="J55" s="60"/>
      <c r="K55" s="58"/>
      <c r="M55" s="71"/>
    </row>
    <row r="56" spans="1:13" s="1" customFormat="1" x14ac:dyDescent="0.25">
      <c r="A56" s="57"/>
      <c r="B56" s="61"/>
      <c r="C56" s="59">
        <f>C54</f>
        <v>60</v>
      </c>
      <c r="D56" s="12">
        <f>20*60/1000</f>
        <v>1.2</v>
      </c>
      <c r="E56" s="12">
        <f>20*20/162</f>
        <v>2.4691358024691357</v>
      </c>
      <c r="F56" s="12">
        <f t="shared" si="16"/>
        <v>177.77777777777777</v>
      </c>
      <c r="G56" s="62">
        <f t="shared" si="11"/>
        <v>0.17777777777777778</v>
      </c>
      <c r="H56" s="60"/>
      <c r="I56" s="60"/>
      <c r="J56" s="60"/>
      <c r="K56" s="58"/>
      <c r="M56" s="71"/>
    </row>
    <row r="57" spans="1:13" ht="15" customHeight="1" x14ac:dyDescent="0.25">
      <c r="A57" s="18"/>
      <c r="B57" s="35" t="s">
        <v>71</v>
      </c>
      <c r="C57" s="34">
        <f>15*(TRUNC((((34.333-1.17*4)/3.281)/0.1),0)+1)</f>
        <v>1365</v>
      </c>
      <c r="D57" s="36">
        <f>((0.917/3.281)*4+0.075*2)</f>
        <v>1.2679518439500153</v>
      </c>
      <c r="E57" s="36">
        <f>10*10/162</f>
        <v>0.61728395061728392</v>
      </c>
      <c r="F57" s="36">
        <f t="shared" si="16"/>
        <v>1068.3668314764018</v>
      </c>
      <c r="G57" s="37">
        <f t="shared" si="11"/>
        <v>1.0683668314764019</v>
      </c>
      <c r="H57" s="38"/>
      <c r="I57" s="21"/>
      <c r="J57" s="5"/>
      <c r="K57" s="5"/>
    </row>
    <row r="58" spans="1:13" ht="15" customHeight="1" x14ac:dyDescent="0.25">
      <c r="A58" s="18"/>
      <c r="B58" s="35"/>
      <c r="C58" s="34">
        <f>15*(TRUNC((((34.333-1.17*4)/3.281)/0.1),0)+1)</f>
        <v>1365</v>
      </c>
      <c r="D58" s="36">
        <f>((0.667/3.281)*4+0.075*2)</f>
        <v>0.9631667174641878</v>
      </c>
      <c r="E58" s="36">
        <f>10*10/162</f>
        <v>0.61728395061728392</v>
      </c>
      <c r="F58" s="36">
        <f t="shared" si="16"/>
        <v>811.55714156704698</v>
      </c>
      <c r="G58" s="37">
        <f t="shared" si="11"/>
        <v>0.81155714156704695</v>
      </c>
      <c r="H58" s="38"/>
      <c r="I58" s="21"/>
      <c r="J58" s="5"/>
      <c r="K58" s="5"/>
    </row>
    <row r="59" spans="1:13" s="1" customFormat="1" x14ac:dyDescent="0.25">
      <c r="A59" s="57"/>
      <c r="B59" s="75" t="s">
        <v>66</v>
      </c>
      <c r="C59" s="59"/>
      <c r="D59" s="12"/>
      <c r="E59" s="12"/>
      <c r="F59" s="12"/>
      <c r="G59" s="62"/>
      <c r="H59" s="60"/>
      <c r="I59" s="60"/>
      <c r="J59" s="60"/>
      <c r="K59" s="58"/>
      <c r="M59" s="71"/>
    </row>
    <row r="60" spans="1:13" s="1" customFormat="1" x14ac:dyDescent="0.25">
      <c r="A60" s="57"/>
      <c r="B60" s="61" t="s">
        <v>65</v>
      </c>
      <c r="C60" s="59"/>
      <c r="D60" s="12"/>
      <c r="E60" s="12"/>
      <c r="F60" s="12"/>
      <c r="G60" s="62"/>
      <c r="H60" s="60"/>
      <c r="I60" s="60"/>
      <c r="J60" s="60"/>
      <c r="K60" s="58"/>
      <c r="M60" s="71"/>
    </row>
    <row r="61" spans="1:13" s="1" customFormat="1" ht="30" x14ac:dyDescent="0.25">
      <c r="A61" s="57"/>
      <c r="B61" s="61" t="str">
        <f>B46</f>
        <v>-Grid (A-A)(1-5), (B-B)(1-5), (C-C)(1-5)</v>
      </c>
      <c r="C61" s="59">
        <f>3*5</f>
        <v>15</v>
      </c>
      <c r="D61" s="12">
        <f>(50-28/12)/3.281+(16*60/1000)*2</f>
        <v>16.448091029157776</v>
      </c>
      <c r="E61" s="12">
        <f>16*16/162</f>
        <v>1.5802469135802468</v>
      </c>
      <c r="F61" s="12">
        <f t="shared" ref="F61:F68" si="17">PRODUCT(C61:E61)</f>
        <v>389.88067624670282</v>
      </c>
      <c r="G61" s="62">
        <f t="shared" si="11"/>
        <v>0.38988067624670281</v>
      </c>
      <c r="H61" s="60"/>
      <c r="I61" s="60"/>
      <c r="J61" s="60"/>
      <c r="K61" s="58"/>
      <c r="M61" s="71"/>
    </row>
    <row r="62" spans="1:13" s="1" customFormat="1" x14ac:dyDescent="0.25">
      <c r="A62" s="57"/>
      <c r="B62" s="61"/>
      <c r="C62" s="59">
        <f>3</f>
        <v>3</v>
      </c>
      <c r="D62" s="12">
        <f>(50-28/12)/3.281+(12*60/1000)*2</f>
        <v>15.968091029157776</v>
      </c>
      <c r="E62" s="12">
        <f>12*12/162</f>
        <v>0.88888888888888884</v>
      </c>
      <c r="F62" s="12">
        <f t="shared" si="17"/>
        <v>42.581576077754065</v>
      </c>
      <c r="G62" s="62">
        <f t="shared" si="11"/>
        <v>4.2581576077754063E-2</v>
      </c>
      <c r="H62" s="60"/>
      <c r="I62" s="60"/>
      <c r="J62" s="60"/>
      <c r="K62" s="58"/>
      <c r="M62" s="71"/>
    </row>
    <row r="63" spans="1:13" ht="15" customHeight="1" x14ac:dyDescent="0.25">
      <c r="A63" s="18"/>
      <c r="B63" s="35" t="s">
        <v>71</v>
      </c>
      <c r="C63" s="34">
        <f>3*(TRUNC((50/3.281-0.41*5-7*0.05)/0.125,0)+1)</f>
        <v>309</v>
      </c>
      <c r="D63" s="36">
        <f>((0.583+1.17)*2+0.5)/3.281</f>
        <v>1.220969216702225</v>
      </c>
      <c r="E63" s="36">
        <f>8*8/162</f>
        <v>0.39506172839506171</v>
      </c>
      <c r="F63" s="36">
        <f t="shared" si="17"/>
        <v>149.04868660187159</v>
      </c>
      <c r="G63" s="37">
        <f t="shared" si="11"/>
        <v>0.14904868660187159</v>
      </c>
      <c r="H63" s="38"/>
      <c r="I63" s="21"/>
      <c r="J63" s="5"/>
      <c r="K63" s="5"/>
    </row>
    <row r="64" spans="1:13" s="1" customFormat="1" ht="30" x14ac:dyDescent="0.25">
      <c r="A64" s="57"/>
      <c r="B64" s="61" t="str">
        <f>B48</f>
        <v xml:space="preserve">-Grid (1-1)(A-C), (2-2)(A-C), (3-3)(A-C), (4-4)(A-C), (5-5)(A-C) </v>
      </c>
      <c r="C64" s="59">
        <f>5*5</f>
        <v>25</v>
      </c>
      <c r="D64" s="12">
        <f>(19-28/12)/3.281+(16*60/1000)*2</f>
        <v>6.999752108097125</v>
      </c>
      <c r="E64" s="12">
        <f>16*16/162</f>
        <v>1.5802469135802468</v>
      </c>
      <c r="F64" s="12">
        <f t="shared" si="17"/>
        <v>276.53341661618271</v>
      </c>
      <c r="G64" s="62">
        <f t="shared" si="11"/>
        <v>0.27653341661618269</v>
      </c>
      <c r="H64" s="60"/>
      <c r="I64" s="60"/>
      <c r="J64" s="60"/>
      <c r="K64" s="58"/>
      <c r="M64" s="71"/>
    </row>
    <row r="65" spans="1:13" s="1" customFormat="1" x14ac:dyDescent="0.25">
      <c r="A65" s="57"/>
      <c r="B65" s="61"/>
      <c r="C65" s="59">
        <f>5*1</f>
        <v>5</v>
      </c>
      <c r="D65" s="12">
        <f>(19-28/12)/3.281+(12*60/1000)*2</f>
        <v>6.5197521080971246</v>
      </c>
      <c r="E65" s="12">
        <f>12*12/162</f>
        <v>0.88888888888888884</v>
      </c>
      <c r="F65" s="12">
        <f t="shared" si="17"/>
        <v>28.976676035987218</v>
      </c>
      <c r="G65" s="62">
        <f t="shared" si="11"/>
        <v>2.8976676035987217E-2</v>
      </c>
      <c r="H65" s="60"/>
      <c r="I65" s="60"/>
      <c r="J65" s="60"/>
      <c r="K65" s="58"/>
      <c r="M65" s="71"/>
    </row>
    <row r="66" spans="1:13" ht="15" customHeight="1" x14ac:dyDescent="0.25">
      <c r="A66" s="18"/>
      <c r="B66" s="35" t="s">
        <v>71</v>
      </c>
      <c r="C66" s="34">
        <f>5*(TRUNC((19/3.281-0.41*3-4*0.05)/0.125,0)+1)</f>
        <v>175</v>
      </c>
      <c r="D66" s="36">
        <f>((0.583+1.17)*2+0.5)/3.281</f>
        <v>1.220969216702225</v>
      </c>
      <c r="E66" s="36">
        <f>8*8/162</f>
        <v>0.39506172839506171</v>
      </c>
      <c r="F66" s="36">
        <f t="shared" ref="F66" si="18">PRODUCT(C66:E66)</f>
        <v>84.412686586820485</v>
      </c>
      <c r="G66" s="37">
        <f t="shared" si="11"/>
        <v>8.4412686586820482E-2</v>
      </c>
      <c r="H66" s="38"/>
      <c r="I66" s="21"/>
      <c r="J66" s="5"/>
      <c r="K66" s="5"/>
    </row>
    <row r="67" spans="1:13" s="1" customFormat="1" x14ac:dyDescent="0.25">
      <c r="A67" s="57"/>
      <c r="B67" s="61" t="s">
        <v>61</v>
      </c>
      <c r="C67" s="59">
        <f>C61</f>
        <v>15</v>
      </c>
      <c r="D67" s="12">
        <f>16*60/1000</f>
        <v>0.96</v>
      </c>
      <c r="E67" s="12">
        <f>16*16/162</f>
        <v>1.5802469135802468</v>
      </c>
      <c r="F67" s="12">
        <f t="shared" si="17"/>
        <v>22.755555555555553</v>
      </c>
      <c r="G67" s="62">
        <f t="shared" si="11"/>
        <v>2.2755555555555553E-2</v>
      </c>
      <c r="H67" s="60"/>
      <c r="I67" s="60"/>
      <c r="J67" s="60"/>
      <c r="K67" s="58"/>
      <c r="M67" s="71"/>
    </row>
    <row r="68" spans="1:13" s="1" customFormat="1" x14ac:dyDescent="0.25">
      <c r="A68" s="57"/>
      <c r="B68" s="61"/>
      <c r="C68" s="59">
        <f>C62</f>
        <v>3</v>
      </c>
      <c r="D68" s="12">
        <f>12*60/1000</f>
        <v>0.72</v>
      </c>
      <c r="E68" s="12">
        <f>12*12/162</f>
        <v>0.88888888888888884</v>
      </c>
      <c r="F68" s="12">
        <f t="shared" si="17"/>
        <v>1.92</v>
      </c>
      <c r="G68" s="62">
        <f t="shared" si="11"/>
        <v>1.9199999999999998E-3</v>
      </c>
      <c r="H68" s="60"/>
      <c r="I68" s="60"/>
      <c r="J68" s="60"/>
      <c r="K68" s="58"/>
      <c r="M68" s="71"/>
    </row>
    <row r="69" spans="1:13" s="1" customFormat="1" x14ac:dyDescent="0.25">
      <c r="A69" s="57"/>
      <c r="B69" s="61" t="s">
        <v>67</v>
      </c>
      <c r="C69" s="59"/>
      <c r="D69" s="12"/>
      <c r="E69" s="12"/>
      <c r="F69" s="12"/>
      <c r="G69" s="62"/>
      <c r="H69" s="60"/>
      <c r="I69" s="60"/>
      <c r="J69" s="60"/>
      <c r="K69" s="58"/>
      <c r="M69" s="71"/>
    </row>
    <row r="70" spans="1:13" s="1" customFormat="1" ht="30" x14ac:dyDescent="0.25">
      <c r="A70" s="57"/>
      <c r="B70" s="61" t="s">
        <v>69</v>
      </c>
      <c r="C70" s="59">
        <f>C61</f>
        <v>15</v>
      </c>
      <c r="D70" s="12">
        <f>D61</f>
        <v>16.448091029157776</v>
      </c>
      <c r="E70" s="12">
        <f>16*16/162</f>
        <v>1.5802469135802468</v>
      </c>
      <c r="F70" s="12">
        <f t="shared" ref="F70:F77" si="19">PRODUCT(C70:E70)</f>
        <v>389.88067624670282</v>
      </c>
      <c r="G70" s="62">
        <f t="shared" si="11"/>
        <v>0.38988067624670281</v>
      </c>
      <c r="H70" s="60"/>
      <c r="I70" s="60"/>
      <c r="J70" s="60"/>
      <c r="K70" s="58"/>
      <c r="M70" s="71"/>
    </row>
    <row r="71" spans="1:13" s="1" customFormat="1" x14ac:dyDescent="0.25">
      <c r="A71" s="57"/>
      <c r="B71" s="61"/>
      <c r="C71" s="59">
        <f>C62</f>
        <v>3</v>
      </c>
      <c r="D71" s="12">
        <f>D62</f>
        <v>15.968091029157776</v>
      </c>
      <c r="E71" s="12">
        <f>12*12/162</f>
        <v>0.88888888888888884</v>
      </c>
      <c r="F71" s="12">
        <f t="shared" si="19"/>
        <v>42.581576077754065</v>
      </c>
      <c r="G71" s="62">
        <f t="shared" si="11"/>
        <v>4.2581576077754063E-2</v>
      </c>
      <c r="H71" s="60"/>
      <c r="I71" s="60"/>
      <c r="J71" s="60"/>
      <c r="K71" s="58"/>
      <c r="M71" s="71"/>
    </row>
    <row r="72" spans="1:13" ht="15" customHeight="1" x14ac:dyDescent="0.25">
      <c r="A72" s="18"/>
      <c r="B72" s="35" t="s">
        <v>71</v>
      </c>
      <c r="C72" s="34">
        <f>3*(TRUNC((50/3.281-0.41*5-7*0.05)/0.125,0)+1)</f>
        <v>309</v>
      </c>
      <c r="D72" s="36">
        <f>((0.583+1.17)*2+0.5)/3.281</f>
        <v>1.220969216702225</v>
      </c>
      <c r="E72" s="36">
        <f>8*8/162</f>
        <v>0.39506172839506171</v>
      </c>
      <c r="F72" s="36">
        <f t="shared" si="19"/>
        <v>149.04868660187159</v>
      </c>
      <c r="G72" s="37">
        <f t="shared" si="11"/>
        <v>0.14904868660187159</v>
      </c>
      <c r="H72" s="38"/>
      <c r="I72" s="21"/>
      <c r="J72" s="5"/>
      <c r="K72" s="5"/>
    </row>
    <row r="73" spans="1:13" s="1" customFormat="1" ht="30" x14ac:dyDescent="0.25">
      <c r="A73" s="57"/>
      <c r="B73" s="61" t="str">
        <f>B64</f>
        <v xml:space="preserve">-Grid (1-1)(A-C), (2-2)(A-C), (3-3)(A-C), (4-4)(A-C), (5-5)(A-C) </v>
      </c>
      <c r="C73" s="59">
        <f>C64</f>
        <v>25</v>
      </c>
      <c r="D73" s="12">
        <f>D64</f>
        <v>6.999752108097125</v>
      </c>
      <c r="E73" s="12">
        <f>16*16/162</f>
        <v>1.5802469135802468</v>
      </c>
      <c r="F73" s="12">
        <f t="shared" si="19"/>
        <v>276.53341661618271</v>
      </c>
      <c r="G73" s="62">
        <f t="shared" si="11"/>
        <v>0.27653341661618269</v>
      </c>
      <c r="H73" s="60"/>
      <c r="I73" s="60"/>
      <c r="J73" s="60"/>
      <c r="K73" s="58"/>
      <c r="M73" s="71"/>
    </row>
    <row r="74" spans="1:13" s="1" customFormat="1" x14ac:dyDescent="0.25">
      <c r="A74" s="57"/>
      <c r="B74" s="61"/>
      <c r="C74" s="59">
        <f>C65</f>
        <v>5</v>
      </c>
      <c r="D74" s="12">
        <f>D65</f>
        <v>6.5197521080971246</v>
      </c>
      <c r="E74" s="12">
        <f>12*12/162</f>
        <v>0.88888888888888884</v>
      </c>
      <c r="F74" s="12">
        <f t="shared" si="19"/>
        <v>28.976676035987218</v>
      </c>
      <c r="G74" s="62">
        <f t="shared" si="11"/>
        <v>2.8976676035987217E-2</v>
      </c>
      <c r="H74" s="60"/>
      <c r="I74" s="60"/>
      <c r="J74" s="60"/>
      <c r="K74" s="58"/>
      <c r="M74" s="71"/>
    </row>
    <row r="75" spans="1:13" ht="15" customHeight="1" x14ac:dyDescent="0.25">
      <c r="A75" s="18"/>
      <c r="B75" s="35" t="s">
        <v>71</v>
      </c>
      <c r="C75" s="34">
        <f>5*(TRUNC((19/3.281-0.41*3-4*0.05)/0.125,0)+1)</f>
        <v>175</v>
      </c>
      <c r="D75" s="36">
        <f>((0.583+1.17)*2+0.5)/3.281</f>
        <v>1.220969216702225</v>
      </c>
      <c r="E75" s="36">
        <f>8*8/162</f>
        <v>0.39506172839506171</v>
      </c>
      <c r="F75" s="36">
        <f t="shared" si="19"/>
        <v>84.412686586820485</v>
      </c>
      <c r="G75" s="37">
        <f t="shared" si="11"/>
        <v>8.4412686586820482E-2</v>
      </c>
      <c r="H75" s="38"/>
      <c r="I75" s="21"/>
      <c r="J75" s="5"/>
      <c r="K75" s="5"/>
    </row>
    <row r="76" spans="1:13" s="1" customFormat="1" x14ac:dyDescent="0.25">
      <c r="A76" s="57"/>
      <c r="B76" s="61" t="s">
        <v>61</v>
      </c>
      <c r="C76" s="59">
        <f>C70</f>
        <v>15</v>
      </c>
      <c r="D76" s="12">
        <f>16*60/1000</f>
        <v>0.96</v>
      </c>
      <c r="E76" s="12">
        <f>16*16/162</f>
        <v>1.5802469135802468</v>
      </c>
      <c r="F76" s="12">
        <f t="shared" si="19"/>
        <v>22.755555555555553</v>
      </c>
      <c r="G76" s="62">
        <f t="shared" si="11"/>
        <v>2.2755555555555553E-2</v>
      </c>
      <c r="H76" s="60"/>
      <c r="I76" s="60"/>
      <c r="J76" s="60"/>
      <c r="K76" s="58"/>
      <c r="M76" s="71"/>
    </row>
    <row r="77" spans="1:13" s="1" customFormat="1" x14ac:dyDescent="0.25">
      <c r="A77" s="57"/>
      <c r="B77" s="61"/>
      <c r="C77" s="59">
        <f>C71</f>
        <v>3</v>
      </c>
      <c r="D77" s="12">
        <f>12*60/1000</f>
        <v>0.72</v>
      </c>
      <c r="E77" s="12">
        <f>12*12/162</f>
        <v>0.88888888888888884</v>
      </c>
      <c r="F77" s="12">
        <f t="shared" si="19"/>
        <v>1.92</v>
      </c>
      <c r="G77" s="62">
        <f t="shared" si="11"/>
        <v>1.9199999999999998E-3</v>
      </c>
      <c r="H77" s="60"/>
      <c r="I77" s="60"/>
      <c r="J77" s="60"/>
      <c r="K77" s="58"/>
      <c r="M77" s="71"/>
    </row>
    <row r="78" spans="1:13" s="1" customFormat="1" x14ac:dyDescent="0.25">
      <c r="A78" s="57"/>
      <c r="B78" s="61" t="s">
        <v>68</v>
      </c>
      <c r="C78" s="59"/>
      <c r="D78" s="12"/>
      <c r="E78" s="12"/>
      <c r="F78" s="12"/>
      <c r="G78" s="62"/>
      <c r="H78" s="60"/>
      <c r="I78" s="60"/>
      <c r="J78" s="60"/>
      <c r="K78" s="58"/>
      <c r="M78" s="71"/>
    </row>
    <row r="79" spans="1:13" s="1" customFormat="1" ht="30" x14ac:dyDescent="0.25">
      <c r="A79" s="57"/>
      <c r="B79" s="61" t="str">
        <f>B70</f>
        <v>-Grid (A-A)(1-2), (B-B)(1-2), (C-C)(1-2)</v>
      </c>
      <c r="C79" s="59">
        <f>C70</f>
        <v>15</v>
      </c>
      <c r="D79" s="12">
        <f>(10)/3.281+(16*60/1000)*2</f>
        <v>4.9678512648582753</v>
      </c>
      <c r="E79" s="12">
        <f>16*16/162</f>
        <v>1.5802469135802468</v>
      </c>
      <c r="F79" s="12">
        <f t="shared" ref="F79:F84" si="20">PRODUCT(C79:E79)</f>
        <v>117.75647442627023</v>
      </c>
      <c r="G79" s="62">
        <f t="shared" si="11"/>
        <v>0.11775647442627023</v>
      </c>
      <c r="H79" s="60"/>
      <c r="I79" s="60"/>
      <c r="J79" s="60"/>
      <c r="K79" s="58"/>
      <c r="M79" s="71"/>
    </row>
    <row r="80" spans="1:13" s="1" customFormat="1" x14ac:dyDescent="0.25">
      <c r="A80" s="57"/>
      <c r="B80" s="61"/>
      <c r="C80" s="59">
        <f>C71</f>
        <v>3</v>
      </c>
      <c r="D80" s="12">
        <f>(10)/3.281+(12*60/1000)*2</f>
        <v>4.4878512648582749</v>
      </c>
      <c r="E80" s="12">
        <f>12*12/162</f>
        <v>0.88888888888888884</v>
      </c>
      <c r="F80" s="12">
        <f t="shared" si="20"/>
        <v>11.967603372955399</v>
      </c>
      <c r="G80" s="62">
        <f t="shared" si="11"/>
        <v>1.1967603372955398E-2</v>
      </c>
      <c r="H80" s="60"/>
      <c r="I80" s="60"/>
      <c r="J80" s="60"/>
      <c r="K80" s="58"/>
      <c r="M80" s="71"/>
    </row>
    <row r="81" spans="1:13" ht="15" customHeight="1" x14ac:dyDescent="0.25">
      <c r="A81" s="18"/>
      <c r="B81" s="35" t="s">
        <v>71</v>
      </c>
      <c r="C81" s="34">
        <f>3*(TRUNC((10/3.281)/0.125,0)+1)</f>
        <v>75</v>
      </c>
      <c r="D81" s="36">
        <f>((0.583+1.17)*2+0.5)/3.281</f>
        <v>1.220969216702225</v>
      </c>
      <c r="E81" s="36">
        <f>8*8/162</f>
        <v>0.39506172839506171</v>
      </c>
      <c r="F81" s="36">
        <f t="shared" si="20"/>
        <v>36.176865680065923</v>
      </c>
      <c r="G81" s="37">
        <f t="shared" si="11"/>
        <v>3.6176865680065923E-2</v>
      </c>
      <c r="H81" s="38"/>
      <c r="I81" s="21"/>
      <c r="J81" s="5"/>
      <c r="K81" s="5"/>
    </row>
    <row r="82" spans="1:13" s="1" customFormat="1" x14ac:dyDescent="0.25">
      <c r="A82" s="57"/>
      <c r="B82" s="61" t="s">
        <v>70</v>
      </c>
      <c r="C82" s="59">
        <f>2*5</f>
        <v>10</v>
      </c>
      <c r="D82" s="12">
        <f>D73</f>
        <v>6.999752108097125</v>
      </c>
      <c r="E82" s="12">
        <f>16*16/162</f>
        <v>1.5802469135802468</v>
      </c>
      <c r="F82" s="12">
        <f t="shared" si="20"/>
        <v>110.61336664647308</v>
      </c>
      <c r="G82" s="62">
        <f t="shared" si="11"/>
        <v>0.11061336664647309</v>
      </c>
      <c r="H82" s="60"/>
      <c r="I82" s="60"/>
      <c r="J82" s="60"/>
      <c r="K82" s="58"/>
      <c r="M82" s="71"/>
    </row>
    <row r="83" spans="1:13" s="1" customFormat="1" x14ac:dyDescent="0.25">
      <c r="A83" s="57"/>
      <c r="B83" s="61"/>
      <c r="C83" s="59">
        <f>2*1</f>
        <v>2</v>
      </c>
      <c r="D83" s="12">
        <f>D74</f>
        <v>6.5197521080971246</v>
      </c>
      <c r="E83" s="12">
        <f>12*12/162</f>
        <v>0.88888888888888884</v>
      </c>
      <c r="F83" s="12">
        <f t="shared" si="20"/>
        <v>11.590670414394888</v>
      </c>
      <c r="G83" s="62">
        <f t="shared" si="11"/>
        <v>1.1590670414394887E-2</v>
      </c>
      <c r="H83" s="60"/>
      <c r="I83" s="60"/>
      <c r="J83" s="60"/>
      <c r="K83" s="58"/>
      <c r="M83" s="71"/>
    </row>
    <row r="84" spans="1:13" ht="15" customHeight="1" x14ac:dyDescent="0.25">
      <c r="A84" s="18"/>
      <c r="B84" s="35" t="s">
        <v>71</v>
      </c>
      <c r="C84" s="34">
        <f>2*(TRUNC((19/3.281-0.41*3-4*0.05)/0.125,0)+1)</f>
        <v>70</v>
      </c>
      <c r="D84" s="36">
        <f>((0.583+1.17)*2+0.5)/3.281</f>
        <v>1.220969216702225</v>
      </c>
      <c r="E84" s="36">
        <f>8*8/162</f>
        <v>0.39506172839506171</v>
      </c>
      <c r="F84" s="36">
        <f t="shared" si="20"/>
        <v>33.765074634728194</v>
      </c>
      <c r="G84" s="37">
        <f t="shared" si="11"/>
        <v>3.3765074634728193E-2</v>
      </c>
      <c r="H84" s="38"/>
      <c r="I84" s="21"/>
      <c r="J84" s="5"/>
      <c r="K84" s="5"/>
    </row>
    <row r="85" spans="1:13" ht="15" customHeight="1" x14ac:dyDescent="0.25">
      <c r="A85" s="18"/>
      <c r="B85" s="75" t="s">
        <v>75</v>
      </c>
      <c r="C85" s="34"/>
      <c r="D85" s="36"/>
      <c r="E85" s="36"/>
      <c r="F85" s="36"/>
      <c r="G85" s="37"/>
      <c r="H85" s="38"/>
      <c r="I85" s="21"/>
      <c r="J85" s="5"/>
      <c r="K85" s="5"/>
    </row>
    <row r="86" spans="1:13" ht="15" customHeight="1" x14ac:dyDescent="0.25">
      <c r="A86" s="18"/>
      <c r="B86" s="61" t="str">
        <f>B124</f>
        <v>-Ground floor</v>
      </c>
      <c r="C86" s="41">
        <f>2*(TRUNC((54-5*1.17)/0.5,0)+1)</f>
        <v>194</v>
      </c>
      <c r="D86" s="36">
        <f>54/3.281</f>
        <v>16.458396830234683</v>
      </c>
      <c r="E86" s="36">
        <f t="shared" ref="E86:E91" si="21">8*8/162</f>
        <v>0.39506172839506171</v>
      </c>
      <c r="F86" s="36">
        <f t="shared" ref="F86" si="22">PRODUCT(C86:E86)</f>
        <v>1261.4040434826779</v>
      </c>
      <c r="G86" s="37">
        <f t="shared" si="11"/>
        <v>1.2614040434826779</v>
      </c>
      <c r="H86" s="38"/>
      <c r="I86" s="21"/>
      <c r="J86" s="5"/>
      <c r="K86" s="5"/>
    </row>
    <row r="87" spans="1:13" ht="15" customHeight="1" x14ac:dyDescent="0.25">
      <c r="A87" s="18"/>
      <c r="B87" s="61"/>
      <c r="C87" s="41">
        <f>2*(TRUNC((23-3*1.17)/0.5,0)+1)</f>
        <v>78</v>
      </c>
      <c r="D87" s="36">
        <f>23/3.281</f>
        <v>7.0100579091740318</v>
      </c>
      <c r="E87" s="36">
        <f t="shared" si="21"/>
        <v>0.39506172839506171</v>
      </c>
      <c r="F87" s="36">
        <f t="shared" ref="F87:F88" si="23">PRODUCT(C87:E87)</f>
        <v>216.01363631232573</v>
      </c>
      <c r="G87" s="37">
        <f t="shared" si="11"/>
        <v>0.21601363631232573</v>
      </c>
      <c r="H87" s="38"/>
      <c r="I87" s="21"/>
      <c r="J87" s="5"/>
      <c r="K87" s="5"/>
    </row>
    <row r="88" spans="1:13" ht="15" customHeight="1" x14ac:dyDescent="0.25">
      <c r="A88" s="18"/>
      <c r="B88" s="61" t="str">
        <f>B125</f>
        <v>-First floor</v>
      </c>
      <c r="C88" s="41">
        <f>2*(TRUNC((54-5*1.17)/0.5,0)+1)</f>
        <v>194</v>
      </c>
      <c r="D88" s="36">
        <f>54/3.281</f>
        <v>16.458396830234683</v>
      </c>
      <c r="E88" s="36">
        <f t="shared" si="21"/>
        <v>0.39506172839506171</v>
      </c>
      <c r="F88" s="36">
        <f t="shared" si="23"/>
        <v>1261.4040434826779</v>
      </c>
      <c r="G88" s="37">
        <f t="shared" si="11"/>
        <v>1.2614040434826779</v>
      </c>
      <c r="H88" s="38"/>
      <c r="I88" s="21"/>
      <c r="J88" s="5"/>
      <c r="K88" s="5"/>
    </row>
    <row r="89" spans="1:13" ht="15" customHeight="1" x14ac:dyDescent="0.25">
      <c r="A89" s="18"/>
      <c r="B89" s="61"/>
      <c r="C89" s="41">
        <f>2*(TRUNC((23-3*1.17)/0.5,0)+1)</f>
        <v>78</v>
      </c>
      <c r="D89" s="36">
        <f>23/3.281</f>
        <v>7.0100579091740318</v>
      </c>
      <c r="E89" s="36">
        <f t="shared" si="21"/>
        <v>0.39506172839506171</v>
      </c>
      <c r="F89" s="36">
        <f t="shared" ref="F89:F90" si="24">PRODUCT(C89:E89)</f>
        <v>216.01363631232573</v>
      </c>
      <c r="G89" s="37">
        <f t="shared" si="11"/>
        <v>0.21601363631232573</v>
      </c>
      <c r="H89" s="38"/>
      <c r="I89" s="21"/>
      <c r="J89" s="5"/>
      <c r="K89" s="5"/>
    </row>
    <row r="90" spans="1:13" ht="15" customHeight="1" x14ac:dyDescent="0.25">
      <c r="A90" s="18"/>
      <c r="B90" s="61" t="str">
        <f>B126</f>
        <v>-Second floor</v>
      </c>
      <c r="C90" s="41">
        <f>2*(TRUNC((16.333-2*1.17)/0.5,0)+1)</f>
        <v>56</v>
      </c>
      <c r="D90" s="36">
        <f>54/3.281</f>
        <v>16.458396830234683</v>
      </c>
      <c r="E90" s="36">
        <f t="shared" si="21"/>
        <v>0.39506172839506171</v>
      </c>
      <c r="F90" s="36">
        <f t="shared" si="24"/>
        <v>364.11663110840186</v>
      </c>
      <c r="G90" s="37">
        <f t="shared" si="11"/>
        <v>0.36411663110840187</v>
      </c>
      <c r="H90" s="38"/>
      <c r="I90" s="21"/>
      <c r="J90" s="5"/>
      <c r="K90" s="5"/>
    </row>
    <row r="91" spans="1:13" ht="15" customHeight="1" x14ac:dyDescent="0.25">
      <c r="A91" s="18"/>
      <c r="B91" s="61"/>
      <c r="C91" s="41">
        <f>2*(TRUNC((23-3*1.17)/0.5,0)+1)</f>
        <v>78</v>
      </c>
      <c r="D91" s="36">
        <f>23/3.281</f>
        <v>7.0100579091740318</v>
      </c>
      <c r="E91" s="36">
        <f t="shared" si="21"/>
        <v>0.39506172839506171</v>
      </c>
      <c r="F91" s="36">
        <f t="shared" ref="F91" si="25">PRODUCT(C91:E91)</f>
        <v>216.01363631232573</v>
      </c>
      <c r="G91" s="37">
        <f t="shared" si="11"/>
        <v>0.21601363631232573</v>
      </c>
      <c r="H91" s="38"/>
      <c r="I91" s="21"/>
      <c r="J91" s="5"/>
      <c r="K91" s="5"/>
    </row>
    <row r="92" spans="1:13" ht="15" customHeight="1" x14ac:dyDescent="0.25">
      <c r="A92" s="18"/>
      <c r="B92" s="35" t="s">
        <v>33</v>
      </c>
      <c r="C92" s="19"/>
      <c r="D92" s="20"/>
      <c r="E92" s="21"/>
      <c r="F92" s="21"/>
      <c r="G92" s="23">
        <f>SUM(G41:G91)</f>
        <v>12.220376180252179</v>
      </c>
      <c r="H92" s="22" t="s">
        <v>35</v>
      </c>
      <c r="I92" s="23">
        <v>151731</v>
      </c>
      <c r="J92" s="39">
        <f>G92*I92</f>
        <v>1854209.8982058435</v>
      </c>
      <c r="K92" s="21"/>
    </row>
    <row r="93" spans="1:13" x14ac:dyDescent="0.25">
      <c r="A93" s="18"/>
      <c r="B93" s="29"/>
      <c r="C93" s="19"/>
      <c r="D93" s="20"/>
      <c r="E93" s="21"/>
      <c r="F93" s="21"/>
      <c r="G93" s="32"/>
      <c r="H93" s="22"/>
      <c r="I93" s="23"/>
      <c r="J93" s="32"/>
      <c r="K93" s="21"/>
    </row>
    <row r="94" spans="1:13" ht="30.75" x14ac:dyDescent="0.25">
      <c r="A94" s="18">
        <v>5</v>
      </c>
      <c r="B94" s="72" t="s">
        <v>49</v>
      </c>
      <c r="C94" s="19"/>
      <c r="D94" s="20"/>
      <c r="E94" s="21"/>
      <c r="F94" s="21"/>
      <c r="G94" s="32"/>
      <c r="H94" s="22"/>
      <c r="I94" s="23"/>
      <c r="J94" s="32"/>
      <c r="K94" s="21"/>
    </row>
    <row r="95" spans="1:13" x14ac:dyDescent="0.25">
      <c r="A95" s="18"/>
      <c r="B95" s="75" t="str">
        <f>B40</f>
        <v>-footing</v>
      </c>
      <c r="C95" s="19"/>
      <c r="D95" s="20"/>
      <c r="E95" s="21"/>
      <c r="F95" s="21"/>
      <c r="G95" s="32"/>
      <c r="H95" s="22"/>
      <c r="I95" s="23"/>
      <c r="J95" s="32"/>
      <c r="K95" s="21"/>
    </row>
    <row r="96" spans="1:13" s="1" customFormat="1" x14ac:dyDescent="0.25">
      <c r="A96" s="57"/>
      <c r="B96" s="61" t="str">
        <f>B21</f>
        <v>-F1</v>
      </c>
      <c r="C96" s="74">
        <f>C21*4</f>
        <v>20</v>
      </c>
      <c r="D96" s="73">
        <f>D21</f>
        <v>1.8287107589149649</v>
      </c>
      <c r="E96" s="73"/>
      <c r="F96" s="73">
        <f>0.6</f>
        <v>0.6</v>
      </c>
      <c r="G96" s="62">
        <f>PRODUCT(C96:F96)</f>
        <v>21.944529106979576</v>
      </c>
      <c r="H96" s="60"/>
      <c r="I96" s="60"/>
      <c r="J96" s="60"/>
      <c r="K96" s="58"/>
      <c r="M96" s="71"/>
    </row>
    <row r="97" spans="1:13" s="1" customFormat="1" x14ac:dyDescent="0.25">
      <c r="A97" s="57"/>
      <c r="B97" s="61" t="str">
        <f>B22</f>
        <v>-CF1</v>
      </c>
      <c r="C97" s="74">
        <f>C22*2</f>
        <v>10</v>
      </c>
      <c r="D97" s="73">
        <f>D22</f>
        <v>2.1334958854007922</v>
      </c>
      <c r="E97" s="73"/>
      <c r="F97" s="73">
        <v>0.6</v>
      </c>
      <c r="G97" s="62">
        <f>PRODUCT(C97:F97)</f>
        <v>12.800975312404754</v>
      </c>
      <c r="H97" s="60"/>
      <c r="I97" s="60"/>
      <c r="J97" s="60"/>
      <c r="K97" s="58"/>
      <c r="M97" s="71"/>
    </row>
    <row r="98" spans="1:13" s="1" customFormat="1" x14ac:dyDescent="0.25">
      <c r="A98" s="57"/>
      <c r="B98" s="61"/>
      <c r="C98" s="74">
        <f>C22*2</f>
        <v>10</v>
      </c>
      <c r="D98" s="73">
        <f>E22</f>
        <v>3.4806461444681496</v>
      </c>
      <c r="E98" s="73"/>
      <c r="F98" s="73">
        <v>0.6</v>
      </c>
      <c r="G98" s="62">
        <f>PRODUCT(C98:F98)</f>
        <v>20.883876866808897</v>
      </c>
      <c r="H98" s="60"/>
      <c r="I98" s="60"/>
      <c r="J98" s="60"/>
      <c r="K98" s="58"/>
      <c r="M98" s="71"/>
    </row>
    <row r="99" spans="1:13" s="1" customFormat="1" x14ac:dyDescent="0.25">
      <c r="A99" s="57"/>
      <c r="B99" s="75" t="str">
        <f>B45</f>
        <v>-Base beam and Tie beam</v>
      </c>
      <c r="C99" s="74"/>
      <c r="D99" s="73"/>
      <c r="E99" s="73"/>
      <c r="F99" s="73"/>
      <c r="G99" s="62"/>
      <c r="H99" s="60"/>
      <c r="I99" s="60"/>
      <c r="J99" s="60"/>
      <c r="K99" s="58"/>
      <c r="M99" s="71"/>
    </row>
    <row r="100" spans="1:13" s="1" customFormat="1" x14ac:dyDescent="0.25">
      <c r="A100" s="57"/>
      <c r="B100" s="61" t="str">
        <f>B34</f>
        <v>-Grid A(1-2), B(1-2), C(1-2)</v>
      </c>
      <c r="C100" s="59">
        <f>2*C34</f>
        <v>6</v>
      </c>
      <c r="D100" s="12">
        <f>10/3.281</f>
        <v>3.047851264858275</v>
      </c>
      <c r="E100" s="12"/>
      <c r="F100" s="12">
        <f>2*14/12/3.281</f>
        <v>0.7111652951335975</v>
      </c>
      <c r="G100" s="62">
        <f>PRODUCT(C100:F100)</f>
        <v>13.00515626577746</v>
      </c>
      <c r="H100" s="60"/>
      <c r="I100" s="60"/>
      <c r="J100" s="60"/>
      <c r="K100" s="58"/>
      <c r="M100" s="71"/>
    </row>
    <row r="101" spans="1:13" s="1" customFormat="1" ht="45" x14ac:dyDescent="0.25">
      <c r="A101" s="57"/>
      <c r="B101" s="61" t="str">
        <f>B35</f>
        <v>-Grid A(2-3), A(3-4), A(4-5), B(2-3), B(3-4), B(4-5), C(2-3), C(3-4), C(4-5)</v>
      </c>
      <c r="C101" s="59">
        <f>2*C35</f>
        <v>18</v>
      </c>
      <c r="D101" s="12">
        <f>11.42/3.281</f>
        <v>3.4806461444681496</v>
      </c>
      <c r="E101" s="12"/>
      <c r="F101" s="12">
        <f>2*14/12/3.281</f>
        <v>0.7111652951335975</v>
      </c>
      <c r="G101" s="62">
        <f t="shared" ref="G101:G103" si="26">PRODUCT(C101:F101)</f>
        <v>44.555665366553576</v>
      </c>
      <c r="H101" s="60"/>
      <c r="I101" s="60"/>
      <c r="J101" s="60"/>
      <c r="K101" s="58"/>
      <c r="M101" s="71"/>
    </row>
    <row r="102" spans="1:13" s="1" customFormat="1" ht="30" x14ac:dyDescent="0.25">
      <c r="A102" s="57"/>
      <c r="B102" s="61" t="str">
        <f>B36</f>
        <v>-Grid 1(A-B), 2(A-B), 3(A-B), 4(A-B), 5(A-B)</v>
      </c>
      <c r="C102" s="59">
        <f>2*C36</f>
        <v>10</v>
      </c>
      <c r="D102" s="12">
        <f>12.25/3.281</f>
        <v>3.7336177994513866</v>
      </c>
      <c r="E102" s="12"/>
      <c r="F102" s="12">
        <f>2*14/12/3.281</f>
        <v>0.7111652951335975</v>
      </c>
      <c r="G102" s="62">
        <f t="shared" si="26"/>
        <v>26.552194042628983</v>
      </c>
      <c r="H102" s="60"/>
      <c r="I102" s="60"/>
      <c r="J102" s="60"/>
      <c r="K102" s="58"/>
      <c r="M102" s="71"/>
    </row>
    <row r="103" spans="1:13" s="1" customFormat="1" ht="30" x14ac:dyDescent="0.25">
      <c r="A103" s="57"/>
      <c r="B103" s="61" t="s">
        <v>55</v>
      </c>
      <c r="C103" s="59">
        <f>2*5</f>
        <v>10</v>
      </c>
      <c r="D103" s="12">
        <f>3.25/3.281</f>
        <v>0.99055166107893933</v>
      </c>
      <c r="E103" s="12"/>
      <c r="F103" s="12">
        <f>2*14/12/3.281</f>
        <v>0.7111652951335975</v>
      </c>
      <c r="G103" s="62">
        <f t="shared" si="26"/>
        <v>7.0444596439627913</v>
      </c>
      <c r="H103" s="60"/>
      <c r="I103" s="60"/>
      <c r="J103" s="60"/>
      <c r="K103" s="58"/>
      <c r="M103" s="71"/>
    </row>
    <row r="104" spans="1:13" s="1" customFormat="1" x14ac:dyDescent="0.25">
      <c r="A104" s="57"/>
      <c r="B104" s="75" t="str">
        <f>B52</f>
        <v>-Column</v>
      </c>
      <c r="C104" s="59"/>
      <c r="D104" s="12"/>
      <c r="E104" s="12"/>
      <c r="F104" s="12"/>
      <c r="G104" s="62"/>
      <c r="H104" s="60"/>
      <c r="I104" s="60"/>
      <c r="J104" s="60"/>
      <c r="K104" s="58"/>
      <c r="M104" s="71"/>
    </row>
    <row r="105" spans="1:13" s="1" customFormat="1" x14ac:dyDescent="0.25">
      <c r="A105" s="57"/>
      <c r="B105" s="61" t="s">
        <v>62</v>
      </c>
      <c r="C105" s="59">
        <f>15</f>
        <v>15</v>
      </c>
      <c r="D105" s="12">
        <f>(14/12/3.281)*4</f>
        <v>1.422330590267195</v>
      </c>
      <c r="E105" s="12"/>
      <c r="F105" s="12">
        <f>8.917/3.281</f>
        <v>2.7177689728741234</v>
      </c>
      <c r="G105" s="62">
        <f>PRODUCT(C105:F105)</f>
        <v>57.983489210968806</v>
      </c>
      <c r="H105" s="60"/>
      <c r="I105" s="60"/>
      <c r="J105" s="60"/>
      <c r="K105" s="58"/>
      <c r="M105" s="71"/>
    </row>
    <row r="106" spans="1:13" s="1" customFormat="1" x14ac:dyDescent="0.25">
      <c r="A106" s="57"/>
      <c r="B106" s="61" t="s">
        <v>63</v>
      </c>
      <c r="C106" s="59">
        <f>15</f>
        <v>15</v>
      </c>
      <c r="D106" s="12">
        <f t="shared" ref="D106:D107" si="27">(14/12/3.281)*4</f>
        <v>1.422330590267195</v>
      </c>
      <c r="E106" s="12"/>
      <c r="F106" s="12">
        <f>8.917/3.281</f>
        <v>2.7177689728741234</v>
      </c>
      <c r="G106" s="62">
        <f t="shared" ref="G106:G107" si="28">PRODUCT(C106:F106)</f>
        <v>57.983489210968806</v>
      </c>
      <c r="H106" s="60"/>
      <c r="I106" s="60"/>
      <c r="J106" s="60"/>
      <c r="K106" s="58"/>
      <c r="M106" s="71"/>
    </row>
    <row r="107" spans="1:13" s="1" customFormat="1" x14ac:dyDescent="0.25">
      <c r="A107" s="57"/>
      <c r="B107" s="61" t="s">
        <v>64</v>
      </c>
      <c r="C107" s="59">
        <v>6</v>
      </c>
      <c r="D107" s="12">
        <f t="shared" si="27"/>
        <v>1.422330590267195</v>
      </c>
      <c r="E107" s="12"/>
      <c r="F107" s="12">
        <f>8.917/3.281</f>
        <v>2.7177689728741234</v>
      </c>
      <c r="G107" s="62">
        <f t="shared" si="28"/>
        <v>23.193395684387522</v>
      </c>
      <c r="H107" s="60"/>
      <c r="I107" s="60"/>
      <c r="J107" s="60"/>
      <c r="K107" s="58"/>
      <c r="M107" s="71"/>
    </row>
    <row r="108" spans="1:13" s="1" customFormat="1" x14ac:dyDescent="0.25">
      <c r="A108" s="57"/>
      <c r="B108" s="75" t="str">
        <f>B59</f>
        <v>-Beam</v>
      </c>
      <c r="C108" s="59"/>
      <c r="D108" s="12"/>
      <c r="E108" s="12"/>
      <c r="F108" s="12"/>
      <c r="G108" s="62"/>
      <c r="H108" s="60"/>
      <c r="I108" s="60"/>
      <c r="J108" s="60"/>
      <c r="K108" s="58"/>
      <c r="M108" s="71"/>
    </row>
    <row r="109" spans="1:13" s="1" customFormat="1" x14ac:dyDescent="0.25">
      <c r="A109" s="57"/>
      <c r="B109" s="61" t="str">
        <f>B60</f>
        <v>-Ground floor</v>
      </c>
      <c r="C109" s="59"/>
      <c r="D109" s="12"/>
      <c r="E109" s="12"/>
      <c r="F109" s="12"/>
      <c r="G109" s="62"/>
      <c r="H109" s="60"/>
      <c r="I109" s="60"/>
      <c r="J109" s="60"/>
      <c r="K109" s="58"/>
      <c r="M109" s="71"/>
    </row>
    <row r="110" spans="1:13" s="1" customFormat="1" x14ac:dyDescent="0.25">
      <c r="A110" s="57"/>
      <c r="B110" s="61" t="str">
        <f>B100</f>
        <v>-Grid A(1-2), B(1-2), C(1-2)</v>
      </c>
      <c r="C110" s="59">
        <f>C100/2</f>
        <v>3</v>
      </c>
      <c r="D110" s="12">
        <f>D100</f>
        <v>3.047851264858275</v>
      </c>
      <c r="E110" s="12"/>
      <c r="F110" s="12">
        <f>2*9/12/3.281</f>
        <v>0.45717768972874123</v>
      </c>
      <c r="G110" s="62">
        <f>PRODUCT(C110:F110)</f>
        <v>4.1802287997141834</v>
      </c>
      <c r="H110" s="60"/>
      <c r="I110" s="60"/>
      <c r="J110" s="60"/>
      <c r="K110" s="58"/>
      <c r="M110" s="71"/>
    </row>
    <row r="111" spans="1:13" s="1" customFormat="1" ht="45" x14ac:dyDescent="0.25">
      <c r="A111" s="57"/>
      <c r="B111" s="61" t="str">
        <f t="shared" ref="B111:B113" si="29">B101</f>
        <v>-Grid A(2-3), A(3-4), A(4-5), B(2-3), B(3-4), B(4-5), C(2-3), C(3-4), C(4-5)</v>
      </c>
      <c r="C111" s="59">
        <f>C101/2</f>
        <v>9</v>
      </c>
      <c r="D111" s="12">
        <f t="shared" ref="D111:D113" si="30">D101</f>
        <v>3.4806461444681496</v>
      </c>
      <c r="E111" s="12"/>
      <c r="F111" s="12">
        <f t="shared" ref="F111:F113" si="31">2*9/12/3.281</f>
        <v>0.45717768972874123</v>
      </c>
      <c r="G111" s="62">
        <f t="shared" ref="G111:G113" si="32">PRODUCT(C111:F111)</f>
        <v>14.321463867820793</v>
      </c>
      <c r="H111" s="60"/>
      <c r="I111" s="60"/>
      <c r="J111" s="60"/>
      <c r="K111" s="58"/>
      <c r="M111" s="71"/>
    </row>
    <row r="112" spans="1:13" s="1" customFormat="1" ht="30" x14ac:dyDescent="0.25">
      <c r="A112" s="57"/>
      <c r="B112" s="61" t="str">
        <f t="shared" si="29"/>
        <v>-Grid 1(A-B), 2(A-B), 3(A-B), 4(A-B), 5(A-B)</v>
      </c>
      <c r="C112" s="59">
        <f>C102/2</f>
        <v>5</v>
      </c>
      <c r="D112" s="12">
        <f t="shared" si="30"/>
        <v>3.7336177994513866</v>
      </c>
      <c r="E112" s="12"/>
      <c r="F112" s="12">
        <f t="shared" si="31"/>
        <v>0.45717768972874123</v>
      </c>
      <c r="G112" s="62">
        <f t="shared" si="32"/>
        <v>8.5346337994164578</v>
      </c>
      <c r="H112" s="60"/>
      <c r="I112" s="60"/>
      <c r="J112" s="60"/>
      <c r="K112" s="58"/>
      <c r="M112" s="71"/>
    </row>
    <row r="113" spans="1:13" s="1" customFormat="1" ht="30" x14ac:dyDescent="0.25">
      <c r="A113" s="57"/>
      <c r="B113" s="61" t="str">
        <f t="shared" si="29"/>
        <v xml:space="preserve">-Grid 1(B-C), 2(B-C), 3(B-C), 4(B-C), 5(B-C), </v>
      </c>
      <c r="C113" s="59">
        <f>C103/2</f>
        <v>5</v>
      </c>
      <c r="D113" s="12">
        <f t="shared" si="30"/>
        <v>0.99055166107893933</v>
      </c>
      <c r="E113" s="12"/>
      <c r="F113" s="12">
        <f t="shared" si="31"/>
        <v>0.45717768972874123</v>
      </c>
      <c r="G113" s="62">
        <f t="shared" si="32"/>
        <v>2.2642905998451828</v>
      </c>
      <c r="H113" s="60"/>
      <c r="I113" s="60"/>
      <c r="J113" s="60"/>
      <c r="K113" s="58"/>
      <c r="M113" s="71"/>
    </row>
    <row r="114" spans="1:13" s="1" customFormat="1" x14ac:dyDescent="0.25">
      <c r="A114" s="57"/>
      <c r="B114" s="61" t="str">
        <f>B69</f>
        <v>-First floor</v>
      </c>
      <c r="C114" s="59"/>
      <c r="D114" s="12"/>
      <c r="E114" s="12"/>
      <c r="F114" s="12"/>
      <c r="G114" s="62"/>
      <c r="H114" s="60"/>
      <c r="I114" s="60"/>
      <c r="J114" s="60"/>
      <c r="K114" s="58"/>
      <c r="M114" s="71"/>
    </row>
    <row r="115" spans="1:13" s="1" customFormat="1" x14ac:dyDescent="0.25">
      <c r="A115" s="57"/>
      <c r="B115" s="61" t="str">
        <f t="shared" ref="B115:D118" si="33">B110</f>
        <v>-Grid A(1-2), B(1-2), C(1-2)</v>
      </c>
      <c r="C115" s="59">
        <f t="shared" si="33"/>
        <v>3</v>
      </c>
      <c r="D115" s="12">
        <f t="shared" si="33"/>
        <v>3.047851264858275</v>
      </c>
      <c r="E115" s="12"/>
      <c r="F115" s="12">
        <f>2*9/12/3.281</f>
        <v>0.45717768972874123</v>
      </c>
      <c r="G115" s="62">
        <f>PRODUCT(C115:F115)</f>
        <v>4.1802287997141834</v>
      </c>
      <c r="H115" s="60"/>
      <c r="I115" s="60"/>
      <c r="J115" s="60"/>
      <c r="K115" s="58"/>
      <c r="M115" s="71"/>
    </row>
    <row r="116" spans="1:13" s="1" customFormat="1" ht="45" x14ac:dyDescent="0.25">
      <c r="A116" s="57"/>
      <c r="B116" s="61" t="str">
        <f t="shared" si="33"/>
        <v>-Grid A(2-3), A(3-4), A(4-5), B(2-3), B(3-4), B(4-5), C(2-3), C(3-4), C(4-5)</v>
      </c>
      <c r="C116" s="59">
        <f t="shared" si="33"/>
        <v>9</v>
      </c>
      <c r="D116" s="12">
        <f t="shared" si="33"/>
        <v>3.4806461444681496</v>
      </c>
      <c r="E116" s="12"/>
      <c r="F116" s="12">
        <f t="shared" ref="F116:F118" si="34">2*9/12/3.281</f>
        <v>0.45717768972874123</v>
      </c>
      <c r="G116" s="62">
        <f t="shared" ref="G116:G118" si="35">PRODUCT(C116:F116)</f>
        <v>14.321463867820793</v>
      </c>
      <c r="H116" s="60"/>
      <c r="I116" s="60"/>
      <c r="J116" s="60"/>
      <c r="K116" s="58"/>
      <c r="M116" s="71"/>
    </row>
    <row r="117" spans="1:13" s="1" customFormat="1" ht="30" x14ac:dyDescent="0.25">
      <c r="A117" s="57"/>
      <c r="B117" s="61" t="str">
        <f t="shared" si="33"/>
        <v>-Grid 1(A-B), 2(A-B), 3(A-B), 4(A-B), 5(A-B)</v>
      </c>
      <c r="C117" s="59">
        <f t="shared" si="33"/>
        <v>5</v>
      </c>
      <c r="D117" s="12">
        <f t="shared" si="33"/>
        <v>3.7336177994513866</v>
      </c>
      <c r="E117" s="12"/>
      <c r="F117" s="12">
        <f t="shared" si="34"/>
        <v>0.45717768972874123</v>
      </c>
      <c r="G117" s="62">
        <f t="shared" si="35"/>
        <v>8.5346337994164578</v>
      </c>
      <c r="H117" s="60"/>
      <c r="I117" s="60"/>
      <c r="J117" s="60"/>
      <c r="K117" s="58"/>
      <c r="M117" s="71"/>
    </row>
    <row r="118" spans="1:13" s="1" customFormat="1" ht="30" x14ac:dyDescent="0.25">
      <c r="A118" s="57"/>
      <c r="B118" s="61" t="str">
        <f t="shared" si="33"/>
        <v xml:space="preserve">-Grid 1(B-C), 2(B-C), 3(B-C), 4(B-C), 5(B-C), </v>
      </c>
      <c r="C118" s="59">
        <f t="shared" si="33"/>
        <v>5</v>
      </c>
      <c r="D118" s="12">
        <f t="shared" si="33"/>
        <v>0.99055166107893933</v>
      </c>
      <c r="E118" s="12"/>
      <c r="F118" s="12">
        <f t="shared" si="34"/>
        <v>0.45717768972874123</v>
      </c>
      <c r="G118" s="62">
        <f t="shared" si="35"/>
        <v>2.2642905998451828</v>
      </c>
      <c r="H118" s="60"/>
      <c r="I118" s="60"/>
      <c r="J118" s="60"/>
      <c r="K118" s="58"/>
      <c r="M118" s="71"/>
    </row>
    <row r="119" spans="1:13" s="1" customFormat="1" x14ac:dyDescent="0.25">
      <c r="A119" s="57"/>
      <c r="B119" s="61" t="str">
        <f>B78</f>
        <v>-Second floor</v>
      </c>
      <c r="C119" s="59"/>
      <c r="D119" s="12"/>
      <c r="E119" s="12"/>
      <c r="F119" s="12"/>
      <c r="G119" s="62"/>
      <c r="H119" s="60"/>
      <c r="I119" s="60"/>
      <c r="J119" s="60"/>
      <c r="K119" s="58"/>
      <c r="M119" s="71"/>
    </row>
    <row r="120" spans="1:13" s="1" customFormat="1" ht="30" x14ac:dyDescent="0.25">
      <c r="A120" s="57"/>
      <c r="B120" s="61" t="str">
        <f>B79</f>
        <v>-Grid (A-A)(1-2), (B-B)(1-2), (C-C)(1-2)</v>
      </c>
      <c r="C120" s="59">
        <f>C115</f>
        <v>3</v>
      </c>
      <c r="D120" s="12">
        <f>D115</f>
        <v>3.047851264858275</v>
      </c>
      <c r="E120" s="12"/>
      <c r="F120" s="12">
        <f>2*9/12/3.281</f>
        <v>0.45717768972874123</v>
      </c>
      <c r="G120" s="62">
        <f>PRODUCT(C120:F120)</f>
        <v>4.1802287997141834</v>
      </c>
      <c r="H120" s="60"/>
      <c r="I120" s="60"/>
      <c r="J120" s="60"/>
      <c r="K120" s="58"/>
      <c r="M120" s="71"/>
    </row>
    <row r="121" spans="1:13" s="1" customFormat="1" x14ac:dyDescent="0.25">
      <c r="A121" s="57"/>
      <c r="B121" s="61" t="s">
        <v>72</v>
      </c>
      <c r="C121" s="59">
        <v>2</v>
      </c>
      <c r="D121" s="12">
        <f>D117</f>
        <v>3.7336177994513866</v>
      </c>
      <c r="E121" s="12"/>
      <c r="F121" s="12">
        <f t="shared" ref="F121:F122" si="36">2*9/12/3.281</f>
        <v>0.45717768972874123</v>
      </c>
      <c r="G121" s="62">
        <f t="shared" ref="G121" si="37">PRODUCT(C121:F121)</f>
        <v>3.4138535197665831</v>
      </c>
      <c r="H121" s="60"/>
      <c r="I121" s="60"/>
      <c r="J121" s="60"/>
      <c r="K121" s="58"/>
      <c r="M121" s="71"/>
    </row>
    <row r="122" spans="1:13" s="1" customFormat="1" x14ac:dyDescent="0.25">
      <c r="A122" s="57"/>
      <c r="B122" s="61" t="s">
        <v>73</v>
      </c>
      <c r="C122" s="59">
        <v>2</v>
      </c>
      <c r="D122" s="12">
        <f>D118</f>
        <v>0.99055166107893933</v>
      </c>
      <c r="E122" s="12"/>
      <c r="F122" s="12">
        <f t="shared" si="36"/>
        <v>0.45717768972874123</v>
      </c>
      <c r="G122" s="62">
        <f t="shared" ref="G122:G126" si="38">PRODUCT(C122:F122)</f>
        <v>0.90571623993807315</v>
      </c>
      <c r="H122" s="60"/>
      <c r="I122" s="60"/>
      <c r="J122" s="60"/>
      <c r="K122" s="58"/>
      <c r="M122" s="71"/>
    </row>
    <row r="123" spans="1:13" s="1" customFormat="1" x14ac:dyDescent="0.25">
      <c r="A123" s="57"/>
      <c r="B123" s="75" t="s">
        <v>74</v>
      </c>
      <c r="C123" s="59"/>
      <c r="D123" s="12"/>
      <c r="E123" s="12"/>
      <c r="F123" s="12"/>
      <c r="G123" s="62"/>
      <c r="H123" s="60"/>
      <c r="I123" s="60"/>
      <c r="J123" s="60"/>
      <c r="K123" s="58"/>
      <c r="M123" s="71"/>
    </row>
    <row r="124" spans="1:13" s="1" customFormat="1" x14ac:dyDescent="0.25">
      <c r="A124" s="57"/>
      <c r="B124" s="61" t="str">
        <f>B109</f>
        <v>-Ground floor</v>
      </c>
      <c r="C124" s="59">
        <f>C158</f>
        <v>1</v>
      </c>
      <c r="D124" s="12">
        <f>D158</f>
        <v>16.458396830234683</v>
      </c>
      <c r="E124" s="12">
        <f>E158</f>
        <v>7.0100579091740318</v>
      </c>
      <c r="F124" s="12"/>
      <c r="G124" s="62">
        <f t="shared" si="38"/>
        <v>115.37431487211146</v>
      </c>
      <c r="H124" s="60"/>
      <c r="I124" s="60"/>
      <c r="J124" s="60"/>
      <c r="K124" s="58"/>
      <c r="M124" s="71"/>
    </row>
    <row r="125" spans="1:13" s="1" customFormat="1" x14ac:dyDescent="0.25">
      <c r="A125" s="57"/>
      <c r="B125" s="61" t="str">
        <f>B114</f>
        <v>-First floor</v>
      </c>
      <c r="C125" s="59">
        <f t="shared" ref="C125:E125" si="39">C159</f>
        <v>1</v>
      </c>
      <c r="D125" s="12">
        <f t="shared" si="39"/>
        <v>16.458396830234683</v>
      </c>
      <c r="E125" s="12">
        <f t="shared" si="39"/>
        <v>7.0100579091740318</v>
      </c>
      <c r="F125" s="12"/>
      <c r="G125" s="62">
        <f t="shared" si="38"/>
        <v>115.37431487211146</v>
      </c>
      <c r="H125" s="60"/>
      <c r="I125" s="60"/>
      <c r="J125" s="60"/>
      <c r="K125" s="58"/>
      <c r="M125" s="71"/>
    </row>
    <row r="126" spans="1:13" s="1" customFormat="1" x14ac:dyDescent="0.25">
      <c r="A126" s="57"/>
      <c r="B126" s="61" t="str">
        <f>B119</f>
        <v>-Second floor</v>
      </c>
      <c r="C126" s="59">
        <f t="shared" ref="C126:E126" si="40">C160</f>
        <v>1</v>
      </c>
      <c r="D126" s="12">
        <f t="shared" si="40"/>
        <v>4.97805547089302</v>
      </c>
      <c r="E126" s="12">
        <f t="shared" si="40"/>
        <v>7.0100579091740318</v>
      </c>
      <c r="F126" s="12"/>
      <c r="G126" s="62">
        <f t="shared" si="38"/>
        <v>34.896457126040673</v>
      </c>
      <c r="H126" s="60"/>
      <c r="I126" s="60"/>
      <c r="J126" s="60"/>
      <c r="K126" s="58"/>
      <c r="M126" s="71"/>
    </row>
    <row r="127" spans="1:13" ht="15" customHeight="1" x14ac:dyDescent="0.25">
      <c r="A127" s="18"/>
      <c r="B127" s="35" t="s">
        <v>33</v>
      </c>
      <c r="C127" s="19"/>
      <c r="D127" s="20"/>
      <c r="E127" s="21"/>
      <c r="F127" s="21"/>
      <c r="G127" s="23">
        <f>SUM(G96:G126)</f>
        <v>618.69335027471686</v>
      </c>
      <c r="H127" s="22" t="s">
        <v>35</v>
      </c>
      <c r="I127" s="23">
        <v>1052.73</v>
      </c>
      <c r="J127" s="39">
        <f>G127*I127</f>
        <v>651317.05063470267</v>
      </c>
      <c r="K127" s="21"/>
    </row>
    <row r="128" spans="1:13" x14ac:dyDescent="0.25">
      <c r="A128" s="18"/>
      <c r="B128" s="29"/>
      <c r="C128" s="19"/>
      <c r="D128" s="20"/>
      <c r="E128" s="21"/>
      <c r="F128" s="21"/>
      <c r="G128" s="32"/>
      <c r="H128" s="22"/>
      <c r="I128" s="23"/>
      <c r="J128" s="32"/>
      <c r="K128" s="21"/>
    </row>
    <row r="129" spans="1:13" ht="30.75" x14ac:dyDescent="0.25">
      <c r="A129" s="18">
        <v>6</v>
      </c>
      <c r="B129" s="72" t="s">
        <v>50</v>
      </c>
      <c r="C129" s="19"/>
      <c r="D129" s="20"/>
      <c r="E129" s="21"/>
      <c r="F129" s="21"/>
      <c r="G129" s="32"/>
      <c r="H129" s="22"/>
      <c r="I129" s="23"/>
      <c r="J129" s="32"/>
      <c r="K129" s="21"/>
    </row>
    <row r="130" spans="1:13" x14ac:dyDescent="0.25">
      <c r="A130" s="18"/>
      <c r="B130" s="75" t="str">
        <f>B95</f>
        <v>-footing</v>
      </c>
      <c r="C130" s="19"/>
      <c r="D130" s="20"/>
      <c r="E130" s="21"/>
      <c r="F130" s="21"/>
      <c r="G130" s="32"/>
      <c r="H130" s="22"/>
      <c r="I130" s="23"/>
      <c r="J130" s="32"/>
      <c r="K130" s="21"/>
    </row>
    <row r="131" spans="1:13" s="1" customFormat="1" x14ac:dyDescent="0.25">
      <c r="A131" s="57"/>
      <c r="B131" s="61" t="str">
        <f t="shared" ref="B131:E132" si="41">B21</f>
        <v>-F1</v>
      </c>
      <c r="C131" s="59">
        <f t="shared" si="41"/>
        <v>5</v>
      </c>
      <c r="D131" s="12">
        <f t="shared" si="41"/>
        <v>1.8287107589149649</v>
      </c>
      <c r="E131" s="12">
        <f t="shared" si="41"/>
        <v>1.8287107589149649</v>
      </c>
      <c r="F131" s="12">
        <v>0.6</v>
      </c>
      <c r="G131" s="62">
        <f>PRODUCT(C131:F131)</f>
        <v>10.032549119314039</v>
      </c>
      <c r="H131" s="60"/>
      <c r="I131" s="60"/>
      <c r="J131" s="60"/>
      <c r="K131" s="58"/>
      <c r="M131" s="71"/>
    </row>
    <row r="132" spans="1:13" s="1" customFormat="1" x14ac:dyDescent="0.25">
      <c r="A132" s="57"/>
      <c r="B132" s="61" t="str">
        <f t="shared" si="41"/>
        <v>-CF1</v>
      </c>
      <c r="C132" s="59">
        <f t="shared" si="41"/>
        <v>5</v>
      </c>
      <c r="D132" s="12">
        <f t="shared" si="41"/>
        <v>2.1334958854007922</v>
      </c>
      <c r="E132" s="12">
        <f t="shared" si="41"/>
        <v>3.4806461444681496</v>
      </c>
      <c r="F132" s="12">
        <v>0.6</v>
      </c>
      <c r="G132" s="62">
        <f>PRODUCT(C132:F132)</f>
        <v>22.277832683276785</v>
      </c>
      <c r="H132" s="60"/>
      <c r="I132" s="60"/>
      <c r="J132" s="60"/>
      <c r="K132" s="58"/>
      <c r="M132" s="71"/>
    </row>
    <row r="133" spans="1:13" s="1" customFormat="1" x14ac:dyDescent="0.25">
      <c r="A133" s="57"/>
      <c r="B133" s="75" t="str">
        <f t="shared" ref="B133:B156" si="42">B99</f>
        <v>-Base beam and Tie beam</v>
      </c>
      <c r="C133" s="59"/>
      <c r="D133" s="12"/>
      <c r="E133" s="12"/>
      <c r="F133" s="12"/>
      <c r="G133" s="62"/>
      <c r="H133" s="60"/>
      <c r="I133" s="60"/>
      <c r="J133" s="60"/>
      <c r="K133" s="58"/>
      <c r="M133" s="71"/>
    </row>
    <row r="134" spans="1:13" s="1" customFormat="1" x14ac:dyDescent="0.25">
      <c r="A134" s="57"/>
      <c r="B134" s="61" t="str">
        <f t="shared" si="42"/>
        <v>-Grid A(1-2), B(1-2), C(1-2)</v>
      </c>
      <c r="C134" s="59">
        <f t="shared" ref="C134:D137" si="43">C100</f>
        <v>6</v>
      </c>
      <c r="D134" s="12">
        <f t="shared" si="43"/>
        <v>3.047851264858275</v>
      </c>
      <c r="E134" s="12">
        <v>0.23</v>
      </c>
      <c r="F134" s="12">
        <f>F100</f>
        <v>0.7111652951335975</v>
      </c>
      <c r="G134" s="62">
        <f>PRODUCT(C134:F134)</f>
        <v>2.9911859411288164</v>
      </c>
      <c r="H134" s="60"/>
      <c r="I134" s="60"/>
      <c r="J134" s="60"/>
      <c r="K134" s="58"/>
      <c r="M134" s="71"/>
    </row>
    <row r="135" spans="1:13" s="1" customFormat="1" ht="45" x14ac:dyDescent="0.25">
      <c r="A135" s="57"/>
      <c r="B135" s="61" t="str">
        <f t="shared" si="42"/>
        <v>-Grid A(2-3), A(3-4), A(4-5), B(2-3), B(3-4), B(4-5), C(2-3), C(3-4), C(4-5)</v>
      </c>
      <c r="C135" s="59">
        <f t="shared" si="43"/>
        <v>18</v>
      </c>
      <c r="D135" s="12">
        <f t="shared" si="43"/>
        <v>3.4806461444681496</v>
      </c>
      <c r="E135" s="12">
        <v>0.23</v>
      </c>
      <c r="F135" s="12">
        <f>F101</f>
        <v>0.7111652951335975</v>
      </c>
      <c r="G135" s="62">
        <f t="shared" ref="G135:G137" si="44">PRODUCT(C135:F135)</f>
        <v>10.247803034307323</v>
      </c>
      <c r="H135" s="60"/>
      <c r="I135" s="60"/>
      <c r="J135" s="60"/>
      <c r="K135" s="58"/>
      <c r="M135" s="71"/>
    </row>
    <row r="136" spans="1:13" s="1" customFormat="1" ht="30" x14ac:dyDescent="0.25">
      <c r="A136" s="57"/>
      <c r="B136" s="61" t="str">
        <f t="shared" si="42"/>
        <v>-Grid 1(A-B), 2(A-B), 3(A-B), 4(A-B), 5(A-B)</v>
      </c>
      <c r="C136" s="59">
        <f t="shared" si="43"/>
        <v>10</v>
      </c>
      <c r="D136" s="12">
        <f t="shared" si="43"/>
        <v>3.7336177994513866</v>
      </c>
      <c r="E136" s="12">
        <v>0.23</v>
      </c>
      <c r="F136" s="12">
        <f>F102</f>
        <v>0.7111652951335975</v>
      </c>
      <c r="G136" s="62">
        <f t="shared" si="44"/>
        <v>6.1070046298046661</v>
      </c>
      <c r="H136" s="60"/>
      <c r="I136" s="60"/>
      <c r="J136" s="60"/>
      <c r="K136" s="58"/>
      <c r="M136" s="71"/>
    </row>
    <row r="137" spans="1:13" s="1" customFormat="1" ht="30" x14ac:dyDescent="0.25">
      <c r="A137" s="57"/>
      <c r="B137" s="61" t="str">
        <f t="shared" si="42"/>
        <v xml:space="preserve">-Grid 1(B-C), 2(B-C), 3(B-C), 4(B-C), 5(B-C), </v>
      </c>
      <c r="C137" s="59">
        <f t="shared" si="43"/>
        <v>10</v>
      </c>
      <c r="D137" s="12">
        <f t="shared" si="43"/>
        <v>0.99055166107893933</v>
      </c>
      <c r="E137" s="12">
        <v>0.23</v>
      </c>
      <c r="F137" s="12">
        <f>F103</f>
        <v>0.7111652951335975</v>
      </c>
      <c r="G137" s="62">
        <f t="shared" si="44"/>
        <v>1.6202257181114421</v>
      </c>
      <c r="H137" s="60"/>
      <c r="I137" s="60"/>
      <c r="J137" s="60"/>
      <c r="K137" s="58"/>
      <c r="M137" s="71"/>
    </row>
    <row r="138" spans="1:13" s="1" customFormat="1" x14ac:dyDescent="0.25">
      <c r="A138" s="57"/>
      <c r="B138" s="75" t="str">
        <f t="shared" si="42"/>
        <v>-Column</v>
      </c>
      <c r="C138" s="59"/>
      <c r="D138" s="12"/>
      <c r="E138" s="12"/>
      <c r="F138" s="12"/>
      <c r="G138" s="62"/>
      <c r="H138" s="60"/>
      <c r="I138" s="60"/>
      <c r="J138" s="60"/>
      <c r="K138" s="58"/>
      <c r="M138" s="71"/>
    </row>
    <row r="139" spans="1:13" s="1" customFormat="1" x14ac:dyDescent="0.25">
      <c r="A139" s="57"/>
      <c r="B139" s="61" t="str">
        <f t="shared" si="42"/>
        <v>-GF column</v>
      </c>
      <c r="C139" s="59">
        <f>C105</f>
        <v>15</v>
      </c>
      <c r="D139" s="12">
        <f>14/12/3.281</f>
        <v>0.35558264756679875</v>
      </c>
      <c r="E139" s="12">
        <f>14/12/3.281</f>
        <v>0.35558264756679875</v>
      </c>
      <c r="F139" s="12">
        <f>F105</f>
        <v>2.7177689728741234</v>
      </c>
      <c r="G139" s="62">
        <f>PRODUCT(C139:F139)</f>
        <v>5.1544806521992994</v>
      </c>
      <c r="H139" s="60"/>
      <c r="I139" s="60"/>
      <c r="J139" s="60"/>
      <c r="K139" s="58"/>
      <c r="M139" s="71"/>
    </row>
    <row r="140" spans="1:13" s="1" customFormat="1" x14ac:dyDescent="0.25">
      <c r="A140" s="57"/>
      <c r="B140" s="61" t="str">
        <f t="shared" si="42"/>
        <v>-FF column</v>
      </c>
      <c r="C140" s="59">
        <f>C106</f>
        <v>15</v>
      </c>
      <c r="D140" s="12">
        <f t="shared" ref="D140:E141" si="45">14/12/3.281</f>
        <v>0.35558264756679875</v>
      </c>
      <c r="E140" s="12">
        <f t="shared" si="45"/>
        <v>0.35558264756679875</v>
      </c>
      <c r="F140" s="12">
        <f>F106</f>
        <v>2.7177689728741234</v>
      </c>
      <c r="G140" s="62">
        <f>PRODUCT(C140:F140)</f>
        <v>5.1544806521992994</v>
      </c>
      <c r="H140" s="60"/>
      <c r="I140" s="60"/>
      <c r="J140" s="60"/>
      <c r="K140" s="58"/>
      <c r="M140" s="71"/>
    </row>
    <row r="141" spans="1:13" s="1" customFormat="1" x14ac:dyDescent="0.25">
      <c r="A141" s="57"/>
      <c r="B141" s="61" t="str">
        <f t="shared" si="42"/>
        <v>-SF column</v>
      </c>
      <c r="C141" s="59">
        <f>C107</f>
        <v>6</v>
      </c>
      <c r="D141" s="12">
        <f t="shared" si="45"/>
        <v>0.35558264756679875</v>
      </c>
      <c r="E141" s="12">
        <f t="shared" si="45"/>
        <v>0.35558264756679875</v>
      </c>
      <c r="F141" s="12">
        <f>F107</f>
        <v>2.7177689728741234</v>
      </c>
      <c r="G141" s="62">
        <f t="shared" ref="G141" si="46">PRODUCT(C141:F141)</f>
        <v>2.0617922608797201</v>
      </c>
      <c r="H141" s="60"/>
      <c r="I141" s="60"/>
      <c r="J141" s="60"/>
      <c r="K141" s="58"/>
      <c r="M141" s="71"/>
    </row>
    <row r="142" spans="1:13" s="1" customFormat="1" x14ac:dyDescent="0.25">
      <c r="A142" s="57"/>
      <c r="B142" s="75" t="str">
        <f t="shared" si="42"/>
        <v>-Beam</v>
      </c>
      <c r="C142" s="59"/>
      <c r="D142" s="12"/>
      <c r="E142" s="12"/>
      <c r="F142" s="12"/>
      <c r="G142" s="62"/>
      <c r="H142" s="60"/>
      <c r="I142" s="60"/>
      <c r="J142" s="60"/>
      <c r="K142" s="58"/>
      <c r="M142" s="71"/>
    </row>
    <row r="143" spans="1:13" s="1" customFormat="1" x14ac:dyDescent="0.25">
      <c r="A143" s="57"/>
      <c r="B143" s="61" t="str">
        <f t="shared" si="42"/>
        <v>-Ground floor</v>
      </c>
      <c r="C143" s="59"/>
      <c r="D143" s="12"/>
      <c r="E143" s="12"/>
      <c r="F143" s="12"/>
      <c r="G143" s="62"/>
      <c r="H143" s="60"/>
      <c r="I143" s="60"/>
      <c r="J143" s="60"/>
      <c r="K143" s="58"/>
      <c r="M143" s="71"/>
    </row>
    <row r="144" spans="1:13" s="1" customFormat="1" x14ac:dyDescent="0.25">
      <c r="A144" s="57"/>
      <c r="B144" s="61" t="str">
        <f t="shared" si="42"/>
        <v>-Grid A(1-2), B(1-2), C(1-2)</v>
      </c>
      <c r="C144" s="59">
        <f t="shared" ref="C144:D147" si="47">C110</f>
        <v>3</v>
      </c>
      <c r="D144" s="12">
        <f t="shared" si="47"/>
        <v>3.047851264858275</v>
      </c>
      <c r="E144" s="12">
        <v>0.23</v>
      </c>
      <c r="F144" s="12">
        <v>0.23</v>
      </c>
      <c r="G144" s="62">
        <f t="shared" ref="G144" si="48">PRODUCT(C144:F144)</f>
        <v>0.48369399573300831</v>
      </c>
      <c r="H144" s="60"/>
      <c r="I144" s="60"/>
      <c r="J144" s="60"/>
      <c r="K144" s="58"/>
      <c r="M144" s="71"/>
    </row>
    <row r="145" spans="1:13" s="1" customFormat="1" ht="45" x14ac:dyDescent="0.25">
      <c r="A145" s="57"/>
      <c r="B145" s="61" t="str">
        <f t="shared" si="42"/>
        <v>-Grid A(2-3), A(3-4), A(4-5), B(2-3), B(3-4), B(4-5), C(2-3), C(3-4), C(4-5)</v>
      </c>
      <c r="C145" s="59">
        <f t="shared" si="47"/>
        <v>9</v>
      </c>
      <c r="D145" s="12">
        <f t="shared" si="47"/>
        <v>3.4806461444681496</v>
      </c>
      <c r="E145" s="12">
        <v>0.23</v>
      </c>
      <c r="F145" s="12">
        <v>0.23</v>
      </c>
      <c r="G145" s="62">
        <f t="shared" ref="G145:G158" si="49">PRODUCT(C145:F145)</f>
        <v>1.657135629381286</v>
      </c>
      <c r="H145" s="60"/>
      <c r="I145" s="60"/>
      <c r="J145" s="60"/>
      <c r="K145" s="58"/>
      <c r="M145" s="71"/>
    </row>
    <row r="146" spans="1:13" s="1" customFormat="1" ht="30" x14ac:dyDescent="0.25">
      <c r="A146" s="57"/>
      <c r="B146" s="61" t="str">
        <f t="shared" si="42"/>
        <v>-Grid 1(A-B), 2(A-B), 3(A-B), 4(A-B), 5(A-B)</v>
      </c>
      <c r="C146" s="59">
        <f t="shared" si="47"/>
        <v>5</v>
      </c>
      <c r="D146" s="12">
        <f t="shared" si="47"/>
        <v>3.7336177994513866</v>
      </c>
      <c r="E146" s="12">
        <v>0.23</v>
      </c>
      <c r="F146" s="12">
        <v>0.23</v>
      </c>
      <c r="G146" s="62">
        <f t="shared" si="49"/>
        <v>0.98754190795489183</v>
      </c>
      <c r="H146" s="60"/>
      <c r="I146" s="60"/>
      <c r="J146" s="60"/>
      <c r="K146" s="58"/>
      <c r="M146" s="71"/>
    </row>
    <row r="147" spans="1:13" s="1" customFormat="1" ht="30" x14ac:dyDescent="0.25">
      <c r="A147" s="57"/>
      <c r="B147" s="61" t="str">
        <f t="shared" si="42"/>
        <v xml:space="preserve">-Grid 1(B-C), 2(B-C), 3(B-C), 4(B-C), 5(B-C), </v>
      </c>
      <c r="C147" s="59">
        <f t="shared" si="47"/>
        <v>5</v>
      </c>
      <c r="D147" s="12">
        <f t="shared" si="47"/>
        <v>0.99055166107893933</v>
      </c>
      <c r="E147" s="12">
        <v>0.23</v>
      </c>
      <c r="F147" s="12">
        <v>0.23</v>
      </c>
      <c r="G147" s="62">
        <f t="shared" si="49"/>
        <v>0.26200091435537948</v>
      </c>
      <c r="H147" s="60"/>
      <c r="I147" s="60"/>
      <c r="J147" s="60"/>
      <c r="K147" s="58"/>
      <c r="M147" s="71"/>
    </row>
    <row r="148" spans="1:13" s="1" customFormat="1" x14ac:dyDescent="0.25">
      <c r="A148" s="57"/>
      <c r="B148" s="61" t="str">
        <f t="shared" si="42"/>
        <v>-First floor</v>
      </c>
      <c r="C148" s="59"/>
      <c r="D148" s="12"/>
      <c r="E148" s="12"/>
      <c r="F148" s="12"/>
      <c r="G148" s="62"/>
      <c r="H148" s="60"/>
      <c r="I148" s="60"/>
      <c r="J148" s="60"/>
      <c r="K148" s="58"/>
      <c r="M148" s="71"/>
    </row>
    <row r="149" spans="1:13" s="1" customFormat="1" x14ac:dyDescent="0.25">
      <c r="A149" s="57"/>
      <c r="B149" s="61" t="str">
        <f t="shared" si="42"/>
        <v>-Grid A(1-2), B(1-2), C(1-2)</v>
      </c>
      <c r="C149" s="59">
        <f t="shared" ref="C149:D152" si="50">C115</f>
        <v>3</v>
      </c>
      <c r="D149" s="12">
        <f t="shared" si="50"/>
        <v>3.047851264858275</v>
      </c>
      <c r="E149" s="12">
        <v>0.23</v>
      </c>
      <c r="F149" s="12">
        <v>0.23</v>
      </c>
      <c r="G149" s="62">
        <f t="shared" si="49"/>
        <v>0.48369399573300831</v>
      </c>
      <c r="H149" s="60"/>
      <c r="I149" s="60"/>
      <c r="J149" s="60"/>
      <c r="K149" s="58"/>
      <c r="M149" s="71"/>
    </row>
    <row r="150" spans="1:13" s="1" customFormat="1" ht="45" x14ac:dyDescent="0.25">
      <c r="A150" s="57"/>
      <c r="B150" s="61" t="str">
        <f t="shared" si="42"/>
        <v>-Grid A(2-3), A(3-4), A(4-5), B(2-3), B(3-4), B(4-5), C(2-3), C(3-4), C(4-5)</v>
      </c>
      <c r="C150" s="59">
        <f t="shared" si="50"/>
        <v>9</v>
      </c>
      <c r="D150" s="12">
        <f t="shared" si="50"/>
        <v>3.4806461444681496</v>
      </c>
      <c r="E150" s="12">
        <v>0.23</v>
      </c>
      <c r="F150" s="12">
        <v>0.23</v>
      </c>
      <c r="G150" s="62">
        <f t="shared" si="49"/>
        <v>1.657135629381286</v>
      </c>
      <c r="H150" s="60"/>
      <c r="I150" s="60"/>
      <c r="J150" s="60"/>
      <c r="K150" s="58"/>
      <c r="M150" s="71"/>
    </row>
    <row r="151" spans="1:13" s="1" customFormat="1" ht="30" x14ac:dyDescent="0.25">
      <c r="A151" s="57"/>
      <c r="B151" s="61" t="str">
        <f t="shared" si="42"/>
        <v>-Grid 1(A-B), 2(A-B), 3(A-B), 4(A-B), 5(A-B)</v>
      </c>
      <c r="C151" s="59">
        <f t="shared" si="50"/>
        <v>5</v>
      </c>
      <c r="D151" s="12">
        <f t="shared" si="50"/>
        <v>3.7336177994513866</v>
      </c>
      <c r="E151" s="12">
        <v>0.23</v>
      </c>
      <c r="F151" s="12">
        <v>0.23</v>
      </c>
      <c r="G151" s="62">
        <f t="shared" si="49"/>
        <v>0.98754190795489183</v>
      </c>
      <c r="H151" s="60"/>
      <c r="I151" s="60"/>
      <c r="J151" s="60"/>
      <c r="K151" s="58"/>
      <c r="M151" s="71"/>
    </row>
    <row r="152" spans="1:13" s="1" customFormat="1" ht="30" x14ac:dyDescent="0.25">
      <c r="A152" s="57"/>
      <c r="B152" s="61" t="str">
        <f t="shared" si="42"/>
        <v xml:space="preserve">-Grid 1(B-C), 2(B-C), 3(B-C), 4(B-C), 5(B-C), </v>
      </c>
      <c r="C152" s="59">
        <f t="shared" si="50"/>
        <v>5</v>
      </c>
      <c r="D152" s="12">
        <f t="shared" si="50"/>
        <v>0.99055166107893933</v>
      </c>
      <c r="E152" s="12">
        <v>0.23</v>
      </c>
      <c r="F152" s="12">
        <v>0.23</v>
      </c>
      <c r="G152" s="62">
        <f t="shared" si="49"/>
        <v>0.26200091435537948</v>
      </c>
      <c r="H152" s="60"/>
      <c r="I152" s="60"/>
      <c r="J152" s="60"/>
      <c r="K152" s="58"/>
      <c r="M152" s="71"/>
    </row>
    <row r="153" spans="1:13" s="1" customFormat="1" x14ac:dyDescent="0.25">
      <c r="A153" s="57"/>
      <c r="B153" s="61" t="str">
        <f t="shared" si="42"/>
        <v>-Second floor</v>
      </c>
      <c r="C153" s="59"/>
      <c r="D153" s="12"/>
      <c r="E153" s="12"/>
      <c r="F153" s="12"/>
      <c r="G153" s="62"/>
      <c r="H153" s="60"/>
      <c r="I153" s="60"/>
      <c r="J153" s="60"/>
      <c r="K153" s="58"/>
      <c r="M153" s="71"/>
    </row>
    <row r="154" spans="1:13" s="1" customFormat="1" ht="30" x14ac:dyDescent="0.25">
      <c r="A154" s="57"/>
      <c r="B154" s="61" t="str">
        <f t="shared" si="42"/>
        <v>-Grid (A-A)(1-2), (B-B)(1-2), (C-C)(1-2)</v>
      </c>
      <c r="C154" s="59">
        <f t="shared" ref="C154:D156" si="51">C120</f>
        <v>3</v>
      </c>
      <c r="D154" s="12">
        <f t="shared" si="51"/>
        <v>3.047851264858275</v>
      </c>
      <c r="E154" s="12">
        <v>0.23</v>
      </c>
      <c r="F154" s="12">
        <v>0.23</v>
      </c>
      <c r="G154" s="62">
        <f t="shared" si="49"/>
        <v>0.48369399573300831</v>
      </c>
      <c r="H154" s="60"/>
      <c r="I154" s="60"/>
      <c r="J154" s="60"/>
      <c r="K154" s="58"/>
      <c r="M154" s="71"/>
    </row>
    <row r="155" spans="1:13" s="1" customFormat="1" x14ac:dyDescent="0.25">
      <c r="A155" s="57"/>
      <c r="B155" s="61" t="str">
        <f t="shared" si="42"/>
        <v>-Grid 1(A-B), 2(A-B)</v>
      </c>
      <c r="C155" s="59">
        <f t="shared" si="51"/>
        <v>2</v>
      </c>
      <c r="D155" s="12">
        <f t="shared" si="51"/>
        <v>3.7336177994513866</v>
      </c>
      <c r="E155" s="12">
        <v>0.23</v>
      </c>
      <c r="F155" s="12">
        <v>0.23</v>
      </c>
      <c r="G155" s="62">
        <f t="shared" si="49"/>
        <v>0.39501676318195678</v>
      </c>
      <c r="H155" s="60"/>
      <c r="I155" s="60"/>
      <c r="J155" s="60"/>
      <c r="K155" s="58"/>
      <c r="M155" s="71"/>
    </row>
    <row r="156" spans="1:13" s="1" customFormat="1" x14ac:dyDescent="0.25">
      <c r="A156" s="57"/>
      <c r="B156" s="61" t="str">
        <f t="shared" si="42"/>
        <v>-Grid 1(B-C), 2(B-C)</v>
      </c>
      <c r="C156" s="59">
        <f t="shared" si="51"/>
        <v>2</v>
      </c>
      <c r="D156" s="12">
        <f t="shared" si="51"/>
        <v>0.99055166107893933</v>
      </c>
      <c r="E156" s="12">
        <v>0.23</v>
      </c>
      <c r="F156" s="12">
        <v>0.23</v>
      </c>
      <c r="G156" s="62">
        <f t="shared" si="49"/>
        <v>0.10480036574215179</v>
      </c>
      <c r="H156" s="60"/>
      <c r="I156" s="60"/>
      <c r="J156" s="60"/>
      <c r="K156" s="58"/>
      <c r="M156" s="71"/>
    </row>
    <row r="157" spans="1:13" s="1" customFormat="1" x14ac:dyDescent="0.25">
      <c r="A157" s="57"/>
      <c r="B157" s="75" t="s">
        <v>74</v>
      </c>
      <c r="C157" s="59"/>
      <c r="D157" s="12"/>
      <c r="E157" s="12"/>
      <c r="F157" s="12"/>
      <c r="G157" s="62"/>
      <c r="H157" s="60"/>
      <c r="I157" s="60"/>
      <c r="J157" s="60"/>
      <c r="K157" s="58"/>
      <c r="M157" s="71"/>
    </row>
    <row r="158" spans="1:13" s="1" customFormat="1" x14ac:dyDescent="0.25">
      <c r="A158" s="57"/>
      <c r="B158" s="61" t="str">
        <f>B143</f>
        <v>-Ground floor</v>
      </c>
      <c r="C158" s="59">
        <v>1</v>
      </c>
      <c r="D158" s="12">
        <f>54/3.281</f>
        <v>16.458396830234683</v>
      </c>
      <c r="E158" s="12">
        <f>23/3.281</f>
        <v>7.0100579091740318</v>
      </c>
      <c r="F158" s="12">
        <v>0.127</v>
      </c>
      <c r="G158" s="62">
        <f t="shared" si="49"/>
        <v>14.652537988758155</v>
      </c>
      <c r="H158" s="60"/>
      <c r="I158" s="60"/>
      <c r="J158" s="60"/>
      <c r="K158" s="58"/>
      <c r="M158" s="71"/>
    </row>
    <row r="159" spans="1:13" s="1" customFormat="1" x14ac:dyDescent="0.25">
      <c r="A159" s="57"/>
      <c r="B159" s="61" t="str">
        <f>B148</f>
        <v>-First floor</v>
      </c>
      <c r="C159" s="59">
        <v>1</v>
      </c>
      <c r="D159" s="12">
        <f t="shared" ref="D159" si="52">54/3.281</f>
        <v>16.458396830234683</v>
      </c>
      <c r="E159" s="12">
        <f t="shared" ref="E159:E160" si="53">23/3.281</f>
        <v>7.0100579091740318</v>
      </c>
      <c r="F159" s="12">
        <v>0.127</v>
      </c>
      <c r="G159" s="62">
        <f t="shared" ref="G159:G160" si="54">PRODUCT(C159:F159)</f>
        <v>14.652537988758155</v>
      </c>
      <c r="H159" s="60"/>
      <c r="I159" s="60"/>
      <c r="J159" s="60"/>
      <c r="K159" s="58"/>
      <c r="M159" s="71"/>
    </row>
    <row r="160" spans="1:13" s="1" customFormat="1" x14ac:dyDescent="0.25">
      <c r="A160" s="57"/>
      <c r="B160" s="61" t="str">
        <f>B153</f>
        <v>-Second floor</v>
      </c>
      <c r="C160" s="59">
        <v>1</v>
      </c>
      <c r="D160" s="12">
        <f>16.333/3.281</f>
        <v>4.97805547089302</v>
      </c>
      <c r="E160" s="12">
        <f t="shared" si="53"/>
        <v>7.0100579091740318</v>
      </c>
      <c r="F160" s="12">
        <v>0.127</v>
      </c>
      <c r="G160" s="62">
        <f t="shared" si="54"/>
        <v>4.4318500550071658</v>
      </c>
      <c r="H160" s="60"/>
      <c r="I160" s="60"/>
      <c r="J160" s="60"/>
      <c r="K160" s="58"/>
      <c r="M160" s="71"/>
    </row>
    <row r="161" spans="1:13" ht="15" customHeight="1" x14ac:dyDescent="0.25">
      <c r="A161" s="18"/>
      <c r="B161" s="35" t="s">
        <v>33</v>
      </c>
      <c r="C161" s="19"/>
      <c r="D161" s="20"/>
      <c r="E161" s="21"/>
      <c r="F161" s="21"/>
      <c r="G161" s="23">
        <f>SUM(G131:G160)</f>
        <v>107.1485367432511</v>
      </c>
      <c r="H161" s="22" t="s">
        <v>40</v>
      </c>
      <c r="I161" s="23">
        <v>15604.23</v>
      </c>
      <c r="J161" s="39">
        <f>G161*I161</f>
        <v>1671970.4115051411</v>
      </c>
      <c r="K161" s="21"/>
    </row>
    <row r="162" spans="1:13" ht="15" customHeight="1" x14ac:dyDescent="0.25">
      <c r="A162" s="18"/>
      <c r="B162" s="35"/>
      <c r="C162" s="19"/>
      <c r="D162" s="20"/>
      <c r="E162" s="21"/>
      <c r="F162" s="21"/>
      <c r="G162" s="23"/>
      <c r="H162" s="22"/>
      <c r="I162" s="23"/>
      <c r="J162" s="39"/>
      <c r="K162" s="21"/>
    </row>
    <row r="163" spans="1:13" ht="30.75" x14ac:dyDescent="0.25">
      <c r="A163" s="18">
        <v>7</v>
      </c>
      <c r="B163" s="72" t="s">
        <v>76</v>
      </c>
      <c r="C163" s="19"/>
      <c r="D163" s="20"/>
      <c r="E163" s="21"/>
      <c r="F163" s="21"/>
      <c r="G163" s="23"/>
      <c r="H163" s="22"/>
      <c r="I163" s="23"/>
      <c r="J163" s="39"/>
      <c r="K163" s="21"/>
      <c r="M163">
        <f>950/10.76</f>
        <v>88.289962825278806</v>
      </c>
    </row>
    <row r="164" spans="1:13" ht="15" customHeight="1" x14ac:dyDescent="0.25">
      <c r="A164" s="18"/>
      <c r="B164" s="35" t="s">
        <v>77</v>
      </c>
      <c r="C164" s="19"/>
      <c r="D164" s="20"/>
      <c r="E164" s="21"/>
      <c r="F164" s="21"/>
      <c r="G164" s="62"/>
      <c r="H164" s="22"/>
      <c r="I164" s="23"/>
      <c r="J164" s="39"/>
      <c r="K164" s="21"/>
      <c r="M164">
        <f>M163*I161</f>
        <v>1377696.8866171003</v>
      </c>
    </row>
    <row r="165" spans="1:13" x14ac:dyDescent="0.25">
      <c r="A165" s="18"/>
      <c r="B165" s="35" t="str">
        <f>B134</f>
        <v>-Grid A(1-2), B(1-2), C(1-2)</v>
      </c>
      <c r="C165" s="19">
        <f>C144</f>
        <v>3</v>
      </c>
      <c r="D165" s="20">
        <f>D144</f>
        <v>3.047851264858275</v>
      </c>
      <c r="E165" s="21">
        <f>E144</f>
        <v>0.23</v>
      </c>
      <c r="F165" s="21">
        <f>2.17/3.281</f>
        <v>0.66138372447424565</v>
      </c>
      <c r="G165" s="62">
        <f t="shared" ref="G165" si="55">PRODUCT(C165:F165)</f>
        <v>1.3909014626248994</v>
      </c>
      <c r="H165" s="22"/>
      <c r="I165" s="23"/>
      <c r="J165" s="39"/>
      <c r="K165" s="21"/>
    </row>
    <row r="166" spans="1:13" ht="45" x14ac:dyDescent="0.25">
      <c r="A166" s="18"/>
      <c r="B166" s="35" t="str">
        <f t="shared" ref="B166:B168" si="56">B135</f>
        <v>-Grid A(2-3), A(3-4), A(4-5), B(2-3), B(3-4), B(4-5), C(2-3), C(3-4), C(4-5)</v>
      </c>
      <c r="C166" s="19">
        <f t="shared" ref="C166:E166" si="57">C145</f>
        <v>9</v>
      </c>
      <c r="D166" s="20">
        <f t="shared" si="57"/>
        <v>3.4806461444681496</v>
      </c>
      <c r="E166" s="21">
        <f t="shared" si="57"/>
        <v>0.23</v>
      </c>
      <c r="F166" s="21">
        <f t="shared" ref="F166:F168" si="58">2.17/3.281</f>
        <v>0.66138372447424565</v>
      </c>
      <c r="G166" s="62">
        <f>PRODUCT(C166:F166)</f>
        <v>4.7652284109529051</v>
      </c>
      <c r="H166" s="22"/>
      <c r="I166" s="23"/>
      <c r="J166" s="39"/>
      <c r="K166" s="21"/>
    </row>
    <row r="167" spans="1:13" ht="30" x14ac:dyDescent="0.25">
      <c r="A167" s="18"/>
      <c r="B167" s="35" t="str">
        <f t="shared" si="56"/>
        <v>-Grid 1(A-B), 2(A-B), 3(A-B), 4(A-B), 5(A-B)</v>
      </c>
      <c r="C167" s="19">
        <f t="shared" ref="C167:E167" si="59">C146</f>
        <v>5</v>
      </c>
      <c r="D167" s="20">
        <f t="shared" si="59"/>
        <v>3.7336177994513866</v>
      </c>
      <c r="E167" s="21">
        <f t="shared" si="59"/>
        <v>0.23</v>
      </c>
      <c r="F167" s="21">
        <f t="shared" si="58"/>
        <v>0.66138372447424565</v>
      </c>
      <c r="G167" s="62">
        <f t="shared" ref="G167:G170" si="60">PRODUCT(C167:F167)</f>
        <v>2.8397571528591694</v>
      </c>
      <c r="H167" s="22"/>
      <c r="I167" s="23"/>
      <c r="J167" s="39"/>
      <c r="K167" s="21"/>
    </row>
    <row r="168" spans="1:13" ht="30" x14ac:dyDescent="0.25">
      <c r="A168" s="18"/>
      <c r="B168" s="35" t="str">
        <f t="shared" si="56"/>
        <v xml:space="preserve">-Grid 1(B-C), 2(B-C), 3(B-C), 4(B-C), 5(B-C), </v>
      </c>
      <c r="C168" s="19">
        <f t="shared" ref="C168:E168" si="61">C147</f>
        <v>5</v>
      </c>
      <c r="D168" s="20">
        <f t="shared" si="61"/>
        <v>0.99055166107893933</v>
      </c>
      <c r="E168" s="21">
        <f t="shared" si="61"/>
        <v>0.23</v>
      </c>
      <c r="F168" s="21">
        <f t="shared" si="58"/>
        <v>0.66138372447424565</v>
      </c>
      <c r="G168" s="62">
        <f t="shared" si="60"/>
        <v>0.75340495892182058</v>
      </c>
      <c r="H168" s="22"/>
      <c r="I168" s="23"/>
      <c r="J168" s="39"/>
      <c r="K168" s="21"/>
    </row>
    <row r="169" spans="1:13" x14ac:dyDescent="0.25">
      <c r="A169" s="18"/>
      <c r="B169" s="35" t="s">
        <v>78</v>
      </c>
      <c r="C169" s="19"/>
      <c r="D169" s="20"/>
      <c r="E169" s="21"/>
      <c r="F169" s="21"/>
      <c r="G169" s="62"/>
      <c r="H169" s="22"/>
      <c r="I169" s="23"/>
      <c r="J169" s="39"/>
      <c r="K169" s="21"/>
    </row>
    <row r="170" spans="1:13" x14ac:dyDescent="0.25">
      <c r="A170" s="18"/>
      <c r="B170" s="35" t="s">
        <v>80</v>
      </c>
      <c r="C170" s="19">
        <v>3</v>
      </c>
      <c r="D170" s="20">
        <f>12.25/3.281</f>
        <v>3.7336177994513866</v>
      </c>
      <c r="E170" s="21">
        <v>0.23</v>
      </c>
      <c r="F170" s="21">
        <f>(9.333-1.17)/3.281</f>
        <v>2.48796098750381</v>
      </c>
      <c r="G170" s="62">
        <f t="shared" si="60"/>
        <v>6.409475844826563</v>
      </c>
      <c r="H170" s="22"/>
      <c r="I170" s="23"/>
      <c r="J170" s="39"/>
      <c r="K170" s="21"/>
    </row>
    <row r="171" spans="1:13" x14ac:dyDescent="0.25">
      <c r="A171" s="18"/>
      <c r="B171" s="35" t="s">
        <v>86</v>
      </c>
      <c r="C171" s="19">
        <v>1</v>
      </c>
      <c r="D171" s="20">
        <f>3.25/3.281</f>
        <v>0.99055166107893933</v>
      </c>
      <c r="E171" s="21">
        <v>0.23</v>
      </c>
      <c r="F171" s="21">
        <f t="shared" ref="F171:F174" si="62">(9.333-1.17)/3.281</f>
        <v>2.48796098750381</v>
      </c>
      <c r="G171" s="62">
        <f t="shared" ref="G171" si="63">PRODUCT(C171:F171)</f>
        <v>0.5668243944404443</v>
      </c>
      <c r="H171" s="22"/>
      <c r="I171" s="23"/>
      <c r="J171" s="39"/>
      <c r="K171" s="21"/>
    </row>
    <row r="172" spans="1:13" x14ac:dyDescent="0.25">
      <c r="A172" s="18"/>
      <c r="B172" s="35" t="s">
        <v>81</v>
      </c>
      <c r="C172" s="19">
        <v>1</v>
      </c>
      <c r="D172" s="20">
        <f>(50-1.17*5)/3.281</f>
        <v>13.456263334349282</v>
      </c>
      <c r="E172" s="21">
        <v>0.23</v>
      </c>
      <c r="F172" s="21">
        <f t="shared" si="62"/>
        <v>2.48796098750381</v>
      </c>
      <c r="G172" s="62">
        <f t="shared" ref="G172" si="64">PRODUCT(C172:F172)</f>
        <v>7.700091389090959</v>
      </c>
      <c r="H172" s="22"/>
      <c r="I172" s="23"/>
      <c r="J172" s="39"/>
      <c r="K172" s="21"/>
    </row>
    <row r="173" spans="1:13" x14ac:dyDescent="0.25">
      <c r="A173" s="18"/>
      <c r="B173" s="35" t="s">
        <v>82</v>
      </c>
      <c r="C173" s="19">
        <v>3</v>
      </c>
      <c r="D173" s="20">
        <f>11.42/3.2811</f>
        <v>3.4805400627838226</v>
      </c>
      <c r="E173" s="21">
        <v>0.23</v>
      </c>
      <c r="F173" s="21">
        <f t="shared" si="62"/>
        <v>2.48796098750381</v>
      </c>
      <c r="G173" s="62">
        <f t="shared" ref="G173" si="65">PRODUCT(C173:F173)</f>
        <v>5.9750190452386471</v>
      </c>
      <c r="H173" s="22"/>
      <c r="I173" s="23"/>
      <c r="J173" s="39"/>
      <c r="K173" s="21"/>
    </row>
    <row r="174" spans="1:13" x14ac:dyDescent="0.25">
      <c r="A174" s="18"/>
      <c r="B174" s="35" t="s">
        <v>84</v>
      </c>
      <c r="C174" s="19">
        <v>1</v>
      </c>
      <c r="D174" s="20">
        <f>4/3.281</f>
        <v>1.2191405059433098</v>
      </c>
      <c r="E174" s="21">
        <v>0.23</v>
      </c>
      <c r="F174" s="21">
        <f t="shared" si="62"/>
        <v>2.48796098750381</v>
      </c>
      <c r="G174" s="62">
        <f t="shared" ref="G174" si="66">PRODUCT(C174:F174)</f>
        <v>0.6976300239267007</v>
      </c>
      <c r="H174" s="22"/>
      <c r="I174" s="23"/>
      <c r="J174" s="39"/>
      <c r="K174" s="21"/>
    </row>
    <row r="175" spans="1:13" x14ac:dyDescent="0.25">
      <c r="A175" s="18"/>
      <c r="B175" s="35" t="s">
        <v>83</v>
      </c>
      <c r="C175" s="19">
        <v>1</v>
      </c>
      <c r="D175" s="20">
        <f>4/3.281</f>
        <v>1.2191405059433098</v>
      </c>
      <c r="E175" s="21">
        <v>0.23</v>
      </c>
      <c r="F175" s="21">
        <f>8.917/3.281</f>
        <v>2.7177689728741234</v>
      </c>
      <c r="G175" s="62">
        <f t="shared" ref="G175:G176" si="67">PRODUCT(C175:F175)</f>
        <v>0.76206871534416132</v>
      </c>
      <c r="H175" s="22"/>
      <c r="I175" s="23"/>
      <c r="J175" s="39"/>
      <c r="K175" s="21"/>
    </row>
    <row r="176" spans="1:13" x14ac:dyDescent="0.25">
      <c r="A176" s="18"/>
      <c r="B176" s="35" t="s">
        <v>90</v>
      </c>
      <c r="C176" s="19">
        <v>-3</v>
      </c>
      <c r="D176" s="20">
        <f>7/3.281</f>
        <v>2.1334958854007922</v>
      </c>
      <c r="E176" s="21">
        <v>0.23</v>
      </c>
      <c r="F176" s="21">
        <f>4.5/3.281</f>
        <v>1.3715330691862238</v>
      </c>
      <c r="G176" s="62">
        <f t="shared" si="67"/>
        <v>-2.0190505102619505</v>
      </c>
      <c r="H176" s="22"/>
      <c r="I176" s="23"/>
      <c r="J176" s="39"/>
      <c r="K176" s="21"/>
    </row>
    <row r="177" spans="1:11" x14ac:dyDescent="0.25">
      <c r="A177" s="18"/>
      <c r="B177" s="35" t="s">
        <v>91</v>
      </c>
      <c r="C177" s="19">
        <v>-3</v>
      </c>
      <c r="D177" s="20">
        <f>2.5/3.281</f>
        <v>0.76196281621456874</v>
      </c>
      <c r="E177" s="21">
        <v>0.23</v>
      </c>
      <c r="F177" s="21">
        <f>4.5/3.281</f>
        <v>1.3715330691862238</v>
      </c>
      <c r="G177" s="62">
        <f>PRODUCT(C177:F177)</f>
        <v>-0.72108946795069684</v>
      </c>
      <c r="H177" s="22"/>
      <c r="I177" s="23"/>
      <c r="J177" s="39"/>
      <c r="K177" s="21"/>
    </row>
    <row r="178" spans="1:11" x14ac:dyDescent="0.25">
      <c r="A178" s="18"/>
      <c r="B178" s="35" t="s">
        <v>92</v>
      </c>
      <c r="C178" s="19">
        <v>-1</v>
      </c>
      <c r="D178" s="20">
        <f>4/3.281</f>
        <v>1.2191405059433098</v>
      </c>
      <c r="E178" s="21">
        <v>0.23</v>
      </c>
      <c r="F178" s="21">
        <f>8/3.281</f>
        <v>2.4382810118866196</v>
      </c>
      <c r="G178" s="62">
        <f>PRODUCT(C178:F178)</f>
        <v>-0.68369964368658642</v>
      </c>
      <c r="H178" s="22"/>
      <c r="I178" s="23"/>
      <c r="J178" s="39"/>
      <c r="K178" s="21"/>
    </row>
    <row r="179" spans="1:11" x14ac:dyDescent="0.25">
      <c r="A179" s="18"/>
      <c r="B179" s="35" t="s">
        <v>94</v>
      </c>
      <c r="C179" s="19">
        <v>1</v>
      </c>
      <c r="D179" s="20">
        <f>3.25/3.281</f>
        <v>0.99055166107893933</v>
      </c>
      <c r="E179" s="21">
        <v>0.1</v>
      </c>
      <c r="F179" s="21">
        <f t="shared" ref="F179" si="68">(9.333-1.17)/3.281</f>
        <v>2.48796098750381</v>
      </c>
      <c r="G179" s="62">
        <f>PRODUCT(C179:F179)</f>
        <v>0.24644538888714976</v>
      </c>
      <c r="H179" s="22"/>
      <c r="I179" s="23"/>
      <c r="J179" s="39"/>
      <c r="K179" s="21"/>
    </row>
    <row r="180" spans="1:11" x14ac:dyDescent="0.25">
      <c r="A180" s="18"/>
      <c r="B180" s="35" t="s">
        <v>95</v>
      </c>
      <c r="C180" s="19">
        <v>1</v>
      </c>
      <c r="D180" s="20">
        <f>(11.42*2+7.42)/3.281</f>
        <v>9.2227979274611389</v>
      </c>
      <c r="E180" s="21">
        <v>0.1</v>
      </c>
      <c r="F180" s="21">
        <v>1</v>
      </c>
      <c r="G180" s="62">
        <f>PRODUCT(C180:F180)</f>
        <v>0.92227979274611394</v>
      </c>
      <c r="H180" s="22"/>
      <c r="I180" s="23"/>
      <c r="J180" s="39"/>
      <c r="K180" s="21"/>
    </row>
    <row r="181" spans="1:11" x14ac:dyDescent="0.25">
      <c r="A181" s="18"/>
      <c r="B181" s="35" t="s">
        <v>96</v>
      </c>
      <c r="C181" s="19">
        <v>1</v>
      </c>
      <c r="D181" s="20">
        <f>(17.5+13.083)/3.281</f>
        <v>9.3212435233160615</v>
      </c>
      <c r="E181" s="21">
        <v>0.1</v>
      </c>
      <c r="F181" s="21">
        <f>8.917/3.281</f>
        <v>2.7177689728741234</v>
      </c>
      <c r="G181" s="62">
        <f t="shared" ref="G181" si="69">PRODUCT(C181:F181)</f>
        <v>2.5332986436272269</v>
      </c>
      <c r="H181" s="22"/>
      <c r="I181" s="23"/>
      <c r="J181" s="39"/>
      <c r="K181" s="21"/>
    </row>
    <row r="182" spans="1:11" x14ac:dyDescent="0.25">
      <c r="A182" s="18"/>
      <c r="B182" s="35" t="s">
        <v>97</v>
      </c>
      <c r="C182" s="19">
        <v>-2</v>
      </c>
      <c r="D182" s="20">
        <f>3/3.281</f>
        <v>0.91435537945748246</v>
      </c>
      <c r="E182" s="21">
        <v>0.1</v>
      </c>
      <c r="F182" s="21">
        <f>7/3.281</f>
        <v>2.1334958854007922</v>
      </c>
      <c r="G182" s="62">
        <f>PRODUCT(C182:F182)</f>
        <v>-0.39015468797332381</v>
      </c>
      <c r="H182" s="22"/>
      <c r="I182" s="23"/>
      <c r="J182" s="39"/>
      <c r="K182" s="21"/>
    </row>
    <row r="183" spans="1:11" x14ac:dyDescent="0.25">
      <c r="A183" s="18"/>
      <c r="B183" s="35" t="s">
        <v>85</v>
      </c>
      <c r="C183" s="19"/>
      <c r="D183" s="20"/>
      <c r="E183" s="21"/>
      <c r="F183" s="21"/>
      <c r="G183" s="62"/>
      <c r="H183" s="22"/>
      <c r="I183" s="23"/>
      <c r="J183" s="39"/>
      <c r="K183" s="21"/>
    </row>
    <row r="184" spans="1:11" x14ac:dyDescent="0.25">
      <c r="A184" s="18"/>
      <c r="B184" s="35" t="s">
        <v>80</v>
      </c>
      <c r="C184" s="19">
        <v>3</v>
      </c>
      <c r="D184" s="20">
        <f>12.25/3.281</f>
        <v>3.7336177994513866</v>
      </c>
      <c r="E184" s="21">
        <v>0.23</v>
      </c>
      <c r="F184" s="21">
        <f t="shared" ref="F184:F188" si="70">(9.333-1.17)/3.281</f>
        <v>2.48796098750381</v>
      </c>
      <c r="G184" s="62">
        <f t="shared" ref="G184:G190" si="71">PRODUCT(C184:F184)</f>
        <v>6.409475844826563</v>
      </c>
      <c r="H184" s="22"/>
      <c r="I184" s="23"/>
      <c r="J184" s="39"/>
      <c r="K184" s="21"/>
    </row>
    <row r="185" spans="1:11" x14ac:dyDescent="0.25">
      <c r="A185" s="18"/>
      <c r="B185" s="35" t="s">
        <v>86</v>
      </c>
      <c r="C185" s="19">
        <v>1</v>
      </c>
      <c r="D185" s="20">
        <f>3.25/3.281</f>
        <v>0.99055166107893933</v>
      </c>
      <c r="E185" s="21">
        <v>0.23</v>
      </c>
      <c r="F185" s="21">
        <f t="shared" si="70"/>
        <v>2.48796098750381</v>
      </c>
      <c r="G185" s="62">
        <f t="shared" si="71"/>
        <v>0.5668243944404443</v>
      </c>
      <c r="H185" s="22"/>
      <c r="I185" s="23"/>
      <c r="J185" s="39"/>
      <c r="K185" s="21"/>
    </row>
    <row r="186" spans="1:11" x14ac:dyDescent="0.25">
      <c r="A186" s="18"/>
      <c r="B186" s="35" t="s">
        <v>81</v>
      </c>
      <c r="C186" s="19">
        <v>1</v>
      </c>
      <c r="D186" s="20">
        <f>(50-1.17*5)/3.281</f>
        <v>13.456263334349282</v>
      </c>
      <c r="E186" s="21">
        <v>0.23</v>
      </c>
      <c r="F186" s="21">
        <f t="shared" si="70"/>
        <v>2.48796098750381</v>
      </c>
      <c r="G186" s="62">
        <f t="shared" si="71"/>
        <v>7.700091389090959</v>
      </c>
      <c r="H186" s="22"/>
      <c r="I186" s="23"/>
      <c r="J186" s="39"/>
      <c r="K186" s="21"/>
    </row>
    <row r="187" spans="1:11" x14ac:dyDescent="0.25">
      <c r="A187" s="18"/>
      <c r="B187" s="35" t="s">
        <v>82</v>
      </c>
      <c r="C187" s="19">
        <v>3</v>
      </c>
      <c r="D187" s="20">
        <f>11.42/3.2811</f>
        <v>3.4805400627838226</v>
      </c>
      <c r="E187" s="21">
        <v>0.23</v>
      </c>
      <c r="F187" s="21">
        <f t="shared" si="70"/>
        <v>2.48796098750381</v>
      </c>
      <c r="G187" s="62">
        <f t="shared" si="71"/>
        <v>5.9750190452386471</v>
      </c>
      <c r="H187" s="22"/>
      <c r="I187" s="23"/>
      <c r="J187" s="39"/>
      <c r="K187" s="21"/>
    </row>
    <row r="188" spans="1:11" x14ac:dyDescent="0.25">
      <c r="A188" s="18"/>
      <c r="B188" s="35" t="s">
        <v>84</v>
      </c>
      <c r="C188" s="19">
        <v>1</v>
      </c>
      <c r="D188" s="20">
        <f>4/3.281</f>
        <v>1.2191405059433098</v>
      </c>
      <c r="E188" s="21">
        <v>0.23</v>
      </c>
      <c r="F188" s="21">
        <f t="shared" si="70"/>
        <v>2.48796098750381</v>
      </c>
      <c r="G188" s="62">
        <f t="shared" si="71"/>
        <v>0.6976300239267007</v>
      </c>
      <c r="H188" s="22"/>
      <c r="I188" s="23"/>
      <c r="J188" s="39"/>
      <c r="K188" s="21"/>
    </row>
    <row r="189" spans="1:11" x14ac:dyDescent="0.25">
      <c r="A189" s="18"/>
      <c r="B189" s="35" t="s">
        <v>83</v>
      </c>
      <c r="C189" s="19">
        <v>1</v>
      </c>
      <c r="D189" s="20">
        <f>4/3.281</f>
        <v>1.2191405059433098</v>
      </c>
      <c r="E189" s="21">
        <v>0.23</v>
      </c>
      <c r="F189" s="21">
        <f>8.917/3.281</f>
        <v>2.7177689728741234</v>
      </c>
      <c r="G189" s="62">
        <f t="shared" si="71"/>
        <v>0.76206871534416132</v>
      </c>
      <c r="H189" s="22"/>
      <c r="I189" s="23"/>
      <c r="J189" s="39"/>
      <c r="K189" s="21"/>
    </row>
    <row r="190" spans="1:11" x14ac:dyDescent="0.25">
      <c r="A190" s="18"/>
      <c r="B190" s="35" t="s">
        <v>90</v>
      </c>
      <c r="C190" s="19">
        <v>-3</v>
      </c>
      <c r="D190" s="20">
        <f>7/3.281</f>
        <v>2.1334958854007922</v>
      </c>
      <c r="E190" s="21">
        <v>0.23</v>
      </c>
      <c r="F190" s="21">
        <f>4.5/3.281</f>
        <v>1.3715330691862238</v>
      </c>
      <c r="G190" s="62">
        <f t="shared" si="71"/>
        <v>-2.0190505102619505</v>
      </c>
      <c r="H190" s="22"/>
      <c r="I190" s="23"/>
      <c r="J190" s="39"/>
      <c r="K190" s="21"/>
    </row>
    <row r="191" spans="1:11" x14ac:dyDescent="0.25">
      <c r="A191" s="18"/>
      <c r="B191" s="35" t="s">
        <v>91</v>
      </c>
      <c r="C191" s="19">
        <v>-3</v>
      </c>
      <c r="D191" s="20">
        <f>2.5/3.281</f>
        <v>0.76196281621456874</v>
      </c>
      <c r="E191" s="21">
        <v>0.23</v>
      </c>
      <c r="F191" s="21">
        <f>4.5/3.281</f>
        <v>1.3715330691862238</v>
      </c>
      <c r="G191" s="62">
        <f>PRODUCT(C191:F191)</f>
        <v>-0.72108946795069684</v>
      </c>
      <c r="H191" s="22"/>
      <c r="I191" s="23"/>
      <c r="J191" s="39"/>
      <c r="K191" s="21"/>
    </row>
    <row r="192" spans="1:11" x14ac:dyDescent="0.25">
      <c r="A192" s="18"/>
      <c r="B192" s="35" t="s">
        <v>92</v>
      </c>
      <c r="C192" s="19">
        <v>-1</v>
      </c>
      <c r="D192" s="20">
        <f>4/3.281</f>
        <v>1.2191405059433098</v>
      </c>
      <c r="E192" s="21">
        <v>0.23</v>
      </c>
      <c r="F192" s="21">
        <f>8/3.281</f>
        <v>2.4382810118866196</v>
      </c>
      <c r="G192" s="62">
        <f>PRODUCT(C192:F192)</f>
        <v>-0.68369964368658642</v>
      </c>
      <c r="H192" s="22"/>
      <c r="I192" s="23"/>
      <c r="J192" s="39"/>
      <c r="K192" s="21"/>
    </row>
    <row r="193" spans="1:13" x14ac:dyDescent="0.25">
      <c r="A193" s="18"/>
      <c r="B193" s="35" t="s">
        <v>94</v>
      </c>
      <c r="C193" s="19">
        <v>1</v>
      </c>
      <c r="D193" s="20">
        <f>3.25/3.281</f>
        <v>0.99055166107893933</v>
      </c>
      <c r="E193" s="21">
        <v>0.1</v>
      </c>
      <c r="F193" s="21">
        <f t="shared" ref="F193" si="72">(9.333-1.17)/3.281</f>
        <v>2.48796098750381</v>
      </c>
      <c r="G193" s="62">
        <f>PRODUCT(C193:F193)</f>
        <v>0.24644538888714976</v>
      </c>
      <c r="H193" s="22"/>
      <c r="I193" s="23"/>
      <c r="J193" s="39"/>
      <c r="K193" s="21"/>
    </row>
    <row r="194" spans="1:13" x14ac:dyDescent="0.25">
      <c r="A194" s="18"/>
      <c r="B194" s="35" t="s">
        <v>98</v>
      </c>
      <c r="C194" s="19">
        <v>1</v>
      </c>
      <c r="D194" s="20">
        <f>(11.42*2+7.42+10)/3.281</f>
        <v>12.270649192319414</v>
      </c>
      <c r="E194" s="21">
        <v>0.1</v>
      </c>
      <c r="F194" s="21">
        <v>1</v>
      </c>
      <c r="G194" s="62">
        <f>PRODUCT(C194:F194)</f>
        <v>1.2270649192319416</v>
      </c>
      <c r="H194" s="22"/>
      <c r="I194" s="23"/>
      <c r="J194" s="39"/>
      <c r="K194" s="21"/>
    </row>
    <row r="195" spans="1:13" x14ac:dyDescent="0.25">
      <c r="A195" s="18"/>
      <c r="B195" s="35" t="s">
        <v>96</v>
      </c>
      <c r="C195" s="19">
        <v>1</v>
      </c>
      <c r="D195" s="20">
        <f>(17.5+13.083)/3.281</f>
        <v>9.3212435233160615</v>
      </c>
      <c r="E195" s="21">
        <v>0.1</v>
      </c>
      <c r="F195" s="21">
        <f>8.917/3.281</f>
        <v>2.7177689728741234</v>
      </c>
      <c r="G195" s="62">
        <f t="shared" ref="G195" si="73">PRODUCT(C195:F195)</f>
        <v>2.5332986436272269</v>
      </c>
      <c r="H195" s="22"/>
      <c r="I195" s="23"/>
      <c r="J195" s="39"/>
      <c r="K195" s="21"/>
    </row>
    <row r="196" spans="1:13" x14ac:dyDescent="0.25">
      <c r="A196" s="18"/>
      <c r="B196" s="35" t="s">
        <v>97</v>
      </c>
      <c r="C196" s="19">
        <v>-2</v>
      </c>
      <c r="D196" s="20">
        <f>3/3.281</f>
        <v>0.91435537945748246</v>
      </c>
      <c r="E196" s="21">
        <v>0.1</v>
      </c>
      <c r="F196" s="21">
        <f>7/3.281</f>
        <v>2.1334958854007922</v>
      </c>
      <c r="G196" s="62">
        <f>PRODUCT(C196:F196)</f>
        <v>-0.39015468797332381</v>
      </c>
      <c r="H196" s="22"/>
      <c r="I196" s="23"/>
      <c r="J196" s="39"/>
      <c r="K196" s="21"/>
    </row>
    <row r="197" spans="1:13" x14ac:dyDescent="0.25">
      <c r="A197" s="18"/>
      <c r="B197" s="35" t="s">
        <v>87</v>
      </c>
      <c r="C197" s="19"/>
      <c r="D197" s="20"/>
      <c r="E197" s="21"/>
      <c r="F197" s="21"/>
      <c r="G197" s="62"/>
      <c r="H197" s="22"/>
      <c r="I197" s="23"/>
      <c r="J197" s="39"/>
      <c r="K197" s="21"/>
    </row>
    <row r="198" spans="1:13" x14ac:dyDescent="0.25">
      <c r="A198" s="18"/>
      <c r="B198" s="35" t="s">
        <v>88</v>
      </c>
      <c r="C198" s="19">
        <v>2</v>
      </c>
      <c r="D198" s="20">
        <f>(19-1.17*3)/3.281</f>
        <v>4.7211216092654675</v>
      </c>
      <c r="E198" s="21">
        <v>0.23</v>
      </c>
      <c r="F198" s="21">
        <f t="shared" ref="F198:F199" si="74">(9.333-1.17)/3.281</f>
        <v>2.48796098750381</v>
      </c>
      <c r="G198" s="62">
        <f t="shared" ref="G198:G199" si="75">PRODUCT(C198:F198)</f>
        <v>5.4031445353122969</v>
      </c>
      <c r="H198" s="22"/>
      <c r="I198" s="23"/>
      <c r="J198" s="39"/>
      <c r="K198" s="21"/>
    </row>
    <row r="199" spans="1:13" x14ac:dyDescent="0.25">
      <c r="A199" s="18"/>
      <c r="B199" s="35" t="s">
        <v>89</v>
      </c>
      <c r="C199" s="19">
        <v>2</v>
      </c>
      <c r="D199" s="20">
        <f>10/3.281</f>
        <v>3.047851264858275</v>
      </c>
      <c r="E199" s="21">
        <v>0.23</v>
      </c>
      <c r="F199" s="21">
        <f t="shared" si="74"/>
        <v>2.48796098750381</v>
      </c>
      <c r="G199" s="62">
        <f t="shared" si="75"/>
        <v>3.4881501196335036</v>
      </c>
      <c r="H199" s="22"/>
      <c r="I199" s="23"/>
      <c r="J199" s="39"/>
      <c r="K199" s="21"/>
    </row>
    <row r="200" spans="1:13" x14ac:dyDescent="0.25">
      <c r="A200" s="18"/>
      <c r="B200" s="35" t="s">
        <v>93</v>
      </c>
      <c r="C200" s="19">
        <v>-1</v>
      </c>
      <c r="D200" s="20">
        <f>3.25/3.281</f>
        <v>0.99055166107893933</v>
      </c>
      <c r="E200" s="21">
        <v>0.23</v>
      </c>
      <c r="F200" s="21">
        <f>8/3.281</f>
        <v>2.4382810118866196</v>
      </c>
      <c r="G200" s="62">
        <f>PRODUCT(C200:F200)</f>
        <v>-0.5555059604953515</v>
      </c>
      <c r="H200" s="22"/>
      <c r="I200" s="23"/>
      <c r="J200" s="39"/>
      <c r="K200" s="21"/>
    </row>
    <row r="201" spans="1:13" x14ac:dyDescent="0.25">
      <c r="A201" s="18"/>
      <c r="B201" s="35" t="s">
        <v>99</v>
      </c>
      <c r="C201" s="19">
        <f>2*3</f>
        <v>6</v>
      </c>
      <c r="D201" s="20">
        <f>11.42/3.281</f>
        <v>3.4806461444681496</v>
      </c>
      <c r="E201" s="21">
        <v>0.1</v>
      </c>
      <c r="F201" s="21">
        <v>1</v>
      </c>
      <c r="G201" s="62">
        <f t="shared" ref="G201:G202" si="76">PRODUCT(C201:F201)</f>
        <v>2.0883876866808899</v>
      </c>
      <c r="H201" s="22"/>
      <c r="I201" s="23"/>
      <c r="J201" s="39"/>
      <c r="K201" s="21"/>
    </row>
    <row r="202" spans="1:13" x14ac:dyDescent="0.25">
      <c r="A202" s="18"/>
      <c r="B202" s="35" t="s">
        <v>100</v>
      </c>
      <c r="C202" s="19">
        <v>1</v>
      </c>
      <c r="D202" s="20">
        <f>(3.25+12.25)/3.281</f>
        <v>4.7241694605303257</v>
      </c>
      <c r="E202" s="21">
        <v>0.1</v>
      </c>
      <c r="F202" s="21">
        <v>1</v>
      </c>
      <c r="G202" s="62">
        <f t="shared" si="76"/>
        <v>0.47241694605303258</v>
      </c>
      <c r="H202" s="22"/>
      <c r="I202" s="23"/>
      <c r="J202" s="39"/>
      <c r="K202" s="21"/>
    </row>
    <row r="203" spans="1:13" ht="15" customHeight="1" x14ac:dyDescent="0.25">
      <c r="A203" s="18"/>
      <c r="B203" s="35" t="s">
        <v>33</v>
      </c>
      <c r="C203" s="19"/>
      <c r="D203" s="20"/>
      <c r="E203" s="21"/>
      <c r="F203" s="21"/>
      <c r="G203" s="23">
        <f>SUM(G165:G202)</f>
        <v>64.948948295539807</v>
      </c>
      <c r="H203" s="22" t="s">
        <v>40</v>
      </c>
      <c r="I203" s="23">
        <v>16517.169999999998</v>
      </c>
      <c r="J203" s="39">
        <f>G203*I203</f>
        <v>1072772.8203186411</v>
      </c>
      <c r="K203" s="21"/>
    </row>
    <row r="204" spans="1:13" ht="15" customHeight="1" x14ac:dyDescent="0.25">
      <c r="A204" s="18"/>
      <c r="B204" s="35"/>
      <c r="C204" s="19"/>
      <c r="D204" s="20"/>
      <c r="E204" s="21"/>
      <c r="F204" s="21"/>
      <c r="G204" s="23"/>
      <c r="H204" s="22"/>
      <c r="I204" s="23"/>
      <c r="J204" s="39"/>
      <c r="K204" s="21"/>
    </row>
    <row r="205" spans="1:13" ht="30.75" x14ac:dyDescent="0.25">
      <c r="A205" s="18">
        <v>8</v>
      </c>
      <c r="B205" s="72" t="s">
        <v>101</v>
      </c>
      <c r="C205" s="19"/>
      <c r="D205" s="20"/>
      <c r="E205" s="21"/>
      <c r="F205" s="21"/>
      <c r="G205" s="23"/>
      <c r="H205" s="22"/>
      <c r="I205" s="23"/>
      <c r="J205" s="39"/>
      <c r="K205" s="21"/>
    </row>
    <row r="206" spans="1:13" s="1" customFormat="1" x14ac:dyDescent="0.25">
      <c r="A206" s="57"/>
      <c r="B206" s="61" t="str">
        <f>B158</f>
        <v>-Ground floor</v>
      </c>
      <c r="C206" s="59">
        <v>1</v>
      </c>
      <c r="D206" s="12">
        <f>50/3.281</f>
        <v>15.239256324291373</v>
      </c>
      <c r="E206" s="12">
        <f>19/3.281</f>
        <v>5.790917403230722</v>
      </c>
      <c r="F206" s="12"/>
      <c r="G206" s="62">
        <f t="shared" ref="G206:G207" si="77">PRODUCT(C206:F206)</f>
        <v>88.249274660632764</v>
      </c>
      <c r="H206" s="60"/>
      <c r="I206" s="60"/>
      <c r="J206" s="60"/>
      <c r="K206" s="58"/>
      <c r="M206" s="71"/>
    </row>
    <row r="207" spans="1:13" s="1" customFormat="1" x14ac:dyDescent="0.25">
      <c r="A207" s="57"/>
      <c r="B207" s="61" t="str">
        <f>B159</f>
        <v>-First floor</v>
      </c>
      <c r="C207" s="59">
        <v>1</v>
      </c>
      <c r="D207" s="12">
        <f t="shared" ref="D207:D208" si="78">54/3.281</f>
        <v>16.458396830234683</v>
      </c>
      <c r="E207" s="12">
        <f t="shared" ref="E207:E209" si="79">23/3.281</f>
        <v>7.0100579091740318</v>
      </c>
      <c r="F207" s="12"/>
      <c r="G207" s="62">
        <f t="shared" si="77"/>
        <v>115.37431487211146</v>
      </c>
      <c r="H207" s="60"/>
      <c r="I207" s="60"/>
      <c r="J207" s="60"/>
      <c r="K207" s="58"/>
      <c r="M207" s="71"/>
    </row>
    <row r="208" spans="1:13" s="1" customFormat="1" x14ac:dyDescent="0.25">
      <c r="A208" s="57"/>
      <c r="B208" s="61" t="str">
        <f>B160</f>
        <v>-Second floor</v>
      </c>
      <c r="C208" s="59">
        <v>1</v>
      </c>
      <c r="D208" s="12">
        <f t="shared" si="78"/>
        <v>16.458396830234683</v>
      </c>
      <c r="E208" s="12">
        <f t="shared" si="79"/>
        <v>7.0100579091740318</v>
      </c>
      <c r="F208" s="12"/>
      <c r="G208" s="62">
        <f t="shared" ref="G208" si="80">PRODUCT(C208:F208)</f>
        <v>115.37431487211146</v>
      </c>
      <c r="H208" s="60"/>
      <c r="I208" s="60"/>
      <c r="J208" s="60"/>
      <c r="K208" s="58"/>
      <c r="M208" s="71"/>
    </row>
    <row r="209" spans="1:13" s="1" customFormat="1" x14ac:dyDescent="0.25">
      <c r="A209" s="57"/>
      <c r="B209" s="61" t="s">
        <v>102</v>
      </c>
      <c r="C209" s="59">
        <v>1</v>
      </c>
      <c r="D209" s="12">
        <f>16.333/3.281</f>
        <v>4.97805547089302</v>
      </c>
      <c r="E209" s="12">
        <f t="shared" si="79"/>
        <v>7.0100579091740318</v>
      </c>
      <c r="F209" s="12"/>
      <c r="G209" s="62">
        <f t="shared" ref="G209" si="81">PRODUCT(C209:F209)</f>
        <v>34.896457126040673</v>
      </c>
      <c r="H209" s="60"/>
      <c r="I209" s="60"/>
      <c r="J209" s="60"/>
      <c r="K209" s="58"/>
      <c r="M209" s="71"/>
    </row>
    <row r="210" spans="1:13" ht="15" customHeight="1" x14ac:dyDescent="0.25">
      <c r="A210" s="18"/>
      <c r="B210" s="35" t="s">
        <v>33</v>
      </c>
      <c r="C210" s="19"/>
      <c r="D210" s="20"/>
      <c r="E210" s="21"/>
      <c r="F210" s="21"/>
      <c r="G210" s="23">
        <f>SUM(G206:G209)</f>
        <v>353.89436153089639</v>
      </c>
      <c r="H210" s="22" t="s">
        <v>35</v>
      </c>
      <c r="I210" s="23">
        <v>939.25</v>
      </c>
      <c r="J210" s="39">
        <f>G210*I210</f>
        <v>332395.27906789444</v>
      </c>
      <c r="K210" s="21"/>
    </row>
    <row r="211" spans="1:13" ht="15" customHeight="1" x14ac:dyDescent="0.25">
      <c r="A211" s="18"/>
      <c r="B211" s="35"/>
      <c r="C211" s="19"/>
      <c r="D211" s="20"/>
      <c r="E211" s="21"/>
      <c r="F211" s="21"/>
      <c r="G211" s="23"/>
      <c r="H211" s="22"/>
      <c r="I211" s="23"/>
      <c r="J211" s="39"/>
      <c r="K211" s="21"/>
    </row>
    <row r="212" spans="1:13" ht="30.75" x14ac:dyDescent="0.25">
      <c r="A212" s="18">
        <v>9</v>
      </c>
      <c r="B212" s="72" t="s">
        <v>103</v>
      </c>
      <c r="C212" s="19"/>
      <c r="D212" s="20"/>
      <c r="E212" s="21"/>
      <c r="F212" s="21"/>
      <c r="G212" s="23"/>
      <c r="H212" s="22"/>
      <c r="I212" s="23"/>
      <c r="J212" s="39"/>
      <c r="K212" s="21"/>
    </row>
    <row r="213" spans="1:13" s="1" customFormat="1" x14ac:dyDescent="0.25">
      <c r="A213" s="57"/>
      <c r="B213" s="61" t="str">
        <f>B206</f>
        <v>-Ground floor</v>
      </c>
      <c r="C213" s="59">
        <v>1</v>
      </c>
      <c r="D213" s="12">
        <f>50/3.281</f>
        <v>15.239256324291373</v>
      </c>
      <c r="E213" s="12">
        <f>19/3.281</f>
        <v>5.790917403230722</v>
      </c>
      <c r="F213" s="12"/>
      <c r="G213" s="62">
        <f t="shared" ref="G213:G216" si="82">PRODUCT(C213:F213)</f>
        <v>88.249274660632764</v>
      </c>
      <c r="H213" s="60"/>
      <c r="I213" s="60"/>
      <c r="J213" s="60"/>
      <c r="K213" s="58"/>
      <c r="M213" s="71"/>
    </row>
    <row r="214" spans="1:13" s="1" customFormat="1" x14ac:dyDescent="0.25">
      <c r="A214" s="57"/>
      <c r="B214" s="61" t="str">
        <f t="shared" ref="B214:B216" si="83">B207</f>
        <v>-First floor</v>
      </c>
      <c r="C214" s="59">
        <v>1</v>
      </c>
      <c r="D214" s="12">
        <f t="shared" ref="D214:D215" si="84">54/3.281</f>
        <v>16.458396830234683</v>
      </c>
      <c r="E214" s="12">
        <f t="shared" ref="E214:E216" si="85">23/3.281</f>
        <v>7.0100579091740318</v>
      </c>
      <c r="F214" s="12"/>
      <c r="G214" s="62">
        <f t="shared" si="82"/>
        <v>115.37431487211146</v>
      </c>
      <c r="H214" s="60"/>
      <c r="I214" s="60"/>
      <c r="J214" s="60"/>
      <c r="K214" s="58"/>
      <c r="M214" s="71"/>
    </row>
    <row r="215" spans="1:13" s="1" customFormat="1" x14ac:dyDescent="0.25">
      <c r="A215" s="57"/>
      <c r="B215" s="61" t="str">
        <f t="shared" si="83"/>
        <v>-Second floor</v>
      </c>
      <c r="C215" s="59">
        <v>1</v>
      </c>
      <c r="D215" s="12">
        <f t="shared" si="84"/>
        <v>16.458396830234683</v>
      </c>
      <c r="E215" s="12">
        <f t="shared" si="85"/>
        <v>7.0100579091740318</v>
      </c>
      <c r="F215" s="12"/>
      <c r="G215" s="62">
        <f t="shared" si="82"/>
        <v>115.37431487211146</v>
      </c>
      <c r="H215" s="60"/>
      <c r="I215" s="60"/>
      <c r="J215" s="60"/>
      <c r="K215" s="58"/>
      <c r="M215" s="71"/>
    </row>
    <row r="216" spans="1:13" s="1" customFormat="1" x14ac:dyDescent="0.25">
      <c r="A216" s="57"/>
      <c r="B216" s="61" t="str">
        <f t="shared" si="83"/>
        <v>-Roof</v>
      </c>
      <c r="C216" s="59">
        <v>1</v>
      </c>
      <c r="D216" s="12">
        <f>16.333/3.281</f>
        <v>4.97805547089302</v>
      </c>
      <c r="E216" s="12">
        <f t="shared" si="85"/>
        <v>7.0100579091740318</v>
      </c>
      <c r="F216" s="12"/>
      <c r="G216" s="62">
        <f t="shared" si="82"/>
        <v>34.896457126040673</v>
      </c>
      <c r="H216" s="60"/>
      <c r="I216" s="60"/>
      <c r="J216" s="60"/>
      <c r="K216" s="58"/>
      <c r="M216" s="71"/>
    </row>
    <row r="217" spans="1:13" ht="15" customHeight="1" x14ac:dyDescent="0.25">
      <c r="A217" s="18"/>
      <c r="B217" s="35" t="s">
        <v>33</v>
      </c>
      <c r="C217" s="19"/>
      <c r="D217" s="20"/>
      <c r="E217" s="21"/>
      <c r="F217" s="21"/>
      <c r="G217" s="23">
        <f>SUM(G213:G216)</f>
        <v>353.89436153089639</v>
      </c>
      <c r="H217" s="22" t="s">
        <v>35</v>
      </c>
      <c r="I217" s="23">
        <v>320.89</v>
      </c>
      <c r="J217" s="39">
        <f>G217*I217</f>
        <v>113561.16167164934</v>
      </c>
      <c r="K217" s="21"/>
    </row>
    <row r="218" spans="1:13" ht="15" customHeight="1" x14ac:dyDescent="0.25">
      <c r="A218" s="18"/>
      <c r="B218" s="35"/>
      <c r="C218" s="19"/>
      <c r="D218" s="20"/>
      <c r="E218" s="21"/>
      <c r="F218" s="21"/>
      <c r="G218" s="23"/>
      <c r="H218" s="22"/>
      <c r="I218" s="23"/>
      <c r="J218" s="39"/>
      <c r="K218" s="21"/>
    </row>
    <row r="219" spans="1:13" ht="26.25" x14ac:dyDescent="0.25">
      <c r="A219" s="18">
        <v>10</v>
      </c>
      <c r="B219" s="76" t="s">
        <v>104</v>
      </c>
      <c r="C219" s="19"/>
      <c r="D219" s="20"/>
      <c r="E219" s="21"/>
      <c r="F219" s="21"/>
      <c r="G219" s="23"/>
      <c r="H219" s="22"/>
      <c r="I219" s="23"/>
      <c r="J219" s="39"/>
      <c r="K219" s="21"/>
    </row>
    <row r="220" spans="1:13" s="1" customFormat="1" x14ac:dyDescent="0.25">
      <c r="A220" s="57"/>
      <c r="B220" s="61" t="s">
        <v>105</v>
      </c>
      <c r="C220" s="59">
        <f>3*2</f>
        <v>6</v>
      </c>
      <c r="D220" s="12">
        <f>7/3.281</f>
        <v>2.1334958854007922</v>
      </c>
      <c r="E220" s="12"/>
      <c r="F220" s="12">
        <f>4.5/3.281</f>
        <v>1.3715330691862238</v>
      </c>
      <c r="G220" s="62">
        <f t="shared" ref="G220:G221" si="86">PRODUCT(C220:F220)</f>
        <v>17.556960958799568</v>
      </c>
      <c r="H220" s="60"/>
      <c r="I220" s="60"/>
      <c r="J220" s="60"/>
      <c r="K220" s="58"/>
      <c r="M220" s="71"/>
    </row>
    <row r="221" spans="1:13" s="1" customFormat="1" x14ac:dyDescent="0.25">
      <c r="A221" s="57"/>
      <c r="B221" s="61" t="s">
        <v>106</v>
      </c>
      <c r="C221" s="59">
        <f>3*2</f>
        <v>6</v>
      </c>
      <c r="D221" s="12">
        <f>2.5/3.281</f>
        <v>0.76196281621456874</v>
      </c>
      <c r="E221" s="12"/>
      <c r="F221" s="12">
        <f>4.5/3.281</f>
        <v>1.3715330691862238</v>
      </c>
      <c r="G221" s="62">
        <f t="shared" si="86"/>
        <v>6.2703431995712755</v>
      </c>
      <c r="H221" s="60"/>
      <c r="I221" s="60"/>
      <c r="J221" s="60"/>
      <c r="K221" s="58"/>
      <c r="M221" s="71"/>
    </row>
    <row r="222" spans="1:13" ht="15" customHeight="1" x14ac:dyDescent="0.25">
      <c r="A222" s="18"/>
      <c r="B222" s="35" t="s">
        <v>33</v>
      </c>
      <c r="C222" s="19"/>
      <c r="D222" s="20"/>
      <c r="E222" s="21"/>
      <c r="F222" s="21"/>
      <c r="G222" s="23">
        <f>SUM(G220:G221)</f>
        <v>23.827304158370843</v>
      </c>
      <c r="H222" s="22" t="s">
        <v>35</v>
      </c>
      <c r="I222" s="23">
        <v>8711.25</v>
      </c>
      <c r="J222" s="39">
        <f>G222*I222</f>
        <v>207565.60334960802</v>
      </c>
      <c r="K222" s="21"/>
    </row>
    <row r="223" spans="1:13" ht="15" customHeight="1" x14ac:dyDescent="0.25">
      <c r="A223" s="18"/>
      <c r="B223" s="35"/>
      <c r="C223" s="19"/>
      <c r="D223" s="20"/>
      <c r="E223" s="21"/>
      <c r="F223" s="21"/>
      <c r="G223" s="23"/>
      <c r="H223" s="22"/>
      <c r="I223" s="23"/>
      <c r="J223" s="39"/>
      <c r="K223" s="21"/>
    </row>
    <row r="224" spans="1:13" ht="26.25" x14ac:dyDescent="0.25">
      <c r="A224" s="18">
        <v>11</v>
      </c>
      <c r="B224" s="76" t="s">
        <v>110</v>
      </c>
      <c r="C224" s="19"/>
      <c r="D224" s="20"/>
      <c r="E224" s="21"/>
      <c r="F224" s="21"/>
      <c r="G224" s="23"/>
      <c r="H224" s="22"/>
      <c r="I224" s="23"/>
      <c r="J224" s="39"/>
      <c r="K224" s="21"/>
    </row>
    <row r="225" spans="1:13" s="1" customFormat="1" x14ac:dyDescent="0.25">
      <c r="A225" s="57"/>
      <c r="B225" s="61" t="s">
        <v>107</v>
      </c>
      <c r="C225" s="59">
        <v>2</v>
      </c>
      <c r="D225" s="12">
        <f>D178</f>
        <v>1.2191405059433098</v>
      </c>
      <c r="E225" s="12"/>
      <c r="F225" s="12">
        <f>F178</f>
        <v>2.4382810118866196</v>
      </c>
      <c r="G225" s="62">
        <f t="shared" ref="G225:G227" si="87">PRODUCT(C225:F225)</f>
        <v>5.9452142929268375</v>
      </c>
      <c r="H225" s="60"/>
      <c r="I225" s="60"/>
      <c r="J225" s="60"/>
      <c r="K225" s="58"/>
      <c r="M225" s="71"/>
    </row>
    <row r="226" spans="1:13" s="1" customFormat="1" x14ac:dyDescent="0.25">
      <c r="A226" s="57"/>
      <c r="B226" s="61" t="s">
        <v>108</v>
      </c>
      <c r="C226" s="59">
        <v>1</v>
      </c>
      <c r="D226" s="12">
        <f>D200</f>
        <v>0.99055166107893933</v>
      </c>
      <c r="E226" s="12"/>
      <c r="F226" s="12">
        <f>F200</f>
        <v>2.4382810118866196</v>
      </c>
      <c r="G226" s="62">
        <f t="shared" si="87"/>
        <v>2.415243306501528</v>
      </c>
      <c r="H226" s="60"/>
      <c r="I226" s="60"/>
      <c r="J226" s="60"/>
      <c r="K226" s="58"/>
      <c r="M226" s="71"/>
    </row>
    <row r="227" spans="1:13" s="1" customFormat="1" x14ac:dyDescent="0.25">
      <c r="A227" s="57"/>
      <c r="B227" s="61" t="s">
        <v>109</v>
      </c>
      <c r="C227" s="59">
        <v>4</v>
      </c>
      <c r="D227" s="12">
        <f>D182</f>
        <v>0.91435537945748246</v>
      </c>
      <c r="E227" s="12"/>
      <c r="F227" s="12">
        <f>F196</f>
        <v>2.1334958854007922</v>
      </c>
      <c r="G227" s="62">
        <f t="shared" si="87"/>
        <v>7.8030937594664751</v>
      </c>
      <c r="H227" s="60"/>
      <c r="I227" s="60"/>
      <c r="J227" s="60"/>
      <c r="K227" s="58"/>
      <c r="M227" s="71"/>
    </row>
    <row r="228" spans="1:13" ht="15" customHeight="1" x14ac:dyDescent="0.25">
      <c r="A228" s="18"/>
      <c r="B228" s="35" t="s">
        <v>33</v>
      </c>
      <c r="C228" s="19"/>
      <c r="D228" s="20"/>
      <c r="E228" s="21"/>
      <c r="F228" s="21"/>
      <c r="G228" s="23">
        <f>SUM(G225:G227)</f>
        <v>16.163551358894839</v>
      </c>
      <c r="H228" s="22" t="s">
        <v>35</v>
      </c>
      <c r="I228" s="23">
        <v>10055.6</v>
      </c>
      <c r="J228" s="39">
        <f>G228*I228</f>
        <v>162534.20704450295</v>
      </c>
      <c r="K228" s="21"/>
    </row>
    <row r="229" spans="1:13" ht="15" customHeight="1" x14ac:dyDescent="0.25">
      <c r="A229" s="18"/>
      <c r="B229" s="35"/>
      <c r="C229" s="19"/>
      <c r="D229" s="20"/>
      <c r="E229" s="21"/>
      <c r="F229" s="21"/>
      <c r="G229" s="23"/>
      <c r="H229" s="22"/>
      <c r="I229" s="23"/>
      <c r="J229" s="39"/>
      <c r="K229" s="21"/>
    </row>
    <row r="230" spans="1:13" ht="30.75" x14ac:dyDescent="0.25">
      <c r="A230" s="18">
        <v>12</v>
      </c>
      <c r="B230" s="72" t="s">
        <v>115</v>
      </c>
      <c r="C230" s="19"/>
      <c r="D230" s="20"/>
      <c r="E230" s="21"/>
      <c r="F230" s="21"/>
      <c r="G230" s="23"/>
      <c r="H230" s="22"/>
      <c r="I230" s="23"/>
      <c r="J230" s="39"/>
      <c r="K230" s="21"/>
    </row>
    <row r="231" spans="1:13" s="1" customFormat="1" x14ac:dyDescent="0.25">
      <c r="A231" s="57"/>
      <c r="B231" s="61" t="s">
        <v>111</v>
      </c>
      <c r="C231" s="59">
        <v>1</v>
      </c>
      <c r="D231" s="12">
        <f>87.667/3.281</f>
        <v>26.719597683633037</v>
      </c>
      <c r="E231" s="12"/>
      <c r="F231" s="12">
        <f>8.917/3.281</f>
        <v>2.7177689728741234</v>
      </c>
      <c r="G231" s="62">
        <f t="shared" ref="G231:G240" si="88">PRODUCT(C231:F231)</f>
        <v>72.617693552257165</v>
      </c>
      <c r="H231" s="60"/>
      <c r="I231" s="60"/>
      <c r="J231" s="60"/>
      <c r="K231" s="58"/>
      <c r="M231" s="71"/>
    </row>
    <row r="232" spans="1:13" s="1" customFormat="1" x14ac:dyDescent="0.25">
      <c r="A232" s="57"/>
      <c r="B232" s="61" t="s">
        <v>112</v>
      </c>
      <c r="C232" s="59">
        <v>1</v>
      </c>
      <c r="D232" s="12">
        <f>(195+25.583+24.75)/3.281</f>
        <v>74.773849436147515</v>
      </c>
      <c r="E232" s="12"/>
      <c r="F232" s="12">
        <f>8.917/3.281</f>
        <v>2.7177689728741234</v>
      </c>
      <c r="G232" s="62">
        <f t="shared" si="88"/>
        <v>203.218047979923</v>
      </c>
      <c r="H232" s="60"/>
      <c r="I232" s="60"/>
      <c r="J232" s="60"/>
      <c r="K232" s="58"/>
      <c r="M232" s="71"/>
    </row>
    <row r="233" spans="1:13" s="1" customFormat="1" x14ac:dyDescent="0.25">
      <c r="A233" s="57"/>
      <c r="B233" s="61"/>
      <c r="C233" s="59">
        <v>1</v>
      </c>
      <c r="D233" s="12">
        <f>(3.25*2+10*2+11.42*2*2+7.42*2)/3.281</f>
        <v>26.52240170679671</v>
      </c>
      <c r="E233" s="12"/>
      <c r="F233" s="12">
        <f>8.917/3.281</f>
        <v>2.7177689728741234</v>
      </c>
      <c r="G233" s="62">
        <f t="shared" si="88"/>
        <v>72.081760444835794</v>
      </c>
      <c r="H233" s="60"/>
      <c r="I233" s="60"/>
      <c r="J233" s="60"/>
      <c r="K233" s="58"/>
      <c r="M233" s="71"/>
    </row>
    <row r="234" spans="1:13" s="1" customFormat="1" x14ac:dyDescent="0.25">
      <c r="A234" s="57"/>
      <c r="B234" s="61"/>
      <c r="C234" s="59">
        <v>4</v>
      </c>
      <c r="D234" s="12">
        <f>1.17*4</f>
        <v>4.68</v>
      </c>
      <c r="E234" s="12"/>
      <c r="F234" s="12">
        <f>8.917/3.281</f>
        <v>2.7177689728741234</v>
      </c>
      <c r="G234" s="62">
        <f t="shared" si="88"/>
        <v>50.876635172203585</v>
      </c>
      <c r="H234" s="60"/>
      <c r="I234" s="60"/>
      <c r="J234" s="60"/>
      <c r="K234" s="58"/>
      <c r="M234" s="71"/>
    </row>
    <row r="235" spans="1:13" s="1" customFormat="1" x14ac:dyDescent="0.25">
      <c r="A235" s="57"/>
      <c r="B235" s="61" t="s">
        <v>113</v>
      </c>
      <c r="C235" s="59"/>
      <c r="D235" s="12"/>
      <c r="E235" s="12"/>
      <c r="F235" s="12"/>
      <c r="G235" s="62"/>
      <c r="H235" s="60"/>
      <c r="I235" s="60"/>
      <c r="J235" s="60"/>
      <c r="K235" s="58"/>
      <c r="M235" s="71"/>
    </row>
    <row r="236" spans="1:13" s="1" customFormat="1" x14ac:dyDescent="0.25">
      <c r="A236" s="57"/>
      <c r="B236" s="61" t="s">
        <v>105</v>
      </c>
      <c r="C236" s="59">
        <f>-2*3*2</f>
        <v>-12</v>
      </c>
      <c r="D236" s="12">
        <f>D220</f>
        <v>2.1334958854007922</v>
      </c>
      <c r="E236" s="12"/>
      <c r="F236" s="12">
        <f>F220</f>
        <v>1.3715330691862238</v>
      </c>
      <c r="G236" s="62">
        <f t="shared" si="88"/>
        <v>-35.113921917599136</v>
      </c>
      <c r="H236" s="60"/>
      <c r="I236" s="60"/>
      <c r="J236" s="60"/>
      <c r="K236" s="58"/>
      <c r="M236" s="71"/>
    </row>
    <row r="237" spans="1:13" s="1" customFormat="1" x14ac:dyDescent="0.25">
      <c r="A237" s="57"/>
      <c r="B237" s="61" t="s">
        <v>106</v>
      </c>
      <c r="C237" s="59">
        <f>-2*3*2</f>
        <v>-12</v>
      </c>
      <c r="D237" s="12">
        <f>D221</f>
        <v>0.76196281621456874</v>
      </c>
      <c r="E237" s="12"/>
      <c r="F237" s="12">
        <f>F221</f>
        <v>1.3715330691862238</v>
      </c>
      <c r="G237" s="62">
        <f t="shared" si="88"/>
        <v>-12.540686399142551</v>
      </c>
      <c r="H237" s="60"/>
      <c r="I237" s="60"/>
      <c r="J237" s="60"/>
      <c r="K237" s="58"/>
      <c r="M237" s="71"/>
    </row>
    <row r="238" spans="1:13" s="1" customFormat="1" x14ac:dyDescent="0.25">
      <c r="A238" s="57"/>
      <c r="B238" s="61" t="s">
        <v>107</v>
      </c>
      <c r="C238" s="59">
        <f>-2*2</f>
        <v>-4</v>
      </c>
      <c r="D238" s="12">
        <f>D225</f>
        <v>1.2191405059433098</v>
      </c>
      <c r="E238" s="12"/>
      <c r="F238" s="12">
        <f>F225</f>
        <v>2.4382810118866196</v>
      </c>
      <c r="G238" s="62">
        <f t="shared" si="88"/>
        <v>-11.890428585853675</v>
      </c>
      <c r="H238" s="60"/>
      <c r="I238" s="60"/>
      <c r="J238" s="60"/>
      <c r="K238" s="58"/>
      <c r="M238" s="71"/>
    </row>
    <row r="239" spans="1:13" s="1" customFormat="1" x14ac:dyDescent="0.25">
      <c r="A239" s="57"/>
      <c r="B239" s="61" t="s">
        <v>108</v>
      </c>
      <c r="C239" s="59">
        <f>-2*1</f>
        <v>-2</v>
      </c>
      <c r="D239" s="12">
        <f>D226</f>
        <v>0.99055166107893933</v>
      </c>
      <c r="E239" s="12"/>
      <c r="F239" s="12">
        <f>F226</f>
        <v>2.4382810118866196</v>
      </c>
      <c r="G239" s="62">
        <f t="shared" si="88"/>
        <v>-4.8304866130030559</v>
      </c>
      <c r="H239" s="60"/>
      <c r="I239" s="60"/>
      <c r="J239" s="60"/>
      <c r="K239" s="58"/>
      <c r="M239" s="71"/>
    </row>
    <row r="240" spans="1:13" s="1" customFormat="1" x14ac:dyDescent="0.25">
      <c r="A240" s="57"/>
      <c r="B240" s="61" t="s">
        <v>109</v>
      </c>
      <c r="C240" s="59">
        <f>-2*4</f>
        <v>-8</v>
      </c>
      <c r="D240" s="12">
        <f>D227</f>
        <v>0.91435537945748246</v>
      </c>
      <c r="E240" s="12"/>
      <c r="F240" s="12">
        <f>F227</f>
        <v>2.1334958854007922</v>
      </c>
      <c r="G240" s="62">
        <f t="shared" si="88"/>
        <v>-15.60618751893295</v>
      </c>
      <c r="H240" s="60"/>
      <c r="I240" s="60"/>
      <c r="J240" s="60"/>
      <c r="K240" s="58"/>
      <c r="M240" s="71"/>
    </row>
    <row r="241" spans="1:13" ht="15" customHeight="1" x14ac:dyDescent="0.25">
      <c r="A241" s="18"/>
      <c r="B241" s="35" t="s">
        <v>33</v>
      </c>
      <c r="C241" s="19"/>
      <c r="D241" s="20"/>
      <c r="E241" s="21"/>
      <c r="F241" s="21"/>
      <c r="G241" s="23">
        <f>SUM(G231:G240)</f>
        <v>318.81242611468815</v>
      </c>
      <c r="H241" s="22" t="s">
        <v>35</v>
      </c>
      <c r="I241" s="23">
        <v>466.74</v>
      </c>
      <c r="J241" s="39">
        <f>G241*I241</f>
        <v>148802.51176476956</v>
      </c>
      <c r="K241" s="21"/>
    </row>
    <row r="242" spans="1:13" ht="15" customHeight="1" x14ac:dyDescent="0.25">
      <c r="A242" s="18"/>
      <c r="B242" s="35"/>
      <c r="C242" s="19"/>
      <c r="D242" s="20"/>
      <c r="E242" s="21"/>
      <c r="F242" s="21"/>
      <c r="G242" s="23"/>
      <c r="H242" s="22"/>
      <c r="I242" s="23"/>
      <c r="J242" s="39"/>
      <c r="K242" s="21"/>
    </row>
    <row r="243" spans="1:13" ht="30.75" x14ac:dyDescent="0.25">
      <c r="A243" s="18">
        <v>13</v>
      </c>
      <c r="B243" s="72" t="s">
        <v>114</v>
      </c>
      <c r="C243" s="19"/>
      <c r="D243" s="20"/>
      <c r="E243" s="21"/>
      <c r="F243" s="21"/>
      <c r="G243" s="23"/>
      <c r="H243" s="22"/>
      <c r="I243" s="23"/>
      <c r="J243" s="39"/>
      <c r="K243" s="21"/>
    </row>
    <row r="244" spans="1:13" s="1" customFormat="1" x14ac:dyDescent="0.25">
      <c r="A244" s="57"/>
      <c r="B244" s="61" t="str">
        <f>B214</f>
        <v>-First floor</v>
      </c>
      <c r="C244" s="59">
        <v>1</v>
      </c>
      <c r="D244" s="12">
        <f>(23*2+54*2)/3.281</f>
        <v>46.936909478817434</v>
      </c>
      <c r="E244" s="12"/>
      <c r="F244" s="12"/>
      <c r="G244" s="62">
        <f t="shared" ref="G244:G246" si="89">PRODUCT(C244:F244)</f>
        <v>46.936909478817434</v>
      </c>
      <c r="H244" s="60"/>
      <c r="I244" s="60"/>
      <c r="J244" s="60"/>
      <c r="K244" s="58"/>
      <c r="M244" s="71"/>
    </row>
    <row r="245" spans="1:13" s="1" customFormat="1" x14ac:dyDescent="0.25">
      <c r="A245" s="57"/>
      <c r="B245" s="61" t="str">
        <f t="shared" ref="B245:B246" si="90">B215</f>
        <v>-Second floor</v>
      </c>
      <c r="C245" s="59">
        <v>1</v>
      </c>
      <c r="D245" s="12">
        <f>(23*2+54*2)/3.281</f>
        <v>46.936909478817434</v>
      </c>
      <c r="E245" s="12"/>
      <c r="F245" s="12"/>
      <c r="G245" s="62">
        <f t="shared" si="89"/>
        <v>46.936909478817434</v>
      </c>
      <c r="H245" s="60"/>
      <c r="I245" s="60"/>
      <c r="J245" s="60"/>
      <c r="K245" s="58"/>
      <c r="M245" s="71"/>
    </row>
    <row r="246" spans="1:13" s="1" customFormat="1" x14ac:dyDescent="0.25">
      <c r="A246" s="57"/>
      <c r="B246" s="61" t="str">
        <f t="shared" si="90"/>
        <v>-Roof</v>
      </c>
      <c r="C246" s="59">
        <v>1</v>
      </c>
      <c r="D246" s="12">
        <f>(16.333*2+23*2)/3.281</f>
        <v>23.976226760134104</v>
      </c>
      <c r="E246" s="12"/>
      <c r="F246" s="12"/>
      <c r="G246" s="62">
        <f t="shared" si="89"/>
        <v>23.976226760134104</v>
      </c>
      <c r="H246" s="60"/>
      <c r="I246" s="60"/>
      <c r="J246" s="60"/>
      <c r="K246" s="58"/>
      <c r="M246" s="71"/>
    </row>
    <row r="247" spans="1:13" ht="15" customHeight="1" x14ac:dyDescent="0.25">
      <c r="A247" s="18"/>
      <c r="B247" s="35" t="s">
        <v>33</v>
      </c>
      <c r="C247" s="19"/>
      <c r="D247" s="20"/>
      <c r="E247" s="21"/>
      <c r="F247" s="21"/>
      <c r="G247" s="23">
        <f>SUM(G244:G246)</f>
        <v>117.85004571776898</v>
      </c>
      <c r="H247" s="22" t="s">
        <v>116</v>
      </c>
      <c r="I247" s="23">
        <v>466.74</v>
      </c>
      <c r="J247" s="39">
        <f>G247*I247</f>
        <v>55005.330338311491</v>
      </c>
      <c r="K247" s="21"/>
    </row>
    <row r="248" spans="1:13" ht="15" customHeight="1" x14ac:dyDescent="0.25">
      <c r="A248" s="18"/>
      <c r="B248" s="35"/>
      <c r="C248" s="19"/>
      <c r="D248" s="20"/>
      <c r="E248" s="21"/>
      <c r="F248" s="21"/>
      <c r="G248" s="23"/>
      <c r="H248" s="22"/>
      <c r="I248" s="23"/>
      <c r="J248" s="39"/>
      <c r="K248" s="21"/>
    </row>
    <row r="249" spans="1:13" ht="30.75" x14ac:dyDescent="0.25">
      <c r="A249" s="18">
        <v>14</v>
      </c>
      <c r="B249" s="72" t="s">
        <v>117</v>
      </c>
      <c r="C249" s="19"/>
      <c r="D249" s="20"/>
      <c r="E249" s="21"/>
      <c r="F249" s="21"/>
      <c r="G249" s="23"/>
      <c r="H249" s="22"/>
      <c r="I249" s="23"/>
      <c r="J249" s="39"/>
      <c r="K249" s="21"/>
    </row>
    <row r="250" spans="1:13" s="1" customFormat="1" x14ac:dyDescent="0.25">
      <c r="A250" s="57"/>
      <c r="B250" s="61" t="s">
        <v>118</v>
      </c>
      <c r="C250" s="59">
        <v>1</v>
      </c>
      <c r="D250" s="12">
        <f>G241</f>
        <v>318.81242611468815</v>
      </c>
      <c r="E250" s="12"/>
      <c r="F250" s="12"/>
      <c r="G250" s="62">
        <f>PRODUCT(C250:F250)</f>
        <v>318.81242611468815</v>
      </c>
      <c r="H250" s="60"/>
      <c r="I250" s="60"/>
      <c r="J250" s="60"/>
      <c r="K250" s="58"/>
      <c r="M250" s="71"/>
    </row>
    <row r="251" spans="1:13" s="1" customFormat="1" x14ac:dyDescent="0.25">
      <c r="A251" s="57"/>
      <c r="B251" s="61"/>
      <c r="C251" s="59">
        <v>1</v>
      </c>
      <c r="D251" s="12">
        <f>G210-G206</f>
        <v>265.64508687026364</v>
      </c>
      <c r="E251" s="12"/>
      <c r="F251" s="12"/>
      <c r="G251" s="62">
        <f>PRODUCT(C251:F251)</f>
        <v>265.64508687026364</v>
      </c>
      <c r="H251" s="60"/>
      <c r="I251" s="60"/>
      <c r="J251" s="60"/>
      <c r="K251" s="58"/>
      <c r="M251" s="71"/>
    </row>
    <row r="252" spans="1:13" s="1" customFormat="1" x14ac:dyDescent="0.25">
      <c r="A252" s="57"/>
      <c r="B252" s="61" t="s">
        <v>119</v>
      </c>
      <c r="C252" s="59">
        <v>1</v>
      </c>
      <c r="D252" s="12">
        <f>G247</f>
        <v>117.85004571776898</v>
      </c>
      <c r="E252" s="12"/>
      <c r="F252" s="12">
        <v>0.127</v>
      </c>
      <c r="G252" s="62">
        <f>PRODUCT(C252:F252)</f>
        <v>14.96695580615666</v>
      </c>
      <c r="H252" s="60"/>
      <c r="I252" s="60"/>
      <c r="J252" s="60"/>
      <c r="K252" s="58"/>
      <c r="M252" s="71"/>
    </row>
    <row r="253" spans="1:13" ht="15" customHeight="1" x14ac:dyDescent="0.25">
      <c r="A253" s="18"/>
      <c r="B253" s="35" t="s">
        <v>33</v>
      </c>
      <c r="C253" s="19"/>
      <c r="D253" s="20"/>
      <c r="E253" s="21"/>
      <c r="F253" s="21"/>
      <c r="G253" s="23">
        <f>SUM(G250:G252)</f>
        <v>599.42446879110844</v>
      </c>
      <c r="H253" s="22" t="s">
        <v>35</v>
      </c>
      <c r="I253" s="23">
        <v>466.74</v>
      </c>
      <c r="J253" s="39">
        <f>G253*I253</f>
        <v>279775.37656356196</v>
      </c>
      <c r="K253" s="21"/>
    </row>
    <row r="254" spans="1:13" ht="15" customHeight="1" x14ac:dyDescent="0.25">
      <c r="A254" s="18"/>
      <c r="B254" s="35"/>
      <c r="C254" s="19"/>
      <c r="D254" s="20"/>
      <c r="E254" s="21"/>
      <c r="F254" s="21"/>
      <c r="G254" s="23"/>
      <c r="H254" s="22"/>
      <c r="I254" s="23"/>
      <c r="J254" s="39"/>
      <c r="K254" s="21"/>
    </row>
    <row r="255" spans="1:13" ht="15" customHeight="1" x14ac:dyDescent="0.25">
      <c r="A255" s="18">
        <v>15</v>
      </c>
      <c r="B255" s="77" t="s">
        <v>120</v>
      </c>
      <c r="C255" s="19">
        <v>1</v>
      </c>
      <c r="D255" s="20"/>
      <c r="E255" s="21"/>
      <c r="F255" s="21"/>
      <c r="G255" s="32">
        <f t="shared" ref="G255" si="91">PRODUCT(C255:F255)</f>
        <v>1</v>
      </c>
      <c r="H255" s="22" t="s">
        <v>121</v>
      </c>
      <c r="I255" s="23">
        <v>200000</v>
      </c>
      <c r="J255" s="32">
        <f>G255*I255</f>
        <v>200000</v>
      </c>
      <c r="K255" s="21"/>
    </row>
    <row r="256" spans="1:13" ht="15" customHeight="1" x14ac:dyDescent="0.25">
      <c r="A256" s="18"/>
      <c r="B256" s="35"/>
      <c r="C256" s="19"/>
      <c r="D256" s="20"/>
      <c r="E256" s="21"/>
      <c r="F256" s="21"/>
      <c r="G256" s="23"/>
      <c r="H256" s="22"/>
      <c r="I256" s="23"/>
      <c r="J256" s="39"/>
      <c r="K256" s="21"/>
    </row>
    <row r="257" spans="1:11" ht="15" customHeight="1" x14ac:dyDescent="0.25">
      <c r="A257" s="18">
        <v>16</v>
      </c>
      <c r="B257" s="77" t="s">
        <v>122</v>
      </c>
      <c r="C257" s="19">
        <v>1</v>
      </c>
      <c r="D257" s="20"/>
      <c r="E257" s="21"/>
      <c r="F257" s="21"/>
      <c r="G257" s="32">
        <f t="shared" ref="G257" si="92">PRODUCT(C257:F257)</f>
        <v>1</v>
      </c>
      <c r="H257" s="22" t="s">
        <v>123</v>
      </c>
      <c r="I257" s="23">
        <v>20000</v>
      </c>
      <c r="J257" s="32">
        <f>G257*I257</f>
        <v>20000</v>
      </c>
      <c r="K257" s="21"/>
    </row>
    <row r="258" spans="1:11" ht="15" customHeight="1" x14ac:dyDescent="0.25">
      <c r="A258" s="18"/>
      <c r="B258" s="35"/>
      <c r="C258" s="19"/>
      <c r="D258" s="20"/>
      <c r="E258" s="21"/>
      <c r="F258" s="21"/>
      <c r="G258" s="23"/>
      <c r="H258" s="22"/>
      <c r="I258" s="23"/>
      <c r="J258" s="39"/>
      <c r="K258" s="21"/>
    </row>
    <row r="259" spans="1:11" x14ac:dyDescent="0.25">
      <c r="A259" s="18">
        <v>17</v>
      </c>
      <c r="B259" s="29" t="s">
        <v>30</v>
      </c>
      <c r="C259" s="19">
        <v>1</v>
      </c>
      <c r="D259" s="20"/>
      <c r="E259" s="21"/>
      <c r="F259" s="21"/>
      <c r="G259" s="32">
        <f t="shared" ref="G259" si="93">PRODUCT(C259:F259)</f>
        <v>1</v>
      </c>
      <c r="H259" s="22" t="s">
        <v>31</v>
      </c>
      <c r="I259" s="23">
        <v>1000</v>
      </c>
      <c r="J259" s="32">
        <f>G259*I259</f>
        <v>1000</v>
      </c>
      <c r="K259" s="21"/>
    </row>
    <row r="260" spans="1:11" ht="15" customHeight="1" x14ac:dyDescent="0.25">
      <c r="A260" s="18"/>
      <c r="B260" s="24"/>
      <c r="C260" s="19"/>
      <c r="D260" s="20"/>
      <c r="E260" s="21"/>
      <c r="F260" s="21"/>
      <c r="G260" s="23"/>
      <c r="H260" s="22"/>
      <c r="I260" s="23"/>
      <c r="J260" s="39"/>
      <c r="K260" s="21"/>
    </row>
    <row r="261" spans="1:11" x14ac:dyDescent="0.25">
      <c r="A261" s="38"/>
      <c r="B261" s="40" t="s">
        <v>17</v>
      </c>
      <c r="C261" s="41"/>
      <c r="D261" s="36"/>
      <c r="E261" s="36"/>
      <c r="F261" s="36"/>
      <c r="G261" s="39"/>
      <c r="H261" s="39"/>
      <c r="I261" s="39"/>
      <c r="J261" s="39">
        <f>SUM(J9:J259)</f>
        <v>6944644.1291355425</v>
      </c>
      <c r="K261" s="34"/>
    </row>
    <row r="262" spans="1:11" x14ac:dyDescent="0.25">
      <c r="A262" s="49"/>
      <c r="B262" s="52"/>
      <c r="C262" s="53"/>
      <c r="D262" s="50"/>
      <c r="E262" s="50"/>
      <c r="F262" s="50"/>
      <c r="G262" s="51"/>
      <c r="H262" s="51"/>
      <c r="I262" s="51"/>
      <c r="J262" s="51"/>
      <c r="K262" s="48"/>
    </row>
    <row r="263" spans="1:11" s="1" customFormat="1" x14ac:dyDescent="0.25">
      <c r="A263" s="42"/>
      <c r="B263" s="28" t="s">
        <v>27</v>
      </c>
      <c r="C263" s="78">
        <f>J261</f>
        <v>6944644.1291355425</v>
      </c>
      <c r="D263" s="78"/>
      <c r="E263" s="44"/>
      <c r="F263" s="43"/>
      <c r="G263" s="44"/>
      <c r="H263" s="43"/>
      <c r="I263" s="45"/>
      <c r="J263" s="46"/>
      <c r="K263" s="47"/>
    </row>
    <row r="264" spans="1:11" s="33" customFormat="1" x14ac:dyDescent="0.25">
      <c r="A264" s="48"/>
      <c r="B264" s="28" t="s">
        <v>79</v>
      </c>
      <c r="C264" s="78">
        <f>0.13*C263</f>
        <v>902803.73678762058</v>
      </c>
      <c r="D264" s="78"/>
      <c r="E264" s="48"/>
      <c r="F264" s="48"/>
      <c r="G264" s="48"/>
      <c r="H264" s="48"/>
      <c r="I264" s="48"/>
      <c r="J264" s="48"/>
      <c r="K264" s="48"/>
    </row>
    <row r="265" spans="1:11" s="33" customFormat="1" x14ac:dyDescent="0.25">
      <c r="B265" s="28" t="s">
        <v>17</v>
      </c>
      <c r="C265" s="78">
        <f>SUM(C263:D264)</f>
        <v>7847447.8659231635</v>
      </c>
      <c r="D265" s="78"/>
    </row>
    <row r="266" spans="1:11" s="33" customFormat="1" x14ac:dyDescent="0.25"/>
    <row r="267" spans="1:11" s="33" customFormat="1" x14ac:dyDescent="0.25"/>
    <row r="268" spans="1:11" s="33" customFormat="1" x14ac:dyDescent="0.25"/>
    <row r="269" spans="1:11" s="33" customFormat="1" x14ac:dyDescent="0.25"/>
    <row r="270" spans="1:11" s="33" customFormat="1" x14ac:dyDescent="0.25"/>
    <row r="271" spans="1:11" s="33" customFormat="1" x14ac:dyDescent="0.25"/>
    <row r="272" spans="1:11" s="33" customFormat="1" x14ac:dyDescent="0.25"/>
    <row r="273" s="33" customFormat="1" x14ac:dyDescent="0.25"/>
    <row r="274" s="33" customFormat="1" x14ac:dyDescent="0.25"/>
    <row r="275" s="33" customFormat="1" x14ac:dyDescent="0.25"/>
    <row r="276" s="33" customFormat="1" x14ac:dyDescent="0.25"/>
    <row r="277" s="33" customFormat="1" x14ac:dyDescent="0.25"/>
    <row r="278" s="33" customFormat="1" x14ac:dyDescent="0.25"/>
    <row r="279" s="33" customFormat="1" x14ac:dyDescent="0.25"/>
    <row r="280" s="33" customFormat="1" x14ac:dyDescent="0.25"/>
    <row r="281" s="33" customFormat="1" x14ac:dyDescent="0.25"/>
    <row r="282" s="33" customFormat="1" x14ac:dyDescent="0.25"/>
    <row r="283" s="33" customFormat="1" x14ac:dyDescent="0.25"/>
    <row r="284" s="33" customFormat="1" x14ac:dyDescent="0.25"/>
    <row r="285" s="33" customFormat="1" x14ac:dyDescent="0.25"/>
    <row r="286" s="33" customFormat="1" x14ac:dyDescent="0.25"/>
    <row r="287" s="33" customFormat="1" x14ac:dyDescent="0.25"/>
    <row r="288" s="33" customFormat="1" x14ac:dyDescent="0.25"/>
    <row r="289" s="33" customFormat="1" x14ac:dyDescent="0.25"/>
    <row r="290" s="33" customFormat="1" x14ac:dyDescent="0.25"/>
    <row r="291" s="33" customFormat="1" x14ac:dyDescent="0.25"/>
    <row r="292" s="33" customFormat="1" x14ac:dyDescent="0.25"/>
    <row r="293" s="33" customFormat="1" x14ac:dyDescent="0.25"/>
    <row r="294" s="33" customFormat="1" x14ac:dyDescent="0.25"/>
    <row r="295" s="33" customFormat="1" x14ac:dyDescent="0.25"/>
    <row r="296" s="33" customFormat="1" x14ac:dyDescent="0.25"/>
    <row r="297" s="33" customFormat="1" x14ac:dyDescent="0.25"/>
    <row r="298" s="33" customFormat="1" x14ac:dyDescent="0.25"/>
    <row r="299" s="33" customFormat="1" x14ac:dyDescent="0.25"/>
    <row r="300" s="33" customFormat="1" x14ac:dyDescent="0.25"/>
    <row r="301" s="33" customFormat="1" x14ac:dyDescent="0.25"/>
    <row r="302" s="33" customFormat="1" x14ac:dyDescent="0.25"/>
    <row r="303" s="33" customFormat="1" x14ac:dyDescent="0.25"/>
    <row r="304" s="33" customFormat="1" x14ac:dyDescent="0.25"/>
    <row r="305" s="33" customFormat="1" x14ac:dyDescent="0.25"/>
    <row r="306" s="33" customFormat="1" x14ac:dyDescent="0.25"/>
    <row r="307" s="33" customFormat="1" x14ac:dyDescent="0.25"/>
    <row r="308" s="33" customFormat="1" x14ac:dyDescent="0.25"/>
    <row r="309" s="33" customFormat="1" x14ac:dyDescent="0.25"/>
    <row r="310" s="33" customFormat="1" x14ac:dyDescent="0.25"/>
    <row r="311" s="33" customFormat="1" x14ac:dyDescent="0.25"/>
    <row r="312" s="33" customFormat="1" x14ac:dyDescent="0.25"/>
    <row r="313" s="33" customFormat="1" x14ac:dyDescent="0.25"/>
    <row r="314" s="33" customFormat="1" x14ac:dyDescent="0.25"/>
    <row r="315" s="33" customFormat="1" x14ac:dyDescent="0.25"/>
    <row r="316" s="33" customFormat="1" x14ac:dyDescent="0.25"/>
    <row r="317" s="33" customFormat="1" x14ac:dyDescent="0.25"/>
    <row r="318" s="33" customFormat="1" x14ac:dyDescent="0.25"/>
    <row r="319" s="33" customFormat="1" x14ac:dyDescent="0.25"/>
    <row r="320" s="33" customFormat="1" x14ac:dyDescent="0.25"/>
  </sheetData>
  <mergeCells count="12">
    <mergeCell ref="A6:F6"/>
    <mergeCell ref="H6:K6"/>
    <mergeCell ref="A1:K1"/>
    <mergeCell ref="A2:K2"/>
    <mergeCell ref="A3:K3"/>
    <mergeCell ref="A4:K4"/>
    <mergeCell ref="A5:K5"/>
    <mergeCell ref="C264:D264"/>
    <mergeCell ref="C265:D265"/>
    <mergeCell ref="A7:F7"/>
    <mergeCell ref="H7:K7"/>
    <mergeCell ref="C263:D263"/>
  </mergeCells>
  <hyperlinks>
    <hyperlink ref="B230" r:id="rId1"/>
  </hyperlinks>
  <pageMargins left="0.7" right="0.7" top="0.75" bottom="0.75" header="0.3" footer="0.3"/>
  <pageSetup paperSize="9" scale="75" orientation="portrait" r:id="rId2"/>
  <headerFooter>
    <oddFooter>&amp;LPrepared By:&amp;CChecked By:&amp;RApproved By:</oddFooter>
  </headerFooter>
  <rowBreaks count="2" manualBreakCount="2">
    <brk id="141" max="10" man="1"/>
    <brk id="238"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8" sqref="A8:F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12" bestFit="1" customWidth="1"/>
    <col min="14" max="14" width="17.5703125" style="65" bestFit="1" customWidth="1"/>
    <col min="15" max="15" width="16.5703125" customWidth="1"/>
    <col min="16" max="16" width="9.5703125" customWidth="1"/>
  </cols>
  <sheetData>
    <row r="1" spans="1:16" x14ac:dyDescent="0.25">
      <c r="A1" s="96" t="s">
        <v>0</v>
      </c>
      <c r="B1" s="96"/>
      <c r="C1" s="96"/>
      <c r="D1" s="96"/>
      <c r="E1" s="96"/>
      <c r="F1" s="96"/>
      <c r="G1" s="96"/>
      <c r="H1" s="96"/>
      <c r="I1" s="96"/>
      <c r="J1" s="96"/>
      <c r="K1" s="96"/>
    </row>
    <row r="2" spans="1:16" ht="25.5" x14ac:dyDescent="0.35">
      <c r="A2" s="97" t="s">
        <v>1</v>
      </c>
      <c r="B2" s="97"/>
      <c r="C2" s="97"/>
      <c r="D2" s="97"/>
      <c r="E2" s="97"/>
      <c r="F2" s="97"/>
      <c r="G2" s="97"/>
      <c r="H2" s="97"/>
      <c r="I2" s="97"/>
      <c r="J2" s="97"/>
      <c r="K2" s="97"/>
    </row>
    <row r="3" spans="1:16" s="1" customFormat="1" x14ac:dyDescent="0.25">
      <c r="A3" s="83" t="s">
        <v>2</v>
      </c>
      <c r="B3" s="83"/>
      <c r="C3" s="83"/>
      <c r="D3" s="83"/>
      <c r="E3" s="83"/>
      <c r="F3" s="83"/>
      <c r="G3" s="83"/>
      <c r="H3" s="83"/>
      <c r="I3" s="83"/>
      <c r="J3" s="83"/>
      <c r="K3" s="83"/>
      <c r="N3" s="67"/>
    </row>
    <row r="4" spans="1:16" s="1" customFormat="1" x14ac:dyDescent="0.25">
      <c r="A4" s="83" t="s">
        <v>3</v>
      </c>
      <c r="B4" s="83"/>
      <c r="C4" s="83"/>
      <c r="D4" s="83"/>
      <c r="E4" s="83"/>
      <c r="F4" s="83"/>
      <c r="G4" s="83"/>
      <c r="H4" s="83"/>
      <c r="I4" s="83"/>
      <c r="J4" s="83"/>
      <c r="K4" s="83"/>
      <c r="N4" s="67"/>
    </row>
    <row r="5" spans="1:16" ht="18.75" x14ac:dyDescent="0.3">
      <c r="A5" s="98" t="s">
        <v>18</v>
      </c>
      <c r="B5" s="98"/>
      <c r="C5" s="98"/>
      <c r="D5" s="98"/>
      <c r="E5" s="98"/>
      <c r="F5" s="98"/>
      <c r="G5" s="98"/>
      <c r="H5" s="98"/>
      <c r="I5" s="98"/>
      <c r="J5" s="98"/>
      <c r="K5" s="98"/>
    </row>
    <row r="6" spans="1:16" ht="18.75" x14ac:dyDescent="0.3">
      <c r="A6" s="8" t="s">
        <v>19</v>
      </c>
      <c r="B6" s="8"/>
      <c r="C6" s="94" t="e">
        <f>F20</f>
        <v>#REF!</v>
      </c>
      <c r="D6" s="95"/>
      <c r="E6" s="9"/>
      <c r="F6" s="8"/>
      <c r="G6" s="8"/>
      <c r="H6" s="8" t="s">
        <v>20</v>
      </c>
      <c r="I6" s="8"/>
      <c r="J6" s="94" t="e">
        <f>I20</f>
        <v>#REF!</v>
      </c>
      <c r="K6" s="95"/>
    </row>
    <row r="7" spans="1:16" x14ac:dyDescent="0.25">
      <c r="A7" s="25" t="s">
        <v>29</v>
      </c>
      <c r="B7" s="10"/>
      <c r="C7" s="10"/>
      <c r="D7" s="10"/>
      <c r="F7" s="89"/>
      <c r="G7" s="89"/>
      <c r="I7" s="90" t="s">
        <v>32</v>
      </c>
      <c r="J7" s="90"/>
      <c r="K7" s="90"/>
    </row>
    <row r="8" spans="1:16" ht="15.75" x14ac:dyDescent="0.25">
      <c r="A8" s="85" t="str">
        <f>estimate!A6</f>
        <v xml:space="preserve">Project:- राष्ट्रिय मा. बि. पुस्तकालय पुर्वाधार निर्माण </v>
      </c>
      <c r="B8" s="85"/>
      <c r="C8" s="85"/>
      <c r="D8" s="85"/>
      <c r="E8" s="85"/>
      <c r="F8" s="85"/>
      <c r="I8" s="91" t="s">
        <v>38</v>
      </c>
      <c r="J8" s="91"/>
      <c r="K8" s="91"/>
    </row>
    <row r="9" spans="1:16" x14ac:dyDescent="0.25">
      <c r="A9" s="92" t="str">
        <f>estimate!A7</f>
        <v>Location:- Shankharapur Municipality 9</v>
      </c>
      <c r="B9" s="92"/>
      <c r="C9" s="92"/>
      <c r="D9" s="92"/>
      <c r="E9" s="92"/>
      <c r="F9" s="92"/>
      <c r="I9" s="91" t="s">
        <v>37</v>
      </c>
      <c r="J9" s="91"/>
      <c r="K9" s="91"/>
    </row>
    <row r="11" spans="1:16" x14ac:dyDescent="0.25">
      <c r="A11" s="87" t="s">
        <v>21</v>
      </c>
      <c r="B11" s="87" t="s">
        <v>22</v>
      </c>
      <c r="C11" s="87" t="s">
        <v>12</v>
      </c>
      <c r="D11" s="93" t="s">
        <v>23</v>
      </c>
      <c r="E11" s="93"/>
      <c r="F11" s="93"/>
      <c r="G11" s="93" t="s">
        <v>24</v>
      </c>
      <c r="H11" s="93"/>
      <c r="I11" s="93"/>
      <c r="J11" s="87" t="s">
        <v>25</v>
      </c>
      <c r="K11" s="88" t="s">
        <v>15</v>
      </c>
    </row>
    <row r="12" spans="1:16" x14ac:dyDescent="0.25">
      <c r="A12" s="87"/>
      <c r="B12" s="87"/>
      <c r="C12" s="87"/>
      <c r="D12" s="11" t="s">
        <v>26</v>
      </c>
      <c r="E12" s="11" t="s">
        <v>13</v>
      </c>
      <c r="F12" s="11" t="s">
        <v>14</v>
      </c>
      <c r="G12" s="11" t="s">
        <v>26</v>
      </c>
      <c r="H12" s="11" t="s">
        <v>13</v>
      </c>
      <c r="I12" s="11" t="s">
        <v>14</v>
      </c>
      <c r="J12" s="87"/>
      <c r="K12" s="88"/>
    </row>
    <row r="13" spans="1:16" s="1" customFormat="1" x14ac:dyDescent="0.25">
      <c r="A13" s="26" t="e">
        <f>estimate!#REF!</f>
        <v>#REF!</v>
      </c>
      <c r="B13" s="63" t="e">
        <f>estimate!#REF!</f>
        <v>#REF!</v>
      </c>
      <c r="C13" s="12" t="e">
        <f>estimate!#REF!</f>
        <v>#REF!</v>
      </c>
      <c r="D13" s="12" t="e">
        <f>estimate!#REF!</f>
        <v>#REF!</v>
      </c>
      <c r="E13" s="12" t="e">
        <f>estimate!#REF!</f>
        <v>#REF!</v>
      </c>
      <c r="F13" s="12" t="e">
        <f t="shared" ref="F13" si="0">D13*E13</f>
        <v>#REF!</v>
      </c>
      <c r="G13" s="12" t="e">
        <f>#REF!</f>
        <v>#REF!</v>
      </c>
      <c r="H13" s="12" t="e">
        <f>#REF!</f>
        <v>#REF!</v>
      </c>
      <c r="I13" s="12" t="e">
        <f t="shared" ref="I13" si="1">G13*H13</f>
        <v>#REF!</v>
      </c>
      <c r="J13" s="27" t="e">
        <f t="shared" ref="J13:J14" si="2">I13-F13</f>
        <v>#REF!</v>
      </c>
      <c r="K13" s="14"/>
    </row>
    <row r="14" spans="1:16" s="1" customFormat="1" ht="15.75" x14ac:dyDescent="0.25">
      <c r="A14" s="26"/>
      <c r="B14" s="64" t="e">
        <f>estimate!#REF!</f>
        <v>#REF!</v>
      </c>
      <c r="C14" s="12"/>
      <c r="D14" s="12"/>
      <c r="E14" s="12"/>
      <c r="F14" s="12" t="e">
        <f>estimate!#REF!</f>
        <v>#REF!</v>
      </c>
      <c r="G14" s="12"/>
      <c r="H14" s="12"/>
      <c r="I14" s="12" t="e">
        <f>#REF!</f>
        <v>#REF!</v>
      </c>
      <c r="J14" s="27" t="e">
        <f t="shared" si="2"/>
        <v>#REF!</v>
      </c>
      <c r="K14" s="14"/>
    </row>
    <row r="15" spans="1:16" s="1" customFormat="1" ht="15.75" x14ac:dyDescent="0.25">
      <c r="A15" s="26"/>
      <c r="B15" s="31"/>
      <c r="C15" s="12"/>
      <c r="D15" s="12"/>
      <c r="E15" s="12"/>
      <c r="F15" s="12"/>
      <c r="G15" s="12"/>
      <c r="H15" s="12"/>
      <c r="I15" s="12"/>
      <c r="J15" s="27"/>
      <c r="K15" s="14"/>
    </row>
    <row r="16" spans="1:16" s="1" customFormat="1" ht="15.75" x14ac:dyDescent="0.25">
      <c r="A16" s="26">
        <f>estimate!A19</f>
        <v>2</v>
      </c>
      <c r="B16" s="31" t="str">
        <f>estimate!B19</f>
        <v>;'Vvf O{6f RofK6f] 5fKg] sfd</v>
      </c>
      <c r="C16" s="12">
        <f>estimate!H19</f>
        <v>0</v>
      </c>
      <c r="D16" s="12">
        <f>estimate!G19</f>
        <v>0</v>
      </c>
      <c r="E16" s="12">
        <f>estimate!I19</f>
        <v>0</v>
      </c>
      <c r="F16" s="12">
        <f t="shared" ref="F16" si="3">D16*E16</f>
        <v>0</v>
      </c>
      <c r="G16" s="12" t="e">
        <f>#REF!</f>
        <v>#REF!</v>
      </c>
      <c r="H16" s="12" t="e">
        <f>#REF!</f>
        <v>#REF!</v>
      </c>
      <c r="I16" s="12" t="e">
        <f t="shared" ref="I16" si="4">G16*H16</f>
        <v>#REF!</v>
      </c>
      <c r="J16" s="27" t="e">
        <f t="shared" ref="J16" si="5">I16-F16</f>
        <v>#REF!</v>
      </c>
      <c r="K16" s="14"/>
      <c r="N16" s="67"/>
      <c r="O16" s="69"/>
      <c r="P16" s="69"/>
    </row>
    <row r="17" spans="1:16" s="1" customFormat="1" x14ac:dyDescent="0.25">
      <c r="A17" s="28"/>
      <c r="B17" s="28"/>
      <c r="C17" s="12"/>
      <c r="D17" s="12"/>
      <c r="E17" s="12"/>
      <c r="F17" s="12"/>
      <c r="G17" s="12"/>
      <c r="H17" s="12"/>
      <c r="I17" s="12"/>
      <c r="J17" s="27"/>
      <c r="K17" s="14"/>
      <c r="N17" s="67"/>
      <c r="O17" s="69"/>
      <c r="P17" s="69"/>
    </row>
    <row r="18" spans="1:16" s="1" customFormat="1" x14ac:dyDescent="0.25">
      <c r="A18" s="26">
        <f>estimate!A259</f>
        <v>17</v>
      </c>
      <c r="B18" s="30" t="str">
        <f>estimate!B259</f>
        <v>Information board (सुचना पाटि)</v>
      </c>
      <c r="C18" s="12" t="str">
        <f>estimate!H259</f>
        <v>no.</v>
      </c>
      <c r="D18" s="12">
        <f>estimate!G259</f>
        <v>1</v>
      </c>
      <c r="E18" s="12">
        <f>estimate!I259</f>
        <v>1000</v>
      </c>
      <c r="F18" s="12">
        <f>D18*E18</f>
        <v>1000</v>
      </c>
      <c r="G18" s="12" t="e">
        <f>#REF!</f>
        <v>#REF!</v>
      </c>
      <c r="H18" s="12" t="e">
        <f>#REF!</f>
        <v>#REF!</v>
      </c>
      <c r="I18" s="12" t="e">
        <f>G18*H18</f>
        <v>#REF!</v>
      </c>
      <c r="J18" s="27" t="e">
        <f>I18-F18</f>
        <v>#REF!</v>
      </c>
      <c r="K18" s="14"/>
      <c r="N18" s="67"/>
      <c r="O18" s="69"/>
      <c r="P18" s="69"/>
    </row>
    <row r="19" spans="1:16" s="1" customFormat="1" x14ac:dyDescent="0.25">
      <c r="A19" s="28"/>
      <c r="B19" s="28"/>
      <c r="C19" s="12"/>
      <c r="D19" s="12"/>
      <c r="E19" s="12"/>
      <c r="F19" s="12"/>
      <c r="G19" s="12"/>
      <c r="H19" s="12"/>
      <c r="I19" s="12"/>
      <c r="J19" s="27"/>
      <c r="K19" s="14"/>
      <c r="N19" s="67"/>
      <c r="O19" s="69"/>
      <c r="P19" s="69"/>
    </row>
    <row r="20" spans="1:16" x14ac:dyDescent="0.25">
      <c r="A20" s="5"/>
      <c r="B20" s="6" t="s">
        <v>16</v>
      </c>
      <c r="C20" s="6"/>
      <c r="D20" s="7"/>
      <c r="E20" s="7"/>
      <c r="F20" s="7" t="e">
        <f>SUM(F13:F18)</f>
        <v>#REF!</v>
      </c>
      <c r="G20" s="7"/>
      <c r="H20" s="7"/>
      <c r="I20" s="7" t="e">
        <f>SUM(I13:I18)</f>
        <v>#REF!</v>
      </c>
      <c r="J20" s="13" t="e">
        <f>I20-F20</f>
        <v>#REF!</v>
      </c>
      <c r="K20" s="5"/>
      <c r="O20" s="68"/>
      <c r="P20" s="69"/>
    </row>
    <row r="21" spans="1:16" x14ac:dyDescent="0.25">
      <c r="O21" s="68"/>
      <c r="P21" s="69"/>
    </row>
    <row r="22" spans="1:16" x14ac:dyDescent="0.25">
      <c r="O22" s="68"/>
      <c r="P22" s="69"/>
    </row>
    <row r="23" spans="1:16" x14ac:dyDescent="0.25">
      <c r="O23" s="68"/>
      <c r="P23" s="69"/>
    </row>
    <row r="24" spans="1:16" x14ac:dyDescent="0.25">
      <c r="O24" s="68"/>
      <c r="P24" s="69"/>
    </row>
    <row r="25" spans="1:16" x14ac:dyDescent="0.25">
      <c r="O25" s="68"/>
      <c r="P25" s="69"/>
    </row>
    <row r="26" spans="1:16" x14ac:dyDescent="0.25">
      <c r="O26" s="68"/>
      <c r="P26" s="69"/>
    </row>
    <row r="27" spans="1:16" x14ac:dyDescent="0.25">
      <c r="N27" s="54"/>
      <c r="O27" s="68"/>
      <c r="P27" s="69"/>
    </row>
    <row r="28" spans="1:16" x14ac:dyDescent="0.25">
      <c r="O28" s="68"/>
      <c r="P28" s="68"/>
    </row>
    <row r="29" spans="1:16" x14ac:dyDescent="0.25">
      <c r="N29" s="66"/>
      <c r="O29" s="68"/>
      <c r="P29" s="68"/>
    </row>
    <row r="31" spans="1:16" x14ac:dyDescent="0.25">
      <c r="N31" s="70"/>
      <c r="O31" s="7"/>
      <c r="P31" s="7"/>
    </row>
    <row r="32" spans="1:16" x14ac:dyDescent="0.25">
      <c r="N32" s="70"/>
      <c r="O32" s="7"/>
      <c r="P32" s="7"/>
    </row>
    <row r="33" spans="15:16" x14ac:dyDescent="0.25">
      <c r="O33" s="68"/>
      <c r="P33" s="68"/>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estimate</vt:lpstr>
      <vt:lpstr>WCR</vt:lpstr>
      <vt:lpstr>estimate!Print_Area</vt:lpstr>
      <vt:lpstr>WCR!Print_Area</vt:lpstr>
      <vt:lpstr>estimate!Print_Titles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2025-05-25T04:54:08Z</cp:lastPrinted>
  <dcterms:created xsi:type="dcterms:W3CDTF">2015-06-05T18:17:20Z</dcterms:created>
  <dcterms:modified xsi:type="dcterms:W3CDTF">2025-05-25T04:54:25Z</dcterms:modified>
</cp:coreProperties>
</file>